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harts/chart13.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2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31.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style4.xml" ContentType="application/vnd.ms-office.chartstyle+xml"/>
  <Override PartName="/xl/charts/colors4.xml" ContentType="application/vnd.ms-office.chartcolorstyle+xml"/>
  <Override PartName="/xl/charts/chart41.xml" ContentType="application/vnd.openxmlformats-officedocument.drawingml.chart+xml"/>
  <Override PartName="/xl/charts/style5.xml" ContentType="application/vnd.ms-office.chartstyle+xml"/>
  <Override PartName="/xl/charts/colors5.xml" ContentType="application/vnd.ms-office.chartcolorstyle+xml"/>
  <Override PartName="/xl/charts/chart42.xml" ContentType="application/vnd.openxmlformats-officedocument.drawingml.chart+xml"/>
  <Override PartName="/xl/charts/style6.xml" ContentType="application/vnd.ms-office.chartstyle+xml"/>
  <Override PartName="/xl/charts/colors6.xml" ContentType="application/vnd.ms-office.chartcolorstyle+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harts/chart43.xml" ContentType="application/vnd.openxmlformats-officedocument.drawingml.chart+xml"/>
  <Override PartName="/xl/drawings/drawing16.xml" ContentType="application/vnd.openxmlformats-officedocument.drawing+xml"/>
  <Override PartName="/xl/comments16.xml" ContentType="application/vnd.openxmlformats-officedocument.spreadsheetml.comment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7.xml" ContentType="application/vnd.openxmlformats-officedocument.drawing+xml"/>
  <Override PartName="/xl/comments17.xml" ContentType="application/vnd.openxmlformats-officedocument.spreadsheetml.comments+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C:\Users\Test\Documents\Gutenberg\"/>
    </mc:Choice>
  </mc:AlternateContent>
  <xr:revisionPtr revIDLastSave="0" documentId="13_ncr:1_{BD64DA9E-B090-4179-AF4D-7749823694AD}" xr6:coauthVersionLast="47" xr6:coauthVersionMax="47" xr10:uidLastSave="{00000000-0000-0000-0000-000000000000}"/>
  <bookViews>
    <workbookView xWindow="2460" yWindow="2364" windowWidth="18780" windowHeight="9204" tabRatio="767" xr2:uid="{00000000-000D-0000-FFFF-FFFF00000000}"/>
  </bookViews>
  <sheets>
    <sheet name="IS (After Changes)" sheetId="48" r:id="rId1"/>
    <sheet name="BS (After Changes)" sheetId="49" r:id="rId2"/>
    <sheet name="CFS (After Changes)" sheetId="50" r:id="rId3"/>
    <sheet name="Charts (After Changes)" sheetId="51" r:id="rId4"/>
    <sheet name="Valuation (After Changes)" sheetId="52" r:id="rId5"/>
    <sheet name="IS (Before Changes)" sheetId="41" r:id="rId6"/>
    <sheet name="BS (Before Changes)" sheetId="42" r:id="rId7"/>
    <sheet name="CFS (Before Changes) " sheetId="43" r:id="rId8"/>
    <sheet name="IS 3Q2022" sheetId="36" state="hidden" r:id="rId9"/>
    <sheet name="BS 3Q2022" sheetId="38" state="hidden" r:id="rId10"/>
    <sheet name="CFS 3Q2022" sheetId="39" state="hidden" r:id="rId11"/>
    <sheet name="IS 4Q Change" sheetId="44" state="hidden" r:id="rId12"/>
    <sheet name="BS 4Q Change" sheetId="45" state="hidden" r:id="rId13"/>
    <sheet name="CFS 4Q Change" sheetId="46" state="hidden" r:id="rId14"/>
    <sheet name="Charts (Before Changes)" sheetId="47" r:id="rId15"/>
    <sheet name="Valuation (Before Changes)" sheetId="40" r:id="rId16"/>
    <sheet name="IS (Changes)" sheetId="53" r:id="rId17"/>
    <sheet name="BS (Changes)" sheetId="54" r:id="rId18"/>
    <sheet name="CFS (Changes)" sheetId="55" r:id="rId19"/>
  </sheets>
  <definedNames>
    <definedName name="DATA">#REF!</definedName>
    <definedName name="DATA2">#REF!</definedName>
    <definedName name="_xlnm.Print_Area" localSheetId="1">'BS (After Changes)'!$B$3:$AB$56</definedName>
    <definedName name="_xlnm.Print_Area" localSheetId="6">'BS (Before Changes)'!$B$3:$AB$56</definedName>
    <definedName name="_xlnm.Print_Area" localSheetId="17">'BS (Changes)'!$B$3:$AB$56</definedName>
    <definedName name="_xlnm.Print_Area" localSheetId="9">'BS 3Q2022'!$B$3:$AB$56</definedName>
    <definedName name="_xlnm.Print_Area" localSheetId="12">'BS 4Q Change'!$B$3:$AB$56</definedName>
    <definedName name="_xlnm.Print_Area" localSheetId="2">'CFS (After Changes)'!$B$3:$AB$57</definedName>
    <definedName name="_xlnm.Print_Area" localSheetId="7">'CFS (Before Changes) '!$B$3:$AB$57</definedName>
    <definedName name="_xlnm.Print_Area" localSheetId="18">'CFS (Changes)'!$B$3:$AB$57</definedName>
    <definedName name="_xlnm.Print_Area" localSheetId="10">'CFS 3Q2022'!$B$3:$AB$57</definedName>
    <definedName name="_xlnm.Print_Area" localSheetId="13">'CFS 4Q Change'!$B$3:$AB$57</definedName>
    <definedName name="_xlnm.Print_Area" localSheetId="0">'IS (After Changes)'!$B$1:$AB$316</definedName>
    <definedName name="_xlnm.Print_Area" localSheetId="5">'IS (Before Changes)'!$B$1:$AB$316</definedName>
    <definedName name="_xlnm.Print_Area" localSheetId="16">'IS (Changes)'!$B$1:$AB$316</definedName>
    <definedName name="_xlnm.Print_Area" localSheetId="8">'IS 3Q2022'!$B$1:$AB$316</definedName>
    <definedName name="_xlnm.Print_Area" localSheetId="11">'IS 4Q Change'!$B$1:$AB$316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63" i="48" l="1"/>
  <c r="AJ63" i="48"/>
  <c r="AK63" i="48"/>
  <c r="AH63" i="48"/>
  <c r="AD63" i="48"/>
  <c r="AE63" i="48"/>
  <c r="AF63" i="48"/>
  <c r="AC63" i="48"/>
  <c r="Y63" i="48"/>
  <c r="Z63" i="48"/>
  <c r="AA63" i="48"/>
  <c r="X63" i="48"/>
  <c r="AI61" i="48"/>
  <c r="AJ61" i="48"/>
  <c r="AK61" i="48"/>
  <c r="AH61" i="48"/>
  <c r="AD61" i="48"/>
  <c r="AE61" i="48"/>
  <c r="AF61" i="48"/>
  <c r="AC61" i="48"/>
  <c r="Y61" i="48"/>
  <c r="Z61" i="48"/>
  <c r="AA61" i="48"/>
  <c r="X61" i="48"/>
  <c r="AI44" i="48"/>
  <c r="AJ44" i="48"/>
  <c r="AK44" i="48"/>
  <c r="AH44" i="48"/>
  <c r="AD44" i="48"/>
  <c r="AE44" i="48"/>
  <c r="AF44" i="48"/>
  <c r="AC44" i="48"/>
  <c r="Y44" i="48"/>
  <c r="Z44" i="48"/>
  <c r="AA44" i="48"/>
  <c r="X44" i="48"/>
  <c r="C11" i="40"/>
  <c r="AT86" i="48"/>
  <c r="AS86" i="48"/>
  <c r="AR86" i="48"/>
  <c r="AP86" i="48"/>
  <c r="AU86" i="48" s="1"/>
  <c r="AO86" i="48"/>
  <c r="AN86" i="48"/>
  <c r="AM86" i="48"/>
  <c r="AU77" i="48"/>
  <c r="AS77" i="48"/>
  <c r="AP77" i="48"/>
  <c r="AO77" i="48"/>
  <c r="AT77" i="48" s="1"/>
  <c r="AN77" i="48"/>
  <c r="AM77" i="48"/>
  <c r="AR77" i="48" s="1"/>
  <c r="AU53" i="48"/>
  <c r="AT53" i="48"/>
  <c r="AS53" i="48"/>
  <c r="AP53" i="48"/>
  <c r="AO53" i="48"/>
  <c r="AN53" i="48"/>
  <c r="AM53" i="48"/>
  <c r="AR53" i="48" s="1"/>
  <c r="F31" i="52" l="1"/>
  <c r="F18" i="40"/>
  <c r="F13" i="40"/>
  <c r="F15" i="40" s="1"/>
  <c r="AL60" i="55"/>
  <c r="AL62" i="55"/>
  <c r="AL63" i="55"/>
  <c r="AL64" i="55"/>
  <c r="E53" i="55"/>
  <c r="F53" i="55"/>
  <c r="G53" i="55"/>
  <c r="H53" i="55"/>
  <c r="I53" i="55"/>
  <c r="J53" i="55"/>
  <c r="K53" i="55"/>
  <c r="L53" i="55"/>
  <c r="M53" i="55"/>
  <c r="N53" i="55"/>
  <c r="O53" i="55"/>
  <c r="P53" i="55"/>
  <c r="Q53" i="55"/>
  <c r="R53" i="55"/>
  <c r="S53" i="55"/>
  <c r="T53" i="55"/>
  <c r="U53" i="55"/>
  <c r="V53" i="55"/>
  <c r="W53" i="55"/>
  <c r="X53" i="55"/>
  <c r="Y53" i="55"/>
  <c r="Z53" i="55"/>
  <c r="AA53" i="55"/>
  <c r="AB53" i="55"/>
  <c r="AC53" i="55"/>
  <c r="AD53" i="55"/>
  <c r="AE53" i="55"/>
  <c r="AF53" i="55"/>
  <c r="AG53" i="55"/>
  <c r="AH53" i="55"/>
  <c r="AI53" i="55"/>
  <c r="AJ53" i="55"/>
  <c r="AK53" i="55"/>
  <c r="AL53" i="55"/>
  <c r="AM53" i="55"/>
  <c r="AN53" i="55"/>
  <c r="AO53" i="55"/>
  <c r="AP53" i="55"/>
  <c r="AQ53" i="55"/>
  <c r="AR53" i="55"/>
  <c r="AS53" i="55"/>
  <c r="AT53" i="55"/>
  <c r="AU53" i="55"/>
  <c r="AV53" i="55"/>
  <c r="E54" i="55"/>
  <c r="F54" i="55"/>
  <c r="G54" i="55"/>
  <c r="H54" i="55"/>
  <c r="I54" i="55"/>
  <c r="J54" i="55"/>
  <c r="K54" i="55"/>
  <c r="L54" i="55"/>
  <c r="M54" i="55"/>
  <c r="N54" i="55"/>
  <c r="O54" i="55"/>
  <c r="P54" i="55"/>
  <c r="Q54" i="55"/>
  <c r="R54" i="55"/>
  <c r="S54" i="55"/>
  <c r="T54" i="55"/>
  <c r="U54" i="55"/>
  <c r="V54" i="55"/>
  <c r="W54" i="55"/>
  <c r="X54" i="55"/>
  <c r="Y54" i="55"/>
  <c r="Z54" i="55"/>
  <c r="AA54" i="55"/>
  <c r="AB54" i="55"/>
  <c r="AC54" i="55"/>
  <c r="AD54" i="55"/>
  <c r="AE54" i="55"/>
  <c r="AF54" i="55"/>
  <c r="AG54" i="55"/>
  <c r="AH54" i="55"/>
  <c r="AI54" i="55"/>
  <c r="AJ54" i="55"/>
  <c r="AK54" i="55"/>
  <c r="AL54" i="55"/>
  <c r="AM54" i="55"/>
  <c r="AN54" i="55"/>
  <c r="AO54" i="55"/>
  <c r="AP54" i="55"/>
  <c r="AQ54" i="55"/>
  <c r="AR54" i="55"/>
  <c r="AS54" i="55"/>
  <c r="AT54" i="55"/>
  <c r="AU54" i="55"/>
  <c r="AV54" i="55"/>
  <c r="E55" i="55"/>
  <c r="F55" i="55"/>
  <c r="G55" i="55"/>
  <c r="H55" i="55"/>
  <c r="I55" i="55"/>
  <c r="J55" i="55"/>
  <c r="K55" i="55"/>
  <c r="L55" i="55"/>
  <c r="M55" i="55"/>
  <c r="N55" i="55"/>
  <c r="O55" i="55"/>
  <c r="P55" i="55"/>
  <c r="Q55" i="55"/>
  <c r="R55" i="55"/>
  <c r="S55" i="55"/>
  <c r="T55" i="55"/>
  <c r="U55" i="55"/>
  <c r="V55" i="55"/>
  <c r="W55" i="55"/>
  <c r="E56" i="55"/>
  <c r="F56" i="55"/>
  <c r="G56" i="55"/>
  <c r="H56" i="55"/>
  <c r="I56" i="55"/>
  <c r="J56" i="55"/>
  <c r="K56" i="55"/>
  <c r="L56" i="55"/>
  <c r="M56" i="55"/>
  <c r="N56" i="55"/>
  <c r="O56" i="55"/>
  <c r="P56" i="55"/>
  <c r="Q56" i="55"/>
  <c r="R56" i="55"/>
  <c r="S56" i="55"/>
  <c r="T56" i="55"/>
  <c r="U56" i="55"/>
  <c r="V56" i="55"/>
  <c r="W56" i="55"/>
  <c r="X56" i="55"/>
  <c r="Y56" i="55"/>
  <c r="Z56" i="55"/>
  <c r="AA56" i="55"/>
  <c r="AC56" i="55"/>
  <c r="AD56" i="55"/>
  <c r="AE56" i="55"/>
  <c r="AF56" i="55"/>
  <c r="AH56" i="55"/>
  <c r="AI56" i="55"/>
  <c r="AJ56" i="55"/>
  <c r="AK56" i="55"/>
  <c r="AM56" i="55"/>
  <c r="AN56" i="55"/>
  <c r="AO56" i="55"/>
  <c r="AP56" i="55"/>
  <c r="AR56" i="55"/>
  <c r="AS56" i="55"/>
  <c r="AT56" i="55"/>
  <c r="AU56" i="55"/>
  <c r="E57" i="55"/>
  <c r="F57" i="55"/>
  <c r="G57" i="55"/>
  <c r="H57" i="55"/>
  <c r="I57" i="55"/>
  <c r="J57" i="55"/>
  <c r="K57" i="55"/>
  <c r="L57" i="55"/>
  <c r="M57" i="55"/>
  <c r="N57" i="55"/>
  <c r="O57" i="55"/>
  <c r="P57" i="55"/>
  <c r="Q57" i="55"/>
  <c r="R57" i="55"/>
  <c r="S57" i="55"/>
  <c r="T57" i="55"/>
  <c r="U57" i="55"/>
  <c r="V57" i="55"/>
  <c r="W57" i="55"/>
  <c r="X57" i="55"/>
  <c r="Y57" i="55"/>
  <c r="Z57" i="55"/>
  <c r="AA57" i="55"/>
  <c r="AB57" i="55"/>
  <c r="AC57" i="55"/>
  <c r="AD57" i="55"/>
  <c r="AE57" i="55"/>
  <c r="AF57" i="55"/>
  <c r="AG57" i="55"/>
  <c r="AH57" i="55"/>
  <c r="AI57" i="55"/>
  <c r="AJ57" i="55"/>
  <c r="AK57" i="55"/>
  <c r="AL57" i="55"/>
  <c r="AM57" i="55"/>
  <c r="AN57" i="55"/>
  <c r="AO57" i="55"/>
  <c r="AP57" i="55"/>
  <c r="AQ57" i="55"/>
  <c r="AR57" i="55"/>
  <c r="AS57" i="55"/>
  <c r="AT57" i="55"/>
  <c r="AU57" i="55"/>
  <c r="AV57"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H58" i="55"/>
  <c r="AI58" i="55"/>
  <c r="AJ58" i="55"/>
  <c r="AK58" i="55"/>
  <c r="AL58" i="55"/>
  <c r="AM58" i="55"/>
  <c r="AN58" i="55"/>
  <c r="AO58" i="55"/>
  <c r="AP58" i="55"/>
  <c r="AQ58" i="55"/>
  <c r="AR58" i="55"/>
  <c r="AS58" i="55"/>
  <c r="AT58" i="55"/>
  <c r="AU58" i="55"/>
  <c r="AV58" i="55"/>
  <c r="D54" i="55"/>
  <c r="D55" i="55"/>
  <c r="D56" i="55"/>
  <c r="D57" i="55"/>
  <c r="D58" i="55"/>
  <c r="D53" i="55"/>
  <c r="E6" i="55"/>
  <c r="F6" i="55"/>
  <c r="G6" i="55"/>
  <c r="H6" i="55"/>
  <c r="I6" i="55"/>
  <c r="J6" i="55"/>
  <c r="K6" i="55"/>
  <c r="L6" i="55"/>
  <c r="M6" i="55"/>
  <c r="N6" i="55"/>
  <c r="O6" i="55"/>
  <c r="P6" i="55"/>
  <c r="Q6" i="55"/>
  <c r="R6" i="55"/>
  <c r="S6" i="55"/>
  <c r="T6" i="55"/>
  <c r="U6" i="55"/>
  <c r="V6" i="55"/>
  <c r="W6" i="55"/>
  <c r="E7" i="55"/>
  <c r="F7" i="55"/>
  <c r="G7" i="55"/>
  <c r="H7" i="55"/>
  <c r="I7" i="55"/>
  <c r="J7" i="55"/>
  <c r="K7" i="55"/>
  <c r="L7" i="55"/>
  <c r="M7" i="55"/>
  <c r="N7" i="55"/>
  <c r="O7" i="55"/>
  <c r="P7" i="55"/>
  <c r="Q7" i="55"/>
  <c r="R7" i="55"/>
  <c r="S7" i="55"/>
  <c r="T7" i="55"/>
  <c r="U7" i="55"/>
  <c r="V7" i="55"/>
  <c r="W7" i="55"/>
  <c r="X7" i="55"/>
  <c r="E8" i="55"/>
  <c r="F8" i="55"/>
  <c r="G8" i="55"/>
  <c r="H8" i="55"/>
  <c r="I8" i="55"/>
  <c r="J8" i="55"/>
  <c r="K8" i="55"/>
  <c r="L8" i="55"/>
  <c r="M8" i="55"/>
  <c r="N8" i="55"/>
  <c r="O8" i="55"/>
  <c r="P8" i="55"/>
  <c r="Q8" i="55"/>
  <c r="R8" i="55"/>
  <c r="S8" i="55"/>
  <c r="T8" i="55"/>
  <c r="U8" i="55"/>
  <c r="V8" i="55"/>
  <c r="W8" i="55"/>
  <c r="X8" i="55"/>
  <c r="Y8" i="55"/>
  <c r="Z8" i="55"/>
  <c r="AA8" i="55"/>
  <c r="AB8" i="55"/>
  <c r="AC8" i="55"/>
  <c r="AD8" i="55"/>
  <c r="AE8" i="55"/>
  <c r="AF8" i="55"/>
  <c r="AG8" i="55"/>
  <c r="AH8" i="55"/>
  <c r="AI8" i="55"/>
  <c r="AJ8" i="55"/>
  <c r="AK8" i="55"/>
  <c r="AL8" i="55"/>
  <c r="AM8" i="55"/>
  <c r="AN8" i="55"/>
  <c r="AO8" i="55"/>
  <c r="AP8" i="55"/>
  <c r="AQ8" i="55"/>
  <c r="AR8" i="55"/>
  <c r="AS8" i="55"/>
  <c r="AT8" i="55"/>
  <c r="AU8" i="55"/>
  <c r="AV8" i="55"/>
  <c r="E9" i="55"/>
  <c r="F9" i="55"/>
  <c r="G9" i="55"/>
  <c r="H9" i="55"/>
  <c r="I9" i="55"/>
  <c r="J9" i="55"/>
  <c r="K9" i="55"/>
  <c r="L9" i="55"/>
  <c r="M9" i="55"/>
  <c r="N9" i="55"/>
  <c r="O9" i="55"/>
  <c r="P9" i="55"/>
  <c r="Q9" i="55"/>
  <c r="R9" i="55"/>
  <c r="S9" i="55"/>
  <c r="T9" i="55"/>
  <c r="U9" i="55"/>
  <c r="V9" i="55"/>
  <c r="W9" i="55"/>
  <c r="X9" i="55"/>
  <c r="Y9" i="55"/>
  <c r="Z9" i="55"/>
  <c r="AA9" i="55"/>
  <c r="AB9" i="55"/>
  <c r="AC9" i="55"/>
  <c r="AD9" i="55"/>
  <c r="AE9" i="55"/>
  <c r="AF9" i="55"/>
  <c r="AG9" i="55"/>
  <c r="AH9" i="55"/>
  <c r="AI9" i="55"/>
  <c r="AJ9" i="55"/>
  <c r="AK9" i="55"/>
  <c r="AL9" i="55"/>
  <c r="AM9" i="55"/>
  <c r="AN9" i="55"/>
  <c r="AO9" i="55"/>
  <c r="AP9" i="55"/>
  <c r="AQ9" i="55"/>
  <c r="AR9" i="55"/>
  <c r="AS9" i="55"/>
  <c r="AT9" i="55"/>
  <c r="AU9" i="55"/>
  <c r="AV9" i="55"/>
  <c r="E10" i="55"/>
  <c r="F10" i="55"/>
  <c r="G10" i="55"/>
  <c r="H10" i="55"/>
  <c r="I10" i="55"/>
  <c r="J10" i="55"/>
  <c r="K10" i="55"/>
  <c r="L10" i="55"/>
  <c r="M10" i="55"/>
  <c r="N10" i="55"/>
  <c r="O10" i="55"/>
  <c r="P10" i="55"/>
  <c r="Q10" i="55"/>
  <c r="R10" i="55"/>
  <c r="S10" i="55"/>
  <c r="T10" i="55"/>
  <c r="U10" i="55"/>
  <c r="V10" i="55"/>
  <c r="W10" i="55"/>
  <c r="X10" i="55"/>
  <c r="Y10" i="55"/>
  <c r="Z10" i="55"/>
  <c r="AA10" i="55"/>
  <c r="AB10" i="55"/>
  <c r="AC10" i="55"/>
  <c r="AD10" i="55"/>
  <c r="AE10" i="55"/>
  <c r="AF10" i="55"/>
  <c r="AG10" i="55"/>
  <c r="AH10" i="55"/>
  <c r="AI10" i="55"/>
  <c r="AJ10" i="55"/>
  <c r="AK10" i="55"/>
  <c r="AL10" i="55"/>
  <c r="AM10" i="55"/>
  <c r="AN10" i="55"/>
  <c r="AO10" i="55"/>
  <c r="AP10" i="55"/>
  <c r="AQ10" i="55"/>
  <c r="AR10" i="55"/>
  <c r="AS10" i="55"/>
  <c r="AT10" i="55"/>
  <c r="AU10" i="55"/>
  <c r="AV10" i="55"/>
  <c r="E11" i="55"/>
  <c r="F11" i="55"/>
  <c r="G11" i="55"/>
  <c r="H11" i="55"/>
  <c r="I11" i="55"/>
  <c r="J11" i="55"/>
  <c r="K11" i="55"/>
  <c r="L11" i="55"/>
  <c r="M11" i="55"/>
  <c r="N11" i="55"/>
  <c r="O11" i="55"/>
  <c r="P11" i="55"/>
  <c r="Q11" i="55"/>
  <c r="R11" i="55"/>
  <c r="S11" i="55"/>
  <c r="T11" i="55"/>
  <c r="U11" i="55"/>
  <c r="V11" i="55"/>
  <c r="W11" i="55"/>
  <c r="X11" i="55"/>
  <c r="Y11" i="55"/>
  <c r="Z11" i="55"/>
  <c r="AA11" i="55"/>
  <c r="AB11" i="55"/>
  <c r="AC11" i="55"/>
  <c r="AD11" i="55"/>
  <c r="AE11" i="55"/>
  <c r="AF11" i="55"/>
  <c r="AG11" i="55"/>
  <c r="AH11" i="55"/>
  <c r="AI11" i="55"/>
  <c r="AJ11" i="55"/>
  <c r="AK11" i="55"/>
  <c r="AL11" i="55"/>
  <c r="AM11" i="55"/>
  <c r="AN11" i="55"/>
  <c r="AO11" i="55"/>
  <c r="AP11" i="55"/>
  <c r="AQ11" i="55"/>
  <c r="AR11" i="55"/>
  <c r="AS11" i="55"/>
  <c r="AT11" i="55"/>
  <c r="AU11" i="55"/>
  <c r="AV11" i="55"/>
  <c r="E12" i="55"/>
  <c r="F12" i="55"/>
  <c r="G12" i="55"/>
  <c r="H12" i="55"/>
  <c r="I12" i="55"/>
  <c r="J12" i="55"/>
  <c r="K12" i="55"/>
  <c r="L12" i="55"/>
  <c r="M12" i="55"/>
  <c r="N12" i="55"/>
  <c r="O12" i="55"/>
  <c r="P12" i="55"/>
  <c r="Q12" i="55"/>
  <c r="R12" i="55"/>
  <c r="S12" i="55"/>
  <c r="T12" i="55"/>
  <c r="U12" i="55"/>
  <c r="V12" i="55"/>
  <c r="W12" i="55"/>
  <c r="E13" i="55"/>
  <c r="F13" i="55"/>
  <c r="G13" i="55"/>
  <c r="H13" i="55"/>
  <c r="I13" i="55"/>
  <c r="J13" i="55"/>
  <c r="K13" i="55"/>
  <c r="L13" i="55"/>
  <c r="M13" i="55"/>
  <c r="N13" i="55"/>
  <c r="O13" i="55"/>
  <c r="P13" i="55"/>
  <c r="Q13" i="55"/>
  <c r="R13" i="55"/>
  <c r="S13" i="55"/>
  <c r="T13" i="55"/>
  <c r="U13" i="55"/>
  <c r="V13" i="55"/>
  <c r="W13" i="55"/>
  <c r="X13" i="55"/>
  <c r="Y13" i="55"/>
  <c r="Z13" i="55"/>
  <c r="AA13" i="55"/>
  <c r="AB13" i="55"/>
  <c r="AC13" i="55"/>
  <c r="AD13" i="55"/>
  <c r="AE13" i="55"/>
  <c r="AF13" i="55"/>
  <c r="AG13" i="55"/>
  <c r="AH13" i="55"/>
  <c r="AI13" i="55"/>
  <c r="AJ13" i="55"/>
  <c r="AK13" i="55"/>
  <c r="AL13" i="55"/>
  <c r="AM13" i="55"/>
  <c r="AN13" i="55"/>
  <c r="AO13" i="55"/>
  <c r="AP13" i="55"/>
  <c r="AQ13" i="55"/>
  <c r="AR13" i="55"/>
  <c r="AS13" i="55"/>
  <c r="AT13" i="55"/>
  <c r="AU13" i="55"/>
  <c r="AV13" i="55"/>
  <c r="E14" i="55"/>
  <c r="F14" i="55"/>
  <c r="G14" i="55"/>
  <c r="H14" i="55"/>
  <c r="I14" i="55"/>
  <c r="J14" i="55"/>
  <c r="K14" i="55"/>
  <c r="L14" i="55"/>
  <c r="M14" i="55"/>
  <c r="N14" i="55"/>
  <c r="O14" i="55"/>
  <c r="P14" i="55"/>
  <c r="Q14" i="55"/>
  <c r="R14" i="55"/>
  <c r="S14" i="55"/>
  <c r="T14" i="55"/>
  <c r="U14" i="55"/>
  <c r="V14" i="55"/>
  <c r="W14" i="55"/>
  <c r="X14" i="55"/>
  <c r="Y14" i="55"/>
  <c r="Z14" i="55"/>
  <c r="AA14" i="55"/>
  <c r="AB14" i="55"/>
  <c r="AC14" i="55"/>
  <c r="AD14" i="55"/>
  <c r="AE14" i="55"/>
  <c r="AF14" i="55"/>
  <c r="AG14" i="55"/>
  <c r="AH14" i="55"/>
  <c r="AI14" i="55"/>
  <c r="AJ14" i="55"/>
  <c r="AK14" i="55"/>
  <c r="AL14" i="55"/>
  <c r="AM14" i="55"/>
  <c r="AN14" i="55"/>
  <c r="AO14" i="55"/>
  <c r="AP14" i="55"/>
  <c r="AQ14" i="55"/>
  <c r="AR14" i="55"/>
  <c r="AS14" i="55"/>
  <c r="AT14" i="55"/>
  <c r="AU14" i="55"/>
  <c r="AV14" i="55"/>
  <c r="E15" i="55"/>
  <c r="F15" i="55"/>
  <c r="G15" i="55"/>
  <c r="H15" i="55"/>
  <c r="I15" i="55"/>
  <c r="J15" i="55"/>
  <c r="K15" i="55"/>
  <c r="L15" i="55"/>
  <c r="M15" i="55"/>
  <c r="N15" i="55"/>
  <c r="O15" i="55"/>
  <c r="P15" i="55"/>
  <c r="Q15" i="55"/>
  <c r="R15" i="55"/>
  <c r="S15" i="55"/>
  <c r="T15" i="55"/>
  <c r="U15" i="55"/>
  <c r="V15" i="55"/>
  <c r="W15" i="55"/>
  <c r="E16" i="55"/>
  <c r="F16" i="55"/>
  <c r="G16" i="55"/>
  <c r="H16" i="55"/>
  <c r="I16" i="55"/>
  <c r="J16" i="55"/>
  <c r="K16" i="55"/>
  <c r="L16" i="55"/>
  <c r="M16" i="55"/>
  <c r="N16" i="55"/>
  <c r="O16" i="55"/>
  <c r="P16" i="55"/>
  <c r="Q16" i="55"/>
  <c r="R16" i="55"/>
  <c r="S16" i="55"/>
  <c r="T16" i="55"/>
  <c r="U16" i="55"/>
  <c r="V16" i="55"/>
  <c r="W16" i="55"/>
  <c r="E17" i="55"/>
  <c r="F17" i="55"/>
  <c r="G17" i="55"/>
  <c r="H17" i="55"/>
  <c r="I17" i="55"/>
  <c r="J17" i="55"/>
  <c r="K17" i="55"/>
  <c r="L17" i="55"/>
  <c r="M17" i="55"/>
  <c r="N17" i="55"/>
  <c r="O17" i="55"/>
  <c r="P17" i="55"/>
  <c r="Q17" i="55"/>
  <c r="R17" i="55"/>
  <c r="S17" i="55"/>
  <c r="T17" i="55"/>
  <c r="U17" i="55"/>
  <c r="V17" i="55"/>
  <c r="W17" i="55"/>
  <c r="X17" i="55"/>
  <c r="Y17" i="55"/>
  <c r="Z17" i="55"/>
  <c r="AA17" i="55"/>
  <c r="AB17" i="55"/>
  <c r="AC17" i="55"/>
  <c r="AD17" i="55"/>
  <c r="AE17" i="55"/>
  <c r="AF17" i="55"/>
  <c r="AG17" i="55"/>
  <c r="AH17" i="55"/>
  <c r="AI17" i="55"/>
  <c r="AJ17" i="55"/>
  <c r="AK17" i="55"/>
  <c r="AL17" i="55"/>
  <c r="AM17" i="55"/>
  <c r="AN17" i="55"/>
  <c r="AO17" i="55"/>
  <c r="AP17" i="55"/>
  <c r="AQ17" i="55"/>
  <c r="AR17" i="55"/>
  <c r="AS17" i="55"/>
  <c r="AT17" i="55"/>
  <c r="AU17" i="55"/>
  <c r="AV17" i="55"/>
  <c r="E18" i="55"/>
  <c r="F18" i="55"/>
  <c r="G18" i="55"/>
  <c r="H18" i="55"/>
  <c r="I18" i="55"/>
  <c r="J18" i="55"/>
  <c r="K18" i="55"/>
  <c r="L18" i="55"/>
  <c r="M18" i="55"/>
  <c r="N18" i="55"/>
  <c r="O18" i="55"/>
  <c r="P18" i="55"/>
  <c r="Q18" i="55"/>
  <c r="R18" i="55"/>
  <c r="S18" i="55"/>
  <c r="T18" i="55"/>
  <c r="U18" i="55"/>
  <c r="V18" i="55"/>
  <c r="W18" i="55"/>
  <c r="E19" i="55"/>
  <c r="F19" i="55"/>
  <c r="G19" i="55"/>
  <c r="H19" i="55"/>
  <c r="I19" i="55"/>
  <c r="J19" i="55"/>
  <c r="K19" i="55"/>
  <c r="L19" i="55"/>
  <c r="M19" i="55"/>
  <c r="N19" i="55"/>
  <c r="O19" i="55"/>
  <c r="P19" i="55"/>
  <c r="Q19" i="55"/>
  <c r="R19" i="55"/>
  <c r="S19" i="55"/>
  <c r="T19" i="55"/>
  <c r="U19" i="55"/>
  <c r="V19" i="55"/>
  <c r="W19" i="55"/>
  <c r="X19" i="55"/>
  <c r="Y19" i="55"/>
  <c r="Z19" i="55"/>
  <c r="AA19" i="55"/>
  <c r="AB19" i="55"/>
  <c r="AC19" i="55"/>
  <c r="AD19" i="55"/>
  <c r="AE19" i="55"/>
  <c r="AF19" i="55"/>
  <c r="AG19" i="55"/>
  <c r="AH19" i="55"/>
  <c r="AI19" i="55"/>
  <c r="AJ19" i="55"/>
  <c r="AK19" i="55"/>
  <c r="AL19" i="55"/>
  <c r="AM19" i="55"/>
  <c r="AN19" i="55"/>
  <c r="AO19" i="55"/>
  <c r="AP19" i="55"/>
  <c r="AQ19" i="55"/>
  <c r="AR19" i="55"/>
  <c r="AS19" i="55"/>
  <c r="AT19" i="55"/>
  <c r="AU19" i="55"/>
  <c r="AV19" i="55"/>
  <c r="E20" i="55"/>
  <c r="F20" i="55"/>
  <c r="G20" i="55"/>
  <c r="H20" i="55"/>
  <c r="I20" i="55"/>
  <c r="J20" i="55"/>
  <c r="K20" i="55"/>
  <c r="L20" i="55"/>
  <c r="M20" i="55"/>
  <c r="N20" i="55"/>
  <c r="O20" i="55"/>
  <c r="P20" i="55"/>
  <c r="Q20" i="55"/>
  <c r="R20" i="55"/>
  <c r="S20" i="55"/>
  <c r="T20" i="55"/>
  <c r="U20" i="55"/>
  <c r="V20" i="55"/>
  <c r="W20" i="55"/>
  <c r="X20" i="55"/>
  <c r="Y20" i="55"/>
  <c r="Z20" i="55"/>
  <c r="AA20" i="55"/>
  <c r="AB20" i="55"/>
  <c r="AC20" i="55"/>
  <c r="AD20" i="55"/>
  <c r="AE20" i="55"/>
  <c r="AF20" i="55"/>
  <c r="AG20" i="55"/>
  <c r="AH20" i="55"/>
  <c r="AI20" i="55"/>
  <c r="AJ20" i="55"/>
  <c r="AK20" i="55"/>
  <c r="AL20" i="55"/>
  <c r="AM20" i="55"/>
  <c r="AN20" i="55"/>
  <c r="AO20" i="55"/>
  <c r="AP20" i="55"/>
  <c r="AQ20" i="55"/>
  <c r="AR20" i="55"/>
  <c r="AS20" i="55"/>
  <c r="AT20" i="55"/>
  <c r="AU20" i="55"/>
  <c r="AV20" i="55"/>
  <c r="E21" i="55"/>
  <c r="F21" i="55"/>
  <c r="G21" i="55"/>
  <c r="H21" i="55"/>
  <c r="I21" i="55"/>
  <c r="J21" i="55"/>
  <c r="K21" i="55"/>
  <c r="L21" i="55"/>
  <c r="M21" i="55"/>
  <c r="N21" i="55"/>
  <c r="O21" i="55"/>
  <c r="P21" i="55"/>
  <c r="Q21" i="55"/>
  <c r="R21" i="55"/>
  <c r="S21" i="55"/>
  <c r="T21" i="55"/>
  <c r="U21" i="55"/>
  <c r="V21" i="55"/>
  <c r="W21" i="55"/>
  <c r="X21" i="55"/>
  <c r="Y21" i="55"/>
  <c r="Z21" i="55"/>
  <c r="AA21" i="55"/>
  <c r="AB21" i="55"/>
  <c r="AC21" i="55"/>
  <c r="AD21" i="55"/>
  <c r="AE21" i="55"/>
  <c r="AF21" i="55"/>
  <c r="AG21" i="55"/>
  <c r="AH21" i="55"/>
  <c r="AI21" i="55"/>
  <c r="AJ21" i="55"/>
  <c r="AK21" i="55"/>
  <c r="AL21" i="55"/>
  <c r="AM21" i="55"/>
  <c r="AN21" i="55"/>
  <c r="AO21" i="55"/>
  <c r="AP21" i="55"/>
  <c r="AQ21" i="55"/>
  <c r="AR21" i="55"/>
  <c r="AS21" i="55"/>
  <c r="AT21" i="55"/>
  <c r="AU21" i="55"/>
  <c r="AV21" i="55"/>
  <c r="E22" i="55"/>
  <c r="F22" i="55"/>
  <c r="G22" i="55"/>
  <c r="H22" i="55"/>
  <c r="I22" i="55"/>
  <c r="J22" i="55"/>
  <c r="K22" i="55"/>
  <c r="L22" i="55"/>
  <c r="M22" i="55"/>
  <c r="N22" i="55"/>
  <c r="O22" i="55"/>
  <c r="P22" i="55"/>
  <c r="Q22" i="55"/>
  <c r="R22" i="55"/>
  <c r="S22" i="55"/>
  <c r="T22" i="55"/>
  <c r="U22" i="55"/>
  <c r="V22" i="55"/>
  <c r="W22" i="55"/>
  <c r="E23" i="55"/>
  <c r="F23" i="55"/>
  <c r="G23" i="55"/>
  <c r="H23" i="55"/>
  <c r="I23" i="55"/>
  <c r="J23" i="55"/>
  <c r="K23" i="55"/>
  <c r="L23" i="55"/>
  <c r="M23" i="55"/>
  <c r="N23" i="55"/>
  <c r="O23" i="55"/>
  <c r="P23" i="55"/>
  <c r="Q23" i="55"/>
  <c r="R23" i="55"/>
  <c r="S23" i="55"/>
  <c r="T23" i="55"/>
  <c r="U23" i="55"/>
  <c r="V23" i="55"/>
  <c r="W23" i="55"/>
  <c r="X23" i="55"/>
  <c r="Y23" i="55"/>
  <c r="Z23" i="55"/>
  <c r="AA23" i="55"/>
  <c r="AB23" i="55"/>
  <c r="AC23" i="55"/>
  <c r="AD23" i="55"/>
  <c r="AE23" i="55"/>
  <c r="AF23" i="55"/>
  <c r="AG23" i="55"/>
  <c r="AH23" i="55"/>
  <c r="AI23" i="55"/>
  <c r="AJ23" i="55"/>
  <c r="AK23" i="55"/>
  <c r="AL23" i="55"/>
  <c r="AM23" i="55"/>
  <c r="AN23" i="55"/>
  <c r="AO23" i="55"/>
  <c r="AP23" i="55"/>
  <c r="AQ23" i="55"/>
  <c r="AR23" i="55"/>
  <c r="AS23" i="55"/>
  <c r="AT23" i="55"/>
  <c r="AU23" i="55"/>
  <c r="AV23" i="55"/>
  <c r="E24" i="55"/>
  <c r="F24" i="55"/>
  <c r="G24" i="55"/>
  <c r="H24" i="55"/>
  <c r="I24" i="55"/>
  <c r="J24" i="55"/>
  <c r="K24" i="55"/>
  <c r="L24" i="55"/>
  <c r="M24" i="55"/>
  <c r="N24" i="55"/>
  <c r="O24" i="55"/>
  <c r="P24" i="55"/>
  <c r="Q24" i="55"/>
  <c r="R24" i="55"/>
  <c r="S24" i="55"/>
  <c r="T24" i="55"/>
  <c r="U24" i="55"/>
  <c r="V24" i="55"/>
  <c r="W24" i="55"/>
  <c r="E25" i="55"/>
  <c r="F25" i="55"/>
  <c r="G25" i="55"/>
  <c r="H25" i="55"/>
  <c r="I25" i="55"/>
  <c r="J25" i="55"/>
  <c r="K25" i="55"/>
  <c r="L25" i="55"/>
  <c r="M25" i="55"/>
  <c r="N25" i="55"/>
  <c r="O25" i="55"/>
  <c r="P25" i="55"/>
  <c r="Q25" i="55"/>
  <c r="R25" i="55"/>
  <c r="S25" i="55"/>
  <c r="T25" i="55"/>
  <c r="U25" i="55"/>
  <c r="V25" i="55"/>
  <c r="W25" i="55"/>
  <c r="E26" i="55"/>
  <c r="F26" i="55"/>
  <c r="G26" i="55"/>
  <c r="H26" i="55"/>
  <c r="I26" i="55"/>
  <c r="J26" i="55"/>
  <c r="K26" i="55"/>
  <c r="L26" i="55"/>
  <c r="M26" i="55"/>
  <c r="N26" i="55"/>
  <c r="O26" i="55"/>
  <c r="P26" i="55"/>
  <c r="Q26" i="55"/>
  <c r="R26" i="55"/>
  <c r="S26" i="55"/>
  <c r="T26" i="55"/>
  <c r="U26" i="55"/>
  <c r="V26" i="55"/>
  <c r="W26" i="55"/>
  <c r="E27" i="55"/>
  <c r="F27" i="55"/>
  <c r="G27" i="55"/>
  <c r="H27" i="55"/>
  <c r="I27" i="55"/>
  <c r="J27" i="55"/>
  <c r="K27" i="55"/>
  <c r="L27" i="55"/>
  <c r="M27" i="55"/>
  <c r="N27" i="55"/>
  <c r="O27" i="55"/>
  <c r="P27" i="55"/>
  <c r="Q27" i="55"/>
  <c r="R27" i="55"/>
  <c r="S27" i="55"/>
  <c r="T27" i="55"/>
  <c r="U27" i="55"/>
  <c r="V27" i="55"/>
  <c r="W27" i="55"/>
  <c r="E28" i="55"/>
  <c r="F28" i="55"/>
  <c r="G28" i="55"/>
  <c r="H28" i="55"/>
  <c r="I28" i="55"/>
  <c r="J28" i="55"/>
  <c r="K28" i="55"/>
  <c r="L28" i="55"/>
  <c r="M28" i="55"/>
  <c r="N28" i="55"/>
  <c r="O28" i="55"/>
  <c r="P28" i="55"/>
  <c r="Q28" i="55"/>
  <c r="R28" i="55"/>
  <c r="S28" i="55"/>
  <c r="T28" i="55"/>
  <c r="U28" i="55"/>
  <c r="V28" i="55"/>
  <c r="W28" i="55"/>
  <c r="X28" i="55"/>
  <c r="Y28" i="55"/>
  <c r="Z28" i="55"/>
  <c r="AA28" i="55"/>
  <c r="AB28" i="55"/>
  <c r="AC28" i="55"/>
  <c r="AD28" i="55"/>
  <c r="AE28" i="55"/>
  <c r="AF28" i="55"/>
  <c r="AG28" i="55"/>
  <c r="AH28" i="55"/>
  <c r="AI28" i="55"/>
  <c r="AJ28" i="55"/>
  <c r="AK28" i="55"/>
  <c r="AL28" i="55"/>
  <c r="AM28" i="55"/>
  <c r="AN28" i="55"/>
  <c r="AO28" i="55"/>
  <c r="AP28" i="55"/>
  <c r="AQ28" i="55"/>
  <c r="AR28" i="55"/>
  <c r="AS28" i="55"/>
  <c r="AT28" i="55"/>
  <c r="AU28" i="55"/>
  <c r="AV28" i="55"/>
  <c r="E29" i="55"/>
  <c r="F29" i="55"/>
  <c r="G29" i="55"/>
  <c r="H29" i="55"/>
  <c r="I29" i="55"/>
  <c r="J29" i="55"/>
  <c r="K29" i="55"/>
  <c r="L29" i="55"/>
  <c r="M29" i="55"/>
  <c r="N29" i="55"/>
  <c r="O29" i="55"/>
  <c r="P29" i="55"/>
  <c r="Q29" i="55"/>
  <c r="R29" i="55"/>
  <c r="S29" i="55"/>
  <c r="T29" i="55"/>
  <c r="U29" i="55"/>
  <c r="V29" i="55"/>
  <c r="W29" i="55"/>
  <c r="X29" i="55"/>
  <c r="Y29" i="55"/>
  <c r="Z29" i="55"/>
  <c r="AA29" i="55"/>
  <c r="AB29" i="55"/>
  <c r="AC29" i="55"/>
  <c r="AD29" i="55"/>
  <c r="AE29" i="55"/>
  <c r="AF29" i="55"/>
  <c r="AG29" i="55"/>
  <c r="AH29" i="55"/>
  <c r="AI29" i="55"/>
  <c r="AJ29" i="55"/>
  <c r="AK29" i="55"/>
  <c r="AL29" i="55"/>
  <c r="AM29" i="55"/>
  <c r="AN29" i="55"/>
  <c r="AO29" i="55"/>
  <c r="AP29" i="55"/>
  <c r="AQ29" i="55"/>
  <c r="AR29" i="55"/>
  <c r="AS29" i="55"/>
  <c r="AT29" i="55"/>
  <c r="AU29" i="55"/>
  <c r="AV29" i="55"/>
  <c r="E30" i="55"/>
  <c r="F30" i="55"/>
  <c r="G30" i="55"/>
  <c r="H30" i="55"/>
  <c r="I30" i="55"/>
  <c r="J30" i="55"/>
  <c r="K30" i="55"/>
  <c r="L30" i="55"/>
  <c r="M30" i="55"/>
  <c r="N30" i="55"/>
  <c r="O30" i="55"/>
  <c r="P30" i="55"/>
  <c r="Q30" i="55"/>
  <c r="R30" i="55"/>
  <c r="S30" i="55"/>
  <c r="T30" i="55"/>
  <c r="U30" i="55"/>
  <c r="V30" i="55"/>
  <c r="W30" i="55"/>
  <c r="X30" i="55"/>
  <c r="Y30" i="55"/>
  <c r="Z30" i="55"/>
  <c r="AA30" i="55"/>
  <c r="AB30" i="55"/>
  <c r="AC30" i="55"/>
  <c r="AD30" i="55"/>
  <c r="AE30" i="55"/>
  <c r="AF30" i="55"/>
  <c r="AG30" i="55"/>
  <c r="AH30" i="55"/>
  <c r="AI30" i="55"/>
  <c r="AJ30" i="55"/>
  <c r="AK30" i="55"/>
  <c r="AL30" i="55"/>
  <c r="AM30" i="55"/>
  <c r="AN30" i="55"/>
  <c r="AO30" i="55"/>
  <c r="AP30" i="55"/>
  <c r="AQ30" i="55"/>
  <c r="AR30" i="55"/>
  <c r="AS30" i="55"/>
  <c r="AT30" i="55"/>
  <c r="AU30" i="55"/>
  <c r="AV30" i="55"/>
  <c r="E31" i="55"/>
  <c r="F31" i="55"/>
  <c r="G31" i="55"/>
  <c r="H31" i="55"/>
  <c r="I31" i="55"/>
  <c r="J31" i="55"/>
  <c r="K31" i="55"/>
  <c r="L31" i="55"/>
  <c r="M31" i="55"/>
  <c r="N31" i="55"/>
  <c r="O31" i="55"/>
  <c r="P31" i="55"/>
  <c r="Q31" i="55"/>
  <c r="R31" i="55"/>
  <c r="S31" i="55"/>
  <c r="T31" i="55"/>
  <c r="U31" i="55"/>
  <c r="V31" i="55"/>
  <c r="W31" i="55"/>
  <c r="X31" i="55"/>
  <c r="Y31" i="55"/>
  <c r="Z31" i="55"/>
  <c r="AA31" i="55"/>
  <c r="AB31" i="55"/>
  <c r="AC31" i="55"/>
  <c r="AD31" i="55"/>
  <c r="AE31" i="55"/>
  <c r="AF31" i="55"/>
  <c r="AG31" i="55"/>
  <c r="AH31" i="55"/>
  <c r="AI31" i="55"/>
  <c r="AJ31" i="55"/>
  <c r="AK31" i="55"/>
  <c r="AL31" i="55"/>
  <c r="AM31" i="55"/>
  <c r="AN31" i="55"/>
  <c r="AO31" i="55"/>
  <c r="AP31" i="55"/>
  <c r="AQ31" i="55"/>
  <c r="AR31" i="55"/>
  <c r="AS31" i="55"/>
  <c r="AT31" i="55"/>
  <c r="AU31" i="55"/>
  <c r="AV31" i="55"/>
  <c r="E32" i="55"/>
  <c r="F32" i="55"/>
  <c r="G32" i="55"/>
  <c r="H32" i="55"/>
  <c r="I32" i="55"/>
  <c r="J32" i="55"/>
  <c r="K32" i="55"/>
  <c r="L32" i="55"/>
  <c r="M32" i="55"/>
  <c r="N32" i="55"/>
  <c r="O32" i="55"/>
  <c r="P32" i="55"/>
  <c r="Q32" i="55"/>
  <c r="R32" i="55"/>
  <c r="S32" i="55"/>
  <c r="T32" i="55"/>
  <c r="U32" i="55"/>
  <c r="V32" i="55"/>
  <c r="W32" i="55"/>
  <c r="X32" i="55"/>
  <c r="Y32" i="55"/>
  <c r="Z32" i="55"/>
  <c r="AA32" i="55"/>
  <c r="AB32" i="55"/>
  <c r="AC32" i="55"/>
  <c r="AD32" i="55"/>
  <c r="AE32" i="55"/>
  <c r="AF32" i="55"/>
  <c r="AG32" i="55"/>
  <c r="AH32" i="55"/>
  <c r="AI32" i="55"/>
  <c r="AJ32" i="55"/>
  <c r="AK32" i="55"/>
  <c r="AL32" i="55"/>
  <c r="AM32" i="55"/>
  <c r="AN32" i="55"/>
  <c r="AO32" i="55"/>
  <c r="AP32" i="55"/>
  <c r="AQ32" i="55"/>
  <c r="AR32" i="55"/>
  <c r="AS32" i="55"/>
  <c r="AT32" i="55"/>
  <c r="AU32" i="55"/>
  <c r="AV32" i="55"/>
  <c r="E33" i="55"/>
  <c r="F33" i="55"/>
  <c r="G33" i="55"/>
  <c r="H33" i="55"/>
  <c r="I33" i="55"/>
  <c r="J33" i="55"/>
  <c r="K33" i="55"/>
  <c r="L33" i="55"/>
  <c r="M33" i="55"/>
  <c r="N33" i="55"/>
  <c r="O33" i="55"/>
  <c r="P33" i="55"/>
  <c r="Q33" i="55"/>
  <c r="R33" i="55"/>
  <c r="S33" i="55"/>
  <c r="T33" i="55"/>
  <c r="U33" i="55"/>
  <c r="V33" i="55"/>
  <c r="W33" i="55"/>
  <c r="X33" i="55"/>
  <c r="Y33" i="55"/>
  <c r="Z33" i="55"/>
  <c r="AA33" i="55"/>
  <c r="AB33" i="55"/>
  <c r="AC33" i="55"/>
  <c r="AD33" i="55"/>
  <c r="AE33" i="55"/>
  <c r="AF33" i="55"/>
  <c r="AG33" i="55"/>
  <c r="AH33" i="55"/>
  <c r="AI33" i="55"/>
  <c r="AJ33" i="55"/>
  <c r="AK33" i="55"/>
  <c r="AL33" i="55"/>
  <c r="AM33" i="55"/>
  <c r="AN33" i="55"/>
  <c r="AO33" i="55"/>
  <c r="AP33" i="55"/>
  <c r="AQ33" i="55"/>
  <c r="AR33" i="55"/>
  <c r="AS33" i="55"/>
  <c r="AT33" i="55"/>
  <c r="AU33" i="55"/>
  <c r="AV33" i="55"/>
  <c r="E34" i="55"/>
  <c r="F34" i="55"/>
  <c r="G34" i="55"/>
  <c r="H34" i="55"/>
  <c r="I34" i="55"/>
  <c r="J34" i="55"/>
  <c r="K34" i="55"/>
  <c r="L34" i="55"/>
  <c r="M34" i="55"/>
  <c r="N34" i="55"/>
  <c r="O34" i="55"/>
  <c r="P34" i="55"/>
  <c r="Q34" i="55"/>
  <c r="R34" i="55"/>
  <c r="S34" i="55"/>
  <c r="T34" i="55"/>
  <c r="U34" i="55"/>
  <c r="V34" i="55"/>
  <c r="W34" i="55"/>
  <c r="X34" i="55"/>
  <c r="Y34" i="55"/>
  <c r="Z34" i="55"/>
  <c r="AA34" i="55"/>
  <c r="AB34" i="55"/>
  <c r="AC34" i="55"/>
  <c r="AD34" i="55"/>
  <c r="AE34" i="55"/>
  <c r="AF34" i="55"/>
  <c r="AG34" i="55"/>
  <c r="AH34" i="55"/>
  <c r="AI34" i="55"/>
  <c r="AJ34" i="55"/>
  <c r="AK34" i="55"/>
  <c r="AL34" i="55"/>
  <c r="AM34" i="55"/>
  <c r="AN34" i="55"/>
  <c r="AO34" i="55"/>
  <c r="AP34" i="55"/>
  <c r="AQ34" i="55"/>
  <c r="AR34" i="55"/>
  <c r="AS34" i="55"/>
  <c r="AT34" i="55"/>
  <c r="AU34" i="55"/>
  <c r="AV34" i="55"/>
  <c r="E35" i="55"/>
  <c r="F35" i="55"/>
  <c r="G35" i="55"/>
  <c r="H35" i="55"/>
  <c r="I35" i="55"/>
  <c r="J35" i="55"/>
  <c r="K35" i="55"/>
  <c r="L35" i="55"/>
  <c r="M35" i="55"/>
  <c r="N35" i="55"/>
  <c r="O35" i="55"/>
  <c r="P35" i="55"/>
  <c r="Q35" i="55"/>
  <c r="R35" i="55"/>
  <c r="S35" i="55"/>
  <c r="T35" i="55"/>
  <c r="U35" i="55"/>
  <c r="V35" i="55"/>
  <c r="W35" i="55"/>
  <c r="E36" i="55"/>
  <c r="F36" i="55"/>
  <c r="G36" i="55"/>
  <c r="H36" i="55"/>
  <c r="I36" i="55"/>
  <c r="J36" i="55"/>
  <c r="K36" i="55"/>
  <c r="L36" i="55"/>
  <c r="M36" i="55"/>
  <c r="N36" i="55"/>
  <c r="O36" i="55"/>
  <c r="P36" i="55"/>
  <c r="Q36" i="55"/>
  <c r="R36" i="55"/>
  <c r="S36" i="55"/>
  <c r="T36" i="55"/>
  <c r="U36" i="55"/>
  <c r="V36" i="55"/>
  <c r="W36" i="55"/>
  <c r="X36" i="55"/>
  <c r="Y36" i="55"/>
  <c r="Z36" i="55"/>
  <c r="AA36" i="55"/>
  <c r="AB36" i="55"/>
  <c r="AC36" i="55"/>
  <c r="AD36" i="55"/>
  <c r="AE36" i="55"/>
  <c r="AF36" i="55"/>
  <c r="AG36" i="55"/>
  <c r="AH36" i="55"/>
  <c r="AI36" i="55"/>
  <c r="AJ36" i="55"/>
  <c r="AK36" i="55"/>
  <c r="AL36" i="55"/>
  <c r="AM36" i="55"/>
  <c r="AN36" i="55"/>
  <c r="AO36" i="55"/>
  <c r="AP36" i="55"/>
  <c r="AQ36" i="55"/>
  <c r="AR36" i="55"/>
  <c r="AS36" i="55"/>
  <c r="AT36" i="55"/>
  <c r="AU36" i="55"/>
  <c r="AV36" i="55"/>
  <c r="E37" i="55"/>
  <c r="F37" i="55"/>
  <c r="G37" i="55"/>
  <c r="H37" i="55"/>
  <c r="I37" i="55"/>
  <c r="J37" i="55"/>
  <c r="K37" i="55"/>
  <c r="L37" i="55"/>
  <c r="M37" i="55"/>
  <c r="N37" i="55"/>
  <c r="O37" i="55"/>
  <c r="P37" i="55"/>
  <c r="Q37" i="55"/>
  <c r="R37" i="55"/>
  <c r="S37" i="55"/>
  <c r="T37" i="55"/>
  <c r="U37" i="55"/>
  <c r="V37" i="55"/>
  <c r="W37" i="55"/>
  <c r="E38" i="55"/>
  <c r="F38" i="55"/>
  <c r="G38" i="55"/>
  <c r="H38" i="55"/>
  <c r="I38" i="55"/>
  <c r="J38" i="55"/>
  <c r="K38" i="55"/>
  <c r="L38" i="55"/>
  <c r="M38" i="55"/>
  <c r="N38" i="55"/>
  <c r="O38" i="55"/>
  <c r="P38" i="55"/>
  <c r="Q38" i="55"/>
  <c r="R38" i="55"/>
  <c r="S38" i="55"/>
  <c r="T38" i="55"/>
  <c r="U38" i="55"/>
  <c r="V38" i="55"/>
  <c r="W38" i="55"/>
  <c r="X38" i="55"/>
  <c r="Y38" i="55"/>
  <c r="Z38" i="55"/>
  <c r="AA38" i="55"/>
  <c r="AB38" i="55"/>
  <c r="AC38" i="55"/>
  <c r="AD38" i="55"/>
  <c r="AE38" i="55"/>
  <c r="AF38" i="55"/>
  <c r="AG38" i="55"/>
  <c r="AH38" i="55"/>
  <c r="AI38" i="55"/>
  <c r="AJ38" i="55"/>
  <c r="AK38" i="55"/>
  <c r="AL38" i="55"/>
  <c r="AM38" i="55"/>
  <c r="AN38" i="55"/>
  <c r="AO38" i="55"/>
  <c r="AP38" i="55"/>
  <c r="AQ38" i="55"/>
  <c r="AR38" i="55"/>
  <c r="AS38" i="55"/>
  <c r="AT38" i="55"/>
  <c r="AU38" i="55"/>
  <c r="AV38" i="55"/>
  <c r="E39" i="55"/>
  <c r="F39" i="55"/>
  <c r="G39" i="55"/>
  <c r="H39" i="55"/>
  <c r="I39" i="55"/>
  <c r="J39" i="55"/>
  <c r="K39" i="55"/>
  <c r="L39" i="55"/>
  <c r="M39" i="55"/>
  <c r="N39" i="55"/>
  <c r="O39" i="55"/>
  <c r="P39" i="55"/>
  <c r="Q39" i="55"/>
  <c r="R39" i="55"/>
  <c r="S39" i="55"/>
  <c r="T39" i="55"/>
  <c r="U39" i="55"/>
  <c r="V39" i="55"/>
  <c r="W39" i="55"/>
  <c r="E40" i="55"/>
  <c r="F40" i="55"/>
  <c r="G40" i="55"/>
  <c r="H40" i="55"/>
  <c r="I40" i="55"/>
  <c r="J40" i="55"/>
  <c r="K40" i="55"/>
  <c r="L40" i="55"/>
  <c r="M40" i="55"/>
  <c r="N40" i="55"/>
  <c r="O40" i="55"/>
  <c r="P40" i="55"/>
  <c r="Q40" i="55"/>
  <c r="R40" i="55"/>
  <c r="S40" i="55"/>
  <c r="T40" i="55"/>
  <c r="U40" i="55"/>
  <c r="V40" i="55"/>
  <c r="W40" i="55"/>
  <c r="X40" i="55"/>
  <c r="AB40" i="55"/>
  <c r="E41" i="55"/>
  <c r="F41" i="55"/>
  <c r="G41" i="55"/>
  <c r="H41" i="55"/>
  <c r="I41" i="55"/>
  <c r="J41" i="55"/>
  <c r="K41" i="55"/>
  <c r="L41" i="55"/>
  <c r="M41" i="55"/>
  <c r="N41" i="55"/>
  <c r="O41" i="55"/>
  <c r="P41" i="55"/>
  <c r="Q41" i="55"/>
  <c r="R41" i="55"/>
  <c r="S41" i="55"/>
  <c r="T41" i="55"/>
  <c r="U41" i="55"/>
  <c r="V41" i="55"/>
  <c r="W41" i="55"/>
  <c r="E43" i="55"/>
  <c r="F43" i="55"/>
  <c r="G43" i="55"/>
  <c r="H43" i="55"/>
  <c r="I43" i="55"/>
  <c r="J43" i="55"/>
  <c r="K43" i="55"/>
  <c r="L43" i="55"/>
  <c r="M43" i="55"/>
  <c r="N43" i="55"/>
  <c r="O43" i="55"/>
  <c r="P43" i="55"/>
  <c r="Q43" i="55"/>
  <c r="R43" i="55"/>
  <c r="S43" i="55"/>
  <c r="T43" i="55"/>
  <c r="U43" i="55"/>
  <c r="V43" i="55"/>
  <c r="W43" i="55"/>
  <c r="X43" i="55"/>
  <c r="Y43" i="55"/>
  <c r="Z43" i="55"/>
  <c r="AA43" i="55"/>
  <c r="AB43" i="55"/>
  <c r="AC43" i="55"/>
  <c r="AD43" i="55"/>
  <c r="AE43" i="55"/>
  <c r="AF43" i="55"/>
  <c r="AG43" i="55"/>
  <c r="AH43" i="55"/>
  <c r="AI43" i="55"/>
  <c r="AJ43" i="55"/>
  <c r="AK43" i="55"/>
  <c r="AL43" i="55"/>
  <c r="AM43" i="55"/>
  <c r="AN43" i="55"/>
  <c r="AO43" i="55"/>
  <c r="AP43" i="55"/>
  <c r="AQ43" i="55"/>
  <c r="AR43" i="55"/>
  <c r="AS43" i="55"/>
  <c r="AT43" i="55"/>
  <c r="AU43" i="55"/>
  <c r="AV43" i="55"/>
  <c r="E44" i="55"/>
  <c r="F44" i="55"/>
  <c r="G44" i="55"/>
  <c r="H44" i="55"/>
  <c r="I44" i="55"/>
  <c r="J44" i="55"/>
  <c r="K44" i="55"/>
  <c r="L44" i="55"/>
  <c r="M44" i="55"/>
  <c r="N44" i="55"/>
  <c r="O44" i="55"/>
  <c r="P44" i="55"/>
  <c r="Q44" i="55"/>
  <c r="R44" i="55"/>
  <c r="S44" i="55"/>
  <c r="T44" i="55"/>
  <c r="U44" i="55"/>
  <c r="V44" i="55"/>
  <c r="X44" i="55"/>
  <c r="Y44" i="55"/>
  <c r="Z44" i="55"/>
  <c r="AA44" i="55"/>
  <c r="AC44" i="55"/>
  <c r="AD44" i="55"/>
  <c r="AE44" i="55"/>
  <c r="AF44" i="55"/>
  <c r="AH44" i="55"/>
  <c r="AI44" i="55"/>
  <c r="AJ44" i="55"/>
  <c r="AK44" i="55"/>
  <c r="AM44" i="55"/>
  <c r="AN44" i="55"/>
  <c r="AO44" i="55"/>
  <c r="AP44" i="55"/>
  <c r="AR44" i="55"/>
  <c r="AS44" i="55"/>
  <c r="AT44" i="55"/>
  <c r="AU44" i="55"/>
  <c r="E45" i="55"/>
  <c r="F45" i="55"/>
  <c r="G45" i="55"/>
  <c r="H45" i="55"/>
  <c r="I45" i="55"/>
  <c r="J45" i="55"/>
  <c r="K45" i="55"/>
  <c r="L45" i="55"/>
  <c r="M45" i="55"/>
  <c r="N45" i="55"/>
  <c r="O45" i="55"/>
  <c r="P45" i="55"/>
  <c r="Q45" i="55"/>
  <c r="R45" i="55"/>
  <c r="S45" i="55"/>
  <c r="T45" i="55"/>
  <c r="U45" i="55"/>
  <c r="V45" i="55"/>
  <c r="W45" i="55"/>
  <c r="X45" i="55"/>
  <c r="Y45" i="55"/>
  <c r="Z45" i="55"/>
  <c r="AA45" i="55"/>
  <c r="AB45" i="55"/>
  <c r="AC45" i="55"/>
  <c r="AD45" i="55"/>
  <c r="AE45" i="55"/>
  <c r="AF45" i="55"/>
  <c r="AG45" i="55"/>
  <c r="AH45" i="55"/>
  <c r="AI45" i="55"/>
  <c r="AJ45" i="55"/>
  <c r="AK45" i="55"/>
  <c r="AL45" i="55"/>
  <c r="AM45" i="55"/>
  <c r="AN45" i="55"/>
  <c r="AO45" i="55"/>
  <c r="AP45" i="55"/>
  <c r="AQ45" i="55"/>
  <c r="AR45" i="55"/>
  <c r="AS45" i="55"/>
  <c r="AT45" i="55"/>
  <c r="AU45" i="55"/>
  <c r="AV45" i="55"/>
  <c r="E46" i="55"/>
  <c r="F46" i="55"/>
  <c r="G46" i="55"/>
  <c r="H46" i="55"/>
  <c r="I46" i="55"/>
  <c r="J46" i="55"/>
  <c r="K46" i="55"/>
  <c r="L46" i="55"/>
  <c r="M46" i="55"/>
  <c r="N46" i="55"/>
  <c r="O46" i="55"/>
  <c r="P46" i="55"/>
  <c r="Q46" i="55"/>
  <c r="R46" i="55"/>
  <c r="S46" i="55"/>
  <c r="T46" i="55"/>
  <c r="U46" i="55"/>
  <c r="V46" i="55"/>
  <c r="W46" i="55"/>
  <c r="E47" i="55"/>
  <c r="F47" i="55"/>
  <c r="G47" i="55"/>
  <c r="H47" i="55"/>
  <c r="I47" i="55"/>
  <c r="J47" i="55"/>
  <c r="K47" i="55"/>
  <c r="L47" i="55"/>
  <c r="M47" i="55"/>
  <c r="N47" i="55"/>
  <c r="O47" i="55"/>
  <c r="P47" i="55"/>
  <c r="Q47" i="55"/>
  <c r="R47" i="55"/>
  <c r="S47" i="55"/>
  <c r="T47" i="55"/>
  <c r="U47" i="55"/>
  <c r="V47" i="55"/>
  <c r="W47" i="55"/>
  <c r="X47" i="55"/>
  <c r="Y47" i="55"/>
  <c r="Z47" i="55"/>
  <c r="AA47" i="55"/>
  <c r="AB47" i="55"/>
  <c r="AC47" i="55"/>
  <c r="AD47" i="55"/>
  <c r="AE47" i="55"/>
  <c r="AF47" i="55"/>
  <c r="AG47" i="55"/>
  <c r="AH47" i="55"/>
  <c r="AI47" i="55"/>
  <c r="AJ47" i="55"/>
  <c r="AK47" i="55"/>
  <c r="AL47" i="55"/>
  <c r="AM47" i="55"/>
  <c r="AN47" i="55"/>
  <c r="AO47" i="55"/>
  <c r="AP47" i="55"/>
  <c r="AQ47" i="55"/>
  <c r="AR47" i="55"/>
  <c r="AS47" i="55"/>
  <c r="AT47" i="55"/>
  <c r="AU47" i="55"/>
  <c r="AV47" i="55"/>
  <c r="E48" i="55"/>
  <c r="F48" i="55"/>
  <c r="G48" i="55"/>
  <c r="H48" i="55"/>
  <c r="I48" i="55"/>
  <c r="J48" i="55"/>
  <c r="K48" i="55"/>
  <c r="L48" i="55"/>
  <c r="M48" i="55"/>
  <c r="N48" i="55"/>
  <c r="O48" i="55"/>
  <c r="P48" i="55"/>
  <c r="Q48" i="55"/>
  <c r="R48" i="55"/>
  <c r="S48" i="55"/>
  <c r="T48" i="55"/>
  <c r="U48" i="55"/>
  <c r="V48" i="55"/>
  <c r="W48" i="55"/>
  <c r="D7" i="55"/>
  <c r="D8" i="55"/>
  <c r="D9" i="55"/>
  <c r="D10" i="55"/>
  <c r="D11" i="55"/>
  <c r="D12" i="55"/>
  <c r="D13" i="55"/>
  <c r="D14" i="55"/>
  <c r="D15" i="55"/>
  <c r="D16" i="55"/>
  <c r="D17" i="55"/>
  <c r="D18" i="55"/>
  <c r="D19" i="55"/>
  <c r="D20" i="55"/>
  <c r="D21" i="55"/>
  <c r="D22" i="55"/>
  <c r="D23" i="55"/>
  <c r="D24" i="55"/>
  <c r="D25" i="55"/>
  <c r="D26" i="55"/>
  <c r="D27" i="55"/>
  <c r="D28" i="55"/>
  <c r="D29" i="55"/>
  <c r="D30" i="55"/>
  <c r="D31" i="55"/>
  <c r="D32" i="55"/>
  <c r="D33" i="55"/>
  <c r="D34" i="55"/>
  <c r="D35" i="55"/>
  <c r="D36" i="55"/>
  <c r="D37" i="55"/>
  <c r="D38" i="55"/>
  <c r="D39" i="55"/>
  <c r="D40" i="55"/>
  <c r="D41" i="55"/>
  <c r="D43" i="55"/>
  <c r="D44" i="55"/>
  <c r="D45" i="55"/>
  <c r="D46" i="55"/>
  <c r="D47" i="55"/>
  <c r="D48" i="55"/>
  <c r="D6" i="55"/>
  <c r="E46" i="54"/>
  <c r="F46" i="54"/>
  <c r="G46" i="54"/>
  <c r="H46" i="54"/>
  <c r="I46" i="54"/>
  <c r="J46" i="54"/>
  <c r="K46" i="54"/>
  <c r="L46" i="54"/>
  <c r="M46" i="54"/>
  <c r="N46" i="54"/>
  <c r="O46" i="54"/>
  <c r="P46" i="54"/>
  <c r="Q46" i="54"/>
  <c r="R46" i="54"/>
  <c r="S46" i="54"/>
  <c r="T46" i="54"/>
  <c r="U46" i="54"/>
  <c r="V46" i="54"/>
  <c r="W46" i="54"/>
  <c r="X46" i="54"/>
  <c r="Y46" i="54"/>
  <c r="Z46" i="54"/>
  <c r="AA46" i="54"/>
  <c r="AB46" i="54"/>
  <c r="AC46" i="54"/>
  <c r="AD46" i="54"/>
  <c r="AE46" i="54"/>
  <c r="AF46" i="54"/>
  <c r="AG46" i="54"/>
  <c r="AH46" i="54"/>
  <c r="AI46" i="54"/>
  <c r="AJ46" i="54"/>
  <c r="AK46" i="54"/>
  <c r="AL46" i="54"/>
  <c r="AM46" i="54"/>
  <c r="AN46" i="54"/>
  <c r="AO46" i="54"/>
  <c r="AP46" i="54"/>
  <c r="AQ46" i="54"/>
  <c r="AR46" i="54"/>
  <c r="AS46" i="54"/>
  <c r="AT46" i="54"/>
  <c r="AU46" i="54"/>
  <c r="AV46" i="54"/>
  <c r="E47" i="54"/>
  <c r="F47" i="54"/>
  <c r="G47" i="54"/>
  <c r="H47" i="54"/>
  <c r="I47" i="54"/>
  <c r="J47" i="54"/>
  <c r="K47" i="54"/>
  <c r="L47" i="54"/>
  <c r="M47" i="54"/>
  <c r="N47" i="54"/>
  <c r="O47" i="54"/>
  <c r="P47" i="54"/>
  <c r="Q47" i="54"/>
  <c r="R47" i="54"/>
  <c r="S47" i="54"/>
  <c r="T47" i="54"/>
  <c r="U47" i="54"/>
  <c r="V47" i="54"/>
  <c r="W47" i="54"/>
  <c r="X47" i="54"/>
  <c r="Y47" i="54"/>
  <c r="Z47" i="54"/>
  <c r="AA47" i="54"/>
  <c r="AB47" i="54"/>
  <c r="AC47" i="54"/>
  <c r="AD47" i="54"/>
  <c r="AE47" i="54"/>
  <c r="AF47" i="54"/>
  <c r="AG47" i="54"/>
  <c r="AH47" i="54"/>
  <c r="AI47" i="54"/>
  <c r="AJ47" i="54"/>
  <c r="AK47" i="54"/>
  <c r="AL47" i="54"/>
  <c r="AM47" i="54"/>
  <c r="AN47" i="54"/>
  <c r="AO47" i="54"/>
  <c r="AP47" i="54"/>
  <c r="AQ47" i="54"/>
  <c r="AR47" i="54"/>
  <c r="AS47" i="54"/>
  <c r="AT47" i="54"/>
  <c r="AU47" i="54"/>
  <c r="AV47" i="54"/>
  <c r="E48" i="54"/>
  <c r="F48" i="54"/>
  <c r="G48" i="54"/>
  <c r="H48" i="54"/>
  <c r="I48" i="54"/>
  <c r="J48" i="54"/>
  <c r="K48" i="54"/>
  <c r="L48" i="54"/>
  <c r="M48" i="54"/>
  <c r="N48" i="54"/>
  <c r="O48" i="54"/>
  <c r="P48" i="54"/>
  <c r="Q48" i="54"/>
  <c r="R48" i="54"/>
  <c r="S48" i="54"/>
  <c r="T48" i="54"/>
  <c r="U48" i="54"/>
  <c r="V48" i="54"/>
  <c r="W48" i="54"/>
  <c r="X48" i="54"/>
  <c r="Y48" i="54"/>
  <c r="Z48" i="54"/>
  <c r="AA48" i="54"/>
  <c r="AB48" i="54"/>
  <c r="AC48" i="54"/>
  <c r="AD48" i="54"/>
  <c r="AE48" i="54"/>
  <c r="AF48" i="54"/>
  <c r="AG48" i="54"/>
  <c r="AH48" i="54"/>
  <c r="AI48" i="54"/>
  <c r="AJ48" i="54"/>
  <c r="AK48" i="54"/>
  <c r="AL48" i="54"/>
  <c r="AM48" i="54"/>
  <c r="AN48" i="54"/>
  <c r="AO48" i="54"/>
  <c r="AP48" i="54"/>
  <c r="AQ48" i="54"/>
  <c r="AR48" i="54"/>
  <c r="AS48" i="54"/>
  <c r="AT48" i="54"/>
  <c r="AU48" i="54"/>
  <c r="AV48" i="54"/>
  <c r="E49" i="54"/>
  <c r="F49" i="54"/>
  <c r="G49" i="54"/>
  <c r="H49" i="54"/>
  <c r="I49" i="54"/>
  <c r="J49" i="54"/>
  <c r="K49" i="54"/>
  <c r="L49" i="54"/>
  <c r="M49" i="54"/>
  <c r="N49" i="54"/>
  <c r="O49" i="54"/>
  <c r="P49" i="54"/>
  <c r="Q49" i="54"/>
  <c r="R49" i="54"/>
  <c r="S49" i="54"/>
  <c r="T49" i="54"/>
  <c r="U49" i="54"/>
  <c r="V49" i="54"/>
  <c r="W49" i="54"/>
  <c r="X49" i="54"/>
  <c r="Y49" i="54"/>
  <c r="Z49" i="54"/>
  <c r="AA49" i="54"/>
  <c r="AB49" i="54"/>
  <c r="AC49" i="54"/>
  <c r="AD49" i="54"/>
  <c r="AE49" i="54"/>
  <c r="AF49" i="54"/>
  <c r="AG49" i="54"/>
  <c r="AH49" i="54"/>
  <c r="AI49" i="54"/>
  <c r="AJ49" i="54"/>
  <c r="AK49" i="54"/>
  <c r="AL49" i="54"/>
  <c r="AM49" i="54"/>
  <c r="AN49" i="54"/>
  <c r="AO49" i="54"/>
  <c r="AP49" i="54"/>
  <c r="AQ49" i="54"/>
  <c r="AR49" i="54"/>
  <c r="AS49" i="54"/>
  <c r="AT49" i="54"/>
  <c r="AU49" i="54"/>
  <c r="AV49" i="54"/>
  <c r="E50" i="54"/>
  <c r="F50" i="54"/>
  <c r="G50" i="54"/>
  <c r="H50" i="54"/>
  <c r="I50" i="54"/>
  <c r="J50" i="54"/>
  <c r="K50" i="54"/>
  <c r="L50" i="54"/>
  <c r="M50" i="54"/>
  <c r="N50" i="54"/>
  <c r="O50" i="54"/>
  <c r="P50" i="54"/>
  <c r="Q50" i="54"/>
  <c r="R50" i="54"/>
  <c r="S50" i="54"/>
  <c r="T50" i="54"/>
  <c r="U50" i="54"/>
  <c r="V50" i="54"/>
  <c r="W50" i="54"/>
  <c r="X50" i="54"/>
  <c r="Y50" i="54"/>
  <c r="Z50" i="54"/>
  <c r="AA50" i="54"/>
  <c r="AB50" i="54"/>
  <c r="AC50" i="54"/>
  <c r="AD50" i="54"/>
  <c r="AE50" i="54"/>
  <c r="AF50" i="54"/>
  <c r="AG50" i="54"/>
  <c r="AH50" i="54"/>
  <c r="AI50" i="54"/>
  <c r="AJ50" i="54"/>
  <c r="AK50" i="54"/>
  <c r="AL50" i="54"/>
  <c r="AM50" i="54"/>
  <c r="AN50" i="54"/>
  <c r="AO50" i="54"/>
  <c r="AP50" i="54"/>
  <c r="AQ50" i="54"/>
  <c r="AR50" i="54"/>
  <c r="AS50" i="54"/>
  <c r="AT50" i="54"/>
  <c r="AU50" i="54"/>
  <c r="AV50" i="54"/>
  <c r="E51" i="54"/>
  <c r="F51" i="54"/>
  <c r="G51" i="54"/>
  <c r="H51" i="54"/>
  <c r="I51" i="54"/>
  <c r="J51" i="54"/>
  <c r="K51" i="54"/>
  <c r="L51" i="54"/>
  <c r="M51" i="54"/>
  <c r="N51" i="54"/>
  <c r="O51" i="54"/>
  <c r="P51" i="54"/>
  <c r="Q51" i="54"/>
  <c r="R51" i="54"/>
  <c r="S51" i="54"/>
  <c r="T51" i="54"/>
  <c r="U51" i="54"/>
  <c r="V51" i="54"/>
  <c r="W51" i="54"/>
  <c r="X51" i="54"/>
  <c r="Y51" i="54"/>
  <c r="Z51" i="54"/>
  <c r="AA51" i="54"/>
  <c r="AB51" i="54"/>
  <c r="AC51" i="54"/>
  <c r="AD51" i="54"/>
  <c r="AE51" i="54"/>
  <c r="AF51" i="54"/>
  <c r="AG51" i="54"/>
  <c r="AH51" i="54"/>
  <c r="AI51" i="54"/>
  <c r="AJ51" i="54"/>
  <c r="AK51" i="54"/>
  <c r="AL51" i="54"/>
  <c r="AM51" i="54"/>
  <c r="AN51" i="54"/>
  <c r="AO51" i="54"/>
  <c r="AP51" i="54"/>
  <c r="AQ51" i="54"/>
  <c r="AR51" i="54"/>
  <c r="AS51" i="54"/>
  <c r="AT51" i="54"/>
  <c r="AU51" i="54"/>
  <c r="AV51" i="54"/>
  <c r="E52" i="54"/>
  <c r="F52" i="54"/>
  <c r="G52" i="54"/>
  <c r="H52" i="54"/>
  <c r="I52" i="54"/>
  <c r="J52" i="54"/>
  <c r="K52" i="54"/>
  <c r="L52" i="54"/>
  <c r="M52" i="54"/>
  <c r="N52" i="54"/>
  <c r="O52" i="54"/>
  <c r="P52" i="54"/>
  <c r="Q52" i="54"/>
  <c r="R52" i="54"/>
  <c r="S52" i="54"/>
  <c r="T52" i="54"/>
  <c r="U52" i="54"/>
  <c r="V52" i="54"/>
  <c r="W52" i="54"/>
  <c r="X52" i="54"/>
  <c r="Y52" i="54"/>
  <c r="Z52" i="54"/>
  <c r="AA52" i="54"/>
  <c r="AB52" i="54"/>
  <c r="AC52" i="54"/>
  <c r="AD52" i="54"/>
  <c r="AE52" i="54"/>
  <c r="AF52" i="54"/>
  <c r="AG52" i="54"/>
  <c r="AH52" i="54"/>
  <c r="AI52" i="54"/>
  <c r="AJ52" i="54"/>
  <c r="AK52" i="54"/>
  <c r="AL52" i="54"/>
  <c r="AM52" i="54"/>
  <c r="AN52" i="54"/>
  <c r="AO52" i="54"/>
  <c r="AP52" i="54"/>
  <c r="AQ52" i="54"/>
  <c r="AR52" i="54"/>
  <c r="AS52" i="54"/>
  <c r="AT52" i="54"/>
  <c r="AU52" i="54"/>
  <c r="AV52" i="54"/>
  <c r="E53" i="54"/>
  <c r="F53" i="54"/>
  <c r="G53" i="54"/>
  <c r="H53" i="54"/>
  <c r="I53" i="54"/>
  <c r="J53" i="54"/>
  <c r="K53" i="54"/>
  <c r="L53" i="54"/>
  <c r="M53" i="54"/>
  <c r="N53" i="54"/>
  <c r="O53" i="54"/>
  <c r="P53" i="54"/>
  <c r="Q53" i="54"/>
  <c r="R53" i="54"/>
  <c r="S53" i="54"/>
  <c r="T53" i="54"/>
  <c r="U53" i="54"/>
  <c r="V53" i="54"/>
  <c r="W53" i="54"/>
  <c r="X53" i="54"/>
  <c r="Y53" i="54"/>
  <c r="Z53" i="54"/>
  <c r="AA53" i="54"/>
  <c r="AB53" i="54"/>
  <c r="AC53" i="54"/>
  <c r="AD53" i="54"/>
  <c r="AE53" i="54"/>
  <c r="AF53" i="54"/>
  <c r="AG53" i="54"/>
  <c r="AH53" i="54"/>
  <c r="AI53" i="54"/>
  <c r="AJ53" i="54"/>
  <c r="AK53" i="54"/>
  <c r="AL53" i="54"/>
  <c r="AM53" i="54"/>
  <c r="AN53" i="54"/>
  <c r="AO53" i="54"/>
  <c r="AP53" i="54"/>
  <c r="AQ53" i="54"/>
  <c r="AR53" i="54"/>
  <c r="AS53" i="54"/>
  <c r="AT53" i="54"/>
  <c r="AU53" i="54"/>
  <c r="AV53" i="54"/>
  <c r="E54" i="54"/>
  <c r="F54" i="54"/>
  <c r="G54" i="54"/>
  <c r="H54" i="54"/>
  <c r="I54" i="54"/>
  <c r="J54" i="54"/>
  <c r="K54" i="54"/>
  <c r="L54" i="54"/>
  <c r="M54" i="54"/>
  <c r="N54" i="54"/>
  <c r="O54" i="54"/>
  <c r="P54" i="54"/>
  <c r="Q54" i="54"/>
  <c r="R54" i="54"/>
  <c r="S54" i="54"/>
  <c r="T54" i="54"/>
  <c r="U54" i="54"/>
  <c r="V54" i="54"/>
  <c r="W54" i="54"/>
  <c r="X54" i="54"/>
  <c r="Y54" i="54"/>
  <c r="Z54" i="54"/>
  <c r="AA54" i="54"/>
  <c r="AB54" i="54"/>
  <c r="AC54" i="54"/>
  <c r="AD54" i="54"/>
  <c r="AE54" i="54"/>
  <c r="AF54" i="54"/>
  <c r="AG54" i="54"/>
  <c r="AH54" i="54"/>
  <c r="AI54" i="54"/>
  <c r="AJ54" i="54"/>
  <c r="AK54" i="54"/>
  <c r="AL54" i="54"/>
  <c r="AM54" i="54"/>
  <c r="AN54" i="54"/>
  <c r="AO54" i="54"/>
  <c r="AP54" i="54"/>
  <c r="AQ54" i="54"/>
  <c r="AR54" i="54"/>
  <c r="AS54" i="54"/>
  <c r="AT54" i="54"/>
  <c r="AU54" i="54"/>
  <c r="AV54" i="54"/>
  <c r="E55" i="54"/>
  <c r="F55" i="54"/>
  <c r="G55" i="54"/>
  <c r="H55" i="54"/>
  <c r="I55" i="54"/>
  <c r="J55" i="54"/>
  <c r="K55" i="54"/>
  <c r="L55" i="54"/>
  <c r="M55" i="54"/>
  <c r="N55" i="54"/>
  <c r="O55" i="54"/>
  <c r="P55" i="54"/>
  <c r="Q55" i="54"/>
  <c r="R55" i="54"/>
  <c r="S55" i="54"/>
  <c r="T55" i="54"/>
  <c r="U55" i="54"/>
  <c r="V55" i="54"/>
  <c r="W55" i="54"/>
  <c r="X55" i="54"/>
  <c r="Y55" i="54"/>
  <c r="Z55" i="54"/>
  <c r="AA55" i="54"/>
  <c r="AB55" i="54"/>
  <c r="AC55" i="54"/>
  <c r="AD55" i="54"/>
  <c r="AE55" i="54"/>
  <c r="AF55" i="54"/>
  <c r="AG55" i="54"/>
  <c r="AH55" i="54"/>
  <c r="AI55" i="54"/>
  <c r="AJ55" i="54"/>
  <c r="AK55" i="54"/>
  <c r="AL55" i="54"/>
  <c r="AM55" i="54"/>
  <c r="AN55" i="54"/>
  <c r="AO55" i="54"/>
  <c r="AP55" i="54"/>
  <c r="AQ55" i="54"/>
  <c r="AR55" i="54"/>
  <c r="AS55" i="54"/>
  <c r="AT55" i="54"/>
  <c r="AU55" i="54"/>
  <c r="AV55" i="54"/>
  <c r="E56" i="54"/>
  <c r="F56" i="54"/>
  <c r="G56" i="54"/>
  <c r="H56" i="54"/>
  <c r="I56" i="54"/>
  <c r="J56" i="54"/>
  <c r="K56" i="54"/>
  <c r="L56" i="54"/>
  <c r="M56" i="54"/>
  <c r="N56" i="54"/>
  <c r="O56" i="54"/>
  <c r="P56" i="54"/>
  <c r="Q56" i="54"/>
  <c r="R56" i="54"/>
  <c r="S56" i="54"/>
  <c r="T56" i="54"/>
  <c r="U56" i="54"/>
  <c r="V56" i="54"/>
  <c r="W56" i="54"/>
  <c r="X56" i="54"/>
  <c r="Y56" i="54"/>
  <c r="Z56" i="54"/>
  <c r="AA56" i="54"/>
  <c r="AB56" i="54"/>
  <c r="AC56" i="54"/>
  <c r="AD56" i="54"/>
  <c r="AE56" i="54"/>
  <c r="AF56" i="54"/>
  <c r="AG56" i="54"/>
  <c r="AH56" i="54"/>
  <c r="AI56" i="54"/>
  <c r="AJ56" i="54"/>
  <c r="AK56" i="54"/>
  <c r="AL56" i="54"/>
  <c r="AM56" i="54"/>
  <c r="AN56" i="54"/>
  <c r="AO56" i="54"/>
  <c r="AP56" i="54"/>
  <c r="AQ56" i="54"/>
  <c r="AR56" i="54"/>
  <c r="AS56" i="54"/>
  <c r="AT56" i="54"/>
  <c r="AU56" i="54"/>
  <c r="AV56" i="54"/>
  <c r="E57" i="54"/>
  <c r="F57" i="54"/>
  <c r="G57" i="54"/>
  <c r="H57" i="54"/>
  <c r="I57" i="54"/>
  <c r="J57" i="54"/>
  <c r="K57" i="54"/>
  <c r="L57" i="54"/>
  <c r="M57" i="54"/>
  <c r="N57" i="54"/>
  <c r="O57" i="54"/>
  <c r="P57" i="54"/>
  <c r="Q57" i="54"/>
  <c r="R57" i="54"/>
  <c r="S57" i="54"/>
  <c r="T57" i="54"/>
  <c r="U57" i="54"/>
  <c r="V57" i="54"/>
  <c r="W57" i="54"/>
  <c r="X57" i="54"/>
  <c r="Y57" i="54"/>
  <c r="Z57" i="54"/>
  <c r="AA57" i="54"/>
  <c r="AB57" i="54"/>
  <c r="AC57" i="54"/>
  <c r="AD57" i="54"/>
  <c r="AE57" i="54"/>
  <c r="AF57" i="54"/>
  <c r="AG57" i="54"/>
  <c r="AH57" i="54"/>
  <c r="AI57" i="54"/>
  <c r="AJ57" i="54"/>
  <c r="AK57" i="54"/>
  <c r="AL57" i="54"/>
  <c r="AM57" i="54"/>
  <c r="AN57" i="54"/>
  <c r="AO57" i="54"/>
  <c r="AP57" i="54"/>
  <c r="AQ57" i="54"/>
  <c r="AR57" i="54"/>
  <c r="AS57" i="54"/>
  <c r="AT57" i="54"/>
  <c r="AU57" i="54"/>
  <c r="AV57" i="54"/>
  <c r="E58" i="54"/>
  <c r="F58" i="54"/>
  <c r="G58" i="54"/>
  <c r="H58" i="54"/>
  <c r="I58" i="54"/>
  <c r="J58" i="54"/>
  <c r="K58" i="54"/>
  <c r="L58" i="54"/>
  <c r="M58" i="54"/>
  <c r="N58" i="54"/>
  <c r="O58" i="54"/>
  <c r="P58" i="54"/>
  <c r="Q58" i="54"/>
  <c r="R58" i="54"/>
  <c r="S58" i="54"/>
  <c r="T58" i="54"/>
  <c r="U58" i="54"/>
  <c r="V58" i="54"/>
  <c r="W58" i="54"/>
  <c r="X58" i="54"/>
  <c r="Y58" i="54"/>
  <c r="Z58" i="54"/>
  <c r="AA58" i="54"/>
  <c r="AB58" i="54"/>
  <c r="AC58" i="54"/>
  <c r="AD58" i="54"/>
  <c r="AE58" i="54"/>
  <c r="AF58" i="54"/>
  <c r="AG58" i="54"/>
  <c r="AH58" i="54"/>
  <c r="AI58" i="54"/>
  <c r="AJ58" i="54"/>
  <c r="AK58" i="54"/>
  <c r="AL58" i="54"/>
  <c r="AM58" i="54"/>
  <c r="AN58" i="54"/>
  <c r="AO58" i="54"/>
  <c r="AP58" i="54"/>
  <c r="AQ58" i="54"/>
  <c r="AR58" i="54"/>
  <c r="AS58" i="54"/>
  <c r="AT58" i="54"/>
  <c r="AU58" i="54"/>
  <c r="AV58" i="54"/>
  <c r="E59" i="54"/>
  <c r="F59" i="54"/>
  <c r="G59" i="54"/>
  <c r="H59" i="54"/>
  <c r="I59" i="54"/>
  <c r="J59" i="54"/>
  <c r="K59" i="54"/>
  <c r="L59" i="54"/>
  <c r="M59" i="54"/>
  <c r="N59" i="54"/>
  <c r="O59" i="54"/>
  <c r="P59" i="54"/>
  <c r="Q59" i="54"/>
  <c r="R59" i="54"/>
  <c r="S59" i="54"/>
  <c r="T59" i="54"/>
  <c r="U59" i="54"/>
  <c r="V59" i="54"/>
  <c r="W59" i="54"/>
  <c r="X59" i="54"/>
  <c r="Y59" i="54"/>
  <c r="Z59" i="54"/>
  <c r="AA59" i="54"/>
  <c r="AB59" i="54"/>
  <c r="AC59" i="54"/>
  <c r="AD59" i="54"/>
  <c r="AE59" i="54"/>
  <c r="AF59" i="54"/>
  <c r="AG59" i="54"/>
  <c r="AH59" i="54"/>
  <c r="AI59" i="54"/>
  <c r="AJ59" i="54"/>
  <c r="AK59" i="54"/>
  <c r="AL59" i="54"/>
  <c r="AM59" i="54"/>
  <c r="AN59" i="54"/>
  <c r="AO59" i="54"/>
  <c r="AP59" i="54"/>
  <c r="AQ59" i="54"/>
  <c r="AR59" i="54"/>
  <c r="AS59" i="54"/>
  <c r="AT59" i="54"/>
  <c r="AU59" i="54"/>
  <c r="AV59" i="54"/>
  <c r="E60" i="54"/>
  <c r="F60" i="54"/>
  <c r="G60" i="54"/>
  <c r="H60" i="54"/>
  <c r="I60" i="54"/>
  <c r="J60" i="54"/>
  <c r="K60" i="54"/>
  <c r="L60" i="54"/>
  <c r="M60" i="54"/>
  <c r="N60" i="54"/>
  <c r="O60" i="54"/>
  <c r="P60" i="54"/>
  <c r="Q60" i="54"/>
  <c r="R60" i="54"/>
  <c r="S60" i="54"/>
  <c r="T60" i="54"/>
  <c r="U60" i="54"/>
  <c r="V60" i="54"/>
  <c r="W60" i="54"/>
  <c r="X60" i="54"/>
  <c r="Y60" i="54"/>
  <c r="Z60" i="54"/>
  <c r="AA60" i="54"/>
  <c r="AB60" i="54"/>
  <c r="AC60" i="54"/>
  <c r="AD60" i="54"/>
  <c r="AE60" i="54"/>
  <c r="AF60" i="54"/>
  <c r="AG60" i="54"/>
  <c r="AH60" i="54"/>
  <c r="AI60" i="54"/>
  <c r="AJ60" i="54"/>
  <c r="AK60" i="54"/>
  <c r="AL60" i="54"/>
  <c r="AM60" i="54"/>
  <c r="AN60" i="54"/>
  <c r="AO60" i="54"/>
  <c r="AP60" i="54"/>
  <c r="AQ60" i="54"/>
  <c r="AR60" i="54"/>
  <c r="AS60" i="54"/>
  <c r="AT60" i="54"/>
  <c r="AU60" i="54"/>
  <c r="AV60" i="54"/>
  <c r="E61" i="54"/>
  <c r="F61" i="54"/>
  <c r="G61" i="54"/>
  <c r="H61" i="54"/>
  <c r="I61" i="54"/>
  <c r="J61" i="54"/>
  <c r="K61" i="54"/>
  <c r="L61" i="54"/>
  <c r="M61" i="54"/>
  <c r="N61" i="54"/>
  <c r="O61" i="54"/>
  <c r="P61" i="54"/>
  <c r="Q61" i="54"/>
  <c r="R61" i="54"/>
  <c r="S61" i="54"/>
  <c r="T61" i="54"/>
  <c r="U61" i="54"/>
  <c r="V61" i="54"/>
  <c r="W61" i="54"/>
  <c r="X61" i="54"/>
  <c r="Y61" i="54"/>
  <c r="Z61" i="54"/>
  <c r="AA61" i="54"/>
  <c r="AB61" i="54"/>
  <c r="AC61" i="54"/>
  <c r="AD61" i="54"/>
  <c r="AE61" i="54"/>
  <c r="AF61" i="54"/>
  <c r="AG61" i="54"/>
  <c r="AH61" i="54"/>
  <c r="AI61" i="54"/>
  <c r="AJ61" i="54"/>
  <c r="AK61" i="54"/>
  <c r="AL61" i="54"/>
  <c r="AM61" i="54"/>
  <c r="AN61" i="54"/>
  <c r="AO61" i="54"/>
  <c r="AP61" i="54"/>
  <c r="AQ61" i="54"/>
  <c r="AR61" i="54"/>
  <c r="AS61" i="54"/>
  <c r="AT61" i="54"/>
  <c r="AU61" i="54"/>
  <c r="AV61" i="54"/>
  <c r="E62" i="54"/>
  <c r="F62" i="54"/>
  <c r="G62" i="54"/>
  <c r="H62" i="54"/>
  <c r="I62" i="54"/>
  <c r="J62" i="54"/>
  <c r="K62" i="54"/>
  <c r="L62" i="54"/>
  <c r="M62" i="54"/>
  <c r="N62" i="54"/>
  <c r="O62" i="54"/>
  <c r="P62" i="54"/>
  <c r="Q62" i="54"/>
  <c r="R62" i="54"/>
  <c r="S62" i="54"/>
  <c r="T62" i="54"/>
  <c r="U62" i="54"/>
  <c r="V62" i="54"/>
  <c r="W62" i="54"/>
  <c r="AB62" i="54"/>
  <c r="AG62" i="54"/>
  <c r="AL62" i="54"/>
  <c r="AQ62" i="54"/>
  <c r="AV62" i="54"/>
  <c r="E63" i="54"/>
  <c r="F63" i="54"/>
  <c r="G63" i="54"/>
  <c r="H63" i="54"/>
  <c r="I63" i="54"/>
  <c r="J63" i="54"/>
  <c r="K63" i="54"/>
  <c r="L63" i="54"/>
  <c r="M63" i="54"/>
  <c r="N63" i="54"/>
  <c r="O63" i="54"/>
  <c r="P63" i="54"/>
  <c r="Q63" i="54"/>
  <c r="R63" i="54"/>
  <c r="S63" i="54"/>
  <c r="T63" i="54"/>
  <c r="U63" i="54"/>
  <c r="V63" i="54"/>
  <c r="W63" i="54"/>
  <c r="X63" i="54"/>
  <c r="Y63" i="54"/>
  <c r="Z63" i="54"/>
  <c r="AA63" i="54"/>
  <c r="AB63" i="54"/>
  <c r="AC63" i="54"/>
  <c r="AD63" i="54"/>
  <c r="AE63" i="54"/>
  <c r="AF63" i="54"/>
  <c r="AG63" i="54"/>
  <c r="AH63" i="54"/>
  <c r="AI63" i="54"/>
  <c r="AJ63" i="54"/>
  <c r="AK63" i="54"/>
  <c r="AL63" i="54"/>
  <c r="AM63" i="54"/>
  <c r="AN63" i="54"/>
  <c r="AO63" i="54"/>
  <c r="AP63" i="54"/>
  <c r="AQ63" i="54"/>
  <c r="AR63" i="54"/>
  <c r="AS63" i="54"/>
  <c r="AT63" i="54"/>
  <c r="AU63" i="54"/>
  <c r="AV63" i="54"/>
  <c r="E64" i="54"/>
  <c r="F64" i="54"/>
  <c r="G64" i="54"/>
  <c r="H64" i="54"/>
  <c r="I64" i="54"/>
  <c r="J64" i="54"/>
  <c r="K64" i="54"/>
  <c r="L64" i="54"/>
  <c r="M64" i="54"/>
  <c r="N64" i="54"/>
  <c r="O64" i="54"/>
  <c r="P64" i="54"/>
  <c r="Q64" i="54"/>
  <c r="R64" i="54"/>
  <c r="S64" i="54"/>
  <c r="T64" i="54"/>
  <c r="U64" i="54"/>
  <c r="V64" i="54"/>
  <c r="W64" i="54"/>
  <c r="X64" i="54"/>
  <c r="Y64" i="54"/>
  <c r="Z64" i="54"/>
  <c r="AA64" i="54"/>
  <c r="AC64" i="54"/>
  <c r="AD64" i="54"/>
  <c r="AE64" i="54"/>
  <c r="AF64" i="54"/>
  <c r="AH64" i="54"/>
  <c r="AI64" i="54"/>
  <c r="AJ64" i="54"/>
  <c r="AK64" i="54"/>
  <c r="AM64" i="54"/>
  <c r="AN64" i="54"/>
  <c r="AO64" i="54"/>
  <c r="AP64" i="54"/>
  <c r="AR64" i="54"/>
  <c r="AS64" i="54"/>
  <c r="AT64" i="54"/>
  <c r="AU64" i="54"/>
  <c r="E65" i="54"/>
  <c r="F65" i="54"/>
  <c r="G65" i="54"/>
  <c r="H65" i="54"/>
  <c r="I65" i="54"/>
  <c r="J65" i="54"/>
  <c r="K65" i="54"/>
  <c r="L65" i="54"/>
  <c r="M65" i="54"/>
  <c r="N65" i="54"/>
  <c r="O65" i="54"/>
  <c r="P65" i="54"/>
  <c r="Q65" i="54"/>
  <c r="R65" i="54"/>
  <c r="S65" i="54"/>
  <c r="T65" i="54"/>
  <c r="U65" i="54"/>
  <c r="V65" i="54"/>
  <c r="W65" i="54"/>
  <c r="X65" i="54"/>
  <c r="Y65" i="54"/>
  <c r="Z65" i="54"/>
  <c r="AA65" i="54"/>
  <c r="AC65" i="54"/>
  <c r="AD65" i="54"/>
  <c r="AE65" i="54"/>
  <c r="AF65" i="54"/>
  <c r="AH65" i="54"/>
  <c r="AI65" i="54"/>
  <c r="AJ65" i="54"/>
  <c r="AK65" i="54"/>
  <c r="AM65" i="54"/>
  <c r="AN65" i="54"/>
  <c r="AO65" i="54"/>
  <c r="AP65" i="54"/>
  <c r="AR65" i="54"/>
  <c r="AS65" i="54"/>
  <c r="AT65" i="54"/>
  <c r="AU65" i="54"/>
  <c r="E66" i="54"/>
  <c r="F66" i="54"/>
  <c r="G66" i="54"/>
  <c r="H66" i="54"/>
  <c r="I66" i="54"/>
  <c r="J66" i="54"/>
  <c r="K66" i="54"/>
  <c r="L66" i="54"/>
  <c r="M66" i="54"/>
  <c r="N66" i="54"/>
  <c r="O66" i="54"/>
  <c r="P66" i="54"/>
  <c r="Q66" i="54"/>
  <c r="R66" i="54"/>
  <c r="S66" i="54"/>
  <c r="T66" i="54"/>
  <c r="U66" i="54"/>
  <c r="V66" i="54"/>
  <c r="W66" i="54"/>
  <c r="X66" i="54"/>
  <c r="Y66" i="54"/>
  <c r="Z66" i="54"/>
  <c r="AA66" i="54"/>
  <c r="AB66" i="54"/>
  <c r="AC66" i="54"/>
  <c r="AD66" i="54"/>
  <c r="AE66" i="54"/>
  <c r="AF66" i="54"/>
  <c r="AG66" i="54"/>
  <c r="AH66" i="54"/>
  <c r="AI66" i="54"/>
  <c r="AJ66" i="54"/>
  <c r="AK66" i="54"/>
  <c r="AL66" i="54"/>
  <c r="AM66" i="54"/>
  <c r="AN66" i="54"/>
  <c r="AO66" i="54"/>
  <c r="AP66" i="54"/>
  <c r="AQ66" i="54"/>
  <c r="AR66" i="54"/>
  <c r="AS66" i="54"/>
  <c r="AT66" i="54"/>
  <c r="AU66" i="54"/>
  <c r="AV66" i="54"/>
  <c r="E67" i="54"/>
  <c r="F67" i="54"/>
  <c r="G67" i="54"/>
  <c r="H67" i="54"/>
  <c r="I67" i="54"/>
  <c r="J67" i="54"/>
  <c r="K67" i="54"/>
  <c r="L67" i="54"/>
  <c r="M67" i="54"/>
  <c r="N67" i="54"/>
  <c r="O67" i="54"/>
  <c r="P67" i="54"/>
  <c r="Q67" i="54"/>
  <c r="R67" i="54"/>
  <c r="S67" i="54"/>
  <c r="T67" i="54"/>
  <c r="U67" i="54"/>
  <c r="V67" i="54"/>
  <c r="W67" i="54"/>
  <c r="X67" i="54"/>
  <c r="Y67" i="54"/>
  <c r="Z67" i="54"/>
  <c r="AA67" i="54"/>
  <c r="AB67" i="54"/>
  <c r="AC67" i="54"/>
  <c r="AD67" i="54"/>
  <c r="AE67" i="54"/>
  <c r="AF67" i="54"/>
  <c r="AG67" i="54"/>
  <c r="AH67" i="54"/>
  <c r="AI67" i="54"/>
  <c r="AJ67" i="54"/>
  <c r="AK67" i="54"/>
  <c r="AL67" i="54"/>
  <c r="AM67" i="54"/>
  <c r="AN67" i="54"/>
  <c r="AO67" i="54"/>
  <c r="AP67" i="54"/>
  <c r="AQ67" i="54"/>
  <c r="AR67" i="54"/>
  <c r="AS67" i="54"/>
  <c r="AT67" i="54"/>
  <c r="AU67" i="54"/>
  <c r="AV67" i="54"/>
  <c r="D47" i="54"/>
  <c r="D48" i="54"/>
  <c r="D49" i="54"/>
  <c r="D50" i="54"/>
  <c r="D51" i="54"/>
  <c r="D52" i="54"/>
  <c r="D53" i="54"/>
  <c r="D54" i="54"/>
  <c r="D55" i="54"/>
  <c r="D56" i="54"/>
  <c r="D57" i="54"/>
  <c r="D58" i="54"/>
  <c r="D59" i="54"/>
  <c r="D60" i="54"/>
  <c r="D61" i="54"/>
  <c r="D62" i="54"/>
  <c r="D63" i="54"/>
  <c r="D64" i="54"/>
  <c r="D65" i="54"/>
  <c r="D66" i="54"/>
  <c r="D67" i="54"/>
  <c r="D46" i="54"/>
  <c r="E37" i="54"/>
  <c r="F37" i="54"/>
  <c r="G37" i="54"/>
  <c r="H37" i="54"/>
  <c r="I37" i="54"/>
  <c r="J37" i="54"/>
  <c r="K37" i="54"/>
  <c r="L37" i="54"/>
  <c r="M37" i="54"/>
  <c r="N37" i="54"/>
  <c r="O37" i="54"/>
  <c r="P37" i="54"/>
  <c r="Q37" i="54"/>
  <c r="R37" i="54"/>
  <c r="S37" i="54"/>
  <c r="T37" i="54"/>
  <c r="U37" i="54"/>
  <c r="V37" i="54"/>
  <c r="W37" i="54"/>
  <c r="E38" i="54"/>
  <c r="F38" i="54"/>
  <c r="G38" i="54"/>
  <c r="H38" i="54"/>
  <c r="I38" i="54"/>
  <c r="J38" i="54"/>
  <c r="K38" i="54"/>
  <c r="L38" i="54"/>
  <c r="M38" i="54"/>
  <c r="N38" i="54"/>
  <c r="O38" i="54"/>
  <c r="P38" i="54"/>
  <c r="Q38" i="54"/>
  <c r="R38" i="54"/>
  <c r="S38" i="54"/>
  <c r="T38" i="54"/>
  <c r="U38" i="54"/>
  <c r="V38" i="54"/>
  <c r="W38" i="54"/>
  <c r="E39" i="54"/>
  <c r="F39" i="54"/>
  <c r="G39" i="54"/>
  <c r="H39" i="54"/>
  <c r="I39" i="54"/>
  <c r="J39" i="54"/>
  <c r="K39" i="54"/>
  <c r="L39" i="54"/>
  <c r="M39" i="54"/>
  <c r="N39" i="54"/>
  <c r="O39" i="54"/>
  <c r="P39" i="54"/>
  <c r="Q39" i="54"/>
  <c r="R39" i="54"/>
  <c r="S39" i="54"/>
  <c r="T39" i="54"/>
  <c r="U39" i="54"/>
  <c r="V39" i="54"/>
  <c r="W39" i="54"/>
  <c r="X39" i="54"/>
  <c r="Y39" i="54"/>
  <c r="Z39" i="54"/>
  <c r="AA39" i="54"/>
  <c r="AB39" i="54"/>
  <c r="AC39" i="54"/>
  <c r="AD39" i="54"/>
  <c r="AE39" i="54"/>
  <c r="AF39" i="54"/>
  <c r="AG39" i="54"/>
  <c r="AH39" i="54"/>
  <c r="AI39" i="54"/>
  <c r="AJ39" i="54"/>
  <c r="AK39" i="54"/>
  <c r="AL39" i="54"/>
  <c r="AM39" i="54"/>
  <c r="AN39" i="54"/>
  <c r="AO39" i="54"/>
  <c r="AP39" i="54"/>
  <c r="AQ39" i="54"/>
  <c r="AR39" i="54"/>
  <c r="AS39" i="54"/>
  <c r="AT39" i="54"/>
  <c r="AU39" i="54"/>
  <c r="AV39" i="54"/>
  <c r="E40" i="54"/>
  <c r="F40" i="54"/>
  <c r="G40" i="54"/>
  <c r="H40" i="54"/>
  <c r="I40" i="54"/>
  <c r="J40" i="54"/>
  <c r="K40" i="54"/>
  <c r="L40" i="54"/>
  <c r="M40" i="54"/>
  <c r="N40" i="54"/>
  <c r="O40" i="54"/>
  <c r="P40" i="54"/>
  <c r="Q40" i="54"/>
  <c r="R40" i="54"/>
  <c r="S40" i="54"/>
  <c r="T40" i="54"/>
  <c r="U40" i="54"/>
  <c r="V40" i="54"/>
  <c r="W40" i="54"/>
  <c r="X40" i="54"/>
  <c r="Y40" i="54"/>
  <c r="Z40" i="54"/>
  <c r="AA40" i="54"/>
  <c r="AB40" i="54"/>
  <c r="AC40" i="54"/>
  <c r="AD40" i="54"/>
  <c r="AE40" i="54"/>
  <c r="AF40" i="54"/>
  <c r="AG40" i="54"/>
  <c r="AH40" i="54"/>
  <c r="AI40" i="54"/>
  <c r="AJ40" i="54"/>
  <c r="AK40" i="54"/>
  <c r="AL40" i="54"/>
  <c r="AM40" i="54"/>
  <c r="AN40" i="54"/>
  <c r="AO40" i="54"/>
  <c r="AP40" i="54"/>
  <c r="AQ40" i="54"/>
  <c r="AR40" i="54"/>
  <c r="AS40" i="54"/>
  <c r="AT40" i="54"/>
  <c r="AU40" i="54"/>
  <c r="AV40" i="54"/>
  <c r="E41" i="54"/>
  <c r="F41" i="54"/>
  <c r="G41" i="54"/>
  <c r="H41" i="54"/>
  <c r="I41" i="54"/>
  <c r="J41" i="54"/>
  <c r="K41" i="54"/>
  <c r="L41" i="54"/>
  <c r="M41" i="54"/>
  <c r="N41" i="54"/>
  <c r="O41" i="54"/>
  <c r="P41" i="54"/>
  <c r="Q41" i="54"/>
  <c r="R41" i="54"/>
  <c r="S41" i="54"/>
  <c r="T41" i="54"/>
  <c r="U41" i="54"/>
  <c r="V41" i="54"/>
  <c r="W41" i="54"/>
  <c r="E42" i="54"/>
  <c r="F42" i="54"/>
  <c r="G42" i="54"/>
  <c r="H42" i="54"/>
  <c r="I42" i="54"/>
  <c r="J42" i="54"/>
  <c r="K42" i="54"/>
  <c r="L42" i="54"/>
  <c r="M42" i="54"/>
  <c r="N42" i="54"/>
  <c r="O42" i="54"/>
  <c r="P42" i="54"/>
  <c r="Q42" i="54"/>
  <c r="R42" i="54"/>
  <c r="S42" i="54"/>
  <c r="T42" i="54"/>
  <c r="U42" i="54"/>
  <c r="V42" i="54"/>
  <c r="W42" i="54"/>
  <c r="E43" i="54"/>
  <c r="F43" i="54"/>
  <c r="G43" i="54"/>
  <c r="H43" i="54"/>
  <c r="I43" i="54"/>
  <c r="J43" i="54"/>
  <c r="K43" i="54"/>
  <c r="L43" i="54"/>
  <c r="M43" i="54"/>
  <c r="N43" i="54"/>
  <c r="O43" i="54"/>
  <c r="P43" i="54"/>
  <c r="Q43" i="54"/>
  <c r="R43" i="54"/>
  <c r="S43" i="54"/>
  <c r="T43" i="54"/>
  <c r="U43" i="54"/>
  <c r="V43" i="54"/>
  <c r="W43" i="54"/>
  <c r="D38" i="54"/>
  <c r="D39" i="54"/>
  <c r="D40" i="54"/>
  <c r="D41" i="54"/>
  <c r="D42" i="54"/>
  <c r="D43" i="54"/>
  <c r="D37" i="54"/>
  <c r="E22" i="54"/>
  <c r="F22" i="54"/>
  <c r="G22" i="54"/>
  <c r="H22" i="54"/>
  <c r="I22" i="54"/>
  <c r="J22" i="54"/>
  <c r="K22" i="54"/>
  <c r="L22" i="54"/>
  <c r="M22" i="54"/>
  <c r="N22" i="54"/>
  <c r="O22" i="54"/>
  <c r="P22" i="54"/>
  <c r="Q22" i="54"/>
  <c r="R22" i="54"/>
  <c r="S22" i="54"/>
  <c r="T22" i="54"/>
  <c r="U22" i="54"/>
  <c r="V22" i="54"/>
  <c r="W22" i="54"/>
  <c r="E23" i="54"/>
  <c r="F23" i="54"/>
  <c r="G23" i="54"/>
  <c r="H23" i="54"/>
  <c r="I23" i="54"/>
  <c r="J23" i="54"/>
  <c r="K23" i="54"/>
  <c r="L23" i="54"/>
  <c r="M23" i="54"/>
  <c r="N23" i="54"/>
  <c r="O23" i="54"/>
  <c r="P23" i="54"/>
  <c r="Q23" i="54"/>
  <c r="R23" i="54"/>
  <c r="S23" i="54"/>
  <c r="T23" i="54"/>
  <c r="U23" i="54"/>
  <c r="V23" i="54"/>
  <c r="W23" i="54"/>
  <c r="X23" i="54"/>
  <c r="Y23" i="54"/>
  <c r="Z23" i="54"/>
  <c r="AA23" i="54"/>
  <c r="AB23" i="54"/>
  <c r="AC23" i="54"/>
  <c r="AD23" i="54"/>
  <c r="AE23" i="54"/>
  <c r="AF23" i="54"/>
  <c r="AG23" i="54"/>
  <c r="AH23" i="54"/>
  <c r="AI23" i="54"/>
  <c r="AJ23" i="54"/>
  <c r="AK23" i="54"/>
  <c r="AL23" i="54"/>
  <c r="AM23" i="54"/>
  <c r="AN23" i="54"/>
  <c r="AO23" i="54"/>
  <c r="AP23" i="54"/>
  <c r="AQ23" i="54"/>
  <c r="AR23" i="54"/>
  <c r="AS23" i="54"/>
  <c r="AT23" i="54"/>
  <c r="AU23" i="54"/>
  <c r="AV23" i="54"/>
  <c r="E24" i="54"/>
  <c r="F24" i="54"/>
  <c r="G24" i="54"/>
  <c r="H24" i="54"/>
  <c r="I24" i="54"/>
  <c r="J24" i="54"/>
  <c r="K24" i="54"/>
  <c r="L24" i="54"/>
  <c r="M24" i="54"/>
  <c r="N24" i="54"/>
  <c r="O24" i="54"/>
  <c r="P24" i="54"/>
  <c r="Q24" i="54"/>
  <c r="R24" i="54"/>
  <c r="S24" i="54"/>
  <c r="T24" i="54"/>
  <c r="U24" i="54"/>
  <c r="V24" i="54"/>
  <c r="W24" i="54"/>
  <c r="X24" i="54"/>
  <c r="Y24" i="54"/>
  <c r="Z24" i="54"/>
  <c r="AA24" i="54"/>
  <c r="AB24" i="54"/>
  <c r="AC24" i="54"/>
  <c r="AD24" i="54"/>
  <c r="AE24" i="54"/>
  <c r="AF24" i="54"/>
  <c r="AG24" i="54"/>
  <c r="AH24" i="54"/>
  <c r="AI24" i="54"/>
  <c r="AJ24" i="54"/>
  <c r="AK24" i="54"/>
  <c r="AL24" i="54"/>
  <c r="AM24" i="54"/>
  <c r="AN24" i="54"/>
  <c r="AO24" i="54"/>
  <c r="AP24" i="54"/>
  <c r="AQ24" i="54"/>
  <c r="AR24" i="54"/>
  <c r="AS24" i="54"/>
  <c r="AT24" i="54"/>
  <c r="AU24" i="54"/>
  <c r="AV24" i="54"/>
  <c r="E25" i="54"/>
  <c r="F25" i="54"/>
  <c r="G25" i="54"/>
  <c r="H25" i="54"/>
  <c r="I25" i="54"/>
  <c r="J25" i="54"/>
  <c r="K25" i="54"/>
  <c r="L25" i="54"/>
  <c r="M25" i="54"/>
  <c r="N25" i="54"/>
  <c r="O25" i="54"/>
  <c r="P25" i="54"/>
  <c r="Q25" i="54"/>
  <c r="R25" i="54"/>
  <c r="S25" i="54"/>
  <c r="T25" i="54"/>
  <c r="U25" i="54"/>
  <c r="V25" i="54"/>
  <c r="W25" i="54"/>
  <c r="X25" i="54"/>
  <c r="Y25" i="54"/>
  <c r="Z25" i="54"/>
  <c r="AA25" i="54"/>
  <c r="AB25" i="54"/>
  <c r="AC25" i="54"/>
  <c r="AD25" i="54"/>
  <c r="AE25" i="54"/>
  <c r="AF25" i="54"/>
  <c r="AG25" i="54"/>
  <c r="AH25" i="54"/>
  <c r="AI25" i="54"/>
  <c r="AJ25" i="54"/>
  <c r="AK25" i="54"/>
  <c r="AL25" i="54"/>
  <c r="AM25" i="54"/>
  <c r="AN25" i="54"/>
  <c r="AO25" i="54"/>
  <c r="AP25" i="54"/>
  <c r="AQ25" i="54"/>
  <c r="AR25" i="54"/>
  <c r="AS25" i="54"/>
  <c r="AT25" i="54"/>
  <c r="AU25" i="54"/>
  <c r="AV25" i="54"/>
  <c r="E26" i="54"/>
  <c r="F26" i="54"/>
  <c r="G26" i="54"/>
  <c r="H26" i="54"/>
  <c r="I26" i="54"/>
  <c r="J26" i="54"/>
  <c r="K26" i="54"/>
  <c r="L26" i="54"/>
  <c r="M26" i="54"/>
  <c r="N26" i="54"/>
  <c r="O26" i="54"/>
  <c r="P26" i="54"/>
  <c r="Q26" i="54"/>
  <c r="R26" i="54"/>
  <c r="S26" i="54"/>
  <c r="T26" i="54"/>
  <c r="U26" i="54"/>
  <c r="V26" i="54"/>
  <c r="W26" i="54"/>
  <c r="X26" i="54"/>
  <c r="Y26" i="54"/>
  <c r="Z26" i="54"/>
  <c r="AA26" i="54"/>
  <c r="AB26" i="54"/>
  <c r="AC26" i="54"/>
  <c r="AD26" i="54"/>
  <c r="AE26" i="54"/>
  <c r="AF26" i="54"/>
  <c r="AG26" i="54"/>
  <c r="AH26" i="54"/>
  <c r="AI26" i="54"/>
  <c r="AJ26" i="54"/>
  <c r="AK26" i="54"/>
  <c r="AL26" i="54"/>
  <c r="AM26" i="54"/>
  <c r="AN26" i="54"/>
  <c r="AO26" i="54"/>
  <c r="AP26" i="54"/>
  <c r="AQ26" i="54"/>
  <c r="AR26" i="54"/>
  <c r="AS26" i="54"/>
  <c r="AT26" i="54"/>
  <c r="AU26" i="54"/>
  <c r="AV26" i="54"/>
  <c r="E27" i="54"/>
  <c r="F27" i="54"/>
  <c r="G27" i="54"/>
  <c r="H27" i="54"/>
  <c r="I27" i="54"/>
  <c r="J27" i="54"/>
  <c r="K27" i="54"/>
  <c r="L27" i="54"/>
  <c r="M27" i="54"/>
  <c r="N27" i="54"/>
  <c r="O27" i="54"/>
  <c r="P27" i="54"/>
  <c r="Q27" i="54"/>
  <c r="R27" i="54"/>
  <c r="S27" i="54"/>
  <c r="T27" i="54"/>
  <c r="U27" i="54"/>
  <c r="V27" i="54"/>
  <c r="W27" i="54"/>
  <c r="X27" i="54"/>
  <c r="Y27" i="54"/>
  <c r="Z27" i="54"/>
  <c r="AA27" i="54"/>
  <c r="AB27" i="54"/>
  <c r="AC27" i="54"/>
  <c r="AD27" i="54"/>
  <c r="AE27" i="54"/>
  <c r="AF27" i="54"/>
  <c r="AG27" i="54"/>
  <c r="AH27" i="54"/>
  <c r="AI27" i="54"/>
  <c r="AJ27" i="54"/>
  <c r="AK27" i="54"/>
  <c r="AL27" i="54"/>
  <c r="AM27" i="54"/>
  <c r="AN27" i="54"/>
  <c r="AO27" i="54"/>
  <c r="AP27" i="54"/>
  <c r="AQ27" i="54"/>
  <c r="AR27" i="54"/>
  <c r="AS27" i="54"/>
  <c r="AT27" i="54"/>
  <c r="AU27" i="54"/>
  <c r="AV27" i="54"/>
  <c r="E28" i="54"/>
  <c r="F28" i="54"/>
  <c r="G28" i="54"/>
  <c r="H28" i="54"/>
  <c r="I28" i="54"/>
  <c r="J28" i="54"/>
  <c r="K28" i="54"/>
  <c r="L28" i="54"/>
  <c r="M28" i="54"/>
  <c r="N28" i="54"/>
  <c r="O28" i="54"/>
  <c r="P28" i="54"/>
  <c r="Q28" i="54"/>
  <c r="R28" i="54"/>
  <c r="S28" i="54"/>
  <c r="T28" i="54"/>
  <c r="U28" i="54"/>
  <c r="V28" i="54"/>
  <c r="W28" i="54"/>
  <c r="X28" i="54"/>
  <c r="Y28" i="54"/>
  <c r="Z28" i="54"/>
  <c r="AA28" i="54"/>
  <c r="AB28" i="54"/>
  <c r="AC28" i="54"/>
  <c r="AD28" i="54"/>
  <c r="AE28" i="54"/>
  <c r="AF28" i="54"/>
  <c r="AG28" i="54"/>
  <c r="AH28" i="54"/>
  <c r="AI28" i="54"/>
  <c r="AJ28" i="54"/>
  <c r="AK28" i="54"/>
  <c r="AL28" i="54"/>
  <c r="AM28" i="54"/>
  <c r="AN28" i="54"/>
  <c r="AO28" i="54"/>
  <c r="AP28" i="54"/>
  <c r="AQ28" i="54"/>
  <c r="AR28" i="54"/>
  <c r="AS28" i="54"/>
  <c r="AT28" i="54"/>
  <c r="AU28" i="54"/>
  <c r="AV28" i="54"/>
  <c r="E29" i="54"/>
  <c r="F29" i="54"/>
  <c r="G29" i="54"/>
  <c r="H29" i="54"/>
  <c r="I29" i="54"/>
  <c r="J29" i="54"/>
  <c r="K29" i="54"/>
  <c r="L29" i="54"/>
  <c r="M29" i="54"/>
  <c r="N29" i="54"/>
  <c r="O29" i="54"/>
  <c r="P29" i="54"/>
  <c r="Q29" i="54"/>
  <c r="R29" i="54"/>
  <c r="S29" i="54"/>
  <c r="T29" i="54"/>
  <c r="U29" i="54"/>
  <c r="V29" i="54"/>
  <c r="W29" i="54"/>
  <c r="X29" i="54"/>
  <c r="Y29" i="54"/>
  <c r="Z29" i="54"/>
  <c r="AA29" i="54"/>
  <c r="AB29" i="54"/>
  <c r="AC29" i="54"/>
  <c r="AD29" i="54"/>
  <c r="AE29" i="54"/>
  <c r="AF29" i="54"/>
  <c r="AG29" i="54"/>
  <c r="AH29" i="54"/>
  <c r="AI29" i="54"/>
  <c r="AJ29" i="54"/>
  <c r="AK29" i="54"/>
  <c r="AL29" i="54"/>
  <c r="AM29" i="54"/>
  <c r="AN29" i="54"/>
  <c r="AO29" i="54"/>
  <c r="AP29" i="54"/>
  <c r="AQ29" i="54"/>
  <c r="AR29" i="54"/>
  <c r="AS29" i="54"/>
  <c r="AT29" i="54"/>
  <c r="AU29" i="54"/>
  <c r="AV29" i="54"/>
  <c r="E30" i="54"/>
  <c r="F30" i="54"/>
  <c r="G30" i="54"/>
  <c r="H30" i="54"/>
  <c r="I30" i="54"/>
  <c r="J30" i="54"/>
  <c r="K30" i="54"/>
  <c r="L30" i="54"/>
  <c r="M30" i="54"/>
  <c r="N30" i="54"/>
  <c r="O30" i="54"/>
  <c r="P30" i="54"/>
  <c r="Q30" i="54"/>
  <c r="R30" i="54"/>
  <c r="S30" i="54"/>
  <c r="T30" i="54"/>
  <c r="U30" i="54"/>
  <c r="V30" i="54"/>
  <c r="W30" i="54"/>
  <c r="E31" i="54"/>
  <c r="F31" i="54"/>
  <c r="G31" i="54"/>
  <c r="H31" i="54"/>
  <c r="I31" i="54"/>
  <c r="J31" i="54"/>
  <c r="K31" i="54"/>
  <c r="L31" i="54"/>
  <c r="M31" i="54"/>
  <c r="N31" i="54"/>
  <c r="O31" i="54"/>
  <c r="P31" i="54"/>
  <c r="Q31" i="54"/>
  <c r="R31" i="54"/>
  <c r="S31" i="54"/>
  <c r="T31" i="54"/>
  <c r="U31" i="54"/>
  <c r="V31" i="54"/>
  <c r="W31" i="54"/>
  <c r="X31" i="54"/>
  <c r="Y31" i="54"/>
  <c r="Z31" i="54"/>
  <c r="AA31" i="54"/>
  <c r="AB31" i="54"/>
  <c r="AC31" i="54"/>
  <c r="AD31" i="54"/>
  <c r="AE31" i="54"/>
  <c r="AF31" i="54"/>
  <c r="AG31" i="54"/>
  <c r="AH31" i="54"/>
  <c r="AI31" i="54"/>
  <c r="AJ31" i="54"/>
  <c r="AK31" i="54"/>
  <c r="AL31" i="54"/>
  <c r="AM31" i="54"/>
  <c r="AN31" i="54"/>
  <c r="AO31" i="54"/>
  <c r="AP31" i="54"/>
  <c r="AQ31" i="54"/>
  <c r="AR31" i="54"/>
  <c r="AS31" i="54"/>
  <c r="AT31" i="54"/>
  <c r="AU31" i="54"/>
  <c r="AV31" i="54"/>
  <c r="E32" i="54"/>
  <c r="F32" i="54"/>
  <c r="G32" i="54"/>
  <c r="H32" i="54"/>
  <c r="I32" i="54"/>
  <c r="J32" i="54"/>
  <c r="K32" i="54"/>
  <c r="L32" i="54"/>
  <c r="M32" i="54"/>
  <c r="N32" i="54"/>
  <c r="O32" i="54"/>
  <c r="P32" i="54"/>
  <c r="Q32" i="54"/>
  <c r="R32" i="54"/>
  <c r="S32" i="54"/>
  <c r="T32" i="54"/>
  <c r="U32" i="54"/>
  <c r="V32" i="54"/>
  <c r="W32" i="54"/>
  <c r="X32" i="54"/>
  <c r="Y32" i="54"/>
  <c r="Z32" i="54"/>
  <c r="AA32" i="54"/>
  <c r="AB32" i="54"/>
  <c r="AC32" i="54"/>
  <c r="AD32" i="54"/>
  <c r="AE32" i="54"/>
  <c r="AF32" i="54"/>
  <c r="AG32" i="54"/>
  <c r="AH32" i="54"/>
  <c r="AI32" i="54"/>
  <c r="AJ32" i="54"/>
  <c r="AK32" i="54"/>
  <c r="AL32" i="54"/>
  <c r="AM32" i="54"/>
  <c r="AN32" i="54"/>
  <c r="AO32" i="54"/>
  <c r="AP32" i="54"/>
  <c r="AQ32" i="54"/>
  <c r="AR32" i="54"/>
  <c r="AS32" i="54"/>
  <c r="AT32" i="54"/>
  <c r="AU32" i="54"/>
  <c r="AV32" i="54"/>
  <c r="E33" i="54"/>
  <c r="F33" i="54"/>
  <c r="G33" i="54"/>
  <c r="H33" i="54"/>
  <c r="I33" i="54"/>
  <c r="J33" i="54"/>
  <c r="K33" i="54"/>
  <c r="L33" i="54"/>
  <c r="M33" i="54"/>
  <c r="N33" i="54"/>
  <c r="O33" i="54"/>
  <c r="P33" i="54"/>
  <c r="Q33" i="54"/>
  <c r="R33" i="54"/>
  <c r="S33" i="54"/>
  <c r="T33" i="54"/>
  <c r="U33" i="54"/>
  <c r="V33" i="54"/>
  <c r="W33" i="54"/>
  <c r="X33" i="54"/>
  <c r="Y33" i="54"/>
  <c r="Z33" i="54"/>
  <c r="AA33" i="54"/>
  <c r="AB33" i="54"/>
  <c r="AC33" i="54"/>
  <c r="AD33" i="54"/>
  <c r="AE33" i="54"/>
  <c r="AF33" i="54"/>
  <c r="AG33" i="54"/>
  <c r="AH33" i="54"/>
  <c r="AI33" i="54"/>
  <c r="AJ33" i="54"/>
  <c r="AK33" i="54"/>
  <c r="AL33" i="54"/>
  <c r="AM33" i="54"/>
  <c r="AN33" i="54"/>
  <c r="AO33" i="54"/>
  <c r="AP33" i="54"/>
  <c r="AQ33" i="54"/>
  <c r="AR33" i="54"/>
  <c r="AS33" i="54"/>
  <c r="AT33" i="54"/>
  <c r="AU33" i="54"/>
  <c r="AV33" i="54"/>
  <c r="E34" i="54"/>
  <c r="F34" i="54"/>
  <c r="G34" i="54"/>
  <c r="H34" i="54"/>
  <c r="I34" i="54"/>
  <c r="J34" i="54"/>
  <c r="K34" i="54"/>
  <c r="L34" i="54"/>
  <c r="M34" i="54"/>
  <c r="N34" i="54"/>
  <c r="O34" i="54"/>
  <c r="P34" i="54"/>
  <c r="Q34" i="54"/>
  <c r="R34" i="54"/>
  <c r="S34" i="54"/>
  <c r="T34" i="54"/>
  <c r="U34" i="54"/>
  <c r="V34" i="54"/>
  <c r="W34" i="54"/>
  <c r="X34" i="54"/>
  <c r="Y34" i="54"/>
  <c r="Z34" i="54"/>
  <c r="AA34" i="54"/>
  <c r="AB34" i="54"/>
  <c r="AC34" i="54"/>
  <c r="AD34" i="54"/>
  <c r="AE34" i="54"/>
  <c r="AF34" i="54"/>
  <c r="AG34" i="54"/>
  <c r="AH34" i="54"/>
  <c r="AI34" i="54"/>
  <c r="AJ34" i="54"/>
  <c r="AK34" i="54"/>
  <c r="AL34" i="54"/>
  <c r="AM34" i="54"/>
  <c r="AN34" i="54"/>
  <c r="AO34" i="54"/>
  <c r="AP34" i="54"/>
  <c r="AQ34" i="54"/>
  <c r="AR34" i="54"/>
  <c r="AS34" i="54"/>
  <c r="AT34" i="54"/>
  <c r="AU34" i="54"/>
  <c r="AV34" i="54"/>
  <c r="E35" i="54"/>
  <c r="F35" i="54"/>
  <c r="G35" i="54"/>
  <c r="H35" i="54"/>
  <c r="I35" i="54"/>
  <c r="J35" i="54"/>
  <c r="K35" i="54"/>
  <c r="L35" i="54"/>
  <c r="M35" i="54"/>
  <c r="N35" i="54"/>
  <c r="O35" i="54"/>
  <c r="P35" i="54"/>
  <c r="Q35" i="54"/>
  <c r="R35" i="54"/>
  <c r="S35" i="54"/>
  <c r="T35" i="54"/>
  <c r="U35" i="54"/>
  <c r="V35" i="54"/>
  <c r="W35" i="54"/>
  <c r="D23" i="54"/>
  <c r="D24" i="54"/>
  <c r="D25" i="54"/>
  <c r="D26" i="54"/>
  <c r="D27" i="54"/>
  <c r="D28" i="54"/>
  <c r="D29" i="54"/>
  <c r="D30" i="54"/>
  <c r="D31" i="54"/>
  <c r="D32" i="54"/>
  <c r="D33" i="54"/>
  <c r="D34" i="54"/>
  <c r="D35" i="54"/>
  <c r="D22" i="54"/>
  <c r="E6" i="54"/>
  <c r="F6" i="54"/>
  <c r="G6" i="54"/>
  <c r="H6" i="54"/>
  <c r="I6" i="54"/>
  <c r="J6" i="54"/>
  <c r="K6" i="54"/>
  <c r="L6" i="54"/>
  <c r="M6" i="54"/>
  <c r="N6" i="54"/>
  <c r="O6" i="54"/>
  <c r="P6" i="54"/>
  <c r="Q6" i="54"/>
  <c r="R6" i="54"/>
  <c r="S6" i="54"/>
  <c r="T6" i="54"/>
  <c r="U6" i="54"/>
  <c r="V6" i="54"/>
  <c r="W6" i="54"/>
  <c r="E7" i="54"/>
  <c r="F7" i="54"/>
  <c r="G7" i="54"/>
  <c r="H7" i="54"/>
  <c r="I7" i="54"/>
  <c r="J7" i="54"/>
  <c r="K7" i="54"/>
  <c r="L7" i="54"/>
  <c r="M7" i="54"/>
  <c r="N7" i="54"/>
  <c r="O7" i="54"/>
  <c r="P7" i="54"/>
  <c r="Q7" i="54"/>
  <c r="R7" i="54"/>
  <c r="S7" i="54"/>
  <c r="T7" i="54"/>
  <c r="U7" i="54"/>
  <c r="V7" i="54"/>
  <c r="W7" i="54"/>
  <c r="E8" i="54"/>
  <c r="F8" i="54"/>
  <c r="G8" i="54"/>
  <c r="H8" i="54"/>
  <c r="I8" i="54"/>
  <c r="J8" i="54"/>
  <c r="K8" i="54"/>
  <c r="L8" i="54"/>
  <c r="M8" i="54"/>
  <c r="N8" i="54"/>
  <c r="O8" i="54"/>
  <c r="P8" i="54"/>
  <c r="Q8" i="54"/>
  <c r="R8" i="54"/>
  <c r="S8" i="54"/>
  <c r="T8" i="54"/>
  <c r="U8" i="54"/>
  <c r="V8" i="54"/>
  <c r="W8" i="54"/>
  <c r="E9" i="54"/>
  <c r="F9" i="54"/>
  <c r="G9" i="54"/>
  <c r="H9" i="54"/>
  <c r="I9" i="54"/>
  <c r="J9" i="54"/>
  <c r="K9" i="54"/>
  <c r="L9" i="54"/>
  <c r="M9" i="54"/>
  <c r="N9" i="54"/>
  <c r="O9" i="54"/>
  <c r="P9" i="54"/>
  <c r="Q9" i="54"/>
  <c r="R9" i="54"/>
  <c r="S9" i="54"/>
  <c r="T9" i="54"/>
  <c r="U9" i="54"/>
  <c r="V9" i="54"/>
  <c r="W9" i="54"/>
  <c r="E10" i="54"/>
  <c r="F10" i="54"/>
  <c r="G10" i="54"/>
  <c r="H10" i="54"/>
  <c r="I10" i="54"/>
  <c r="J10" i="54"/>
  <c r="K10" i="54"/>
  <c r="L10" i="54"/>
  <c r="M10" i="54"/>
  <c r="N10" i="54"/>
  <c r="O10" i="54"/>
  <c r="P10" i="54"/>
  <c r="Q10" i="54"/>
  <c r="R10" i="54"/>
  <c r="S10" i="54"/>
  <c r="T10" i="54"/>
  <c r="U10" i="54"/>
  <c r="V10" i="54"/>
  <c r="W10" i="54"/>
  <c r="X10" i="54"/>
  <c r="Y10" i="54"/>
  <c r="Z10" i="54"/>
  <c r="AA10" i="54"/>
  <c r="AB10" i="54"/>
  <c r="AC10" i="54"/>
  <c r="AD10" i="54"/>
  <c r="AE10" i="54"/>
  <c r="AF10" i="54"/>
  <c r="AG10" i="54"/>
  <c r="AH10" i="54"/>
  <c r="AI10" i="54"/>
  <c r="AJ10" i="54"/>
  <c r="AK10" i="54"/>
  <c r="AL10" i="54"/>
  <c r="AM10" i="54"/>
  <c r="AN10" i="54"/>
  <c r="AO10" i="54"/>
  <c r="AP10" i="54"/>
  <c r="AQ10" i="54"/>
  <c r="AR10" i="54"/>
  <c r="AS10" i="54"/>
  <c r="AT10" i="54"/>
  <c r="AU10" i="54"/>
  <c r="AV10" i="54"/>
  <c r="E11" i="54"/>
  <c r="F11" i="54"/>
  <c r="G11" i="54"/>
  <c r="H11" i="54"/>
  <c r="I11" i="54"/>
  <c r="J11" i="54"/>
  <c r="K11" i="54"/>
  <c r="L11" i="54"/>
  <c r="M11" i="54"/>
  <c r="N11" i="54"/>
  <c r="O11" i="54"/>
  <c r="P11" i="54"/>
  <c r="Q11" i="54"/>
  <c r="R11" i="54"/>
  <c r="S11" i="54"/>
  <c r="T11" i="54"/>
  <c r="U11" i="54"/>
  <c r="V11" i="54"/>
  <c r="W11" i="54"/>
  <c r="E12" i="54"/>
  <c r="F12" i="54"/>
  <c r="G12" i="54"/>
  <c r="H12" i="54"/>
  <c r="I12" i="54"/>
  <c r="J12" i="54"/>
  <c r="K12" i="54"/>
  <c r="L12" i="54"/>
  <c r="M12" i="54"/>
  <c r="N12" i="54"/>
  <c r="O12" i="54"/>
  <c r="P12" i="54"/>
  <c r="Q12" i="54"/>
  <c r="R12" i="54"/>
  <c r="S12" i="54"/>
  <c r="T12" i="54"/>
  <c r="U12" i="54"/>
  <c r="V12" i="54"/>
  <c r="W12" i="54"/>
  <c r="E13" i="54"/>
  <c r="F13" i="54"/>
  <c r="G13" i="54"/>
  <c r="H13" i="54"/>
  <c r="I13" i="54"/>
  <c r="J13" i="54"/>
  <c r="K13" i="54"/>
  <c r="L13" i="54"/>
  <c r="M13" i="54"/>
  <c r="N13" i="54"/>
  <c r="O13" i="54"/>
  <c r="P13" i="54"/>
  <c r="Q13" i="54"/>
  <c r="R13" i="54"/>
  <c r="S13" i="54"/>
  <c r="T13" i="54"/>
  <c r="U13" i="54"/>
  <c r="V13" i="54"/>
  <c r="W13" i="54"/>
  <c r="X13" i="54"/>
  <c r="Y13" i="54"/>
  <c r="Z13" i="54"/>
  <c r="AA13" i="54"/>
  <c r="AB13" i="54"/>
  <c r="AC13" i="54"/>
  <c r="AD13" i="54"/>
  <c r="AE13" i="54"/>
  <c r="AF13" i="54"/>
  <c r="AG13" i="54"/>
  <c r="AH13" i="54"/>
  <c r="AI13" i="54"/>
  <c r="AJ13" i="54"/>
  <c r="AK13" i="54"/>
  <c r="AL13" i="54"/>
  <c r="AM13" i="54"/>
  <c r="AN13" i="54"/>
  <c r="AO13" i="54"/>
  <c r="AP13" i="54"/>
  <c r="AQ13" i="54"/>
  <c r="AR13" i="54"/>
  <c r="AS13" i="54"/>
  <c r="AT13" i="54"/>
  <c r="AU13" i="54"/>
  <c r="AV13" i="54"/>
  <c r="E14" i="54"/>
  <c r="F14" i="54"/>
  <c r="G14" i="54"/>
  <c r="H14" i="54"/>
  <c r="I14" i="54"/>
  <c r="J14" i="54"/>
  <c r="K14" i="54"/>
  <c r="L14" i="54"/>
  <c r="M14" i="54"/>
  <c r="N14" i="54"/>
  <c r="O14" i="54"/>
  <c r="P14" i="54"/>
  <c r="Q14" i="54"/>
  <c r="R14" i="54"/>
  <c r="S14" i="54"/>
  <c r="T14" i="54"/>
  <c r="U14" i="54"/>
  <c r="V14" i="54"/>
  <c r="W14" i="54"/>
  <c r="E15" i="54"/>
  <c r="F15" i="54"/>
  <c r="G15" i="54"/>
  <c r="H15" i="54"/>
  <c r="I15" i="54"/>
  <c r="J15" i="54"/>
  <c r="K15" i="54"/>
  <c r="L15" i="54"/>
  <c r="M15" i="54"/>
  <c r="N15" i="54"/>
  <c r="O15" i="54"/>
  <c r="P15" i="54"/>
  <c r="Q15" i="54"/>
  <c r="R15" i="54"/>
  <c r="S15" i="54"/>
  <c r="T15" i="54"/>
  <c r="U15" i="54"/>
  <c r="V15" i="54"/>
  <c r="W15" i="54"/>
  <c r="X15" i="54"/>
  <c r="Y15" i="54"/>
  <c r="Z15" i="54"/>
  <c r="AA15" i="54"/>
  <c r="AB15" i="54"/>
  <c r="AC15" i="54"/>
  <c r="AD15" i="54"/>
  <c r="AE15" i="54"/>
  <c r="AF15" i="54"/>
  <c r="AG15" i="54"/>
  <c r="AH15" i="54"/>
  <c r="AI15" i="54"/>
  <c r="AJ15" i="54"/>
  <c r="AK15" i="54"/>
  <c r="AL15" i="54"/>
  <c r="AM15" i="54"/>
  <c r="AN15" i="54"/>
  <c r="AO15" i="54"/>
  <c r="AP15" i="54"/>
  <c r="AQ15" i="54"/>
  <c r="AR15" i="54"/>
  <c r="AS15" i="54"/>
  <c r="AT15" i="54"/>
  <c r="AU15" i="54"/>
  <c r="AV15" i="54"/>
  <c r="E16" i="54"/>
  <c r="F16" i="54"/>
  <c r="G16" i="54"/>
  <c r="H16" i="54"/>
  <c r="I16" i="54"/>
  <c r="J16" i="54"/>
  <c r="K16" i="54"/>
  <c r="L16" i="54"/>
  <c r="M16" i="54"/>
  <c r="N16" i="54"/>
  <c r="O16" i="54"/>
  <c r="P16" i="54"/>
  <c r="Q16" i="54"/>
  <c r="R16" i="54"/>
  <c r="S16" i="54"/>
  <c r="T16" i="54"/>
  <c r="U16" i="54"/>
  <c r="V16" i="54"/>
  <c r="W16" i="54"/>
  <c r="X16" i="54"/>
  <c r="Y16" i="54"/>
  <c r="Z16" i="54"/>
  <c r="AA16" i="54"/>
  <c r="AB16" i="54"/>
  <c r="AC16" i="54"/>
  <c r="AD16" i="54"/>
  <c r="AE16" i="54"/>
  <c r="AF16" i="54"/>
  <c r="AG16" i="54"/>
  <c r="AH16" i="54"/>
  <c r="AI16" i="54"/>
  <c r="AJ16" i="54"/>
  <c r="AK16" i="54"/>
  <c r="AL16" i="54"/>
  <c r="AM16" i="54"/>
  <c r="AN16" i="54"/>
  <c r="AO16" i="54"/>
  <c r="AP16" i="54"/>
  <c r="AQ16" i="54"/>
  <c r="AR16" i="54"/>
  <c r="AS16" i="54"/>
  <c r="AT16" i="54"/>
  <c r="AU16" i="54"/>
  <c r="AV16" i="54"/>
  <c r="E17" i="54"/>
  <c r="F17" i="54"/>
  <c r="G17" i="54"/>
  <c r="H17" i="54"/>
  <c r="I17" i="54"/>
  <c r="J17" i="54"/>
  <c r="K17" i="54"/>
  <c r="L17" i="54"/>
  <c r="M17" i="54"/>
  <c r="N17" i="54"/>
  <c r="O17" i="54"/>
  <c r="P17" i="54"/>
  <c r="Q17" i="54"/>
  <c r="R17" i="54"/>
  <c r="S17" i="54"/>
  <c r="T17" i="54"/>
  <c r="U17" i="54"/>
  <c r="V17" i="54"/>
  <c r="W17" i="54"/>
  <c r="E18" i="54"/>
  <c r="F18" i="54"/>
  <c r="G18" i="54"/>
  <c r="H18" i="54"/>
  <c r="I18" i="54"/>
  <c r="J18" i="54"/>
  <c r="K18" i="54"/>
  <c r="L18" i="54"/>
  <c r="M18" i="54"/>
  <c r="N18" i="54"/>
  <c r="O18" i="54"/>
  <c r="P18" i="54"/>
  <c r="Q18" i="54"/>
  <c r="R18" i="54"/>
  <c r="S18" i="54"/>
  <c r="T18" i="54"/>
  <c r="U18" i="54"/>
  <c r="V18" i="54"/>
  <c r="W18" i="54"/>
  <c r="X18" i="54"/>
  <c r="Y18" i="54"/>
  <c r="Z18" i="54"/>
  <c r="AA18" i="54"/>
  <c r="AB18" i="54"/>
  <c r="AC18" i="54"/>
  <c r="AD18" i="54"/>
  <c r="AE18" i="54"/>
  <c r="AF18" i="54"/>
  <c r="AG18" i="54"/>
  <c r="AH18" i="54"/>
  <c r="AI18" i="54"/>
  <c r="AJ18" i="54"/>
  <c r="AK18" i="54"/>
  <c r="AL18" i="54"/>
  <c r="AM18" i="54"/>
  <c r="AN18" i="54"/>
  <c r="AO18" i="54"/>
  <c r="AP18" i="54"/>
  <c r="AQ18" i="54"/>
  <c r="AR18" i="54"/>
  <c r="AS18" i="54"/>
  <c r="AT18" i="54"/>
  <c r="AU18" i="54"/>
  <c r="AV18" i="54"/>
  <c r="E19" i="54"/>
  <c r="F19" i="54"/>
  <c r="G19" i="54"/>
  <c r="H19" i="54"/>
  <c r="I19" i="54"/>
  <c r="J19" i="54"/>
  <c r="K19" i="54"/>
  <c r="L19" i="54"/>
  <c r="M19" i="54"/>
  <c r="N19" i="54"/>
  <c r="O19" i="54"/>
  <c r="P19" i="54"/>
  <c r="Q19" i="54"/>
  <c r="R19" i="54"/>
  <c r="S19" i="54"/>
  <c r="T19" i="54"/>
  <c r="U19" i="54"/>
  <c r="V19" i="54"/>
  <c r="W19" i="54"/>
  <c r="X19" i="54"/>
  <c r="Y19" i="54"/>
  <c r="Z19" i="54"/>
  <c r="AA19" i="54"/>
  <c r="AB19" i="54"/>
  <c r="AC19" i="54"/>
  <c r="AD19" i="54"/>
  <c r="AE19" i="54"/>
  <c r="AF19" i="54"/>
  <c r="AG19" i="54"/>
  <c r="AH19" i="54"/>
  <c r="AI19" i="54"/>
  <c r="AJ19" i="54"/>
  <c r="AK19" i="54"/>
  <c r="AL19" i="54"/>
  <c r="AM19" i="54"/>
  <c r="AN19" i="54"/>
  <c r="AO19" i="54"/>
  <c r="AP19" i="54"/>
  <c r="AQ19" i="54"/>
  <c r="AR19" i="54"/>
  <c r="AS19" i="54"/>
  <c r="AT19" i="54"/>
  <c r="AU19" i="54"/>
  <c r="AV19" i="54"/>
  <c r="E20" i="54"/>
  <c r="F20" i="54"/>
  <c r="G20" i="54"/>
  <c r="H20" i="54"/>
  <c r="I20" i="54"/>
  <c r="J20" i="54"/>
  <c r="K20" i="54"/>
  <c r="L20" i="54"/>
  <c r="M20" i="54"/>
  <c r="N20" i="54"/>
  <c r="O20" i="54"/>
  <c r="P20" i="54"/>
  <c r="Q20" i="54"/>
  <c r="R20" i="54"/>
  <c r="S20" i="54"/>
  <c r="T20" i="54"/>
  <c r="U20" i="54"/>
  <c r="V20" i="54"/>
  <c r="W20" i="54"/>
  <c r="D7" i="54"/>
  <c r="D8" i="54"/>
  <c r="D9" i="54"/>
  <c r="D10" i="54"/>
  <c r="D11" i="54"/>
  <c r="D12" i="54"/>
  <c r="D13" i="54"/>
  <c r="D14" i="54"/>
  <c r="D15" i="54"/>
  <c r="D16" i="54"/>
  <c r="D17" i="54"/>
  <c r="D18" i="54"/>
  <c r="D19" i="54"/>
  <c r="D20" i="54"/>
  <c r="D6" i="54"/>
  <c r="E163" i="53"/>
  <c r="F163" i="53"/>
  <c r="G163" i="53"/>
  <c r="H163" i="53"/>
  <c r="I163" i="53"/>
  <c r="J163" i="53"/>
  <c r="K163" i="53"/>
  <c r="L163" i="53"/>
  <c r="M163" i="53"/>
  <c r="N163" i="53"/>
  <c r="O163" i="53"/>
  <c r="P163" i="53"/>
  <c r="Q163" i="53"/>
  <c r="R163" i="53"/>
  <c r="S163" i="53"/>
  <c r="T163" i="53"/>
  <c r="U163" i="53"/>
  <c r="V163" i="53"/>
  <c r="W163" i="53"/>
  <c r="X163" i="53"/>
  <c r="Y163" i="53"/>
  <c r="Z163" i="53"/>
  <c r="AA163" i="53"/>
  <c r="AB163" i="53"/>
  <c r="AC163" i="53"/>
  <c r="AD163" i="53"/>
  <c r="AE163" i="53"/>
  <c r="AF163" i="53"/>
  <c r="AG163" i="53"/>
  <c r="AH163" i="53"/>
  <c r="AI163" i="53"/>
  <c r="AJ163" i="53"/>
  <c r="AK163" i="53"/>
  <c r="AL163" i="53"/>
  <c r="AM163" i="53"/>
  <c r="AN163" i="53"/>
  <c r="AO163" i="53"/>
  <c r="AP163" i="53"/>
  <c r="AQ163" i="53"/>
  <c r="AR163" i="53"/>
  <c r="AS163" i="53"/>
  <c r="AT163" i="53"/>
  <c r="AU163" i="53"/>
  <c r="AV163" i="53"/>
  <c r="E164" i="53"/>
  <c r="F164" i="53"/>
  <c r="G164" i="53"/>
  <c r="H164" i="53"/>
  <c r="I164" i="53"/>
  <c r="J164" i="53"/>
  <c r="K164" i="53"/>
  <c r="L164" i="53"/>
  <c r="M164" i="53"/>
  <c r="N164" i="53"/>
  <c r="O164" i="53"/>
  <c r="P164" i="53"/>
  <c r="Q164" i="53"/>
  <c r="R164" i="53"/>
  <c r="S164" i="53"/>
  <c r="T164" i="53"/>
  <c r="U164" i="53"/>
  <c r="V164" i="53"/>
  <c r="W164" i="53"/>
  <c r="X164" i="53"/>
  <c r="Y164" i="53"/>
  <c r="Z164" i="53"/>
  <c r="AA164" i="53"/>
  <c r="AB164" i="53"/>
  <c r="AC164" i="53"/>
  <c r="AD164" i="53"/>
  <c r="AE164" i="53"/>
  <c r="AF164" i="53"/>
  <c r="AG164" i="53"/>
  <c r="AH164" i="53"/>
  <c r="AI164" i="53"/>
  <c r="AJ164" i="53"/>
  <c r="AK164" i="53"/>
  <c r="AL164" i="53"/>
  <c r="AM164" i="53"/>
  <c r="AN164" i="53"/>
  <c r="AO164" i="53"/>
  <c r="AP164" i="53"/>
  <c r="AQ164" i="53"/>
  <c r="AR164" i="53"/>
  <c r="AS164" i="53"/>
  <c r="AT164" i="53"/>
  <c r="AU164" i="53"/>
  <c r="AV164" i="53"/>
  <c r="E165" i="53"/>
  <c r="F165" i="53"/>
  <c r="G165" i="53"/>
  <c r="H165" i="53"/>
  <c r="I165" i="53"/>
  <c r="J165" i="53"/>
  <c r="K165" i="53"/>
  <c r="L165" i="53"/>
  <c r="M165" i="53"/>
  <c r="N165" i="53"/>
  <c r="O165" i="53"/>
  <c r="P165" i="53"/>
  <c r="Q165" i="53"/>
  <c r="R165" i="53"/>
  <c r="S165" i="53"/>
  <c r="T165" i="53"/>
  <c r="U165" i="53"/>
  <c r="V165" i="53"/>
  <c r="W165" i="53"/>
  <c r="X165" i="53"/>
  <c r="Y165" i="53"/>
  <c r="Z165" i="53"/>
  <c r="AA165" i="53"/>
  <c r="AB165" i="53"/>
  <c r="AC165" i="53"/>
  <c r="AD165" i="53"/>
  <c r="AE165" i="53"/>
  <c r="AF165" i="53"/>
  <c r="AG165" i="53"/>
  <c r="AH165" i="53"/>
  <c r="AI165" i="53"/>
  <c r="AJ165" i="53"/>
  <c r="AK165" i="53"/>
  <c r="AL165" i="53"/>
  <c r="AM165" i="53"/>
  <c r="AN165" i="53"/>
  <c r="AO165" i="53"/>
  <c r="AP165" i="53"/>
  <c r="AQ165" i="53"/>
  <c r="AR165" i="53"/>
  <c r="AS165" i="53"/>
  <c r="AT165" i="53"/>
  <c r="AU165" i="53"/>
  <c r="AV165" i="53"/>
  <c r="E166" i="53"/>
  <c r="F166" i="53"/>
  <c r="G166" i="53"/>
  <c r="H166" i="53"/>
  <c r="I166" i="53"/>
  <c r="J166" i="53"/>
  <c r="K166" i="53"/>
  <c r="L166" i="53"/>
  <c r="M166" i="53"/>
  <c r="N166" i="53"/>
  <c r="O166" i="53"/>
  <c r="P166" i="53"/>
  <c r="Q166" i="53"/>
  <c r="R166" i="53"/>
  <c r="S166" i="53"/>
  <c r="T166" i="53"/>
  <c r="U166" i="53"/>
  <c r="V166" i="53"/>
  <c r="W166" i="53"/>
  <c r="X166" i="53"/>
  <c r="Y166" i="53"/>
  <c r="Z166" i="53"/>
  <c r="AA166" i="53"/>
  <c r="AB166" i="53"/>
  <c r="AC166" i="53"/>
  <c r="AD166" i="53"/>
  <c r="AE166" i="53"/>
  <c r="AF166" i="53"/>
  <c r="AG166" i="53"/>
  <c r="AH166" i="53"/>
  <c r="AI166" i="53"/>
  <c r="AJ166" i="53"/>
  <c r="AK166" i="53"/>
  <c r="AL166" i="53"/>
  <c r="AM166" i="53"/>
  <c r="AN166" i="53"/>
  <c r="AO166" i="53"/>
  <c r="AP166" i="53"/>
  <c r="AQ166" i="53"/>
  <c r="AR166" i="53"/>
  <c r="AS166" i="53"/>
  <c r="AT166" i="53"/>
  <c r="AU166" i="53"/>
  <c r="AV166" i="53"/>
  <c r="E167" i="53"/>
  <c r="F167" i="53"/>
  <c r="G167" i="53"/>
  <c r="H167" i="53"/>
  <c r="I167" i="53"/>
  <c r="J167" i="53"/>
  <c r="K167" i="53"/>
  <c r="L167" i="53"/>
  <c r="M167" i="53"/>
  <c r="N167" i="53"/>
  <c r="O167" i="53"/>
  <c r="P167" i="53"/>
  <c r="Q167" i="53"/>
  <c r="R167" i="53"/>
  <c r="S167" i="53"/>
  <c r="T167" i="53"/>
  <c r="U167" i="53"/>
  <c r="V167" i="53"/>
  <c r="W167" i="53"/>
  <c r="X167" i="53"/>
  <c r="Y167" i="53"/>
  <c r="Z167" i="53"/>
  <c r="AA167" i="53"/>
  <c r="AB167" i="53"/>
  <c r="AC167" i="53"/>
  <c r="AD167" i="53"/>
  <c r="AE167" i="53"/>
  <c r="AF167" i="53"/>
  <c r="AG167" i="53"/>
  <c r="AH167" i="53"/>
  <c r="AI167" i="53"/>
  <c r="AJ167" i="53"/>
  <c r="AK167" i="53"/>
  <c r="AL167" i="53"/>
  <c r="AM167" i="53"/>
  <c r="AN167" i="53"/>
  <c r="AO167" i="53"/>
  <c r="AP167" i="53"/>
  <c r="AQ167" i="53"/>
  <c r="AR167" i="53"/>
  <c r="AS167" i="53"/>
  <c r="AT167" i="53"/>
  <c r="AU167" i="53"/>
  <c r="AV167" i="53"/>
  <c r="E168" i="53"/>
  <c r="F168" i="53"/>
  <c r="G168" i="53"/>
  <c r="H168" i="53"/>
  <c r="I168" i="53"/>
  <c r="J168" i="53"/>
  <c r="K168" i="53"/>
  <c r="L168" i="53"/>
  <c r="M168" i="53"/>
  <c r="N168" i="53"/>
  <c r="O168" i="53"/>
  <c r="P168" i="53"/>
  <c r="Q168" i="53"/>
  <c r="R168" i="53"/>
  <c r="S168" i="53"/>
  <c r="T168" i="53"/>
  <c r="U168" i="53"/>
  <c r="V168" i="53"/>
  <c r="W168" i="53"/>
  <c r="X168" i="53"/>
  <c r="Y168" i="53"/>
  <c r="Z168" i="53"/>
  <c r="AA168" i="53"/>
  <c r="AB168" i="53"/>
  <c r="AC168" i="53"/>
  <c r="AD168" i="53"/>
  <c r="AE168" i="53"/>
  <c r="AF168" i="53"/>
  <c r="AG168" i="53"/>
  <c r="AH168" i="53"/>
  <c r="AI168" i="53"/>
  <c r="AJ168" i="53"/>
  <c r="AK168" i="53"/>
  <c r="AL168" i="53"/>
  <c r="AM168" i="53"/>
  <c r="AN168" i="53"/>
  <c r="AO168" i="53"/>
  <c r="AP168" i="53"/>
  <c r="AQ168" i="53"/>
  <c r="AR168" i="53"/>
  <c r="AS168" i="53"/>
  <c r="AT168" i="53"/>
  <c r="AU168" i="53"/>
  <c r="AV168" i="53"/>
  <c r="E169" i="53"/>
  <c r="F169" i="53"/>
  <c r="G169" i="53"/>
  <c r="H169" i="53"/>
  <c r="I169" i="53"/>
  <c r="J169" i="53"/>
  <c r="K169" i="53"/>
  <c r="L169" i="53"/>
  <c r="M169" i="53"/>
  <c r="N169" i="53"/>
  <c r="O169" i="53"/>
  <c r="P169" i="53"/>
  <c r="Q169" i="53"/>
  <c r="R169" i="53"/>
  <c r="S169" i="53"/>
  <c r="T169" i="53"/>
  <c r="U169" i="53"/>
  <c r="V169" i="53"/>
  <c r="W169" i="53"/>
  <c r="X169" i="53"/>
  <c r="Y169" i="53"/>
  <c r="Z169" i="53"/>
  <c r="AA169" i="53"/>
  <c r="AB169" i="53"/>
  <c r="AC169" i="53"/>
  <c r="AD169" i="53"/>
  <c r="AE169" i="53"/>
  <c r="AF169" i="53"/>
  <c r="AG169" i="53"/>
  <c r="AH169" i="53"/>
  <c r="AI169" i="53"/>
  <c r="AJ169" i="53"/>
  <c r="AK169" i="53"/>
  <c r="AL169" i="53"/>
  <c r="AM169" i="53"/>
  <c r="AN169" i="53"/>
  <c r="AO169" i="53"/>
  <c r="AP169" i="53"/>
  <c r="AQ169" i="53"/>
  <c r="AR169" i="53"/>
  <c r="AS169" i="53"/>
  <c r="AT169" i="53"/>
  <c r="AU169" i="53"/>
  <c r="AV169" i="53"/>
  <c r="E170" i="53"/>
  <c r="F170" i="53"/>
  <c r="G170" i="53"/>
  <c r="H170" i="53"/>
  <c r="I170" i="53"/>
  <c r="J170" i="53"/>
  <c r="K170" i="53"/>
  <c r="L170" i="53"/>
  <c r="M170" i="53"/>
  <c r="N170" i="53"/>
  <c r="O170" i="53"/>
  <c r="P170" i="53"/>
  <c r="Q170" i="53"/>
  <c r="R170" i="53"/>
  <c r="S170" i="53"/>
  <c r="T170" i="53"/>
  <c r="U170" i="53"/>
  <c r="V170" i="53"/>
  <c r="W170" i="53"/>
  <c r="X170" i="53"/>
  <c r="Y170" i="53"/>
  <c r="Z170" i="53"/>
  <c r="AA170" i="53"/>
  <c r="AB170" i="53"/>
  <c r="AC170" i="53"/>
  <c r="AD170" i="53"/>
  <c r="AE170" i="53"/>
  <c r="AF170" i="53"/>
  <c r="AG170" i="53"/>
  <c r="AH170" i="53"/>
  <c r="AI170" i="53"/>
  <c r="AJ170" i="53"/>
  <c r="AK170" i="53"/>
  <c r="AL170" i="53"/>
  <c r="AM170" i="53"/>
  <c r="AN170" i="53"/>
  <c r="AO170" i="53"/>
  <c r="AP170" i="53"/>
  <c r="AQ170" i="53"/>
  <c r="AR170" i="53"/>
  <c r="AS170" i="53"/>
  <c r="AT170" i="53"/>
  <c r="AU170" i="53"/>
  <c r="AV170" i="53"/>
  <c r="E171" i="53"/>
  <c r="F171" i="53"/>
  <c r="G171" i="53"/>
  <c r="H171" i="53"/>
  <c r="I171" i="53"/>
  <c r="J171" i="53"/>
  <c r="K171" i="53"/>
  <c r="L171" i="53"/>
  <c r="M171" i="53"/>
  <c r="N171" i="53"/>
  <c r="O171" i="53"/>
  <c r="P171" i="53"/>
  <c r="Q171" i="53"/>
  <c r="R171" i="53"/>
  <c r="S171" i="53"/>
  <c r="T171" i="53"/>
  <c r="U171" i="53"/>
  <c r="V171" i="53"/>
  <c r="W171" i="53"/>
  <c r="X171" i="53"/>
  <c r="Y171" i="53"/>
  <c r="Z171" i="53"/>
  <c r="AA171" i="53"/>
  <c r="AB171" i="53"/>
  <c r="AC171" i="53"/>
  <c r="AD171" i="53"/>
  <c r="AE171" i="53"/>
  <c r="AF171" i="53"/>
  <c r="AG171" i="53"/>
  <c r="AH171" i="53"/>
  <c r="AI171" i="53"/>
  <c r="AJ171" i="53"/>
  <c r="AK171" i="53"/>
  <c r="AL171" i="53"/>
  <c r="AM171" i="53"/>
  <c r="AN171" i="53"/>
  <c r="AO171" i="53"/>
  <c r="AP171" i="53"/>
  <c r="AQ171" i="53"/>
  <c r="AR171" i="53"/>
  <c r="AS171" i="53"/>
  <c r="AT171" i="53"/>
  <c r="AU171" i="53"/>
  <c r="AV171" i="53"/>
  <c r="E172" i="53"/>
  <c r="F172" i="53"/>
  <c r="G172" i="53"/>
  <c r="H172" i="53"/>
  <c r="I172" i="53"/>
  <c r="J172" i="53"/>
  <c r="K172" i="53"/>
  <c r="L172" i="53"/>
  <c r="M172" i="53"/>
  <c r="N172" i="53"/>
  <c r="O172" i="53"/>
  <c r="P172" i="53"/>
  <c r="Q172" i="53"/>
  <c r="R172" i="53"/>
  <c r="S172" i="53"/>
  <c r="T172" i="53"/>
  <c r="U172" i="53"/>
  <c r="V172" i="53"/>
  <c r="W172" i="53"/>
  <c r="X172" i="53"/>
  <c r="Y172" i="53"/>
  <c r="Z172" i="53"/>
  <c r="AA172" i="53"/>
  <c r="AB172" i="53"/>
  <c r="AC172" i="53"/>
  <c r="AD172" i="53"/>
  <c r="AE172" i="53"/>
  <c r="AF172" i="53"/>
  <c r="AG172" i="53"/>
  <c r="AH172" i="53"/>
  <c r="AI172" i="53"/>
  <c r="AJ172" i="53"/>
  <c r="AK172" i="53"/>
  <c r="AL172" i="53"/>
  <c r="AM172" i="53"/>
  <c r="AN172" i="53"/>
  <c r="AO172" i="53"/>
  <c r="AP172" i="53"/>
  <c r="AQ172" i="53"/>
  <c r="AR172" i="53"/>
  <c r="AS172" i="53"/>
  <c r="AT172" i="53"/>
  <c r="AU172" i="53"/>
  <c r="AV172" i="53"/>
  <c r="E173" i="53"/>
  <c r="F173" i="53"/>
  <c r="G173" i="53"/>
  <c r="H173" i="53"/>
  <c r="I173" i="53"/>
  <c r="J173" i="53"/>
  <c r="K173" i="53"/>
  <c r="L173" i="53"/>
  <c r="M173" i="53"/>
  <c r="N173" i="53"/>
  <c r="O173" i="53"/>
  <c r="P173" i="53"/>
  <c r="Q173" i="53"/>
  <c r="R173" i="53"/>
  <c r="S173" i="53"/>
  <c r="T173" i="53"/>
  <c r="U173" i="53"/>
  <c r="V173" i="53"/>
  <c r="W173" i="53"/>
  <c r="X173" i="53"/>
  <c r="Y173" i="53"/>
  <c r="Z173" i="53"/>
  <c r="AA173" i="53"/>
  <c r="AB173" i="53"/>
  <c r="AC173" i="53"/>
  <c r="AD173" i="53"/>
  <c r="AE173" i="53"/>
  <c r="AF173" i="53"/>
  <c r="AG173" i="53"/>
  <c r="AH173" i="53"/>
  <c r="AI173" i="53"/>
  <c r="AJ173" i="53"/>
  <c r="AK173" i="53"/>
  <c r="AL173" i="53"/>
  <c r="AM173" i="53"/>
  <c r="AN173" i="53"/>
  <c r="AO173" i="53"/>
  <c r="AP173" i="53"/>
  <c r="AQ173" i="53"/>
  <c r="AR173" i="53"/>
  <c r="AS173" i="53"/>
  <c r="AT173" i="53"/>
  <c r="AU173" i="53"/>
  <c r="AV173" i="53"/>
  <c r="D164" i="53"/>
  <c r="D165" i="53"/>
  <c r="D166" i="53"/>
  <c r="D167" i="53"/>
  <c r="D168" i="53"/>
  <c r="D169" i="53"/>
  <c r="D170" i="53"/>
  <c r="D171" i="53"/>
  <c r="D172" i="53"/>
  <c r="D173" i="53"/>
  <c r="D163" i="53"/>
  <c r="E151" i="53"/>
  <c r="F151" i="53"/>
  <c r="G151" i="53"/>
  <c r="H151" i="53"/>
  <c r="I151" i="53"/>
  <c r="J151" i="53"/>
  <c r="K151" i="53"/>
  <c r="L151" i="53"/>
  <c r="M151" i="53"/>
  <c r="N151" i="53"/>
  <c r="O151" i="53"/>
  <c r="P151" i="53"/>
  <c r="Q151" i="53"/>
  <c r="R151" i="53"/>
  <c r="S151" i="53"/>
  <c r="T151" i="53"/>
  <c r="U151" i="53"/>
  <c r="V151" i="53"/>
  <c r="W151" i="53"/>
  <c r="X151" i="53"/>
  <c r="Y151" i="53"/>
  <c r="Z151" i="53"/>
  <c r="AA151" i="53"/>
  <c r="AB151" i="53"/>
  <c r="AC151" i="53"/>
  <c r="AD151" i="53"/>
  <c r="AE151" i="53"/>
  <c r="AF151" i="53"/>
  <c r="AG151" i="53"/>
  <c r="AH151" i="53"/>
  <c r="AI151" i="53"/>
  <c r="AJ151" i="53"/>
  <c r="AK151" i="53"/>
  <c r="AL151" i="53"/>
  <c r="AM151" i="53"/>
  <c r="AN151" i="53"/>
  <c r="AO151" i="53"/>
  <c r="AP151" i="53"/>
  <c r="AQ151" i="53"/>
  <c r="AR151" i="53"/>
  <c r="AS151" i="53"/>
  <c r="AT151" i="53"/>
  <c r="AU151" i="53"/>
  <c r="AV151" i="53"/>
  <c r="E152" i="53"/>
  <c r="F152" i="53"/>
  <c r="G152" i="53"/>
  <c r="H152" i="53"/>
  <c r="I152" i="53"/>
  <c r="J152" i="53"/>
  <c r="K152" i="53"/>
  <c r="L152" i="53"/>
  <c r="M152" i="53"/>
  <c r="N152" i="53"/>
  <c r="O152" i="53"/>
  <c r="P152" i="53"/>
  <c r="Q152" i="53"/>
  <c r="R152" i="53"/>
  <c r="S152" i="53"/>
  <c r="T152" i="53"/>
  <c r="U152" i="53"/>
  <c r="V152" i="53"/>
  <c r="W152" i="53"/>
  <c r="X152" i="53"/>
  <c r="Y152" i="53"/>
  <c r="Z152" i="53"/>
  <c r="AA152" i="53"/>
  <c r="AB152" i="53"/>
  <c r="AC152" i="53"/>
  <c r="AD152" i="53"/>
  <c r="AE152" i="53"/>
  <c r="AF152" i="53"/>
  <c r="AG152" i="53"/>
  <c r="AH152" i="53"/>
  <c r="AI152" i="53"/>
  <c r="AJ152" i="53"/>
  <c r="AK152" i="53"/>
  <c r="AL152" i="53"/>
  <c r="AM152" i="53"/>
  <c r="AN152" i="53"/>
  <c r="AO152" i="53"/>
  <c r="AP152" i="53"/>
  <c r="AQ152" i="53"/>
  <c r="AR152" i="53"/>
  <c r="AS152" i="53"/>
  <c r="AT152" i="53"/>
  <c r="AU152" i="53"/>
  <c r="AV152" i="53"/>
  <c r="E153" i="53"/>
  <c r="F153" i="53"/>
  <c r="G153" i="53"/>
  <c r="H153" i="53"/>
  <c r="I153" i="53"/>
  <c r="J153" i="53"/>
  <c r="K153" i="53"/>
  <c r="L153" i="53"/>
  <c r="M153" i="53"/>
  <c r="N153" i="53"/>
  <c r="O153" i="53"/>
  <c r="P153" i="53"/>
  <c r="Q153" i="53"/>
  <c r="R153" i="53"/>
  <c r="S153" i="53"/>
  <c r="T153" i="53"/>
  <c r="U153" i="53"/>
  <c r="V153" i="53"/>
  <c r="W153" i="53"/>
  <c r="X153" i="53"/>
  <c r="Y153" i="53"/>
  <c r="Z153" i="53"/>
  <c r="AA153" i="53"/>
  <c r="AB153" i="53"/>
  <c r="AC153" i="53"/>
  <c r="AD153" i="53"/>
  <c r="AE153" i="53"/>
  <c r="AF153" i="53"/>
  <c r="AG153" i="53"/>
  <c r="AH153" i="53"/>
  <c r="AI153" i="53"/>
  <c r="AJ153" i="53"/>
  <c r="AK153" i="53"/>
  <c r="AL153" i="53"/>
  <c r="AM153" i="53"/>
  <c r="AN153" i="53"/>
  <c r="AO153" i="53"/>
  <c r="AP153" i="53"/>
  <c r="AQ153" i="53"/>
  <c r="AR153" i="53"/>
  <c r="AS153" i="53"/>
  <c r="AT153" i="53"/>
  <c r="AU153" i="53"/>
  <c r="AV153" i="53"/>
  <c r="E154" i="53"/>
  <c r="F154" i="53"/>
  <c r="G154" i="53"/>
  <c r="H154" i="53"/>
  <c r="I154" i="53"/>
  <c r="J154" i="53"/>
  <c r="K154" i="53"/>
  <c r="L154" i="53"/>
  <c r="M154" i="53"/>
  <c r="N154" i="53"/>
  <c r="O154" i="53"/>
  <c r="P154" i="53"/>
  <c r="Q154" i="53"/>
  <c r="R154" i="53"/>
  <c r="S154" i="53"/>
  <c r="T154" i="53"/>
  <c r="U154" i="53"/>
  <c r="V154" i="53"/>
  <c r="W154" i="53"/>
  <c r="X154" i="53"/>
  <c r="Y154" i="53"/>
  <c r="Z154" i="53"/>
  <c r="AA154" i="53"/>
  <c r="AB154" i="53"/>
  <c r="AC154" i="53"/>
  <c r="AD154" i="53"/>
  <c r="AE154" i="53"/>
  <c r="AF154" i="53"/>
  <c r="AG154" i="53"/>
  <c r="AH154" i="53"/>
  <c r="AI154" i="53"/>
  <c r="AJ154" i="53"/>
  <c r="AK154" i="53"/>
  <c r="AL154" i="53"/>
  <c r="AM154" i="53"/>
  <c r="AN154" i="53"/>
  <c r="AO154" i="53"/>
  <c r="AP154" i="53"/>
  <c r="AQ154" i="53"/>
  <c r="AR154" i="53"/>
  <c r="AS154" i="53"/>
  <c r="AT154" i="53"/>
  <c r="AU154" i="53"/>
  <c r="AV154" i="53"/>
  <c r="E155" i="53"/>
  <c r="F155" i="53"/>
  <c r="G155" i="53"/>
  <c r="H155" i="53"/>
  <c r="I155" i="53"/>
  <c r="J155" i="53"/>
  <c r="K155" i="53"/>
  <c r="L155" i="53"/>
  <c r="M155" i="53"/>
  <c r="N155" i="53"/>
  <c r="O155" i="53"/>
  <c r="P155" i="53"/>
  <c r="Q155" i="53"/>
  <c r="R155" i="53"/>
  <c r="S155" i="53"/>
  <c r="T155" i="53"/>
  <c r="U155" i="53"/>
  <c r="V155" i="53"/>
  <c r="W155" i="53"/>
  <c r="X155" i="53"/>
  <c r="Y155" i="53"/>
  <c r="Z155" i="53"/>
  <c r="AA155" i="53"/>
  <c r="AB155" i="53"/>
  <c r="AC155" i="53"/>
  <c r="AD155" i="53"/>
  <c r="AE155" i="53"/>
  <c r="AF155" i="53"/>
  <c r="AG155" i="53"/>
  <c r="AH155" i="53"/>
  <c r="AI155" i="53"/>
  <c r="AJ155" i="53"/>
  <c r="AK155" i="53"/>
  <c r="AL155" i="53"/>
  <c r="AM155" i="53"/>
  <c r="AN155" i="53"/>
  <c r="AO155" i="53"/>
  <c r="AP155" i="53"/>
  <c r="AQ155" i="53"/>
  <c r="AR155" i="53"/>
  <c r="AS155" i="53"/>
  <c r="AT155" i="53"/>
  <c r="AU155" i="53"/>
  <c r="AV155" i="53"/>
  <c r="E156" i="53"/>
  <c r="F156" i="53"/>
  <c r="G156" i="53"/>
  <c r="H156" i="53"/>
  <c r="I156" i="53"/>
  <c r="J156" i="53"/>
  <c r="K156" i="53"/>
  <c r="L156" i="53"/>
  <c r="M156" i="53"/>
  <c r="N156" i="53"/>
  <c r="O156" i="53"/>
  <c r="P156" i="53"/>
  <c r="Q156" i="53"/>
  <c r="R156" i="53"/>
  <c r="S156" i="53"/>
  <c r="T156" i="53"/>
  <c r="U156" i="53"/>
  <c r="V156" i="53"/>
  <c r="W156" i="53"/>
  <c r="X156" i="53"/>
  <c r="Y156" i="53"/>
  <c r="Z156" i="53"/>
  <c r="AA156" i="53"/>
  <c r="AB156" i="53"/>
  <c r="AC156" i="53"/>
  <c r="AD156" i="53"/>
  <c r="AE156" i="53"/>
  <c r="AF156" i="53"/>
  <c r="AG156" i="53"/>
  <c r="AH156" i="53"/>
  <c r="AI156" i="53"/>
  <c r="AJ156" i="53"/>
  <c r="AK156" i="53"/>
  <c r="AL156" i="53"/>
  <c r="AM156" i="53"/>
  <c r="AN156" i="53"/>
  <c r="AO156" i="53"/>
  <c r="AP156" i="53"/>
  <c r="AQ156" i="53"/>
  <c r="AR156" i="53"/>
  <c r="AS156" i="53"/>
  <c r="AT156" i="53"/>
  <c r="AU156" i="53"/>
  <c r="AV156" i="53"/>
  <c r="E157" i="53"/>
  <c r="F157" i="53"/>
  <c r="G157" i="53"/>
  <c r="H157" i="53"/>
  <c r="I157" i="53"/>
  <c r="J157" i="53"/>
  <c r="K157" i="53"/>
  <c r="L157" i="53"/>
  <c r="M157" i="53"/>
  <c r="N157" i="53"/>
  <c r="O157" i="53"/>
  <c r="P157" i="53"/>
  <c r="Q157" i="53"/>
  <c r="R157" i="53"/>
  <c r="S157" i="53"/>
  <c r="T157" i="53"/>
  <c r="U157" i="53"/>
  <c r="V157" i="53"/>
  <c r="W157" i="53"/>
  <c r="X157" i="53"/>
  <c r="Y157" i="53"/>
  <c r="Z157" i="53"/>
  <c r="AA157" i="53"/>
  <c r="AB157" i="53"/>
  <c r="AC157" i="53"/>
  <c r="AD157" i="53"/>
  <c r="AE157" i="53"/>
  <c r="AF157" i="53"/>
  <c r="AG157" i="53"/>
  <c r="AH157" i="53"/>
  <c r="AI157" i="53"/>
  <c r="AJ157" i="53"/>
  <c r="AK157" i="53"/>
  <c r="AL157" i="53"/>
  <c r="AM157" i="53"/>
  <c r="AN157" i="53"/>
  <c r="AO157" i="53"/>
  <c r="AP157" i="53"/>
  <c r="AQ157" i="53"/>
  <c r="AR157" i="53"/>
  <c r="AS157" i="53"/>
  <c r="AT157" i="53"/>
  <c r="AU157" i="53"/>
  <c r="AV157" i="53"/>
  <c r="E158" i="53"/>
  <c r="F158" i="53"/>
  <c r="G158" i="53"/>
  <c r="H158" i="53"/>
  <c r="I158" i="53"/>
  <c r="J158" i="53"/>
  <c r="K158" i="53"/>
  <c r="L158" i="53"/>
  <c r="M158" i="53"/>
  <c r="N158" i="53"/>
  <c r="O158" i="53"/>
  <c r="P158" i="53"/>
  <c r="Q158" i="53"/>
  <c r="R158" i="53"/>
  <c r="S158" i="53"/>
  <c r="T158" i="53"/>
  <c r="U158" i="53"/>
  <c r="V158" i="53"/>
  <c r="W158" i="53"/>
  <c r="X158" i="53"/>
  <c r="Y158" i="53"/>
  <c r="Z158" i="53"/>
  <c r="AA158" i="53"/>
  <c r="AB158" i="53"/>
  <c r="AC158" i="53"/>
  <c r="AD158" i="53"/>
  <c r="AE158" i="53"/>
  <c r="AF158" i="53"/>
  <c r="AG158" i="53"/>
  <c r="AH158" i="53"/>
  <c r="AI158" i="53"/>
  <c r="AJ158" i="53"/>
  <c r="AK158" i="53"/>
  <c r="AL158" i="53"/>
  <c r="AM158" i="53"/>
  <c r="AN158" i="53"/>
  <c r="AO158" i="53"/>
  <c r="AP158" i="53"/>
  <c r="AQ158" i="53"/>
  <c r="AR158" i="53"/>
  <c r="AS158" i="53"/>
  <c r="AT158" i="53"/>
  <c r="AU158" i="53"/>
  <c r="AV158" i="53"/>
  <c r="E159" i="53"/>
  <c r="F159" i="53"/>
  <c r="G159" i="53"/>
  <c r="H159" i="53"/>
  <c r="I159" i="53"/>
  <c r="J159" i="53"/>
  <c r="K159" i="53"/>
  <c r="L159" i="53"/>
  <c r="M159" i="53"/>
  <c r="N159" i="53"/>
  <c r="O159" i="53"/>
  <c r="P159" i="53"/>
  <c r="Q159" i="53"/>
  <c r="R159" i="53"/>
  <c r="S159" i="53"/>
  <c r="T159" i="53"/>
  <c r="U159" i="53"/>
  <c r="V159" i="53"/>
  <c r="W159" i="53"/>
  <c r="X159" i="53"/>
  <c r="Y159" i="53"/>
  <c r="Z159" i="53"/>
  <c r="AA159" i="53"/>
  <c r="AB159" i="53"/>
  <c r="AC159" i="53"/>
  <c r="AD159" i="53"/>
  <c r="AE159" i="53"/>
  <c r="AF159" i="53"/>
  <c r="AG159" i="53"/>
  <c r="AH159" i="53"/>
  <c r="AI159" i="53"/>
  <c r="AJ159" i="53"/>
  <c r="AK159" i="53"/>
  <c r="AL159" i="53"/>
  <c r="AM159" i="53"/>
  <c r="AN159" i="53"/>
  <c r="AO159" i="53"/>
  <c r="AP159" i="53"/>
  <c r="AQ159" i="53"/>
  <c r="AR159" i="53"/>
  <c r="AS159" i="53"/>
  <c r="AT159" i="53"/>
  <c r="AU159" i="53"/>
  <c r="AV159" i="53"/>
  <c r="E160" i="53"/>
  <c r="F160" i="53"/>
  <c r="G160" i="53"/>
  <c r="H160" i="53"/>
  <c r="I160" i="53"/>
  <c r="J160" i="53"/>
  <c r="K160" i="53"/>
  <c r="L160" i="53"/>
  <c r="M160" i="53"/>
  <c r="N160" i="53"/>
  <c r="O160" i="53"/>
  <c r="P160" i="53"/>
  <c r="Q160" i="53"/>
  <c r="R160" i="53"/>
  <c r="S160" i="53"/>
  <c r="T160" i="53"/>
  <c r="U160" i="53"/>
  <c r="V160" i="53"/>
  <c r="W160" i="53"/>
  <c r="X160" i="53"/>
  <c r="Y160" i="53"/>
  <c r="Z160" i="53"/>
  <c r="AA160" i="53"/>
  <c r="AB160" i="53"/>
  <c r="AC160" i="53"/>
  <c r="AD160" i="53"/>
  <c r="AE160" i="53"/>
  <c r="AF160" i="53"/>
  <c r="AG160" i="53"/>
  <c r="AH160" i="53"/>
  <c r="AI160" i="53"/>
  <c r="AJ160" i="53"/>
  <c r="AK160" i="53"/>
  <c r="AL160" i="53"/>
  <c r="AM160" i="53"/>
  <c r="AN160" i="53"/>
  <c r="AO160" i="53"/>
  <c r="AP160" i="53"/>
  <c r="AQ160" i="53"/>
  <c r="AR160" i="53"/>
  <c r="AS160" i="53"/>
  <c r="AT160" i="53"/>
  <c r="AU160" i="53"/>
  <c r="AV160" i="53"/>
  <c r="E161" i="53"/>
  <c r="F161" i="53"/>
  <c r="G161" i="53"/>
  <c r="H161" i="53"/>
  <c r="I161" i="53"/>
  <c r="J161" i="53"/>
  <c r="K161" i="53"/>
  <c r="L161" i="53"/>
  <c r="M161" i="53"/>
  <c r="N161" i="53"/>
  <c r="O161" i="53"/>
  <c r="P161" i="53"/>
  <c r="Q161" i="53"/>
  <c r="R161" i="53"/>
  <c r="S161" i="53"/>
  <c r="T161" i="53"/>
  <c r="U161" i="53"/>
  <c r="V161" i="53"/>
  <c r="W161" i="53"/>
  <c r="X161" i="53"/>
  <c r="Y161" i="53"/>
  <c r="Z161" i="53"/>
  <c r="AA161" i="53"/>
  <c r="AB161" i="53"/>
  <c r="AC161" i="53"/>
  <c r="AD161" i="53"/>
  <c r="AE161" i="53"/>
  <c r="AF161" i="53"/>
  <c r="AG161" i="53"/>
  <c r="AH161" i="53"/>
  <c r="AI161" i="53"/>
  <c r="AJ161" i="53"/>
  <c r="AK161" i="53"/>
  <c r="AL161" i="53"/>
  <c r="AM161" i="53"/>
  <c r="AN161" i="53"/>
  <c r="AO161" i="53"/>
  <c r="AP161" i="53"/>
  <c r="AQ161" i="53"/>
  <c r="AR161" i="53"/>
  <c r="AS161" i="53"/>
  <c r="AT161" i="53"/>
  <c r="AU161" i="53"/>
  <c r="AV161" i="53"/>
  <c r="D152" i="53"/>
  <c r="D153" i="53"/>
  <c r="D154" i="53"/>
  <c r="D155" i="53"/>
  <c r="D156" i="53"/>
  <c r="D157" i="53"/>
  <c r="D158" i="53"/>
  <c r="D159" i="53"/>
  <c r="D160" i="53"/>
  <c r="D161" i="53"/>
  <c r="D151" i="53"/>
  <c r="E139" i="53"/>
  <c r="F139" i="53"/>
  <c r="G139" i="53"/>
  <c r="H139" i="53"/>
  <c r="I139" i="53"/>
  <c r="J139" i="53"/>
  <c r="K139" i="53"/>
  <c r="L139" i="53"/>
  <c r="M139" i="53"/>
  <c r="N139" i="53"/>
  <c r="O139" i="53"/>
  <c r="P139" i="53"/>
  <c r="Q139" i="53"/>
  <c r="R139" i="53"/>
  <c r="S139" i="53"/>
  <c r="T139" i="53"/>
  <c r="U139" i="53"/>
  <c r="V139" i="53"/>
  <c r="W139" i="53"/>
  <c r="X139" i="53"/>
  <c r="Y139" i="53"/>
  <c r="Z139" i="53"/>
  <c r="AA139" i="53"/>
  <c r="AB139" i="53"/>
  <c r="AC139" i="53"/>
  <c r="AD139" i="53"/>
  <c r="AE139" i="53"/>
  <c r="AF139" i="53"/>
  <c r="AG139" i="53"/>
  <c r="AH139" i="53"/>
  <c r="AI139" i="53"/>
  <c r="AJ139" i="53"/>
  <c r="AK139" i="53"/>
  <c r="AL139" i="53"/>
  <c r="AM139" i="53"/>
  <c r="AN139" i="53"/>
  <c r="AO139" i="53"/>
  <c r="AP139" i="53"/>
  <c r="AQ139" i="53"/>
  <c r="AR139" i="53"/>
  <c r="AS139" i="53"/>
  <c r="AT139" i="53"/>
  <c r="AU139" i="53"/>
  <c r="AV139" i="53"/>
  <c r="E140" i="53"/>
  <c r="F140" i="53"/>
  <c r="G140" i="53"/>
  <c r="H140" i="53"/>
  <c r="I140" i="53"/>
  <c r="J140" i="53"/>
  <c r="K140" i="53"/>
  <c r="L140" i="53"/>
  <c r="M140" i="53"/>
  <c r="N140" i="53"/>
  <c r="O140" i="53"/>
  <c r="P140" i="53"/>
  <c r="Q140" i="53"/>
  <c r="R140" i="53"/>
  <c r="S140" i="53"/>
  <c r="T140" i="53"/>
  <c r="U140" i="53"/>
  <c r="V140" i="53"/>
  <c r="W140" i="53"/>
  <c r="E141" i="53"/>
  <c r="F141" i="53"/>
  <c r="G141" i="53"/>
  <c r="H141" i="53"/>
  <c r="I141" i="53"/>
  <c r="J141" i="53"/>
  <c r="K141" i="53"/>
  <c r="L141" i="53"/>
  <c r="M141" i="53"/>
  <c r="N141" i="53"/>
  <c r="O141" i="53"/>
  <c r="P141" i="53"/>
  <c r="Q141" i="53"/>
  <c r="R141" i="53"/>
  <c r="S141" i="53"/>
  <c r="T141" i="53"/>
  <c r="U141" i="53"/>
  <c r="V141" i="53"/>
  <c r="W141" i="53"/>
  <c r="E142" i="53"/>
  <c r="F142" i="53"/>
  <c r="G142" i="53"/>
  <c r="H142" i="53"/>
  <c r="I142" i="53"/>
  <c r="J142" i="53"/>
  <c r="K142" i="53"/>
  <c r="L142" i="53"/>
  <c r="M142" i="53"/>
  <c r="N142" i="53"/>
  <c r="O142" i="53"/>
  <c r="P142" i="53"/>
  <c r="Q142" i="53"/>
  <c r="R142" i="53"/>
  <c r="S142" i="53"/>
  <c r="T142" i="53"/>
  <c r="U142" i="53"/>
  <c r="V142" i="53"/>
  <c r="W142" i="53"/>
  <c r="E143" i="53"/>
  <c r="F143" i="53"/>
  <c r="G143" i="53"/>
  <c r="H143" i="53"/>
  <c r="I143" i="53"/>
  <c r="J143" i="53"/>
  <c r="K143" i="53"/>
  <c r="L143" i="53"/>
  <c r="M143" i="53"/>
  <c r="N143" i="53"/>
  <c r="O143" i="53"/>
  <c r="P143" i="53"/>
  <c r="Q143" i="53"/>
  <c r="R143" i="53"/>
  <c r="S143" i="53"/>
  <c r="T143" i="53"/>
  <c r="U143" i="53"/>
  <c r="V143" i="53"/>
  <c r="W143" i="53"/>
  <c r="X143" i="53"/>
  <c r="Y143" i="53"/>
  <c r="Z143" i="53"/>
  <c r="AA143" i="53"/>
  <c r="AC143" i="53"/>
  <c r="AD143" i="53"/>
  <c r="AE143" i="53"/>
  <c r="AF143" i="53"/>
  <c r="AH143" i="53"/>
  <c r="AI143" i="53"/>
  <c r="AJ143" i="53"/>
  <c r="AK143" i="53"/>
  <c r="AM143" i="53"/>
  <c r="AN143" i="53"/>
  <c r="AO143" i="53"/>
  <c r="AP143" i="53"/>
  <c r="AR143" i="53"/>
  <c r="AS143" i="53"/>
  <c r="AT143" i="53"/>
  <c r="AU143" i="53"/>
  <c r="E144" i="53"/>
  <c r="F144" i="53"/>
  <c r="G144" i="53"/>
  <c r="H144" i="53"/>
  <c r="I144" i="53"/>
  <c r="J144" i="53"/>
  <c r="K144" i="53"/>
  <c r="L144" i="53"/>
  <c r="M144" i="53"/>
  <c r="N144" i="53"/>
  <c r="O144" i="53"/>
  <c r="P144" i="53"/>
  <c r="Q144" i="53"/>
  <c r="R144" i="53"/>
  <c r="S144" i="53"/>
  <c r="T144" i="53"/>
  <c r="U144" i="53"/>
  <c r="V144" i="53"/>
  <c r="W144" i="53"/>
  <c r="X144" i="53"/>
  <c r="Y144" i="53"/>
  <c r="Z144" i="53"/>
  <c r="AA144" i="53"/>
  <c r="AB144" i="53"/>
  <c r="AC144" i="53"/>
  <c r="AD144" i="53"/>
  <c r="AE144" i="53"/>
  <c r="AF144" i="53"/>
  <c r="AG144" i="53"/>
  <c r="AH144" i="53"/>
  <c r="AI144" i="53"/>
  <c r="AJ144" i="53"/>
  <c r="AK144" i="53"/>
  <c r="AL144" i="53"/>
  <c r="AM144" i="53"/>
  <c r="AN144" i="53"/>
  <c r="AO144" i="53"/>
  <c r="AP144" i="53"/>
  <c r="AQ144" i="53"/>
  <c r="AR144" i="53"/>
  <c r="AS144" i="53"/>
  <c r="AT144" i="53"/>
  <c r="AU144" i="53"/>
  <c r="AV144" i="53"/>
  <c r="E145" i="53"/>
  <c r="F145" i="53"/>
  <c r="G145" i="53"/>
  <c r="H145" i="53"/>
  <c r="I145" i="53"/>
  <c r="J145" i="53"/>
  <c r="K145" i="53"/>
  <c r="L145" i="53"/>
  <c r="M145" i="53"/>
  <c r="N145" i="53"/>
  <c r="O145" i="53"/>
  <c r="P145" i="53"/>
  <c r="Q145" i="53"/>
  <c r="R145" i="53"/>
  <c r="S145" i="53"/>
  <c r="T145" i="53"/>
  <c r="U145" i="53"/>
  <c r="V145" i="53"/>
  <c r="W145" i="53"/>
  <c r="X145" i="53"/>
  <c r="Y145" i="53"/>
  <c r="Z145" i="53"/>
  <c r="AA145" i="53"/>
  <c r="AB145" i="53"/>
  <c r="AC145" i="53"/>
  <c r="AD145" i="53"/>
  <c r="AE145" i="53"/>
  <c r="AF145" i="53"/>
  <c r="AG145" i="53"/>
  <c r="AH145" i="53"/>
  <c r="AI145" i="53"/>
  <c r="AJ145" i="53"/>
  <c r="AK145" i="53"/>
  <c r="AL145" i="53"/>
  <c r="AM145" i="53"/>
  <c r="AN145" i="53"/>
  <c r="AO145" i="53"/>
  <c r="AP145" i="53"/>
  <c r="AQ145" i="53"/>
  <c r="AR145" i="53"/>
  <c r="AS145" i="53"/>
  <c r="AT145" i="53"/>
  <c r="AU145" i="53"/>
  <c r="AV145" i="53"/>
  <c r="E146" i="53"/>
  <c r="F146" i="53"/>
  <c r="G146" i="53"/>
  <c r="H146" i="53"/>
  <c r="I146" i="53"/>
  <c r="J146" i="53"/>
  <c r="K146" i="53"/>
  <c r="L146" i="53"/>
  <c r="M146" i="53"/>
  <c r="N146" i="53"/>
  <c r="O146" i="53"/>
  <c r="P146" i="53"/>
  <c r="Q146" i="53"/>
  <c r="R146" i="53"/>
  <c r="S146" i="53"/>
  <c r="T146" i="53"/>
  <c r="U146" i="53"/>
  <c r="V146" i="53"/>
  <c r="W146" i="53"/>
  <c r="E147" i="53"/>
  <c r="F147" i="53"/>
  <c r="G147" i="53"/>
  <c r="H147" i="53"/>
  <c r="I147" i="53"/>
  <c r="J147" i="53"/>
  <c r="K147" i="53"/>
  <c r="L147" i="53"/>
  <c r="M147" i="53"/>
  <c r="N147" i="53"/>
  <c r="O147" i="53"/>
  <c r="P147" i="53"/>
  <c r="Q147" i="53"/>
  <c r="R147" i="53"/>
  <c r="S147" i="53"/>
  <c r="T147" i="53"/>
  <c r="U147" i="53"/>
  <c r="V147" i="53"/>
  <c r="W147" i="53"/>
  <c r="E148" i="53"/>
  <c r="F148" i="53"/>
  <c r="G148" i="53"/>
  <c r="H148" i="53"/>
  <c r="I148" i="53"/>
  <c r="J148" i="53"/>
  <c r="K148" i="53"/>
  <c r="L148" i="53"/>
  <c r="M148" i="53"/>
  <c r="N148" i="53"/>
  <c r="O148" i="53"/>
  <c r="P148" i="53"/>
  <c r="Q148" i="53"/>
  <c r="R148" i="53"/>
  <c r="S148" i="53"/>
  <c r="T148" i="53"/>
  <c r="U148" i="53"/>
  <c r="V148" i="53"/>
  <c r="W148" i="53"/>
  <c r="E149" i="53"/>
  <c r="F149" i="53"/>
  <c r="G149" i="53"/>
  <c r="H149" i="53"/>
  <c r="I149" i="53"/>
  <c r="J149" i="53"/>
  <c r="K149" i="53"/>
  <c r="L149" i="53"/>
  <c r="M149" i="53"/>
  <c r="N149" i="53"/>
  <c r="O149" i="53"/>
  <c r="P149" i="53"/>
  <c r="Q149" i="53"/>
  <c r="R149" i="53"/>
  <c r="S149" i="53"/>
  <c r="T149" i="53"/>
  <c r="U149" i="53"/>
  <c r="V149" i="53"/>
  <c r="W149" i="53"/>
  <c r="X149" i="53"/>
  <c r="Y149" i="53"/>
  <c r="Z149" i="53"/>
  <c r="AA149" i="53"/>
  <c r="AB149" i="53"/>
  <c r="AC149" i="53"/>
  <c r="AD149" i="53"/>
  <c r="AE149" i="53"/>
  <c r="AF149" i="53"/>
  <c r="AG149" i="53"/>
  <c r="AH149" i="53"/>
  <c r="AI149" i="53"/>
  <c r="AJ149" i="53"/>
  <c r="AK149" i="53"/>
  <c r="AM149" i="53"/>
  <c r="AN149" i="53"/>
  <c r="AO149" i="53"/>
  <c r="AP149" i="53"/>
  <c r="AQ149" i="53"/>
  <c r="AR149" i="53"/>
  <c r="AS149" i="53"/>
  <c r="AT149" i="53"/>
  <c r="AU149" i="53"/>
  <c r="AV149" i="53"/>
  <c r="D140" i="53"/>
  <c r="D141" i="53"/>
  <c r="D142" i="53"/>
  <c r="D143" i="53"/>
  <c r="D144" i="53"/>
  <c r="D145" i="53"/>
  <c r="D146" i="53"/>
  <c r="D147" i="53"/>
  <c r="D148" i="53"/>
  <c r="D149" i="53"/>
  <c r="D139" i="53"/>
  <c r="E133" i="53"/>
  <c r="F133" i="53"/>
  <c r="G133" i="53"/>
  <c r="H133" i="53"/>
  <c r="I133" i="53"/>
  <c r="J133" i="53"/>
  <c r="K133" i="53"/>
  <c r="L133" i="53"/>
  <c r="M133" i="53"/>
  <c r="N133" i="53"/>
  <c r="O133" i="53"/>
  <c r="P133" i="53"/>
  <c r="Q133" i="53"/>
  <c r="R133" i="53"/>
  <c r="S133" i="53"/>
  <c r="T133" i="53"/>
  <c r="U133" i="53"/>
  <c r="V133" i="53"/>
  <c r="W133" i="53"/>
  <c r="AB133" i="53"/>
  <c r="AG133" i="53"/>
  <c r="AL133" i="53"/>
  <c r="AQ133" i="53"/>
  <c r="AV133" i="53"/>
  <c r="E134" i="53"/>
  <c r="F134" i="53"/>
  <c r="G134" i="53"/>
  <c r="H134" i="53"/>
  <c r="I134" i="53"/>
  <c r="J134" i="53"/>
  <c r="K134" i="53"/>
  <c r="L134" i="53"/>
  <c r="M134" i="53"/>
  <c r="N134" i="53"/>
  <c r="O134" i="53"/>
  <c r="P134" i="53"/>
  <c r="Q134" i="53"/>
  <c r="R134" i="53"/>
  <c r="S134" i="53"/>
  <c r="T134" i="53"/>
  <c r="U134" i="53"/>
  <c r="V134" i="53"/>
  <c r="W134" i="53"/>
  <c r="X134" i="53"/>
  <c r="Y134" i="53"/>
  <c r="Z134" i="53"/>
  <c r="AA134" i="53"/>
  <c r="AB134" i="53"/>
  <c r="AC134" i="53"/>
  <c r="AD134" i="53"/>
  <c r="AE134" i="53"/>
  <c r="AF134" i="53"/>
  <c r="AG134" i="53"/>
  <c r="AH134" i="53"/>
  <c r="AI134" i="53"/>
  <c r="AJ134" i="53"/>
  <c r="AK134" i="53"/>
  <c r="AL134" i="53"/>
  <c r="AQ134" i="53"/>
  <c r="AV134" i="53"/>
  <c r="E135" i="53"/>
  <c r="F135" i="53"/>
  <c r="G135" i="53"/>
  <c r="H135" i="53"/>
  <c r="I135" i="53"/>
  <c r="J135" i="53"/>
  <c r="K135" i="53"/>
  <c r="L135" i="53"/>
  <c r="M135" i="53"/>
  <c r="N135" i="53"/>
  <c r="O135" i="53"/>
  <c r="P135" i="53"/>
  <c r="Q135" i="53"/>
  <c r="R135" i="53"/>
  <c r="S135" i="53"/>
  <c r="T135" i="53"/>
  <c r="U135" i="53"/>
  <c r="V135" i="53"/>
  <c r="W135" i="53"/>
  <c r="X135" i="53"/>
  <c r="Y135" i="53"/>
  <c r="Z135" i="53"/>
  <c r="AA135" i="53"/>
  <c r="AB135" i="53"/>
  <c r="AC135" i="53"/>
  <c r="AD135" i="53"/>
  <c r="AE135" i="53"/>
  <c r="AF135" i="53"/>
  <c r="AG135" i="53"/>
  <c r="AH135" i="53"/>
  <c r="AI135" i="53"/>
  <c r="AJ135" i="53"/>
  <c r="AK135" i="53"/>
  <c r="AL135" i="53"/>
  <c r="AM135" i="53"/>
  <c r="AN135" i="53"/>
  <c r="AO135" i="53"/>
  <c r="AP135" i="53"/>
  <c r="AQ135" i="53"/>
  <c r="AR135" i="53"/>
  <c r="AS135" i="53"/>
  <c r="AT135" i="53"/>
  <c r="AU135" i="53"/>
  <c r="AV135" i="53"/>
  <c r="E136" i="53"/>
  <c r="F136" i="53"/>
  <c r="G136" i="53"/>
  <c r="H136" i="53"/>
  <c r="I136" i="53"/>
  <c r="J136" i="53"/>
  <c r="K136" i="53"/>
  <c r="L136" i="53"/>
  <c r="M136" i="53"/>
  <c r="N136" i="53"/>
  <c r="O136" i="53"/>
  <c r="P136" i="53"/>
  <c r="Q136" i="53"/>
  <c r="R136" i="53"/>
  <c r="S136" i="53"/>
  <c r="T136" i="53"/>
  <c r="U136" i="53"/>
  <c r="V136" i="53"/>
  <c r="W136" i="53"/>
  <c r="X136" i="53"/>
  <c r="Y136" i="53"/>
  <c r="Z136" i="53"/>
  <c r="AA136" i="53"/>
  <c r="AB136" i="53"/>
  <c r="AC136" i="53"/>
  <c r="AD136" i="53"/>
  <c r="AE136" i="53"/>
  <c r="AF136" i="53"/>
  <c r="AG136" i="53"/>
  <c r="AH136" i="53"/>
  <c r="AI136" i="53"/>
  <c r="AJ136" i="53"/>
  <c r="AK136" i="53"/>
  <c r="AL136" i="53"/>
  <c r="AM136" i="53"/>
  <c r="AN136" i="53"/>
  <c r="AO136" i="53"/>
  <c r="AP136" i="53"/>
  <c r="AQ136" i="53"/>
  <c r="AR136" i="53"/>
  <c r="AS136" i="53"/>
  <c r="AT136" i="53"/>
  <c r="AU136" i="53"/>
  <c r="AV136" i="53"/>
  <c r="E137" i="53"/>
  <c r="F137" i="53"/>
  <c r="G137" i="53"/>
  <c r="H137" i="53"/>
  <c r="I137" i="53"/>
  <c r="J137" i="53"/>
  <c r="K137" i="53"/>
  <c r="L137" i="53"/>
  <c r="M137" i="53"/>
  <c r="N137" i="53"/>
  <c r="O137" i="53"/>
  <c r="P137" i="53"/>
  <c r="Q137" i="53"/>
  <c r="R137" i="53"/>
  <c r="S137" i="53"/>
  <c r="T137" i="53"/>
  <c r="U137" i="53"/>
  <c r="V137" i="53"/>
  <c r="W137" i="53"/>
  <c r="AB137" i="53"/>
  <c r="AG137" i="53"/>
  <c r="AL137" i="53"/>
  <c r="AQ137" i="53"/>
  <c r="AV137" i="53"/>
  <c r="D137" i="53"/>
  <c r="D134" i="53"/>
  <c r="D135" i="53"/>
  <c r="D136" i="53"/>
  <c r="D133" i="53"/>
  <c r="E123" i="53"/>
  <c r="F123" i="53"/>
  <c r="G123" i="53"/>
  <c r="H123" i="53"/>
  <c r="I123" i="53"/>
  <c r="J123" i="53"/>
  <c r="K123" i="53"/>
  <c r="L123" i="53"/>
  <c r="M123" i="53"/>
  <c r="N123" i="53"/>
  <c r="O123" i="53"/>
  <c r="P123" i="53"/>
  <c r="Q123" i="53"/>
  <c r="R123" i="53"/>
  <c r="S123" i="53"/>
  <c r="T123" i="53"/>
  <c r="U123" i="53"/>
  <c r="V123" i="53"/>
  <c r="W123" i="53"/>
  <c r="X123" i="53"/>
  <c r="Y123" i="53"/>
  <c r="Z123" i="53"/>
  <c r="AA123" i="53"/>
  <c r="AB123" i="53"/>
  <c r="AC123" i="53"/>
  <c r="AD123" i="53"/>
  <c r="AE123" i="53"/>
  <c r="AF123" i="53"/>
  <c r="AG123" i="53"/>
  <c r="AH123" i="53"/>
  <c r="AI123" i="53"/>
  <c r="AJ123" i="53"/>
  <c r="AK123" i="53"/>
  <c r="AL123" i="53"/>
  <c r="AM123" i="53"/>
  <c r="AN123" i="53"/>
  <c r="AO123" i="53"/>
  <c r="AP123" i="53"/>
  <c r="AQ123" i="53"/>
  <c r="AR123" i="53"/>
  <c r="AS123" i="53"/>
  <c r="AT123" i="53"/>
  <c r="AU123" i="53"/>
  <c r="AV123" i="53"/>
  <c r="E124" i="53"/>
  <c r="F124" i="53"/>
  <c r="G124" i="53"/>
  <c r="H124" i="53"/>
  <c r="I124" i="53"/>
  <c r="J124" i="53"/>
  <c r="K124" i="53"/>
  <c r="L124" i="53"/>
  <c r="M124" i="53"/>
  <c r="N124" i="53"/>
  <c r="O124" i="53"/>
  <c r="P124" i="53"/>
  <c r="Q124" i="53"/>
  <c r="R124" i="53"/>
  <c r="S124" i="53"/>
  <c r="T124" i="53"/>
  <c r="U124" i="53"/>
  <c r="V124" i="53"/>
  <c r="W124" i="53"/>
  <c r="X124" i="53"/>
  <c r="Y124" i="53"/>
  <c r="Z124" i="53"/>
  <c r="AA124" i="53"/>
  <c r="AB124" i="53"/>
  <c r="AC124" i="53"/>
  <c r="AD124" i="53"/>
  <c r="AE124" i="53"/>
  <c r="AF124" i="53"/>
  <c r="AG124" i="53"/>
  <c r="AH124" i="53"/>
  <c r="AI124" i="53"/>
  <c r="AJ124" i="53"/>
  <c r="AK124" i="53"/>
  <c r="AL124" i="53"/>
  <c r="AM124" i="53"/>
  <c r="AN124" i="53"/>
  <c r="AO124" i="53"/>
  <c r="AP124" i="53"/>
  <c r="AQ124" i="53"/>
  <c r="AR124" i="53"/>
  <c r="AS124" i="53"/>
  <c r="AT124" i="53"/>
  <c r="AU124" i="53"/>
  <c r="AV124" i="53"/>
  <c r="E125" i="53"/>
  <c r="F125" i="53"/>
  <c r="G125" i="53"/>
  <c r="H125" i="53"/>
  <c r="I125" i="53"/>
  <c r="J125" i="53"/>
  <c r="K125" i="53"/>
  <c r="L125" i="53"/>
  <c r="M125" i="53"/>
  <c r="N125" i="53"/>
  <c r="O125" i="53"/>
  <c r="P125" i="53"/>
  <c r="Q125" i="53"/>
  <c r="R125" i="53"/>
  <c r="S125" i="53"/>
  <c r="T125" i="53"/>
  <c r="U125" i="53"/>
  <c r="V125" i="53"/>
  <c r="W125" i="53"/>
  <c r="X125" i="53"/>
  <c r="Y125" i="53"/>
  <c r="Z125" i="53"/>
  <c r="AA125" i="53"/>
  <c r="AB125" i="53"/>
  <c r="AC125" i="53"/>
  <c r="AD125" i="53"/>
  <c r="AE125" i="53"/>
  <c r="AF125" i="53"/>
  <c r="AG125" i="53"/>
  <c r="AH125" i="53"/>
  <c r="AI125" i="53"/>
  <c r="AJ125" i="53"/>
  <c r="AK125" i="53"/>
  <c r="AL125" i="53"/>
  <c r="AM125" i="53"/>
  <c r="AN125" i="53"/>
  <c r="AO125" i="53"/>
  <c r="AP125" i="53"/>
  <c r="AQ125" i="53"/>
  <c r="AR125" i="53"/>
  <c r="AS125" i="53"/>
  <c r="AT125" i="53"/>
  <c r="AU125" i="53"/>
  <c r="AV125" i="53"/>
  <c r="E126" i="53"/>
  <c r="F126" i="53"/>
  <c r="G126" i="53"/>
  <c r="H126" i="53"/>
  <c r="I126" i="53"/>
  <c r="J126" i="53"/>
  <c r="K126" i="53"/>
  <c r="L126" i="53"/>
  <c r="M126" i="53"/>
  <c r="N126" i="53"/>
  <c r="O126" i="53"/>
  <c r="P126" i="53"/>
  <c r="Q126" i="53"/>
  <c r="R126" i="53"/>
  <c r="S126" i="53"/>
  <c r="T126" i="53"/>
  <c r="U126" i="53"/>
  <c r="V126" i="53"/>
  <c r="W126" i="53"/>
  <c r="X126" i="53"/>
  <c r="Y126" i="53"/>
  <c r="Z126" i="53"/>
  <c r="AA126" i="53"/>
  <c r="AB126" i="53"/>
  <c r="AC126" i="53"/>
  <c r="AD126" i="53"/>
  <c r="AE126" i="53"/>
  <c r="AF126" i="53"/>
  <c r="AG126" i="53"/>
  <c r="AH126" i="53"/>
  <c r="AI126" i="53"/>
  <c r="AJ126" i="53"/>
  <c r="AK126" i="53"/>
  <c r="AL126" i="53"/>
  <c r="AM126" i="53"/>
  <c r="AN126" i="53"/>
  <c r="AO126" i="53"/>
  <c r="AP126" i="53"/>
  <c r="AQ126" i="53"/>
  <c r="AR126" i="53"/>
  <c r="AS126" i="53"/>
  <c r="AT126" i="53"/>
  <c r="AU126" i="53"/>
  <c r="AV126" i="53"/>
  <c r="E127" i="53"/>
  <c r="F127" i="53"/>
  <c r="G127" i="53"/>
  <c r="H127" i="53"/>
  <c r="I127" i="53"/>
  <c r="J127" i="53"/>
  <c r="K127" i="53"/>
  <c r="L127" i="53"/>
  <c r="M127" i="53"/>
  <c r="N127" i="53"/>
  <c r="O127" i="53"/>
  <c r="P127" i="53"/>
  <c r="Q127" i="53"/>
  <c r="R127" i="53"/>
  <c r="S127" i="53"/>
  <c r="T127" i="53"/>
  <c r="U127" i="53"/>
  <c r="V127" i="53"/>
  <c r="W127" i="53"/>
  <c r="X127" i="53"/>
  <c r="E128" i="53"/>
  <c r="F128" i="53"/>
  <c r="G128" i="53"/>
  <c r="H128" i="53"/>
  <c r="I128" i="53"/>
  <c r="J128" i="53"/>
  <c r="K128" i="53"/>
  <c r="L128" i="53"/>
  <c r="M128" i="53"/>
  <c r="N128" i="53"/>
  <c r="O128" i="53"/>
  <c r="P128" i="53"/>
  <c r="Q128" i="53"/>
  <c r="R128" i="53"/>
  <c r="S128" i="53"/>
  <c r="T128" i="53"/>
  <c r="U128" i="53"/>
  <c r="V128" i="53"/>
  <c r="W128" i="53"/>
  <c r="X128" i="53"/>
  <c r="Y128" i="53"/>
  <c r="Z128" i="53"/>
  <c r="AA128" i="53"/>
  <c r="AB128" i="53"/>
  <c r="AC128" i="53"/>
  <c r="AD128" i="53"/>
  <c r="AE128" i="53"/>
  <c r="AF128" i="53"/>
  <c r="AG128" i="53"/>
  <c r="AH128" i="53"/>
  <c r="AI128" i="53"/>
  <c r="AJ128" i="53"/>
  <c r="AK128" i="53"/>
  <c r="AL128" i="53"/>
  <c r="AM128" i="53"/>
  <c r="AN128" i="53"/>
  <c r="AO128" i="53"/>
  <c r="AP128" i="53"/>
  <c r="AQ128" i="53"/>
  <c r="AR128" i="53"/>
  <c r="AS128" i="53"/>
  <c r="AT128" i="53"/>
  <c r="AU128" i="53"/>
  <c r="AV128" i="53"/>
  <c r="E129" i="53"/>
  <c r="F129" i="53"/>
  <c r="G129" i="53"/>
  <c r="H129" i="53"/>
  <c r="I129" i="53"/>
  <c r="J129" i="53"/>
  <c r="K129" i="53"/>
  <c r="L129" i="53"/>
  <c r="M129" i="53"/>
  <c r="N129" i="53"/>
  <c r="O129" i="53"/>
  <c r="P129" i="53"/>
  <c r="Q129" i="53"/>
  <c r="R129" i="53"/>
  <c r="S129" i="53"/>
  <c r="T129" i="53"/>
  <c r="U129" i="53"/>
  <c r="V129" i="53"/>
  <c r="W129" i="53"/>
  <c r="X129" i="53"/>
  <c r="Y129" i="53"/>
  <c r="Z129" i="53"/>
  <c r="AA129" i="53"/>
  <c r="AB129" i="53"/>
  <c r="AC129" i="53"/>
  <c r="AD129" i="53"/>
  <c r="AE129" i="53"/>
  <c r="AF129" i="53"/>
  <c r="AG129" i="53"/>
  <c r="AH129" i="53"/>
  <c r="AI129" i="53"/>
  <c r="AJ129" i="53"/>
  <c r="AK129" i="53"/>
  <c r="AL129" i="53"/>
  <c r="AM129" i="53"/>
  <c r="AN129" i="53"/>
  <c r="AO129" i="53"/>
  <c r="AP129" i="53"/>
  <c r="AQ129" i="53"/>
  <c r="AR129" i="53"/>
  <c r="AS129" i="53"/>
  <c r="AT129" i="53"/>
  <c r="AU129" i="53"/>
  <c r="AV129" i="53"/>
  <c r="E130" i="53"/>
  <c r="F130" i="53"/>
  <c r="G130" i="53"/>
  <c r="H130" i="53"/>
  <c r="I130" i="53"/>
  <c r="J130" i="53"/>
  <c r="K130" i="53"/>
  <c r="L130" i="53"/>
  <c r="M130" i="53"/>
  <c r="N130" i="53"/>
  <c r="O130" i="53"/>
  <c r="P130" i="53"/>
  <c r="Q130" i="53"/>
  <c r="R130" i="53"/>
  <c r="S130" i="53"/>
  <c r="T130" i="53"/>
  <c r="U130" i="53"/>
  <c r="V130" i="53"/>
  <c r="W130" i="53"/>
  <c r="X130" i="53"/>
  <c r="E131" i="53"/>
  <c r="F131" i="53"/>
  <c r="G131" i="53"/>
  <c r="H131" i="53"/>
  <c r="I131" i="53"/>
  <c r="J131" i="53"/>
  <c r="K131" i="53"/>
  <c r="L131" i="53"/>
  <c r="M131" i="53"/>
  <c r="N131" i="53"/>
  <c r="O131" i="53"/>
  <c r="P131" i="53"/>
  <c r="Q131" i="53"/>
  <c r="R131" i="53"/>
  <c r="S131" i="53"/>
  <c r="T131" i="53"/>
  <c r="U131" i="53"/>
  <c r="V131" i="53"/>
  <c r="W131" i="53"/>
  <c r="X131" i="53"/>
  <c r="D124" i="53"/>
  <c r="D125" i="53"/>
  <c r="D126" i="53"/>
  <c r="D127" i="53"/>
  <c r="D128" i="53"/>
  <c r="D129" i="53"/>
  <c r="D130" i="53"/>
  <c r="D131" i="53"/>
  <c r="D123" i="53"/>
  <c r="E108" i="53"/>
  <c r="F108" i="53"/>
  <c r="G108" i="53"/>
  <c r="H108" i="53"/>
  <c r="I108" i="53"/>
  <c r="J108" i="53"/>
  <c r="K108" i="53"/>
  <c r="L108" i="53"/>
  <c r="M108" i="53"/>
  <c r="N108" i="53"/>
  <c r="O108" i="53"/>
  <c r="P108" i="53"/>
  <c r="Q108" i="53"/>
  <c r="R108" i="53"/>
  <c r="S108" i="53"/>
  <c r="T108" i="53"/>
  <c r="U108" i="53"/>
  <c r="V108" i="53"/>
  <c r="W108" i="53"/>
  <c r="X108" i="53"/>
  <c r="Y108" i="53"/>
  <c r="Z108" i="53"/>
  <c r="AA108" i="53"/>
  <c r="AB108" i="53"/>
  <c r="AC108" i="53"/>
  <c r="AD108" i="53"/>
  <c r="AE108" i="53"/>
  <c r="AF108" i="53"/>
  <c r="AG108" i="53"/>
  <c r="AH108" i="53"/>
  <c r="AI108" i="53"/>
  <c r="AJ108" i="53"/>
  <c r="AK108" i="53"/>
  <c r="AL108" i="53"/>
  <c r="AM108" i="53"/>
  <c r="AN108" i="53"/>
  <c r="AO108" i="53"/>
  <c r="AP108" i="53"/>
  <c r="AQ108" i="53"/>
  <c r="AR108" i="53"/>
  <c r="AS108" i="53"/>
  <c r="AT108" i="53"/>
  <c r="AU108" i="53"/>
  <c r="AV108" i="53"/>
  <c r="E109" i="53"/>
  <c r="F109" i="53"/>
  <c r="G109" i="53"/>
  <c r="H109" i="53"/>
  <c r="I109" i="53"/>
  <c r="J109" i="53"/>
  <c r="K109" i="53"/>
  <c r="L109" i="53"/>
  <c r="M109" i="53"/>
  <c r="N109" i="53"/>
  <c r="O109" i="53"/>
  <c r="P109" i="53"/>
  <c r="Q109" i="53"/>
  <c r="R109" i="53"/>
  <c r="S109" i="53"/>
  <c r="T109" i="53"/>
  <c r="U109" i="53"/>
  <c r="V109" i="53"/>
  <c r="W109" i="53"/>
  <c r="X109" i="53"/>
  <c r="Y109" i="53"/>
  <c r="Z109" i="53"/>
  <c r="AA109" i="53"/>
  <c r="AB109" i="53"/>
  <c r="AC109" i="53"/>
  <c r="AD109" i="53"/>
  <c r="AE109" i="53"/>
  <c r="AF109" i="53"/>
  <c r="AG109" i="53"/>
  <c r="AH109" i="53"/>
  <c r="AI109" i="53"/>
  <c r="AJ109" i="53"/>
  <c r="AK109" i="53"/>
  <c r="AL109" i="53"/>
  <c r="AM109" i="53"/>
  <c r="AN109" i="53"/>
  <c r="AO109" i="53"/>
  <c r="AP109" i="53"/>
  <c r="AQ109" i="53"/>
  <c r="AR109" i="53"/>
  <c r="AS109" i="53"/>
  <c r="AT109" i="53"/>
  <c r="AU109" i="53"/>
  <c r="AV109" i="53"/>
  <c r="E110" i="53"/>
  <c r="F110" i="53"/>
  <c r="G110" i="53"/>
  <c r="H110" i="53"/>
  <c r="I110" i="53"/>
  <c r="J110" i="53"/>
  <c r="K110" i="53"/>
  <c r="L110" i="53"/>
  <c r="M110" i="53"/>
  <c r="N110" i="53"/>
  <c r="O110" i="53"/>
  <c r="P110" i="53"/>
  <c r="Q110" i="53"/>
  <c r="R110" i="53"/>
  <c r="S110" i="53"/>
  <c r="T110" i="53"/>
  <c r="U110" i="53"/>
  <c r="V110" i="53"/>
  <c r="W110" i="53"/>
  <c r="X110" i="53"/>
  <c r="Y110" i="53"/>
  <c r="Z110" i="53"/>
  <c r="AA110" i="53"/>
  <c r="AB110" i="53"/>
  <c r="AC110" i="53"/>
  <c r="AD110" i="53"/>
  <c r="AE110" i="53"/>
  <c r="AF110" i="53"/>
  <c r="AG110" i="53"/>
  <c r="AH110" i="53"/>
  <c r="AI110" i="53"/>
  <c r="AJ110" i="53"/>
  <c r="AK110" i="53"/>
  <c r="AL110" i="53"/>
  <c r="AM110" i="53"/>
  <c r="AN110" i="53"/>
  <c r="AO110" i="53"/>
  <c r="AP110" i="53"/>
  <c r="AQ110" i="53"/>
  <c r="AR110" i="53"/>
  <c r="AS110" i="53"/>
  <c r="AT110" i="53"/>
  <c r="AU110" i="53"/>
  <c r="AV110" i="53"/>
  <c r="E111" i="53"/>
  <c r="F111" i="53"/>
  <c r="G111" i="53"/>
  <c r="H111" i="53"/>
  <c r="I111" i="53"/>
  <c r="J111" i="53"/>
  <c r="K111" i="53"/>
  <c r="L111" i="53"/>
  <c r="M111" i="53"/>
  <c r="N111" i="53"/>
  <c r="O111" i="53"/>
  <c r="P111" i="53"/>
  <c r="Q111" i="53"/>
  <c r="R111" i="53"/>
  <c r="S111" i="53"/>
  <c r="T111" i="53"/>
  <c r="U111" i="53"/>
  <c r="V111" i="53"/>
  <c r="W111" i="53"/>
  <c r="X111" i="53"/>
  <c r="Y111" i="53"/>
  <c r="Z111" i="53"/>
  <c r="AA111" i="53"/>
  <c r="AB111" i="53"/>
  <c r="AC111" i="53"/>
  <c r="AD111" i="53"/>
  <c r="AE111" i="53"/>
  <c r="AF111" i="53"/>
  <c r="AG111" i="53"/>
  <c r="AH111" i="53"/>
  <c r="AI111" i="53"/>
  <c r="AJ111" i="53"/>
  <c r="AK111" i="53"/>
  <c r="AL111" i="53"/>
  <c r="AM111" i="53"/>
  <c r="AN111" i="53"/>
  <c r="AO111" i="53"/>
  <c r="AP111" i="53"/>
  <c r="AQ111" i="53"/>
  <c r="AR111" i="53"/>
  <c r="AS111" i="53"/>
  <c r="AT111" i="53"/>
  <c r="AU111" i="53"/>
  <c r="AV111" i="53"/>
  <c r="E112" i="53"/>
  <c r="F112" i="53"/>
  <c r="G112" i="53"/>
  <c r="H112" i="53"/>
  <c r="I112" i="53"/>
  <c r="J112" i="53"/>
  <c r="K112" i="53"/>
  <c r="L112" i="53"/>
  <c r="M112" i="53"/>
  <c r="N112" i="53"/>
  <c r="O112" i="53"/>
  <c r="P112" i="53"/>
  <c r="Q112" i="53"/>
  <c r="R112" i="53"/>
  <c r="S112" i="53"/>
  <c r="T112" i="53"/>
  <c r="U112" i="53"/>
  <c r="V112" i="53"/>
  <c r="W112" i="53"/>
  <c r="X112" i="53"/>
  <c r="Y112" i="53"/>
  <c r="Z112" i="53"/>
  <c r="AA112" i="53"/>
  <c r="AB112" i="53"/>
  <c r="AC112" i="53"/>
  <c r="AD112" i="53"/>
  <c r="AE112" i="53"/>
  <c r="AF112" i="53"/>
  <c r="AG112" i="53"/>
  <c r="AH112" i="53"/>
  <c r="AI112" i="53"/>
  <c r="AJ112" i="53"/>
  <c r="AK112" i="53"/>
  <c r="AL112" i="53"/>
  <c r="AM112" i="53"/>
  <c r="AN112" i="53"/>
  <c r="AO112" i="53"/>
  <c r="AP112" i="53"/>
  <c r="AQ112" i="53"/>
  <c r="AR112" i="53"/>
  <c r="AS112" i="53"/>
  <c r="AT112" i="53"/>
  <c r="AU112" i="53"/>
  <c r="AV112" i="53"/>
  <c r="E113" i="53"/>
  <c r="F113" i="53"/>
  <c r="G113" i="53"/>
  <c r="H113" i="53"/>
  <c r="I113" i="53"/>
  <c r="J113" i="53"/>
  <c r="K113" i="53"/>
  <c r="L113" i="53"/>
  <c r="M113" i="53"/>
  <c r="N113" i="53"/>
  <c r="O113" i="53"/>
  <c r="P113" i="53"/>
  <c r="Q113" i="53"/>
  <c r="R113" i="53"/>
  <c r="S113" i="53"/>
  <c r="T113" i="53"/>
  <c r="U113" i="53"/>
  <c r="V113" i="53"/>
  <c r="W113" i="53"/>
  <c r="X113" i="53"/>
  <c r="Y113" i="53"/>
  <c r="Z113" i="53"/>
  <c r="AA113" i="53"/>
  <c r="AB113" i="53"/>
  <c r="AC113" i="53"/>
  <c r="AD113" i="53"/>
  <c r="AE113" i="53"/>
  <c r="AF113" i="53"/>
  <c r="AG113" i="53"/>
  <c r="AH113" i="53"/>
  <c r="AI113" i="53"/>
  <c r="AJ113" i="53"/>
  <c r="AK113" i="53"/>
  <c r="AL113" i="53"/>
  <c r="AM113" i="53"/>
  <c r="AN113" i="53"/>
  <c r="AO113" i="53"/>
  <c r="AP113" i="53"/>
  <c r="AQ113" i="53"/>
  <c r="AR113" i="53"/>
  <c r="AS113" i="53"/>
  <c r="AT113" i="53"/>
  <c r="AU113" i="53"/>
  <c r="AV113" i="53"/>
  <c r="E114" i="53"/>
  <c r="F114" i="53"/>
  <c r="G114" i="53"/>
  <c r="H114" i="53"/>
  <c r="I114" i="53"/>
  <c r="J114" i="53"/>
  <c r="K114" i="53"/>
  <c r="L114" i="53"/>
  <c r="M114" i="53"/>
  <c r="N114" i="53"/>
  <c r="O114" i="53"/>
  <c r="P114" i="53"/>
  <c r="Q114" i="53"/>
  <c r="R114" i="53"/>
  <c r="S114" i="53"/>
  <c r="T114" i="53"/>
  <c r="U114" i="53"/>
  <c r="V114" i="53"/>
  <c r="W114" i="53"/>
  <c r="X114" i="53"/>
  <c r="Y114" i="53"/>
  <c r="Z114" i="53"/>
  <c r="AA114" i="53"/>
  <c r="AB114" i="53"/>
  <c r="AC114" i="53"/>
  <c r="AD114" i="53"/>
  <c r="AE114" i="53"/>
  <c r="AF114" i="53"/>
  <c r="AG114" i="53"/>
  <c r="AH114" i="53"/>
  <c r="AI114" i="53"/>
  <c r="AJ114" i="53"/>
  <c r="AK114" i="53"/>
  <c r="AL114" i="53"/>
  <c r="AM114" i="53"/>
  <c r="AN114" i="53"/>
  <c r="AO114" i="53"/>
  <c r="AP114" i="53"/>
  <c r="AQ114" i="53"/>
  <c r="AR114" i="53"/>
  <c r="AS114" i="53"/>
  <c r="AT114" i="53"/>
  <c r="AU114" i="53"/>
  <c r="AV114" i="53"/>
  <c r="E115" i="53"/>
  <c r="F115" i="53"/>
  <c r="G115" i="53"/>
  <c r="H115" i="53"/>
  <c r="I115" i="53"/>
  <c r="J115" i="53"/>
  <c r="K115" i="53"/>
  <c r="L115" i="53"/>
  <c r="M115" i="53"/>
  <c r="N115" i="53"/>
  <c r="O115" i="53"/>
  <c r="P115" i="53"/>
  <c r="Q115" i="53"/>
  <c r="R115" i="53"/>
  <c r="S115" i="53"/>
  <c r="T115" i="53"/>
  <c r="U115" i="53"/>
  <c r="V115" i="53"/>
  <c r="W115" i="53"/>
  <c r="X115" i="53"/>
  <c r="Y115" i="53"/>
  <c r="Z115" i="53"/>
  <c r="AA115" i="53"/>
  <c r="AB115" i="53"/>
  <c r="AC115" i="53"/>
  <c r="AD115" i="53"/>
  <c r="AE115" i="53"/>
  <c r="AF115" i="53"/>
  <c r="AG115" i="53"/>
  <c r="AH115" i="53"/>
  <c r="AI115" i="53"/>
  <c r="AJ115" i="53"/>
  <c r="AK115" i="53"/>
  <c r="AL115" i="53"/>
  <c r="AM115" i="53"/>
  <c r="AN115" i="53"/>
  <c r="AO115" i="53"/>
  <c r="AP115" i="53"/>
  <c r="AQ115" i="53"/>
  <c r="AR115" i="53"/>
  <c r="AS115" i="53"/>
  <c r="AT115" i="53"/>
  <c r="AU115" i="53"/>
  <c r="AV115" i="53"/>
  <c r="E116" i="53"/>
  <c r="F116" i="53"/>
  <c r="G116" i="53"/>
  <c r="H116" i="53"/>
  <c r="I116" i="53"/>
  <c r="J116" i="53"/>
  <c r="K116" i="53"/>
  <c r="L116" i="53"/>
  <c r="M116" i="53"/>
  <c r="N116" i="53"/>
  <c r="O116" i="53"/>
  <c r="P116" i="53"/>
  <c r="Q116" i="53"/>
  <c r="R116" i="53"/>
  <c r="S116" i="53"/>
  <c r="T116" i="53"/>
  <c r="U116" i="53"/>
  <c r="V116" i="53"/>
  <c r="W116" i="53"/>
  <c r="X116" i="53"/>
  <c r="Y116" i="53"/>
  <c r="Z116" i="53"/>
  <c r="AA116" i="53"/>
  <c r="AB116" i="53"/>
  <c r="AC116" i="53"/>
  <c r="AD116" i="53"/>
  <c r="AE116" i="53"/>
  <c r="AF116" i="53"/>
  <c r="AG116" i="53"/>
  <c r="AH116" i="53"/>
  <c r="AI116" i="53"/>
  <c r="AJ116" i="53"/>
  <c r="AK116" i="53"/>
  <c r="AL116" i="53"/>
  <c r="AM116" i="53"/>
  <c r="AN116" i="53"/>
  <c r="AO116" i="53"/>
  <c r="AP116" i="53"/>
  <c r="AQ116" i="53"/>
  <c r="AR116" i="53"/>
  <c r="AS116" i="53"/>
  <c r="AT116" i="53"/>
  <c r="AU116" i="53"/>
  <c r="AV116" i="53"/>
  <c r="E117" i="53"/>
  <c r="F117" i="53"/>
  <c r="G117" i="53"/>
  <c r="H117" i="53"/>
  <c r="I117" i="53"/>
  <c r="J117" i="53"/>
  <c r="K117" i="53"/>
  <c r="L117" i="53"/>
  <c r="M117" i="53"/>
  <c r="N117" i="53"/>
  <c r="O117" i="53"/>
  <c r="P117" i="53"/>
  <c r="Q117" i="53"/>
  <c r="R117" i="53"/>
  <c r="S117" i="53"/>
  <c r="T117" i="53"/>
  <c r="U117" i="53"/>
  <c r="V117" i="53"/>
  <c r="W117" i="53"/>
  <c r="X117" i="53"/>
  <c r="Y117" i="53"/>
  <c r="Z117" i="53"/>
  <c r="AA117" i="53"/>
  <c r="AB117" i="53"/>
  <c r="AC117" i="53"/>
  <c r="AD117" i="53"/>
  <c r="AE117" i="53"/>
  <c r="AF117" i="53"/>
  <c r="AG117" i="53"/>
  <c r="AH117" i="53"/>
  <c r="AI117" i="53"/>
  <c r="AJ117" i="53"/>
  <c r="AK117" i="53"/>
  <c r="AL117" i="53"/>
  <c r="AM117" i="53"/>
  <c r="AN117" i="53"/>
  <c r="AO117" i="53"/>
  <c r="AP117" i="53"/>
  <c r="AQ117" i="53"/>
  <c r="AR117" i="53"/>
  <c r="AS117" i="53"/>
  <c r="AT117" i="53"/>
  <c r="AU117" i="53"/>
  <c r="AV117" i="53"/>
  <c r="E118" i="53"/>
  <c r="F118" i="53"/>
  <c r="G118" i="53"/>
  <c r="H118" i="53"/>
  <c r="I118" i="53"/>
  <c r="J118" i="53"/>
  <c r="K118" i="53"/>
  <c r="L118" i="53"/>
  <c r="M118" i="53"/>
  <c r="N118" i="53"/>
  <c r="O118" i="53"/>
  <c r="P118" i="53"/>
  <c r="Q118" i="53"/>
  <c r="R118" i="53"/>
  <c r="S118" i="53"/>
  <c r="T118" i="53"/>
  <c r="U118" i="53"/>
  <c r="V118" i="53"/>
  <c r="W118" i="53"/>
  <c r="X118" i="53"/>
  <c r="Y118" i="53"/>
  <c r="Z118" i="53"/>
  <c r="AA118" i="53"/>
  <c r="AB118" i="53"/>
  <c r="AC118" i="53"/>
  <c r="AD118" i="53"/>
  <c r="AE118" i="53"/>
  <c r="AF118" i="53"/>
  <c r="AG118" i="53"/>
  <c r="AH118" i="53"/>
  <c r="AI118" i="53"/>
  <c r="AJ118" i="53"/>
  <c r="AK118" i="53"/>
  <c r="AL118" i="53"/>
  <c r="AM118" i="53"/>
  <c r="AN118" i="53"/>
  <c r="AO118" i="53"/>
  <c r="AP118" i="53"/>
  <c r="AQ118" i="53"/>
  <c r="AR118" i="53"/>
  <c r="AS118" i="53"/>
  <c r="AT118" i="53"/>
  <c r="AU118" i="53"/>
  <c r="AV118" i="53"/>
  <c r="E119" i="53"/>
  <c r="F119" i="53"/>
  <c r="G119" i="53"/>
  <c r="H119" i="53"/>
  <c r="I119" i="53"/>
  <c r="J119" i="53"/>
  <c r="K119" i="53"/>
  <c r="L119" i="53"/>
  <c r="M119" i="53"/>
  <c r="N119" i="53"/>
  <c r="O119" i="53"/>
  <c r="P119" i="53"/>
  <c r="Q119" i="53"/>
  <c r="R119" i="53"/>
  <c r="S119" i="53"/>
  <c r="T119" i="53"/>
  <c r="U119" i="53"/>
  <c r="V119" i="53"/>
  <c r="W119" i="53"/>
  <c r="X119" i="53"/>
  <c r="Y119" i="53"/>
  <c r="Z119" i="53"/>
  <c r="AA119" i="53"/>
  <c r="AB119" i="53"/>
  <c r="AC119" i="53"/>
  <c r="AD119" i="53"/>
  <c r="AE119" i="53"/>
  <c r="AF119" i="53"/>
  <c r="AG119" i="53"/>
  <c r="AH119" i="53"/>
  <c r="AI119" i="53"/>
  <c r="AJ119" i="53"/>
  <c r="AK119" i="53"/>
  <c r="AL119" i="53"/>
  <c r="AM119" i="53"/>
  <c r="AN119" i="53"/>
  <c r="AO119" i="53"/>
  <c r="AP119" i="53"/>
  <c r="AQ119" i="53"/>
  <c r="AR119" i="53"/>
  <c r="AS119" i="53"/>
  <c r="AT119" i="53"/>
  <c r="AU119" i="53"/>
  <c r="AV119" i="53"/>
  <c r="E120" i="53"/>
  <c r="F120" i="53"/>
  <c r="G120" i="53"/>
  <c r="H120" i="53"/>
  <c r="I120" i="53"/>
  <c r="J120" i="53"/>
  <c r="K120" i="53"/>
  <c r="L120" i="53"/>
  <c r="M120" i="53"/>
  <c r="N120" i="53"/>
  <c r="O120" i="53"/>
  <c r="P120" i="53"/>
  <c r="Q120" i="53"/>
  <c r="R120" i="53"/>
  <c r="S120" i="53"/>
  <c r="T120" i="53"/>
  <c r="U120" i="53"/>
  <c r="V120" i="53"/>
  <c r="W120" i="53"/>
  <c r="X120" i="53"/>
  <c r="Y120" i="53"/>
  <c r="Z120" i="53"/>
  <c r="AA120" i="53"/>
  <c r="AB120" i="53"/>
  <c r="AC120" i="53"/>
  <c r="AD120" i="53"/>
  <c r="AE120" i="53"/>
  <c r="AF120" i="53"/>
  <c r="AG120" i="53"/>
  <c r="AH120" i="53"/>
  <c r="AI120" i="53"/>
  <c r="AJ120" i="53"/>
  <c r="AK120" i="53"/>
  <c r="AL120" i="53"/>
  <c r="AM120" i="53"/>
  <c r="AN120" i="53"/>
  <c r="AO120" i="53"/>
  <c r="AP120" i="53"/>
  <c r="AQ120" i="53"/>
  <c r="AR120" i="53"/>
  <c r="AS120" i="53"/>
  <c r="AT120" i="53"/>
  <c r="AU120" i="53"/>
  <c r="AV120" i="53"/>
  <c r="E121" i="53"/>
  <c r="F121" i="53"/>
  <c r="G121" i="53"/>
  <c r="H121" i="53"/>
  <c r="I121" i="53"/>
  <c r="J121" i="53"/>
  <c r="K121" i="53"/>
  <c r="L121" i="53"/>
  <c r="M121" i="53"/>
  <c r="N121" i="53"/>
  <c r="O121" i="53"/>
  <c r="P121" i="53"/>
  <c r="Q121" i="53"/>
  <c r="R121" i="53"/>
  <c r="S121" i="53"/>
  <c r="T121" i="53"/>
  <c r="U121" i="53"/>
  <c r="V121" i="53"/>
  <c r="W121" i="53"/>
  <c r="X121" i="53"/>
  <c r="Y121" i="53"/>
  <c r="Z121" i="53"/>
  <c r="AA121" i="53"/>
  <c r="AB121" i="53"/>
  <c r="AC121" i="53"/>
  <c r="AD121" i="53"/>
  <c r="AE121" i="53"/>
  <c r="AF121" i="53"/>
  <c r="AG121" i="53"/>
  <c r="AH121" i="53"/>
  <c r="AI121" i="53"/>
  <c r="AJ121" i="53"/>
  <c r="AK121" i="53"/>
  <c r="AL121" i="53"/>
  <c r="AM121" i="53"/>
  <c r="AN121" i="53"/>
  <c r="AO121" i="53"/>
  <c r="AP121" i="53"/>
  <c r="AQ121" i="53"/>
  <c r="AR121" i="53"/>
  <c r="AS121" i="53"/>
  <c r="AT121" i="53"/>
  <c r="AU121" i="53"/>
  <c r="AV121" i="53"/>
  <c r="D109" i="53"/>
  <c r="D110" i="53"/>
  <c r="D111" i="53"/>
  <c r="D112" i="53"/>
  <c r="D113" i="53"/>
  <c r="D114" i="53"/>
  <c r="D115" i="53"/>
  <c r="D116" i="53"/>
  <c r="D117" i="53"/>
  <c r="D118" i="53"/>
  <c r="D119" i="53"/>
  <c r="D120" i="53"/>
  <c r="D121" i="53"/>
  <c r="D108" i="53"/>
  <c r="E74" i="53"/>
  <c r="F74" i="53"/>
  <c r="G74" i="53"/>
  <c r="H74" i="53"/>
  <c r="I74" i="53"/>
  <c r="J74" i="53"/>
  <c r="K74" i="53"/>
  <c r="L74" i="53"/>
  <c r="M74" i="53"/>
  <c r="N74" i="53"/>
  <c r="O74" i="53"/>
  <c r="P74" i="53"/>
  <c r="Q74" i="53"/>
  <c r="R74" i="53"/>
  <c r="S74" i="53"/>
  <c r="T74" i="53"/>
  <c r="U74" i="53"/>
  <c r="V74" i="53"/>
  <c r="W74" i="53"/>
  <c r="X74" i="53"/>
  <c r="Y74" i="53"/>
  <c r="Z74" i="53"/>
  <c r="AA74" i="53"/>
  <c r="AB74" i="53"/>
  <c r="AC74" i="53"/>
  <c r="AD74" i="53"/>
  <c r="AE74" i="53"/>
  <c r="AF74" i="53"/>
  <c r="AG74" i="53"/>
  <c r="AH74" i="53"/>
  <c r="AI74" i="53"/>
  <c r="AJ74" i="53"/>
  <c r="AK74" i="53"/>
  <c r="AL74" i="53"/>
  <c r="AM74" i="53"/>
  <c r="AN74" i="53"/>
  <c r="AO74" i="53"/>
  <c r="AP74" i="53"/>
  <c r="AQ74" i="53"/>
  <c r="AR74" i="53"/>
  <c r="AS74" i="53"/>
  <c r="AT74" i="53"/>
  <c r="AU74" i="53"/>
  <c r="AV74" i="53"/>
  <c r="E75" i="53"/>
  <c r="F75" i="53"/>
  <c r="G75" i="53"/>
  <c r="H75" i="53"/>
  <c r="I75" i="53"/>
  <c r="J75" i="53"/>
  <c r="K75" i="53"/>
  <c r="L75" i="53"/>
  <c r="M75" i="53"/>
  <c r="N75" i="53"/>
  <c r="O75" i="53"/>
  <c r="P75" i="53"/>
  <c r="Q75" i="53"/>
  <c r="R75" i="53"/>
  <c r="S75" i="53"/>
  <c r="T75" i="53"/>
  <c r="U75" i="53"/>
  <c r="V75" i="53"/>
  <c r="W75" i="53"/>
  <c r="X75" i="53"/>
  <c r="Y75" i="53"/>
  <c r="Z75" i="53"/>
  <c r="AA75" i="53"/>
  <c r="AB75" i="53"/>
  <c r="AC75" i="53"/>
  <c r="AD75" i="53"/>
  <c r="AE75" i="53"/>
  <c r="AF75" i="53"/>
  <c r="AG75" i="53"/>
  <c r="AH75" i="53"/>
  <c r="AI75" i="53"/>
  <c r="AJ75" i="53"/>
  <c r="AK75" i="53"/>
  <c r="AL75" i="53"/>
  <c r="AM75" i="53"/>
  <c r="AN75" i="53"/>
  <c r="AO75" i="53"/>
  <c r="AP75" i="53"/>
  <c r="AQ75" i="53"/>
  <c r="AR75" i="53"/>
  <c r="AS75" i="53"/>
  <c r="AT75" i="53"/>
  <c r="AU75" i="53"/>
  <c r="AV75" i="53"/>
  <c r="E76" i="53"/>
  <c r="F76" i="53"/>
  <c r="G76" i="53"/>
  <c r="H76" i="53"/>
  <c r="I76" i="53"/>
  <c r="J76" i="53"/>
  <c r="K76" i="53"/>
  <c r="L76" i="53"/>
  <c r="M76" i="53"/>
  <c r="N76" i="53"/>
  <c r="O76" i="53"/>
  <c r="P76" i="53"/>
  <c r="Q76" i="53"/>
  <c r="R76" i="53"/>
  <c r="S76" i="53"/>
  <c r="T76" i="53"/>
  <c r="U76" i="53"/>
  <c r="V76" i="53"/>
  <c r="W76" i="53"/>
  <c r="X76" i="53"/>
  <c r="Y76" i="53"/>
  <c r="Z76" i="53"/>
  <c r="AA76" i="53"/>
  <c r="AB76" i="53"/>
  <c r="AC76" i="53"/>
  <c r="AD76" i="53"/>
  <c r="AE76" i="53"/>
  <c r="AF76" i="53"/>
  <c r="AG76" i="53"/>
  <c r="AH76" i="53"/>
  <c r="AI76" i="53"/>
  <c r="AJ76" i="53"/>
  <c r="AK76" i="53"/>
  <c r="AL76" i="53"/>
  <c r="AM76" i="53"/>
  <c r="AN76" i="53"/>
  <c r="AO76" i="53"/>
  <c r="AP76" i="53"/>
  <c r="AQ76" i="53"/>
  <c r="AR76" i="53"/>
  <c r="AS76" i="53"/>
  <c r="AT76" i="53"/>
  <c r="AU76" i="53"/>
  <c r="AV76" i="53"/>
  <c r="E77" i="53"/>
  <c r="F77" i="53"/>
  <c r="G77" i="53"/>
  <c r="H77" i="53"/>
  <c r="I77" i="53"/>
  <c r="J77" i="53"/>
  <c r="K77" i="53"/>
  <c r="L77" i="53"/>
  <c r="M77" i="53"/>
  <c r="N77" i="53"/>
  <c r="O77" i="53"/>
  <c r="P77" i="53"/>
  <c r="Q77" i="53"/>
  <c r="R77" i="53"/>
  <c r="S77" i="53"/>
  <c r="T77" i="53"/>
  <c r="U77" i="53"/>
  <c r="V77" i="53"/>
  <c r="W77" i="53"/>
  <c r="X77" i="53"/>
  <c r="Y77" i="53"/>
  <c r="Z77" i="53"/>
  <c r="AA77" i="53"/>
  <c r="AB77" i="53"/>
  <c r="AC77" i="53"/>
  <c r="AD77" i="53"/>
  <c r="AE77" i="53"/>
  <c r="AF77" i="53"/>
  <c r="AG77" i="53"/>
  <c r="AH77" i="53"/>
  <c r="AI77" i="53"/>
  <c r="AJ77" i="53"/>
  <c r="AK77" i="53"/>
  <c r="AL77" i="53"/>
  <c r="AM77" i="53"/>
  <c r="AN77" i="53"/>
  <c r="AO77" i="53"/>
  <c r="AP77" i="53"/>
  <c r="AQ77" i="53"/>
  <c r="AR77" i="53"/>
  <c r="AS77" i="53"/>
  <c r="AT77" i="53"/>
  <c r="AU77" i="53"/>
  <c r="AV77" i="53"/>
  <c r="E78" i="53"/>
  <c r="F78" i="53"/>
  <c r="G78" i="53"/>
  <c r="H78" i="53"/>
  <c r="I78" i="53"/>
  <c r="J78" i="53"/>
  <c r="K78" i="53"/>
  <c r="L78" i="53"/>
  <c r="M78" i="53"/>
  <c r="N78" i="53"/>
  <c r="O78" i="53"/>
  <c r="P78" i="53"/>
  <c r="Q78" i="53"/>
  <c r="R78" i="53"/>
  <c r="S78" i="53"/>
  <c r="T78" i="53"/>
  <c r="U78" i="53"/>
  <c r="V78" i="53"/>
  <c r="W78" i="53"/>
  <c r="X78" i="53"/>
  <c r="Y78" i="53"/>
  <c r="Z78" i="53"/>
  <c r="AA78" i="53"/>
  <c r="AB78" i="53"/>
  <c r="AC78" i="53"/>
  <c r="AD78" i="53"/>
  <c r="AE78" i="53"/>
  <c r="AF78" i="53"/>
  <c r="AG78" i="53"/>
  <c r="AH78" i="53"/>
  <c r="AI78" i="53"/>
  <c r="AJ78" i="53"/>
  <c r="AK78" i="53"/>
  <c r="AL78" i="53"/>
  <c r="E79" i="53"/>
  <c r="F79" i="53"/>
  <c r="G79" i="53"/>
  <c r="H79" i="53"/>
  <c r="I79" i="53"/>
  <c r="J79" i="53"/>
  <c r="K79" i="53"/>
  <c r="L79" i="53"/>
  <c r="M79" i="53"/>
  <c r="N79" i="53"/>
  <c r="O79" i="53"/>
  <c r="P79" i="53"/>
  <c r="Q79" i="53"/>
  <c r="R79" i="53"/>
  <c r="S79" i="53"/>
  <c r="T79" i="53"/>
  <c r="U79" i="53"/>
  <c r="V79" i="53"/>
  <c r="W79" i="53"/>
  <c r="X79" i="53"/>
  <c r="Y79" i="53"/>
  <c r="Z79" i="53"/>
  <c r="AA79" i="53"/>
  <c r="AB79" i="53"/>
  <c r="AC79" i="53"/>
  <c r="AD79" i="53"/>
  <c r="AE79" i="53"/>
  <c r="AF79" i="53"/>
  <c r="AG79" i="53"/>
  <c r="AH79" i="53"/>
  <c r="AI79" i="53"/>
  <c r="AJ79" i="53"/>
  <c r="AK79" i="53"/>
  <c r="AL79" i="53"/>
  <c r="AQ79" i="53"/>
  <c r="AV79" i="53"/>
  <c r="E80" i="53"/>
  <c r="F80" i="53"/>
  <c r="G80" i="53"/>
  <c r="H80" i="53"/>
  <c r="I80" i="53"/>
  <c r="J80" i="53"/>
  <c r="K80" i="53"/>
  <c r="L80" i="53"/>
  <c r="M80" i="53"/>
  <c r="N80" i="53"/>
  <c r="O80" i="53"/>
  <c r="P80" i="53"/>
  <c r="Q80" i="53"/>
  <c r="R80" i="53"/>
  <c r="S80" i="53"/>
  <c r="T80" i="53"/>
  <c r="U80" i="53"/>
  <c r="V80" i="53"/>
  <c r="W80" i="53"/>
  <c r="X80" i="53"/>
  <c r="Y80" i="53"/>
  <c r="Z80" i="53"/>
  <c r="AA80" i="53"/>
  <c r="AB80" i="53"/>
  <c r="AC80" i="53"/>
  <c r="AD80" i="53"/>
  <c r="AE80" i="53"/>
  <c r="AF80" i="53"/>
  <c r="AG80" i="53"/>
  <c r="AH80" i="53"/>
  <c r="AI80" i="53"/>
  <c r="AJ80" i="53"/>
  <c r="AK80" i="53"/>
  <c r="AL80" i="53"/>
  <c r="AM80" i="53"/>
  <c r="AN80" i="53"/>
  <c r="AO80" i="53"/>
  <c r="AP80" i="53"/>
  <c r="AQ80" i="53"/>
  <c r="AR80" i="53"/>
  <c r="AS80" i="53"/>
  <c r="AT80" i="53"/>
  <c r="AU80" i="53"/>
  <c r="AV80" i="53"/>
  <c r="E81" i="53"/>
  <c r="F81" i="53"/>
  <c r="G81" i="53"/>
  <c r="H81" i="53"/>
  <c r="I81" i="53"/>
  <c r="J81" i="53"/>
  <c r="K81" i="53"/>
  <c r="L81" i="53"/>
  <c r="M81" i="53"/>
  <c r="N81" i="53"/>
  <c r="O81" i="53"/>
  <c r="P81" i="53"/>
  <c r="Q81" i="53"/>
  <c r="R81" i="53"/>
  <c r="S81" i="53"/>
  <c r="T81" i="53"/>
  <c r="U81" i="53"/>
  <c r="V81" i="53"/>
  <c r="W81" i="53"/>
  <c r="X81" i="53"/>
  <c r="Y81" i="53"/>
  <c r="Z81" i="53"/>
  <c r="AA81" i="53"/>
  <c r="AB81" i="53"/>
  <c r="AC81" i="53"/>
  <c r="AD81" i="53"/>
  <c r="AE81" i="53"/>
  <c r="AF81" i="53"/>
  <c r="AG81" i="53"/>
  <c r="AH81" i="53"/>
  <c r="AI81" i="53"/>
  <c r="AJ81" i="53"/>
  <c r="AK81" i="53"/>
  <c r="AL81" i="53"/>
  <c r="AM81" i="53"/>
  <c r="AN81" i="53"/>
  <c r="AO81" i="53"/>
  <c r="AP81" i="53"/>
  <c r="AQ81" i="53"/>
  <c r="AR81" i="53"/>
  <c r="AS81" i="53"/>
  <c r="AT81" i="53"/>
  <c r="AU81" i="53"/>
  <c r="AV81" i="53"/>
  <c r="E82" i="53"/>
  <c r="F82" i="53"/>
  <c r="G82" i="53"/>
  <c r="H82" i="53"/>
  <c r="I82" i="53"/>
  <c r="J82" i="53"/>
  <c r="K82" i="53"/>
  <c r="L82" i="53"/>
  <c r="M82" i="53"/>
  <c r="N82" i="53"/>
  <c r="O82" i="53"/>
  <c r="P82" i="53"/>
  <c r="Q82" i="53"/>
  <c r="R82" i="53"/>
  <c r="S82" i="53"/>
  <c r="T82" i="53"/>
  <c r="U82" i="53"/>
  <c r="V82" i="53"/>
  <c r="W82" i="53"/>
  <c r="X82" i="53"/>
  <c r="Y82" i="53"/>
  <c r="Z82" i="53"/>
  <c r="AA82" i="53"/>
  <c r="AB82" i="53"/>
  <c r="AC82" i="53"/>
  <c r="AD82" i="53"/>
  <c r="AE82" i="53"/>
  <c r="AF82" i="53"/>
  <c r="AG82" i="53"/>
  <c r="AH82" i="53"/>
  <c r="AI82" i="53"/>
  <c r="AJ82" i="53"/>
  <c r="AK82" i="53"/>
  <c r="AL82" i="53"/>
  <c r="AM82" i="53"/>
  <c r="AN82" i="53"/>
  <c r="AO82" i="53"/>
  <c r="AP82" i="53"/>
  <c r="AQ82" i="53"/>
  <c r="AR82" i="53"/>
  <c r="AS82" i="53"/>
  <c r="AT82" i="53"/>
  <c r="AU82" i="53"/>
  <c r="AV82" i="53"/>
  <c r="E83" i="53"/>
  <c r="F83" i="53"/>
  <c r="G83" i="53"/>
  <c r="H83" i="53"/>
  <c r="I83" i="53"/>
  <c r="J83" i="53"/>
  <c r="K83" i="53"/>
  <c r="L83" i="53"/>
  <c r="M83" i="53"/>
  <c r="N83" i="53"/>
  <c r="O83" i="53"/>
  <c r="P83" i="53"/>
  <c r="Q83" i="53"/>
  <c r="R83" i="53"/>
  <c r="S83" i="53"/>
  <c r="T83" i="53"/>
  <c r="U83" i="53"/>
  <c r="V83" i="53"/>
  <c r="W83" i="53"/>
  <c r="X83" i="53"/>
  <c r="Y83" i="53"/>
  <c r="Z83" i="53"/>
  <c r="AA83" i="53"/>
  <c r="AB83" i="53"/>
  <c r="AC83" i="53"/>
  <c r="AD83" i="53"/>
  <c r="AE83" i="53"/>
  <c r="AF83" i="53"/>
  <c r="AG83" i="53"/>
  <c r="AH83" i="53"/>
  <c r="AI83" i="53"/>
  <c r="AJ83" i="53"/>
  <c r="AK83" i="53"/>
  <c r="AL83" i="53"/>
  <c r="AM83" i="53"/>
  <c r="AN83" i="53"/>
  <c r="AO83" i="53"/>
  <c r="AP83" i="53"/>
  <c r="AQ83" i="53"/>
  <c r="AR83" i="53"/>
  <c r="AS83" i="53"/>
  <c r="AT83" i="53"/>
  <c r="AU83" i="53"/>
  <c r="AV83" i="53"/>
  <c r="E84" i="53"/>
  <c r="F84" i="53"/>
  <c r="G84" i="53"/>
  <c r="H84" i="53"/>
  <c r="I84" i="53"/>
  <c r="J84" i="53"/>
  <c r="K84" i="53"/>
  <c r="L84" i="53"/>
  <c r="M84" i="53"/>
  <c r="N84" i="53"/>
  <c r="O84" i="53"/>
  <c r="P84" i="53"/>
  <c r="Q84" i="53"/>
  <c r="R84" i="53"/>
  <c r="S84" i="53"/>
  <c r="T84" i="53"/>
  <c r="U84" i="53"/>
  <c r="V84" i="53"/>
  <c r="W84" i="53"/>
  <c r="X84" i="53"/>
  <c r="Y84" i="53"/>
  <c r="Z84" i="53"/>
  <c r="AA84" i="53"/>
  <c r="AB84" i="53"/>
  <c r="AC84" i="53"/>
  <c r="AD84" i="53"/>
  <c r="AE84" i="53"/>
  <c r="AF84" i="53"/>
  <c r="AG84" i="53"/>
  <c r="AH84" i="53"/>
  <c r="AI84" i="53"/>
  <c r="AJ84" i="53"/>
  <c r="AK84" i="53"/>
  <c r="AL84" i="53"/>
  <c r="AM84" i="53"/>
  <c r="AN84" i="53"/>
  <c r="AO84" i="53"/>
  <c r="AP84" i="53"/>
  <c r="AQ84" i="53"/>
  <c r="AR84" i="53"/>
  <c r="AS84" i="53"/>
  <c r="AT84" i="53"/>
  <c r="AU84" i="53"/>
  <c r="AV84" i="53"/>
  <c r="E85" i="53"/>
  <c r="F85" i="53"/>
  <c r="G85" i="53"/>
  <c r="H85" i="53"/>
  <c r="I85" i="53"/>
  <c r="J85" i="53"/>
  <c r="K85" i="53"/>
  <c r="L85" i="53"/>
  <c r="M85" i="53"/>
  <c r="N85" i="53"/>
  <c r="O85" i="53"/>
  <c r="P85" i="53"/>
  <c r="Q85" i="53"/>
  <c r="R85" i="53"/>
  <c r="S85" i="53"/>
  <c r="T85" i="53"/>
  <c r="U85" i="53"/>
  <c r="V85" i="53"/>
  <c r="W85" i="53"/>
  <c r="X85" i="53"/>
  <c r="Y85" i="53"/>
  <c r="Z85" i="53"/>
  <c r="AA85" i="53"/>
  <c r="AB85" i="53"/>
  <c r="AC85" i="53"/>
  <c r="AD85" i="53"/>
  <c r="AE85" i="53"/>
  <c r="AF85" i="53"/>
  <c r="AG85" i="53"/>
  <c r="AH85" i="53"/>
  <c r="AI85" i="53"/>
  <c r="AJ85" i="53"/>
  <c r="AK85" i="53"/>
  <c r="AL85" i="53"/>
  <c r="AM85" i="53"/>
  <c r="AN85" i="53"/>
  <c r="AO85" i="53"/>
  <c r="AP85" i="53"/>
  <c r="AQ85" i="53"/>
  <c r="AR85" i="53"/>
  <c r="AS85" i="53"/>
  <c r="AT85" i="53"/>
  <c r="AU85" i="53"/>
  <c r="AV85" i="53"/>
  <c r="E86" i="53"/>
  <c r="F86" i="53"/>
  <c r="G86" i="53"/>
  <c r="H86" i="53"/>
  <c r="I86" i="53"/>
  <c r="J86" i="53"/>
  <c r="K86" i="53"/>
  <c r="L86" i="53"/>
  <c r="M86" i="53"/>
  <c r="N86" i="53"/>
  <c r="O86" i="53"/>
  <c r="P86" i="53"/>
  <c r="Q86" i="53"/>
  <c r="R86" i="53"/>
  <c r="S86" i="53"/>
  <c r="T86" i="53"/>
  <c r="U86" i="53"/>
  <c r="V86" i="53"/>
  <c r="W86" i="53"/>
  <c r="X86" i="53"/>
  <c r="Y86" i="53"/>
  <c r="Z86" i="53"/>
  <c r="AA86" i="53"/>
  <c r="AB86" i="53"/>
  <c r="AC86" i="53"/>
  <c r="AD86" i="53"/>
  <c r="AE86" i="53"/>
  <c r="AF86" i="53"/>
  <c r="AG86" i="53"/>
  <c r="AH86" i="53"/>
  <c r="AI86" i="53"/>
  <c r="AJ86" i="53"/>
  <c r="AK86" i="53"/>
  <c r="AL86" i="53"/>
  <c r="AM86" i="53"/>
  <c r="AN86" i="53"/>
  <c r="AO86" i="53"/>
  <c r="AP86" i="53"/>
  <c r="AQ86" i="53"/>
  <c r="AR86" i="53"/>
  <c r="AS86" i="53"/>
  <c r="AT86" i="53"/>
  <c r="AU86" i="53"/>
  <c r="AV86" i="53"/>
  <c r="E87" i="53"/>
  <c r="F87" i="53"/>
  <c r="G87" i="53"/>
  <c r="H87" i="53"/>
  <c r="I87" i="53"/>
  <c r="J87" i="53"/>
  <c r="K87" i="53"/>
  <c r="L87" i="53"/>
  <c r="M87" i="53"/>
  <c r="N87" i="53"/>
  <c r="O87" i="53"/>
  <c r="P87" i="53"/>
  <c r="Q87" i="53"/>
  <c r="R87" i="53"/>
  <c r="S87" i="53"/>
  <c r="T87" i="53"/>
  <c r="U87" i="53"/>
  <c r="V87" i="53"/>
  <c r="W87" i="53"/>
  <c r="X87" i="53"/>
  <c r="Y87" i="53"/>
  <c r="Z87" i="53"/>
  <c r="AA87" i="53"/>
  <c r="AB87" i="53"/>
  <c r="AC87" i="53"/>
  <c r="AD87" i="53"/>
  <c r="AE87" i="53"/>
  <c r="AF87" i="53"/>
  <c r="AG87" i="53"/>
  <c r="AH87" i="53"/>
  <c r="AI87" i="53"/>
  <c r="AJ87" i="53"/>
  <c r="AK87" i="53"/>
  <c r="AL87" i="53"/>
  <c r="E88" i="53"/>
  <c r="F88" i="53"/>
  <c r="G88" i="53"/>
  <c r="H88" i="53"/>
  <c r="I88" i="53"/>
  <c r="J88" i="53"/>
  <c r="K88" i="53"/>
  <c r="L88" i="53"/>
  <c r="M88" i="53"/>
  <c r="N88" i="53"/>
  <c r="O88" i="53"/>
  <c r="P88" i="53"/>
  <c r="Q88" i="53"/>
  <c r="R88" i="53"/>
  <c r="S88" i="53"/>
  <c r="T88" i="53"/>
  <c r="U88" i="53"/>
  <c r="V88" i="53"/>
  <c r="W88" i="53"/>
  <c r="X88" i="53"/>
  <c r="Y88" i="53"/>
  <c r="Z88" i="53"/>
  <c r="AA88" i="53"/>
  <c r="AB88" i="53"/>
  <c r="AC88" i="53"/>
  <c r="AD88" i="53"/>
  <c r="AE88" i="53"/>
  <c r="AF88" i="53"/>
  <c r="AG88" i="53"/>
  <c r="AH88" i="53"/>
  <c r="AI88" i="53"/>
  <c r="AJ88" i="53"/>
  <c r="AK88" i="53"/>
  <c r="AL88" i="53"/>
  <c r="AM88" i="53"/>
  <c r="AN88" i="53"/>
  <c r="AO88" i="53"/>
  <c r="AP88" i="53"/>
  <c r="AQ88" i="53"/>
  <c r="AR88" i="53"/>
  <c r="AS88" i="53"/>
  <c r="AT88" i="53"/>
  <c r="AU88" i="53"/>
  <c r="AV88" i="53"/>
  <c r="E89" i="53"/>
  <c r="F89" i="53"/>
  <c r="G89" i="53"/>
  <c r="H89" i="53"/>
  <c r="I89" i="53"/>
  <c r="J89" i="53"/>
  <c r="K89" i="53"/>
  <c r="L89" i="53"/>
  <c r="M89" i="53"/>
  <c r="N89" i="53"/>
  <c r="O89" i="53"/>
  <c r="P89" i="53"/>
  <c r="Q89" i="53"/>
  <c r="R89" i="53"/>
  <c r="S89" i="53"/>
  <c r="T89" i="53"/>
  <c r="U89" i="53"/>
  <c r="V89" i="53"/>
  <c r="W89" i="53"/>
  <c r="X89" i="53"/>
  <c r="Y89" i="53"/>
  <c r="Z89" i="53"/>
  <c r="AA89" i="53"/>
  <c r="AB89" i="53"/>
  <c r="AC89" i="53"/>
  <c r="AD89" i="53"/>
  <c r="AE89" i="53"/>
  <c r="AF89" i="53"/>
  <c r="AG89" i="53"/>
  <c r="AH89" i="53"/>
  <c r="AI89" i="53"/>
  <c r="AJ89" i="53"/>
  <c r="AK89" i="53"/>
  <c r="AL89" i="53"/>
  <c r="AM89" i="53"/>
  <c r="AN89" i="53"/>
  <c r="AO89" i="53"/>
  <c r="AP89" i="53"/>
  <c r="AQ89" i="53"/>
  <c r="AR89" i="53"/>
  <c r="AS89" i="53"/>
  <c r="AT89" i="53"/>
  <c r="AU89" i="53"/>
  <c r="AV89" i="53"/>
  <c r="E90" i="53"/>
  <c r="F90" i="53"/>
  <c r="G90" i="53"/>
  <c r="H90" i="53"/>
  <c r="I90" i="53"/>
  <c r="J90" i="53"/>
  <c r="K90" i="53"/>
  <c r="L90" i="53"/>
  <c r="M90" i="53"/>
  <c r="N90" i="53"/>
  <c r="O90" i="53"/>
  <c r="P90" i="53"/>
  <c r="Q90" i="53"/>
  <c r="R90" i="53"/>
  <c r="S90" i="53"/>
  <c r="T90" i="53"/>
  <c r="U90" i="53"/>
  <c r="V90" i="53"/>
  <c r="W90" i="53"/>
  <c r="X90" i="53"/>
  <c r="Y90" i="53"/>
  <c r="Z90" i="53"/>
  <c r="AA90" i="53"/>
  <c r="AB90" i="53"/>
  <c r="AC90" i="53"/>
  <c r="AD90" i="53"/>
  <c r="AE90" i="53"/>
  <c r="AF90" i="53"/>
  <c r="AG90" i="53"/>
  <c r="AH90" i="53"/>
  <c r="AI90" i="53"/>
  <c r="AJ90" i="53"/>
  <c r="AK90" i="53"/>
  <c r="AL90" i="53"/>
  <c r="AM90" i="53"/>
  <c r="AN90" i="53"/>
  <c r="AO90" i="53"/>
  <c r="AP90" i="53"/>
  <c r="AQ90" i="53"/>
  <c r="AR90" i="53"/>
  <c r="AS90" i="53"/>
  <c r="AT90" i="53"/>
  <c r="AU90" i="53"/>
  <c r="AV90" i="53"/>
  <c r="E91" i="53"/>
  <c r="F91" i="53"/>
  <c r="G91" i="53"/>
  <c r="H91" i="53"/>
  <c r="I91" i="53"/>
  <c r="J91" i="53"/>
  <c r="K91" i="53"/>
  <c r="L91" i="53"/>
  <c r="M91" i="53"/>
  <c r="N91" i="53"/>
  <c r="O91" i="53"/>
  <c r="P91" i="53"/>
  <c r="Q91" i="53"/>
  <c r="R91" i="53"/>
  <c r="S91" i="53"/>
  <c r="T91" i="53"/>
  <c r="U91" i="53"/>
  <c r="V91" i="53"/>
  <c r="W91" i="53"/>
  <c r="X91" i="53"/>
  <c r="Y91" i="53"/>
  <c r="Z91" i="53"/>
  <c r="AA91" i="53"/>
  <c r="AB91" i="53"/>
  <c r="AC91" i="53"/>
  <c r="AD91" i="53"/>
  <c r="AE91" i="53"/>
  <c r="AF91" i="53"/>
  <c r="AG91" i="53"/>
  <c r="AH91" i="53"/>
  <c r="AI91" i="53"/>
  <c r="AJ91" i="53"/>
  <c r="AK91" i="53"/>
  <c r="AL91" i="53"/>
  <c r="AM91" i="53"/>
  <c r="AN91" i="53"/>
  <c r="AO91" i="53"/>
  <c r="AP91" i="53"/>
  <c r="AQ91" i="53"/>
  <c r="AR91" i="53"/>
  <c r="AS91" i="53"/>
  <c r="AT91" i="53"/>
  <c r="AU91" i="53"/>
  <c r="AV91" i="53"/>
  <c r="E92" i="53"/>
  <c r="F92" i="53"/>
  <c r="G92" i="53"/>
  <c r="H92" i="53"/>
  <c r="I92" i="53"/>
  <c r="J92" i="53"/>
  <c r="K92" i="53"/>
  <c r="L92" i="53"/>
  <c r="M92" i="53"/>
  <c r="N92" i="53"/>
  <c r="O92" i="53"/>
  <c r="P92" i="53"/>
  <c r="Q92" i="53"/>
  <c r="R92" i="53"/>
  <c r="S92" i="53"/>
  <c r="T92" i="53"/>
  <c r="U92" i="53"/>
  <c r="V92" i="53"/>
  <c r="W92" i="53"/>
  <c r="X92" i="53"/>
  <c r="Y92" i="53"/>
  <c r="Z92" i="53"/>
  <c r="AA92" i="53"/>
  <c r="AB92" i="53"/>
  <c r="AC92" i="53"/>
  <c r="AD92" i="53"/>
  <c r="AE92" i="53"/>
  <c r="AF92" i="53"/>
  <c r="AG92" i="53"/>
  <c r="AH92" i="53"/>
  <c r="AI92" i="53"/>
  <c r="AJ92" i="53"/>
  <c r="AK92" i="53"/>
  <c r="AL92" i="53"/>
  <c r="E93" i="53"/>
  <c r="F93" i="53"/>
  <c r="G93" i="53"/>
  <c r="H93" i="53"/>
  <c r="I93" i="53"/>
  <c r="J93" i="53"/>
  <c r="K93" i="53"/>
  <c r="L93" i="53"/>
  <c r="M93" i="53"/>
  <c r="N93" i="53"/>
  <c r="O93" i="53"/>
  <c r="P93" i="53"/>
  <c r="Q93" i="53"/>
  <c r="R93" i="53"/>
  <c r="S93" i="53"/>
  <c r="T93" i="53"/>
  <c r="U93" i="53"/>
  <c r="V93" i="53"/>
  <c r="W93" i="53"/>
  <c r="X93" i="53"/>
  <c r="Y93" i="53"/>
  <c r="Z93" i="53"/>
  <c r="AA93" i="53"/>
  <c r="AB93" i="53"/>
  <c r="AC93" i="53"/>
  <c r="AD93" i="53"/>
  <c r="AE93" i="53"/>
  <c r="AF93" i="53"/>
  <c r="AG93" i="53"/>
  <c r="AH93" i="53"/>
  <c r="AI93" i="53"/>
  <c r="AJ93" i="53"/>
  <c r="AK93" i="53"/>
  <c r="AL93" i="53"/>
  <c r="E94" i="53"/>
  <c r="F94" i="53"/>
  <c r="G94" i="53"/>
  <c r="H94" i="53"/>
  <c r="I94" i="53"/>
  <c r="J94" i="53"/>
  <c r="K94" i="53"/>
  <c r="L94" i="53"/>
  <c r="M94" i="53"/>
  <c r="N94" i="53"/>
  <c r="O94" i="53"/>
  <c r="P94" i="53"/>
  <c r="Q94" i="53"/>
  <c r="R94" i="53"/>
  <c r="S94" i="53"/>
  <c r="T94" i="53"/>
  <c r="U94" i="53"/>
  <c r="V94" i="53"/>
  <c r="W94" i="53"/>
  <c r="X94" i="53"/>
  <c r="Y94" i="53"/>
  <c r="Z94" i="53"/>
  <c r="AA94" i="53"/>
  <c r="AB94" i="53"/>
  <c r="AC94" i="53"/>
  <c r="AD94" i="53"/>
  <c r="AE94" i="53"/>
  <c r="AF94" i="53"/>
  <c r="AG94" i="53"/>
  <c r="AH94" i="53"/>
  <c r="AI94" i="53"/>
  <c r="AJ94" i="53"/>
  <c r="AK94" i="53"/>
  <c r="AL94" i="53"/>
  <c r="AM94" i="53"/>
  <c r="AN94" i="53"/>
  <c r="AO94" i="53"/>
  <c r="AP94" i="53"/>
  <c r="AR94" i="53"/>
  <c r="AS94" i="53"/>
  <c r="AT94" i="53"/>
  <c r="AU94" i="53"/>
  <c r="E95" i="53"/>
  <c r="F95" i="53"/>
  <c r="G95" i="53"/>
  <c r="H95" i="53"/>
  <c r="I95" i="53"/>
  <c r="J95" i="53"/>
  <c r="K95" i="53"/>
  <c r="L95" i="53"/>
  <c r="M95" i="53"/>
  <c r="N95" i="53"/>
  <c r="O95" i="53"/>
  <c r="P95" i="53"/>
  <c r="Q95" i="53"/>
  <c r="R95" i="53"/>
  <c r="S95" i="53"/>
  <c r="T95" i="53"/>
  <c r="U95" i="53"/>
  <c r="V95" i="53"/>
  <c r="W95" i="53"/>
  <c r="X95" i="53"/>
  <c r="Y95" i="53"/>
  <c r="Z95" i="53"/>
  <c r="AA95" i="53"/>
  <c r="AB95" i="53"/>
  <c r="AC95" i="53"/>
  <c r="AD95" i="53"/>
  <c r="AE95" i="53"/>
  <c r="AF95" i="53"/>
  <c r="AG95" i="53"/>
  <c r="AH95" i="53"/>
  <c r="AI95" i="53"/>
  <c r="AJ95" i="53"/>
  <c r="AK95" i="53"/>
  <c r="AL95" i="53"/>
  <c r="E96" i="53"/>
  <c r="F96" i="53"/>
  <c r="G96" i="53"/>
  <c r="H96" i="53"/>
  <c r="I96" i="53"/>
  <c r="J96" i="53"/>
  <c r="K96" i="53"/>
  <c r="L96" i="53"/>
  <c r="M96" i="53"/>
  <c r="N96" i="53"/>
  <c r="O96" i="53"/>
  <c r="P96" i="53"/>
  <c r="Q96" i="53"/>
  <c r="R96" i="53"/>
  <c r="S96" i="53"/>
  <c r="T96" i="53"/>
  <c r="U96" i="53"/>
  <c r="V96" i="53"/>
  <c r="W96" i="53"/>
  <c r="X96" i="53"/>
  <c r="Y96" i="53"/>
  <c r="Z96" i="53"/>
  <c r="AA96" i="53"/>
  <c r="AB96" i="53"/>
  <c r="AC96" i="53"/>
  <c r="AD96" i="53"/>
  <c r="AE96" i="53"/>
  <c r="AF96" i="53"/>
  <c r="AG96" i="53"/>
  <c r="AH96" i="53"/>
  <c r="AI96" i="53"/>
  <c r="AJ96" i="53"/>
  <c r="AK96" i="53"/>
  <c r="AL96" i="53"/>
  <c r="AM96" i="53"/>
  <c r="AN96" i="53"/>
  <c r="AO96" i="53"/>
  <c r="AP96" i="53"/>
  <c r="AR96" i="53"/>
  <c r="AS96" i="53"/>
  <c r="AT96" i="53"/>
  <c r="AU96" i="53"/>
  <c r="E97" i="53"/>
  <c r="F97" i="53"/>
  <c r="G97" i="53"/>
  <c r="H97" i="53"/>
  <c r="I97" i="53"/>
  <c r="J97" i="53"/>
  <c r="K97" i="53"/>
  <c r="L97" i="53"/>
  <c r="M97" i="53"/>
  <c r="N97" i="53"/>
  <c r="O97" i="53"/>
  <c r="P97" i="53"/>
  <c r="Q97" i="53"/>
  <c r="R97" i="53"/>
  <c r="S97" i="53"/>
  <c r="T97" i="53"/>
  <c r="U97" i="53"/>
  <c r="V97" i="53"/>
  <c r="W97" i="53"/>
  <c r="X97" i="53"/>
  <c r="Y97" i="53"/>
  <c r="Z97" i="53"/>
  <c r="AA97" i="53"/>
  <c r="AB97" i="53"/>
  <c r="AC97" i="53"/>
  <c r="AD97" i="53"/>
  <c r="AE97" i="53"/>
  <c r="AF97" i="53"/>
  <c r="AG97" i="53"/>
  <c r="AH97" i="53"/>
  <c r="AI97" i="53"/>
  <c r="AJ97" i="53"/>
  <c r="AK97" i="53"/>
  <c r="AL97" i="53"/>
  <c r="E98" i="53"/>
  <c r="F98" i="53"/>
  <c r="G98" i="53"/>
  <c r="H98" i="53"/>
  <c r="I98" i="53"/>
  <c r="J98" i="53"/>
  <c r="K98" i="53"/>
  <c r="L98" i="53"/>
  <c r="M98" i="53"/>
  <c r="N98" i="53"/>
  <c r="O98" i="53"/>
  <c r="P98" i="53"/>
  <c r="Q98" i="53"/>
  <c r="R98" i="53"/>
  <c r="S98" i="53"/>
  <c r="T98" i="53"/>
  <c r="U98" i="53"/>
  <c r="V98" i="53"/>
  <c r="W98" i="53"/>
  <c r="X98" i="53"/>
  <c r="Y98" i="53"/>
  <c r="Z98" i="53"/>
  <c r="AA98" i="53"/>
  <c r="AB98" i="53"/>
  <c r="AC98" i="53"/>
  <c r="AD98" i="53"/>
  <c r="AE98" i="53"/>
  <c r="AF98" i="53"/>
  <c r="AG98" i="53"/>
  <c r="AH98" i="53"/>
  <c r="AI98" i="53"/>
  <c r="AJ98" i="53"/>
  <c r="AK98" i="53"/>
  <c r="AL98" i="53"/>
  <c r="AM98" i="53"/>
  <c r="AN98" i="53"/>
  <c r="AO98" i="53"/>
  <c r="AP98" i="53"/>
  <c r="AR98" i="53"/>
  <c r="AS98" i="53"/>
  <c r="AT98" i="53"/>
  <c r="AU98" i="53"/>
  <c r="E99" i="53"/>
  <c r="F99" i="53"/>
  <c r="G99" i="53"/>
  <c r="H99" i="53"/>
  <c r="I99" i="53"/>
  <c r="J99" i="53"/>
  <c r="K99" i="53"/>
  <c r="L99" i="53"/>
  <c r="M99" i="53"/>
  <c r="N99" i="53"/>
  <c r="O99" i="53"/>
  <c r="P99" i="53"/>
  <c r="Q99" i="53"/>
  <c r="R99" i="53"/>
  <c r="S99" i="53"/>
  <c r="T99" i="53"/>
  <c r="U99" i="53"/>
  <c r="V99" i="53"/>
  <c r="W99" i="53"/>
  <c r="X99" i="53"/>
  <c r="E100" i="53"/>
  <c r="F100" i="53"/>
  <c r="G100" i="53"/>
  <c r="H100" i="53"/>
  <c r="I100" i="53"/>
  <c r="J100" i="53"/>
  <c r="K100" i="53"/>
  <c r="L100" i="53"/>
  <c r="M100" i="53"/>
  <c r="N100" i="53"/>
  <c r="O100" i="53"/>
  <c r="P100" i="53"/>
  <c r="Q100" i="53"/>
  <c r="R100" i="53"/>
  <c r="S100" i="53"/>
  <c r="T100" i="53"/>
  <c r="U100" i="53"/>
  <c r="V100" i="53"/>
  <c r="W100" i="53"/>
  <c r="X100" i="53"/>
  <c r="Y100" i="53"/>
  <c r="Z100" i="53"/>
  <c r="AA100" i="53"/>
  <c r="AB100" i="53"/>
  <c r="AC100" i="53"/>
  <c r="AD100" i="53"/>
  <c r="AE100" i="53"/>
  <c r="AF100" i="53"/>
  <c r="AG100" i="53"/>
  <c r="AH100" i="53"/>
  <c r="AI100" i="53"/>
  <c r="AJ100" i="53"/>
  <c r="AK100" i="53"/>
  <c r="AL100" i="53"/>
  <c r="E101" i="53"/>
  <c r="F101" i="53"/>
  <c r="G101" i="53"/>
  <c r="H101" i="53"/>
  <c r="I101" i="53"/>
  <c r="J101" i="53"/>
  <c r="K101" i="53"/>
  <c r="L101" i="53"/>
  <c r="M101" i="53"/>
  <c r="N101" i="53"/>
  <c r="O101" i="53"/>
  <c r="P101" i="53"/>
  <c r="Q101" i="53"/>
  <c r="R101" i="53"/>
  <c r="S101" i="53"/>
  <c r="T101" i="53"/>
  <c r="U101" i="53"/>
  <c r="V101" i="53"/>
  <c r="W101" i="53"/>
  <c r="X101" i="53"/>
  <c r="Y101" i="53"/>
  <c r="Z101" i="53"/>
  <c r="AA101" i="53"/>
  <c r="AB101" i="53"/>
  <c r="AC101" i="53"/>
  <c r="AD101" i="53"/>
  <c r="AE101" i="53"/>
  <c r="AF101" i="53"/>
  <c r="AG101" i="53"/>
  <c r="AH101" i="53"/>
  <c r="AI101" i="53"/>
  <c r="AJ101" i="53"/>
  <c r="AK101" i="53"/>
  <c r="AL101" i="53"/>
  <c r="AM101" i="53"/>
  <c r="AN101" i="53"/>
  <c r="AO101" i="53"/>
  <c r="AP101" i="53"/>
  <c r="AR101" i="53"/>
  <c r="AS101" i="53"/>
  <c r="AT101" i="53"/>
  <c r="AU101" i="53"/>
  <c r="E102" i="53"/>
  <c r="F102" i="53"/>
  <c r="G102" i="53"/>
  <c r="H102" i="53"/>
  <c r="I102" i="53"/>
  <c r="J102" i="53"/>
  <c r="K102" i="53"/>
  <c r="L102" i="53"/>
  <c r="M102" i="53"/>
  <c r="N102" i="53"/>
  <c r="O102" i="53"/>
  <c r="P102" i="53"/>
  <c r="Q102" i="53"/>
  <c r="R102" i="53"/>
  <c r="S102" i="53"/>
  <c r="T102" i="53"/>
  <c r="U102" i="53"/>
  <c r="V102" i="53"/>
  <c r="W102" i="53"/>
  <c r="X102" i="53"/>
  <c r="Y102" i="53"/>
  <c r="Z102" i="53"/>
  <c r="AA102" i="53"/>
  <c r="AB102" i="53"/>
  <c r="AC102" i="53"/>
  <c r="AD102" i="53"/>
  <c r="AE102" i="53"/>
  <c r="AF102" i="53"/>
  <c r="AG102" i="53"/>
  <c r="AH102" i="53"/>
  <c r="AI102" i="53"/>
  <c r="AJ102" i="53"/>
  <c r="AK102" i="53"/>
  <c r="AL102" i="53"/>
  <c r="AM102" i="53"/>
  <c r="AN102" i="53"/>
  <c r="AO102" i="53"/>
  <c r="AP102" i="53"/>
  <c r="AQ102" i="53"/>
  <c r="AR102" i="53"/>
  <c r="AS102" i="53"/>
  <c r="AT102" i="53"/>
  <c r="AU102" i="53"/>
  <c r="AV102" i="53"/>
  <c r="E103" i="53"/>
  <c r="F103" i="53"/>
  <c r="G103" i="53"/>
  <c r="H103" i="53"/>
  <c r="I103" i="53"/>
  <c r="J103" i="53"/>
  <c r="K103" i="53"/>
  <c r="L103" i="53"/>
  <c r="M103" i="53"/>
  <c r="N103" i="53"/>
  <c r="O103" i="53"/>
  <c r="P103" i="53"/>
  <c r="Q103" i="53"/>
  <c r="R103" i="53"/>
  <c r="S103" i="53"/>
  <c r="T103" i="53"/>
  <c r="U103" i="53"/>
  <c r="V103" i="53"/>
  <c r="W103" i="53"/>
  <c r="X103" i="53"/>
  <c r="E104" i="53"/>
  <c r="F104" i="53"/>
  <c r="G104" i="53"/>
  <c r="H104" i="53"/>
  <c r="I104" i="53"/>
  <c r="J104" i="53"/>
  <c r="K104" i="53"/>
  <c r="L104" i="53"/>
  <c r="M104" i="53"/>
  <c r="N104" i="53"/>
  <c r="O104" i="53"/>
  <c r="P104" i="53"/>
  <c r="Q104" i="53"/>
  <c r="R104" i="53"/>
  <c r="S104" i="53"/>
  <c r="T104" i="53"/>
  <c r="U104" i="53"/>
  <c r="V104" i="53"/>
  <c r="W104" i="53"/>
  <c r="X104" i="53"/>
  <c r="Y104" i="53"/>
  <c r="Z104" i="53"/>
  <c r="AA104" i="53"/>
  <c r="AB104" i="53"/>
  <c r="AC104" i="53"/>
  <c r="AD104" i="53"/>
  <c r="AE104" i="53"/>
  <c r="AF104" i="53"/>
  <c r="AG104" i="53"/>
  <c r="AH104" i="53"/>
  <c r="AI104" i="53"/>
  <c r="AJ104" i="53"/>
  <c r="AK104" i="53"/>
  <c r="AL104" i="53"/>
  <c r="AM104" i="53"/>
  <c r="AN104" i="53"/>
  <c r="AO104" i="53"/>
  <c r="AP104" i="53"/>
  <c r="AQ104" i="53"/>
  <c r="AR104" i="53"/>
  <c r="AS104" i="53"/>
  <c r="AT104" i="53"/>
  <c r="AU104" i="53"/>
  <c r="AV104" i="53"/>
  <c r="E105" i="53"/>
  <c r="F105" i="53"/>
  <c r="G105" i="53"/>
  <c r="H105" i="53"/>
  <c r="I105" i="53"/>
  <c r="J105" i="53"/>
  <c r="K105" i="53"/>
  <c r="L105" i="53"/>
  <c r="M105" i="53"/>
  <c r="N105" i="53"/>
  <c r="O105" i="53"/>
  <c r="P105" i="53"/>
  <c r="Q105" i="53"/>
  <c r="R105" i="53"/>
  <c r="S105" i="53"/>
  <c r="T105" i="53"/>
  <c r="U105" i="53"/>
  <c r="V105" i="53"/>
  <c r="W105" i="53"/>
  <c r="X105" i="53"/>
  <c r="E106" i="53"/>
  <c r="F106" i="53"/>
  <c r="G106" i="53"/>
  <c r="H106" i="53"/>
  <c r="I106" i="53"/>
  <c r="J106" i="53"/>
  <c r="K106" i="53"/>
  <c r="L106" i="53"/>
  <c r="M106" i="53"/>
  <c r="N106" i="53"/>
  <c r="O106" i="53"/>
  <c r="P106" i="53"/>
  <c r="Q106" i="53"/>
  <c r="R106" i="53"/>
  <c r="S106" i="53"/>
  <c r="T106" i="53"/>
  <c r="U106" i="53"/>
  <c r="V106" i="53"/>
  <c r="W106" i="53"/>
  <c r="X106" i="53"/>
  <c r="D75" i="53"/>
  <c r="D76" i="53"/>
  <c r="D77" i="53"/>
  <c r="D78" i="53"/>
  <c r="D79" i="53"/>
  <c r="D80" i="53"/>
  <c r="D81" i="53"/>
  <c r="D82" i="53"/>
  <c r="D83" i="53"/>
  <c r="D84" i="53"/>
  <c r="D85" i="53"/>
  <c r="D86" i="53"/>
  <c r="D87" i="53"/>
  <c r="D88" i="53"/>
  <c r="D89" i="53"/>
  <c r="D90" i="53"/>
  <c r="D91" i="53"/>
  <c r="D92" i="53"/>
  <c r="D93" i="53"/>
  <c r="D94" i="53"/>
  <c r="D95" i="53"/>
  <c r="D96" i="53"/>
  <c r="D97" i="53"/>
  <c r="D98" i="53"/>
  <c r="D99" i="53"/>
  <c r="D100" i="53"/>
  <c r="D101" i="53"/>
  <c r="D102" i="53"/>
  <c r="D103" i="53"/>
  <c r="D104" i="53"/>
  <c r="D105" i="53"/>
  <c r="D106" i="53"/>
  <c r="D74" i="53"/>
  <c r="E41" i="53"/>
  <c r="F41" i="53"/>
  <c r="G41" i="53"/>
  <c r="H41" i="53"/>
  <c r="I41" i="53"/>
  <c r="J41" i="53"/>
  <c r="K41" i="53"/>
  <c r="L41" i="53"/>
  <c r="M41" i="53"/>
  <c r="N41" i="53"/>
  <c r="O41" i="53"/>
  <c r="P41" i="53"/>
  <c r="Q41" i="53"/>
  <c r="R41" i="53"/>
  <c r="S41" i="53"/>
  <c r="T41" i="53"/>
  <c r="U41" i="53"/>
  <c r="V41" i="53"/>
  <c r="W41" i="53"/>
  <c r="X41" i="53"/>
  <c r="Y41" i="53"/>
  <c r="Z41" i="53"/>
  <c r="AA41" i="53"/>
  <c r="AB41" i="53"/>
  <c r="AC41" i="53"/>
  <c r="AD41" i="53"/>
  <c r="AE41" i="53"/>
  <c r="AF41" i="53"/>
  <c r="AG41" i="53"/>
  <c r="AH41" i="53"/>
  <c r="AI41" i="53"/>
  <c r="AJ41" i="53"/>
  <c r="AK41" i="53"/>
  <c r="AL41" i="53"/>
  <c r="AM41" i="53"/>
  <c r="AN41" i="53"/>
  <c r="AO41" i="53"/>
  <c r="AP41" i="53"/>
  <c r="AQ41" i="53"/>
  <c r="AR41" i="53"/>
  <c r="AS41" i="53"/>
  <c r="AT41" i="53"/>
  <c r="AU41" i="53"/>
  <c r="AV41" i="53"/>
  <c r="E42" i="53"/>
  <c r="F42" i="53"/>
  <c r="G42" i="53"/>
  <c r="H42" i="53"/>
  <c r="I42" i="53"/>
  <c r="J42" i="53"/>
  <c r="K42" i="53"/>
  <c r="L42" i="53"/>
  <c r="M42" i="53"/>
  <c r="N42" i="53"/>
  <c r="O42" i="53"/>
  <c r="P42" i="53"/>
  <c r="Q42" i="53"/>
  <c r="R42" i="53"/>
  <c r="S42" i="53"/>
  <c r="T42" i="53"/>
  <c r="U42" i="53"/>
  <c r="V42" i="53"/>
  <c r="W42" i="53"/>
  <c r="X42" i="53"/>
  <c r="Y42" i="53"/>
  <c r="Z42" i="53"/>
  <c r="AA42" i="53"/>
  <c r="AB42" i="53"/>
  <c r="AC42" i="53"/>
  <c r="AD42" i="53"/>
  <c r="AE42" i="53"/>
  <c r="AF42" i="53"/>
  <c r="AG42" i="53"/>
  <c r="AH42" i="53"/>
  <c r="AI42" i="53"/>
  <c r="AJ42" i="53"/>
  <c r="AK42" i="53"/>
  <c r="AL42" i="53"/>
  <c r="AM42" i="53"/>
  <c r="AN42" i="53"/>
  <c r="AO42" i="53"/>
  <c r="AP42" i="53"/>
  <c r="AQ42" i="53"/>
  <c r="AR42" i="53"/>
  <c r="AS42" i="53"/>
  <c r="AT42" i="53"/>
  <c r="AU42" i="53"/>
  <c r="AV42" i="53"/>
  <c r="E43" i="53"/>
  <c r="F43" i="53"/>
  <c r="G43" i="53"/>
  <c r="H43" i="53"/>
  <c r="I43" i="53"/>
  <c r="J43" i="53"/>
  <c r="K43" i="53"/>
  <c r="L43" i="53"/>
  <c r="M43" i="53"/>
  <c r="N43" i="53"/>
  <c r="O43" i="53"/>
  <c r="P43" i="53"/>
  <c r="Q43" i="53"/>
  <c r="R43" i="53"/>
  <c r="S43" i="53"/>
  <c r="T43" i="53"/>
  <c r="U43" i="53"/>
  <c r="V43" i="53"/>
  <c r="W43" i="53"/>
  <c r="X43" i="53"/>
  <c r="Y43" i="53"/>
  <c r="Z43" i="53"/>
  <c r="AA43" i="53"/>
  <c r="AB43" i="53"/>
  <c r="AC43" i="53"/>
  <c r="AD43" i="53"/>
  <c r="AE43" i="53"/>
  <c r="AF43" i="53"/>
  <c r="AG43" i="53"/>
  <c r="AH43" i="53"/>
  <c r="AI43" i="53"/>
  <c r="AJ43" i="53"/>
  <c r="AK43" i="53"/>
  <c r="AL43" i="53"/>
  <c r="AM43" i="53"/>
  <c r="AN43" i="53"/>
  <c r="AO43" i="53"/>
  <c r="AP43" i="53"/>
  <c r="AQ43" i="53"/>
  <c r="AR43" i="53"/>
  <c r="AS43" i="53"/>
  <c r="AT43" i="53"/>
  <c r="AU43" i="53"/>
  <c r="AV43" i="53"/>
  <c r="E44" i="53"/>
  <c r="F44" i="53"/>
  <c r="G44" i="53"/>
  <c r="H44" i="53"/>
  <c r="I44" i="53"/>
  <c r="J44" i="53"/>
  <c r="K44" i="53"/>
  <c r="L44" i="53"/>
  <c r="M44" i="53"/>
  <c r="N44" i="53"/>
  <c r="O44" i="53"/>
  <c r="P44" i="53"/>
  <c r="Q44" i="53"/>
  <c r="R44" i="53"/>
  <c r="S44" i="53"/>
  <c r="T44" i="53"/>
  <c r="U44" i="53"/>
  <c r="V44" i="53"/>
  <c r="W44" i="53"/>
  <c r="X44" i="53"/>
  <c r="Y44" i="53"/>
  <c r="Z44" i="53"/>
  <c r="AA44" i="53"/>
  <c r="AB44" i="53"/>
  <c r="AG44" i="53"/>
  <c r="AL44" i="53"/>
  <c r="AQ44" i="53"/>
  <c r="AV44" i="53"/>
  <c r="E45" i="53"/>
  <c r="F45" i="53"/>
  <c r="G45" i="53"/>
  <c r="H45" i="53"/>
  <c r="I45" i="53"/>
  <c r="J45" i="53"/>
  <c r="K45" i="53"/>
  <c r="L45" i="53"/>
  <c r="M45" i="53"/>
  <c r="N45" i="53"/>
  <c r="O45" i="53"/>
  <c r="P45" i="53"/>
  <c r="Q45" i="53"/>
  <c r="R45" i="53"/>
  <c r="S45" i="53"/>
  <c r="T45" i="53"/>
  <c r="U45" i="53"/>
  <c r="V45" i="53"/>
  <c r="W45" i="53"/>
  <c r="E46" i="53"/>
  <c r="F46" i="53"/>
  <c r="G46" i="53"/>
  <c r="H46" i="53"/>
  <c r="I46" i="53"/>
  <c r="J46" i="53"/>
  <c r="K46" i="53"/>
  <c r="L46" i="53"/>
  <c r="M46" i="53"/>
  <c r="N46" i="53"/>
  <c r="O46" i="53"/>
  <c r="P46" i="53"/>
  <c r="Q46" i="53"/>
  <c r="R46" i="53"/>
  <c r="S46" i="53"/>
  <c r="T46" i="53"/>
  <c r="U46" i="53"/>
  <c r="V46" i="53"/>
  <c r="W46" i="53"/>
  <c r="E47" i="53"/>
  <c r="F47" i="53"/>
  <c r="G47" i="53"/>
  <c r="H47" i="53"/>
  <c r="I47" i="53"/>
  <c r="J47" i="53"/>
  <c r="K47" i="53"/>
  <c r="L47" i="53"/>
  <c r="M47" i="53"/>
  <c r="N47" i="53"/>
  <c r="O47" i="53"/>
  <c r="P47" i="53"/>
  <c r="Q47" i="53"/>
  <c r="R47" i="53"/>
  <c r="S47" i="53"/>
  <c r="T47" i="53"/>
  <c r="U47" i="53"/>
  <c r="V47" i="53"/>
  <c r="W47" i="53"/>
  <c r="X47" i="53"/>
  <c r="Y47" i="53"/>
  <c r="Z47" i="53"/>
  <c r="AA47" i="53"/>
  <c r="AC47" i="53"/>
  <c r="AD47" i="53"/>
  <c r="AE47" i="53"/>
  <c r="AF47" i="53"/>
  <c r="AG47" i="53"/>
  <c r="AH47" i="53"/>
  <c r="AI47" i="53"/>
  <c r="AJ47" i="53"/>
  <c r="AK47" i="53"/>
  <c r="AL47" i="53"/>
  <c r="AM47" i="53"/>
  <c r="AN47" i="53"/>
  <c r="AO47" i="53"/>
  <c r="AP47" i="53"/>
  <c r="AQ47" i="53"/>
  <c r="AR47" i="53"/>
  <c r="AS47" i="53"/>
  <c r="AT47" i="53"/>
  <c r="AU47" i="53"/>
  <c r="AV47" i="53"/>
  <c r="E48" i="53"/>
  <c r="F48" i="53"/>
  <c r="G48" i="53"/>
  <c r="H48" i="53"/>
  <c r="I48" i="53"/>
  <c r="J48" i="53"/>
  <c r="K48" i="53"/>
  <c r="L48" i="53"/>
  <c r="M48" i="53"/>
  <c r="N48" i="53"/>
  <c r="O48" i="53"/>
  <c r="P48" i="53"/>
  <c r="Q48" i="53"/>
  <c r="R48" i="53"/>
  <c r="S48" i="53"/>
  <c r="T48" i="53"/>
  <c r="U48" i="53"/>
  <c r="V48" i="53"/>
  <c r="W48" i="53"/>
  <c r="X48" i="53"/>
  <c r="Y48" i="53"/>
  <c r="Z48" i="53"/>
  <c r="AA48" i="53"/>
  <c r="AB48" i="53"/>
  <c r="AC48" i="53"/>
  <c r="AD48" i="53"/>
  <c r="AE48" i="53"/>
  <c r="AF48" i="53"/>
  <c r="AG48" i="53"/>
  <c r="AH48" i="53"/>
  <c r="AI48" i="53"/>
  <c r="AJ48" i="53"/>
  <c r="AK48" i="53"/>
  <c r="AL48" i="53"/>
  <c r="AM48" i="53"/>
  <c r="AN48" i="53"/>
  <c r="AO48" i="53"/>
  <c r="AP48" i="53"/>
  <c r="AQ48" i="53"/>
  <c r="AR48" i="53"/>
  <c r="AS48" i="53"/>
  <c r="AT48" i="53"/>
  <c r="AU48" i="53"/>
  <c r="AV48" i="53"/>
  <c r="E49" i="53"/>
  <c r="F49" i="53"/>
  <c r="G49" i="53"/>
  <c r="H49" i="53"/>
  <c r="I49" i="53"/>
  <c r="J49" i="53"/>
  <c r="K49" i="53"/>
  <c r="L49" i="53"/>
  <c r="M49" i="53"/>
  <c r="N49" i="53"/>
  <c r="O49" i="53"/>
  <c r="P49" i="53"/>
  <c r="Q49" i="53"/>
  <c r="R49" i="53"/>
  <c r="S49" i="53"/>
  <c r="T49" i="53"/>
  <c r="U49" i="53"/>
  <c r="V49" i="53"/>
  <c r="W49" i="53"/>
  <c r="X49" i="53"/>
  <c r="Y49" i="53"/>
  <c r="Z49" i="53"/>
  <c r="AA49" i="53"/>
  <c r="AB49" i="53"/>
  <c r="AC49" i="53"/>
  <c r="AD49" i="53"/>
  <c r="AE49" i="53"/>
  <c r="AF49" i="53"/>
  <c r="AG49" i="53"/>
  <c r="AH49" i="53"/>
  <c r="AI49" i="53"/>
  <c r="AJ49" i="53"/>
  <c r="AK49" i="53"/>
  <c r="AL49" i="53"/>
  <c r="AM49" i="53"/>
  <c r="AN49" i="53"/>
  <c r="AO49" i="53"/>
  <c r="AP49" i="53"/>
  <c r="AQ49" i="53"/>
  <c r="AR49" i="53"/>
  <c r="AS49" i="53"/>
  <c r="AT49" i="53"/>
  <c r="AU49" i="53"/>
  <c r="AV49" i="53"/>
  <c r="E50" i="53"/>
  <c r="F50" i="53"/>
  <c r="G50" i="53"/>
  <c r="H50" i="53"/>
  <c r="I50" i="53"/>
  <c r="J50" i="53"/>
  <c r="K50" i="53"/>
  <c r="L50" i="53"/>
  <c r="M50" i="53"/>
  <c r="N50" i="53"/>
  <c r="O50" i="53"/>
  <c r="P50" i="53"/>
  <c r="Q50" i="53"/>
  <c r="R50" i="53"/>
  <c r="S50" i="53"/>
  <c r="T50" i="53"/>
  <c r="U50" i="53"/>
  <c r="V50" i="53"/>
  <c r="W50" i="53"/>
  <c r="X50" i="53"/>
  <c r="Y50" i="53"/>
  <c r="Z50" i="53"/>
  <c r="AA50" i="53"/>
  <c r="AB50" i="53"/>
  <c r="AC50" i="53"/>
  <c r="AD50" i="53"/>
  <c r="AE50" i="53"/>
  <c r="AF50" i="53"/>
  <c r="AG50" i="53"/>
  <c r="AH50" i="53"/>
  <c r="AI50" i="53"/>
  <c r="AJ50" i="53"/>
  <c r="AK50" i="53"/>
  <c r="AL50" i="53"/>
  <c r="AM50" i="53"/>
  <c r="AN50" i="53"/>
  <c r="AO50" i="53"/>
  <c r="AP50" i="53"/>
  <c r="AQ50" i="53"/>
  <c r="AR50" i="53"/>
  <c r="AS50" i="53"/>
  <c r="AT50" i="53"/>
  <c r="AU50" i="53"/>
  <c r="AV50" i="53"/>
  <c r="E51" i="53"/>
  <c r="F51" i="53"/>
  <c r="G51" i="53"/>
  <c r="H51" i="53"/>
  <c r="I51" i="53"/>
  <c r="J51" i="53"/>
  <c r="K51" i="53"/>
  <c r="L51" i="53"/>
  <c r="M51" i="53"/>
  <c r="N51" i="53"/>
  <c r="O51" i="53"/>
  <c r="P51" i="53"/>
  <c r="Q51" i="53"/>
  <c r="R51" i="53"/>
  <c r="S51" i="53"/>
  <c r="T51" i="53"/>
  <c r="U51" i="53"/>
  <c r="V51" i="53"/>
  <c r="W51" i="53"/>
  <c r="X51" i="53"/>
  <c r="Y51" i="53"/>
  <c r="Z51" i="53"/>
  <c r="AA51" i="53"/>
  <c r="AB51" i="53"/>
  <c r="AC51" i="53"/>
  <c r="AD51" i="53"/>
  <c r="AE51" i="53"/>
  <c r="AF51" i="53"/>
  <c r="AG51" i="53"/>
  <c r="AH51" i="53"/>
  <c r="AI51" i="53"/>
  <c r="AJ51" i="53"/>
  <c r="AK51" i="53"/>
  <c r="AL51" i="53"/>
  <c r="AM51" i="53"/>
  <c r="AN51" i="53"/>
  <c r="AO51" i="53"/>
  <c r="AP51" i="53"/>
  <c r="AQ51" i="53"/>
  <c r="AR51" i="53"/>
  <c r="AS51" i="53"/>
  <c r="AT51" i="53"/>
  <c r="AU51" i="53"/>
  <c r="AV51" i="53"/>
  <c r="E52" i="53"/>
  <c r="F52" i="53"/>
  <c r="G52" i="53"/>
  <c r="H52" i="53"/>
  <c r="I52" i="53"/>
  <c r="J52" i="53"/>
  <c r="K52" i="53"/>
  <c r="L52" i="53"/>
  <c r="M52" i="53"/>
  <c r="N52" i="53"/>
  <c r="O52" i="53"/>
  <c r="P52" i="53"/>
  <c r="Q52" i="53"/>
  <c r="R52" i="53"/>
  <c r="S52" i="53"/>
  <c r="T52" i="53"/>
  <c r="U52" i="53"/>
  <c r="V52" i="53"/>
  <c r="W52" i="53"/>
  <c r="X52" i="53"/>
  <c r="Y52" i="53"/>
  <c r="Z52" i="53"/>
  <c r="AA52" i="53"/>
  <c r="AB52" i="53"/>
  <c r="AC52" i="53"/>
  <c r="AD52" i="53"/>
  <c r="AE52" i="53"/>
  <c r="AF52" i="53"/>
  <c r="AG52" i="53"/>
  <c r="AH52" i="53"/>
  <c r="AI52" i="53"/>
  <c r="AJ52" i="53"/>
  <c r="AK52" i="53"/>
  <c r="AL52" i="53"/>
  <c r="AM52" i="53"/>
  <c r="AN52" i="53"/>
  <c r="AO52" i="53"/>
  <c r="AP52" i="53"/>
  <c r="AQ52" i="53"/>
  <c r="AR52" i="53"/>
  <c r="AS52" i="53"/>
  <c r="AT52" i="53"/>
  <c r="AU52" i="53"/>
  <c r="AV52" i="53"/>
  <c r="E53" i="53"/>
  <c r="F53" i="53"/>
  <c r="G53" i="53"/>
  <c r="H53" i="53"/>
  <c r="I53" i="53"/>
  <c r="J53" i="53"/>
  <c r="K53" i="53"/>
  <c r="L53" i="53"/>
  <c r="M53" i="53"/>
  <c r="N53" i="53"/>
  <c r="O53" i="53"/>
  <c r="P53" i="53"/>
  <c r="Q53" i="53"/>
  <c r="R53" i="53"/>
  <c r="S53" i="53"/>
  <c r="T53" i="53"/>
  <c r="U53" i="53"/>
  <c r="V53" i="53"/>
  <c r="W53" i="53"/>
  <c r="X53" i="53"/>
  <c r="Y53" i="53"/>
  <c r="Z53" i="53"/>
  <c r="AA53" i="53"/>
  <c r="AB53" i="53"/>
  <c r="AC53" i="53"/>
  <c r="AD53" i="53"/>
  <c r="AE53" i="53"/>
  <c r="AF53" i="53"/>
  <c r="AG53" i="53"/>
  <c r="AH53" i="53"/>
  <c r="AI53" i="53"/>
  <c r="AJ53" i="53"/>
  <c r="AK53" i="53"/>
  <c r="AL53" i="53"/>
  <c r="AM53" i="53"/>
  <c r="AN53" i="53"/>
  <c r="AO53" i="53"/>
  <c r="AP53" i="53"/>
  <c r="AQ53" i="53"/>
  <c r="AR53" i="53"/>
  <c r="AS53" i="53"/>
  <c r="AT53" i="53"/>
  <c r="AU53" i="53"/>
  <c r="AV53"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H54" i="53"/>
  <c r="AI54" i="53"/>
  <c r="AJ54" i="53"/>
  <c r="AK54" i="53"/>
  <c r="AL54" i="53"/>
  <c r="E55" i="53"/>
  <c r="F55" i="53"/>
  <c r="G55" i="53"/>
  <c r="H55" i="53"/>
  <c r="I55" i="53"/>
  <c r="J55" i="53"/>
  <c r="K55" i="53"/>
  <c r="L55" i="53"/>
  <c r="M55" i="53"/>
  <c r="N55" i="53"/>
  <c r="O55" i="53"/>
  <c r="P55" i="53"/>
  <c r="Q55" i="53"/>
  <c r="R55" i="53"/>
  <c r="S55" i="53"/>
  <c r="T55" i="53"/>
  <c r="U55" i="53"/>
  <c r="V55" i="53"/>
  <c r="W55" i="53"/>
  <c r="X55" i="53"/>
  <c r="Y55" i="53"/>
  <c r="Z55" i="53"/>
  <c r="AA55" i="53"/>
  <c r="AB55" i="53"/>
  <c r="AC55" i="53"/>
  <c r="AD55" i="53"/>
  <c r="AE55" i="53"/>
  <c r="AF55" i="53"/>
  <c r="AG55" i="53"/>
  <c r="AH55" i="53"/>
  <c r="AI55" i="53"/>
  <c r="AJ55" i="53"/>
  <c r="AK55" i="53"/>
  <c r="AL55" i="53"/>
  <c r="AM55" i="53"/>
  <c r="AN55" i="53"/>
  <c r="AO55" i="53"/>
  <c r="AP55" i="53"/>
  <c r="AQ55" i="53"/>
  <c r="AR55" i="53"/>
  <c r="AS55" i="53"/>
  <c r="AT55" i="53"/>
  <c r="AU55" i="53"/>
  <c r="AV55" i="53"/>
  <c r="E56" i="53"/>
  <c r="F56" i="53"/>
  <c r="G56" i="53"/>
  <c r="H56" i="53"/>
  <c r="I56" i="53"/>
  <c r="J56" i="53"/>
  <c r="K56" i="53"/>
  <c r="L56" i="53"/>
  <c r="M56" i="53"/>
  <c r="N56" i="53"/>
  <c r="O56" i="53"/>
  <c r="P56" i="53"/>
  <c r="Q56" i="53"/>
  <c r="R56" i="53"/>
  <c r="S56" i="53"/>
  <c r="T56" i="53"/>
  <c r="U56" i="53"/>
  <c r="V56" i="53"/>
  <c r="W56" i="53"/>
  <c r="X56" i="53"/>
  <c r="Y56" i="53"/>
  <c r="Z56" i="53"/>
  <c r="AA56" i="53"/>
  <c r="AB56" i="53"/>
  <c r="AC56" i="53"/>
  <c r="AD56" i="53"/>
  <c r="AE56" i="53"/>
  <c r="AF56" i="53"/>
  <c r="AG56" i="53"/>
  <c r="AH56" i="53"/>
  <c r="AI56" i="53"/>
  <c r="AJ56" i="53"/>
  <c r="AK56" i="53"/>
  <c r="AL56" i="53"/>
  <c r="AM56" i="53"/>
  <c r="AN56" i="53"/>
  <c r="AO56" i="53"/>
  <c r="AP56" i="53"/>
  <c r="AQ56" i="53"/>
  <c r="AR56" i="53"/>
  <c r="AS56" i="53"/>
  <c r="AT56" i="53"/>
  <c r="AU56" i="53"/>
  <c r="AV56" i="53"/>
  <c r="E57" i="53"/>
  <c r="F57" i="53"/>
  <c r="G57" i="53"/>
  <c r="H57" i="53"/>
  <c r="I57" i="53"/>
  <c r="J57" i="53"/>
  <c r="K57" i="53"/>
  <c r="L57" i="53"/>
  <c r="M57" i="53"/>
  <c r="N57" i="53"/>
  <c r="O57" i="53"/>
  <c r="P57" i="53"/>
  <c r="Q57" i="53"/>
  <c r="R57" i="53"/>
  <c r="S57" i="53"/>
  <c r="T57" i="53"/>
  <c r="U57" i="53"/>
  <c r="V57" i="53"/>
  <c r="W57" i="53"/>
  <c r="X57" i="53"/>
  <c r="Y57" i="53"/>
  <c r="Z57" i="53"/>
  <c r="AA57" i="53"/>
  <c r="AB57" i="53"/>
  <c r="AC57" i="53"/>
  <c r="AD57" i="53"/>
  <c r="AE57" i="53"/>
  <c r="AF57" i="53"/>
  <c r="AG57" i="53"/>
  <c r="AH57" i="53"/>
  <c r="AI57" i="53"/>
  <c r="AJ57" i="53"/>
  <c r="AK57" i="53"/>
  <c r="AL57" i="53"/>
  <c r="AM57" i="53"/>
  <c r="AN57" i="53"/>
  <c r="AO57" i="53"/>
  <c r="AP57" i="53"/>
  <c r="AQ57" i="53"/>
  <c r="AR57" i="53"/>
  <c r="AS57" i="53"/>
  <c r="AT57" i="53"/>
  <c r="AU57" i="53"/>
  <c r="AV57" i="53"/>
  <c r="E58" i="53"/>
  <c r="F58" i="53"/>
  <c r="G58" i="53"/>
  <c r="H58" i="53"/>
  <c r="I58" i="53"/>
  <c r="J58" i="53"/>
  <c r="K58" i="53"/>
  <c r="L58" i="53"/>
  <c r="M58" i="53"/>
  <c r="N58" i="53"/>
  <c r="O58" i="53"/>
  <c r="P58" i="53"/>
  <c r="Q58" i="53"/>
  <c r="R58" i="53"/>
  <c r="S58" i="53"/>
  <c r="T58" i="53"/>
  <c r="U58" i="53"/>
  <c r="V58" i="53"/>
  <c r="W58" i="53"/>
  <c r="X58" i="53"/>
  <c r="Y58" i="53"/>
  <c r="Z58" i="53"/>
  <c r="AA58" i="53"/>
  <c r="AB58" i="53"/>
  <c r="AC58" i="53"/>
  <c r="AD58" i="53"/>
  <c r="AE58" i="53"/>
  <c r="AF58" i="53"/>
  <c r="AG58" i="53"/>
  <c r="AH58" i="53"/>
  <c r="AI58" i="53"/>
  <c r="AJ58" i="53"/>
  <c r="AK58" i="53"/>
  <c r="AL58" i="53"/>
  <c r="AM58" i="53"/>
  <c r="AN58" i="53"/>
  <c r="AO58" i="53"/>
  <c r="AP58" i="53"/>
  <c r="AQ58" i="53"/>
  <c r="AR58" i="53"/>
  <c r="AS58" i="53"/>
  <c r="AT58" i="53"/>
  <c r="AU58" i="53"/>
  <c r="AV58" i="53"/>
  <c r="E59" i="53"/>
  <c r="F59" i="53"/>
  <c r="G59" i="53"/>
  <c r="H59" i="53"/>
  <c r="I59" i="53"/>
  <c r="J59" i="53"/>
  <c r="K59" i="53"/>
  <c r="L59" i="53"/>
  <c r="M59" i="53"/>
  <c r="N59" i="53"/>
  <c r="O59" i="53"/>
  <c r="P59" i="53"/>
  <c r="Q59" i="53"/>
  <c r="R59" i="53"/>
  <c r="S59" i="53"/>
  <c r="T59" i="53"/>
  <c r="U59" i="53"/>
  <c r="V59" i="53"/>
  <c r="W59" i="53"/>
  <c r="E60" i="53"/>
  <c r="F60" i="53"/>
  <c r="G60" i="53"/>
  <c r="H60" i="53"/>
  <c r="I60" i="53"/>
  <c r="J60" i="53"/>
  <c r="K60" i="53"/>
  <c r="L60" i="53"/>
  <c r="M60" i="53"/>
  <c r="N60" i="53"/>
  <c r="O60" i="53"/>
  <c r="P60" i="53"/>
  <c r="Q60" i="53"/>
  <c r="R60" i="53"/>
  <c r="S60" i="53"/>
  <c r="T60" i="53"/>
  <c r="U60" i="53"/>
  <c r="V60" i="53"/>
  <c r="W60" i="53"/>
  <c r="E61" i="53"/>
  <c r="F61" i="53"/>
  <c r="G61" i="53"/>
  <c r="H61" i="53"/>
  <c r="I61" i="53"/>
  <c r="J61" i="53"/>
  <c r="K61" i="53"/>
  <c r="L61" i="53"/>
  <c r="M61" i="53"/>
  <c r="N61" i="53"/>
  <c r="O61" i="53"/>
  <c r="P61" i="53"/>
  <c r="Q61" i="53"/>
  <c r="R61" i="53"/>
  <c r="S61" i="53"/>
  <c r="T61" i="53"/>
  <c r="U61" i="53"/>
  <c r="V61" i="53"/>
  <c r="W61" i="53"/>
  <c r="X61" i="53"/>
  <c r="Y61" i="53"/>
  <c r="Z61" i="53"/>
  <c r="AA61" i="53"/>
  <c r="E62" i="53"/>
  <c r="F62" i="53"/>
  <c r="G62" i="53"/>
  <c r="H62" i="53"/>
  <c r="I62" i="53"/>
  <c r="J62" i="53"/>
  <c r="K62" i="53"/>
  <c r="L62" i="53"/>
  <c r="M62" i="53"/>
  <c r="N62" i="53"/>
  <c r="O62" i="53"/>
  <c r="P62" i="53"/>
  <c r="Q62" i="53"/>
  <c r="R62" i="53"/>
  <c r="S62" i="53"/>
  <c r="T62" i="53"/>
  <c r="U62" i="53"/>
  <c r="V62" i="53"/>
  <c r="W62" i="53"/>
  <c r="E63" i="53"/>
  <c r="F63" i="53"/>
  <c r="G63" i="53"/>
  <c r="H63" i="53"/>
  <c r="I63" i="53"/>
  <c r="J63" i="53"/>
  <c r="K63" i="53"/>
  <c r="L63" i="53"/>
  <c r="M63" i="53"/>
  <c r="N63" i="53"/>
  <c r="O63" i="53"/>
  <c r="P63" i="53"/>
  <c r="Q63" i="53"/>
  <c r="R63" i="53"/>
  <c r="S63" i="53"/>
  <c r="T63" i="53"/>
  <c r="U63" i="53"/>
  <c r="V63" i="53"/>
  <c r="W63" i="53"/>
  <c r="X63" i="53"/>
  <c r="Y63" i="53"/>
  <c r="Z63" i="53"/>
  <c r="AA63" i="53"/>
  <c r="E64" i="53"/>
  <c r="F64" i="53"/>
  <c r="G64" i="53"/>
  <c r="H64" i="53"/>
  <c r="I64" i="53"/>
  <c r="J64" i="53"/>
  <c r="K64" i="53"/>
  <c r="L64" i="53"/>
  <c r="M64" i="53"/>
  <c r="N64" i="53"/>
  <c r="O64" i="53"/>
  <c r="P64" i="53"/>
  <c r="Q64" i="53"/>
  <c r="R64" i="53"/>
  <c r="S64" i="53"/>
  <c r="T64" i="53"/>
  <c r="U64" i="53"/>
  <c r="V64" i="53"/>
  <c r="W64" i="53"/>
  <c r="E65" i="53"/>
  <c r="F65" i="53"/>
  <c r="G65" i="53"/>
  <c r="H65" i="53"/>
  <c r="I65" i="53"/>
  <c r="J65" i="53"/>
  <c r="K65" i="53"/>
  <c r="L65" i="53"/>
  <c r="M65" i="53"/>
  <c r="N65" i="53"/>
  <c r="O65" i="53"/>
  <c r="P65" i="53"/>
  <c r="Q65" i="53"/>
  <c r="R65" i="53"/>
  <c r="S65" i="53"/>
  <c r="T65" i="53"/>
  <c r="U65" i="53"/>
  <c r="V65" i="53"/>
  <c r="W65" i="53"/>
  <c r="X65" i="53"/>
  <c r="Y65" i="53"/>
  <c r="Z65" i="53"/>
  <c r="AA65" i="53"/>
  <c r="AC65" i="53"/>
  <c r="AD65" i="53"/>
  <c r="AE65" i="53"/>
  <c r="AF65" i="53"/>
  <c r="AH65" i="53"/>
  <c r="AI65" i="53"/>
  <c r="AJ65" i="53"/>
  <c r="AK65" i="53"/>
  <c r="AM65" i="53"/>
  <c r="AN65" i="53"/>
  <c r="AO65" i="53"/>
  <c r="AP65" i="53"/>
  <c r="AR65" i="53"/>
  <c r="AS65" i="53"/>
  <c r="AT65" i="53"/>
  <c r="AU65" i="53"/>
  <c r="E66" i="53"/>
  <c r="F66" i="53"/>
  <c r="G66" i="53"/>
  <c r="H66" i="53"/>
  <c r="I66" i="53"/>
  <c r="J66" i="53"/>
  <c r="K66" i="53"/>
  <c r="L66" i="53"/>
  <c r="M66" i="53"/>
  <c r="N66" i="53"/>
  <c r="O66" i="53"/>
  <c r="P66" i="53"/>
  <c r="Q66" i="53"/>
  <c r="R66" i="53"/>
  <c r="S66" i="53"/>
  <c r="T66" i="53"/>
  <c r="U66" i="53"/>
  <c r="V66" i="53"/>
  <c r="W66" i="53"/>
  <c r="X66" i="53"/>
  <c r="E67" i="53"/>
  <c r="F67" i="53"/>
  <c r="G67" i="53"/>
  <c r="H67" i="53"/>
  <c r="I67" i="53"/>
  <c r="J67" i="53"/>
  <c r="K67" i="53"/>
  <c r="L67" i="53"/>
  <c r="M67" i="53"/>
  <c r="N67" i="53"/>
  <c r="O67" i="53"/>
  <c r="P67" i="53"/>
  <c r="Q67" i="53"/>
  <c r="R67" i="53"/>
  <c r="S67" i="53"/>
  <c r="T67" i="53"/>
  <c r="U67" i="53"/>
  <c r="V67" i="53"/>
  <c r="W67" i="53"/>
  <c r="E68" i="53"/>
  <c r="F68" i="53"/>
  <c r="G68" i="53"/>
  <c r="H68" i="53"/>
  <c r="I68" i="53"/>
  <c r="J68" i="53"/>
  <c r="K68" i="53"/>
  <c r="L68" i="53"/>
  <c r="M68" i="53"/>
  <c r="N68" i="53"/>
  <c r="O68" i="53"/>
  <c r="P68" i="53"/>
  <c r="Q68" i="53"/>
  <c r="R68" i="53"/>
  <c r="S68" i="53"/>
  <c r="T68" i="53"/>
  <c r="U68" i="53"/>
  <c r="V68" i="53"/>
  <c r="W68" i="53"/>
  <c r="X68" i="53"/>
  <c r="Y68" i="53"/>
  <c r="Z68" i="53"/>
  <c r="AA68" i="53"/>
  <c r="AC68" i="53"/>
  <c r="AD68" i="53"/>
  <c r="AE68" i="53"/>
  <c r="AF68" i="53"/>
  <c r="AH68" i="53"/>
  <c r="AI68" i="53"/>
  <c r="AJ68" i="53"/>
  <c r="AK68" i="53"/>
  <c r="AM68" i="53"/>
  <c r="AN68" i="53"/>
  <c r="AO68" i="53"/>
  <c r="AP68" i="53"/>
  <c r="AR68" i="53"/>
  <c r="AS68" i="53"/>
  <c r="AT68" i="53"/>
  <c r="AU68" i="53"/>
  <c r="E69" i="53"/>
  <c r="F69" i="53"/>
  <c r="G69" i="53"/>
  <c r="H69" i="53"/>
  <c r="I69" i="53"/>
  <c r="J69" i="53"/>
  <c r="K69" i="53"/>
  <c r="L69" i="53"/>
  <c r="M69" i="53"/>
  <c r="N69" i="53"/>
  <c r="O69" i="53"/>
  <c r="P69" i="53"/>
  <c r="Q69" i="53"/>
  <c r="R69" i="53"/>
  <c r="S69" i="53"/>
  <c r="T69" i="53"/>
  <c r="U69" i="53"/>
  <c r="V69" i="53"/>
  <c r="W69" i="53"/>
  <c r="X69" i="53"/>
  <c r="Y69" i="53"/>
  <c r="Z69" i="53"/>
  <c r="AA69" i="53"/>
  <c r="AB69" i="53"/>
  <c r="AC69" i="53"/>
  <c r="AD69" i="53"/>
  <c r="AE69" i="53"/>
  <c r="AF69" i="53"/>
  <c r="AG69" i="53"/>
  <c r="AH69" i="53"/>
  <c r="AI69" i="53"/>
  <c r="AJ69" i="53"/>
  <c r="AK69" i="53"/>
  <c r="AL69" i="53"/>
  <c r="AM69" i="53"/>
  <c r="AN69" i="53"/>
  <c r="AO69" i="53"/>
  <c r="AP69" i="53"/>
  <c r="AQ69" i="53"/>
  <c r="AR69" i="53"/>
  <c r="AS69" i="53"/>
  <c r="AT69" i="53"/>
  <c r="AU69" i="53"/>
  <c r="AV69" i="53"/>
  <c r="E70" i="53"/>
  <c r="F70" i="53"/>
  <c r="G70" i="53"/>
  <c r="H70" i="53"/>
  <c r="I70" i="53"/>
  <c r="J70" i="53"/>
  <c r="K70" i="53"/>
  <c r="L70" i="53"/>
  <c r="M70" i="53"/>
  <c r="N70" i="53"/>
  <c r="O70" i="53"/>
  <c r="P70" i="53"/>
  <c r="Q70" i="53"/>
  <c r="R70" i="53"/>
  <c r="S70" i="53"/>
  <c r="T70" i="53"/>
  <c r="U70" i="53"/>
  <c r="V70" i="53"/>
  <c r="W70" i="53"/>
  <c r="E71" i="53"/>
  <c r="F71" i="53"/>
  <c r="G71" i="53"/>
  <c r="H71" i="53"/>
  <c r="I71" i="53"/>
  <c r="J71" i="53"/>
  <c r="K71" i="53"/>
  <c r="L71" i="53"/>
  <c r="M71" i="53"/>
  <c r="N71" i="53"/>
  <c r="O71" i="53"/>
  <c r="P71" i="53"/>
  <c r="Q71" i="53"/>
  <c r="R71" i="53"/>
  <c r="S71" i="53"/>
  <c r="T71" i="53"/>
  <c r="U71" i="53"/>
  <c r="V71" i="53"/>
  <c r="W71" i="53"/>
  <c r="E72" i="53"/>
  <c r="F72" i="53"/>
  <c r="G72" i="53"/>
  <c r="H72" i="53"/>
  <c r="I72" i="53"/>
  <c r="J72" i="53"/>
  <c r="K72" i="53"/>
  <c r="L72" i="53"/>
  <c r="M72" i="53"/>
  <c r="N72" i="53"/>
  <c r="O72" i="53"/>
  <c r="P72" i="53"/>
  <c r="Q72" i="53"/>
  <c r="R72" i="53"/>
  <c r="S72" i="53"/>
  <c r="T72" i="53"/>
  <c r="U72" i="53"/>
  <c r="V72" i="53"/>
  <c r="W72" i="53"/>
  <c r="D42" i="53"/>
  <c r="D43" i="53"/>
  <c r="D44" i="53"/>
  <c r="D45" i="53"/>
  <c r="D46" i="53"/>
  <c r="D47" i="53"/>
  <c r="D48" i="53"/>
  <c r="D49" i="53"/>
  <c r="D50" i="53"/>
  <c r="D51" i="53"/>
  <c r="D52" i="53"/>
  <c r="D53" i="53"/>
  <c r="D54" i="53"/>
  <c r="D55" i="53"/>
  <c r="D56" i="53"/>
  <c r="D57" i="53"/>
  <c r="D58" i="53"/>
  <c r="D59" i="53"/>
  <c r="D60" i="53"/>
  <c r="D61" i="53"/>
  <c r="D62" i="53"/>
  <c r="D63" i="53"/>
  <c r="D64" i="53"/>
  <c r="D65" i="53"/>
  <c r="D66" i="53"/>
  <c r="D67" i="53"/>
  <c r="D68" i="53"/>
  <c r="D69" i="53"/>
  <c r="D70" i="53"/>
  <c r="D71" i="53"/>
  <c r="D72" i="53"/>
  <c r="D41" i="53"/>
  <c r="E5" i="53"/>
  <c r="F5" i="53"/>
  <c r="G5" i="53"/>
  <c r="H5" i="53"/>
  <c r="I5" i="53"/>
  <c r="J5" i="53"/>
  <c r="K5" i="53"/>
  <c r="L5" i="53"/>
  <c r="M5" i="53"/>
  <c r="N5" i="53"/>
  <c r="O5" i="53"/>
  <c r="P5" i="53"/>
  <c r="Q5" i="53"/>
  <c r="R5" i="53"/>
  <c r="S5" i="53"/>
  <c r="T5" i="53"/>
  <c r="U5" i="53"/>
  <c r="V5" i="53"/>
  <c r="W5" i="53"/>
  <c r="E6" i="53"/>
  <c r="F6" i="53"/>
  <c r="G6" i="53"/>
  <c r="H6" i="53"/>
  <c r="I6" i="53"/>
  <c r="J6" i="53"/>
  <c r="K6" i="53"/>
  <c r="L6" i="53"/>
  <c r="M6" i="53"/>
  <c r="N6" i="53"/>
  <c r="O6" i="53"/>
  <c r="P6" i="53"/>
  <c r="Q6" i="53"/>
  <c r="R6" i="53"/>
  <c r="S6" i="53"/>
  <c r="T6" i="53"/>
  <c r="U6" i="53"/>
  <c r="V6" i="53"/>
  <c r="W6" i="53"/>
  <c r="X6" i="53"/>
  <c r="Y6" i="53"/>
  <c r="Z6" i="53"/>
  <c r="AA6" i="53"/>
  <c r="AB6" i="53"/>
  <c r="AC6" i="53"/>
  <c r="AD6" i="53"/>
  <c r="AE6" i="53"/>
  <c r="AF6" i="53"/>
  <c r="AG6" i="53"/>
  <c r="AH6" i="53"/>
  <c r="AI6" i="53"/>
  <c r="AJ6" i="53"/>
  <c r="AK6" i="53"/>
  <c r="AL6" i="53"/>
  <c r="E7" i="53"/>
  <c r="F7" i="53"/>
  <c r="G7" i="53"/>
  <c r="H7" i="53"/>
  <c r="I7" i="53"/>
  <c r="J7" i="53"/>
  <c r="K7" i="53"/>
  <c r="L7" i="53"/>
  <c r="M7" i="53"/>
  <c r="N7" i="53"/>
  <c r="O7" i="53"/>
  <c r="P7" i="53"/>
  <c r="Q7" i="53"/>
  <c r="R7" i="53"/>
  <c r="S7" i="53"/>
  <c r="T7" i="53"/>
  <c r="U7" i="53"/>
  <c r="V7" i="53"/>
  <c r="W7" i="53"/>
  <c r="X7" i="53"/>
  <c r="Y7" i="53"/>
  <c r="Z7" i="53"/>
  <c r="AA7" i="53"/>
  <c r="AB7" i="53"/>
  <c r="AC7" i="53"/>
  <c r="AD7" i="53"/>
  <c r="AE7" i="53"/>
  <c r="AF7" i="53"/>
  <c r="AG7" i="53"/>
  <c r="AH7" i="53"/>
  <c r="AI7" i="53"/>
  <c r="AJ7" i="53"/>
  <c r="AK7" i="53"/>
  <c r="AL7" i="53"/>
  <c r="AM7" i="53"/>
  <c r="AN7" i="53"/>
  <c r="AO7" i="53"/>
  <c r="AP7" i="53"/>
  <c r="AQ7" i="53"/>
  <c r="AR7" i="53"/>
  <c r="AS7" i="53"/>
  <c r="AT7" i="53"/>
  <c r="AU7" i="53"/>
  <c r="AV7" i="53"/>
  <c r="E8" i="53"/>
  <c r="F8" i="53"/>
  <c r="G8" i="53"/>
  <c r="H8" i="53"/>
  <c r="I8" i="53"/>
  <c r="J8" i="53"/>
  <c r="K8" i="53"/>
  <c r="L8" i="53"/>
  <c r="M8" i="53"/>
  <c r="N8" i="53"/>
  <c r="O8" i="53"/>
  <c r="P8" i="53"/>
  <c r="Q8" i="53"/>
  <c r="R8" i="53"/>
  <c r="S8" i="53"/>
  <c r="T8" i="53"/>
  <c r="U8" i="53"/>
  <c r="V8" i="53"/>
  <c r="W8" i="53"/>
  <c r="E9" i="53"/>
  <c r="F9" i="53"/>
  <c r="G9" i="53"/>
  <c r="H9" i="53"/>
  <c r="I9" i="53"/>
  <c r="J9" i="53"/>
  <c r="K9" i="53"/>
  <c r="L9" i="53"/>
  <c r="M9" i="53"/>
  <c r="N9" i="53"/>
  <c r="O9" i="53"/>
  <c r="P9" i="53"/>
  <c r="Q9" i="53"/>
  <c r="R9" i="53"/>
  <c r="S9" i="53"/>
  <c r="T9" i="53"/>
  <c r="U9" i="53"/>
  <c r="V9" i="53"/>
  <c r="W9" i="53"/>
  <c r="E10" i="53"/>
  <c r="F10" i="53"/>
  <c r="G10" i="53"/>
  <c r="H10" i="53"/>
  <c r="I10" i="53"/>
  <c r="J10" i="53"/>
  <c r="K10" i="53"/>
  <c r="L10" i="53"/>
  <c r="M10" i="53"/>
  <c r="N10" i="53"/>
  <c r="O10" i="53"/>
  <c r="P10" i="53"/>
  <c r="Q10" i="53"/>
  <c r="R10" i="53"/>
  <c r="S10" i="53"/>
  <c r="T10" i="53"/>
  <c r="U10" i="53"/>
  <c r="V10" i="53"/>
  <c r="W10" i="53"/>
  <c r="E11" i="53"/>
  <c r="F11" i="53"/>
  <c r="G11" i="53"/>
  <c r="H11" i="53"/>
  <c r="I11" i="53"/>
  <c r="J11" i="53"/>
  <c r="K11" i="53"/>
  <c r="L11" i="53"/>
  <c r="M11" i="53"/>
  <c r="N11" i="53"/>
  <c r="O11" i="53"/>
  <c r="P11" i="53"/>
  <c r="Q11" i="53"/>
  <c r="R11" i="53"/>
  <c r="S11" i="53"/>
  <c r="T11" i="53"/>
  <c r="U11" i="53"/>
  <c r="V11" i="53"/>
  <c r="W11" i="53"/>
  <c r="E12" i="53"/>
  <c r="F12" i="53"/>
  <c r="G12" i="53"/>
  <c r="H12" i="53"/>
  <c r="I12" i="53"/>
  <c r="J12" i="53"/>
  <c r="K12" i="53"/>
  <c r="L12" i="53"/>
  <c r="M12" i="53"/>
  <c r="N12" i="53"/>
  <c r="O12" i="53"/>
  <c r="P12" i="53"/>
  <c r="Q12" i="53"/>
  <c r="R12" i="53"/>
  <c r="S12" i="53"/>
  <c r="T12" i="53"/>
  <c r="U12" i="53"/>
  <c r="V12" i="53"/>
  <c r="W12" i="53"/>
  <c r="X12" i="53"/>
  <c r="E13" i="53"/>
  <c r="F13" i="53"/>
  <c r="G13" i="53"/>
  <c r="H13" i="53"/>
  <c r="I13" i="53"/>
  <c r="J13" i="53"/>
  <c r="K13" i="53"/>
  <c r="L13" i="53"/>
  <c r="M13" i="53"/>
  <c r="N13" i="53"/>
  <c r="O13" i="53"/>
  <c r="P13" i="53"/>
  <c r="Q13" i="53"/>
  <c r="R13" i="53"/>
  <c r="S13" i="53"/>
  <c r="T13" i="53"/>
  <c r="U13" i="53"/>
  <c r="V13" i="53"/>
  <c r="W13"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H14" i="53"/>
  <c r="AI14" i="53"/>
  <c r="AJ14" i="53"/>
  <c r="AK14" i="53"/>
  <c r="AL14" i="53"/>
  <c r="AM14" i="53"/>
  <c r="AN14" i="53"/>
  <c r="AO14" i="53"/>
  <c r="AP14" i="53"/>
  <c r="AQ14" i="53"/>
  <c r="AR14" i="53"/>
  <c r="AS14" i="53"/>
  <c r="AT14" i="53"/>
  <c r="AU14" i="53"/>
  <c r="AV14" i="53"/>
  <c r="E15" i="53"/>
  <c r="F15" i="53"/>
  <c r="G15" i="53"/>
  <c r="H15" i="53"/>
  <c r="I15" i="53"/>
  <c r="J15" i="53"/>
  <c r="K15" i="53"/>
  <c r="L15" i="53"/>
  <c r="M15" i="53"/>
  <c r="N15" i="53"/>
  <c r="O15" i="53"/>
  <c r="P15" i="53"/>
  <c r="Q15" i="53"/>
  <c r="R15" i="53"/>
  <c r="S15" i="53"/>
  <c r="T15" i="53"/>
  <c r="U15" i="53"/>
  <c r="V15" i="53"/>
  <c r="W15" i="53"/>
  <c r="E16" i="53"/>
  <c r="F16" i="53"/>
  <c r="G16" i="53"/>
  <c r="H16" i="53"/>
  <c r="I16" i="53"/>
  <c r="J16" i="53"/>
  <c r="K16" i="53"/>
  <c r="L16" i="53"/>
  <c r="M16" i="53"/>
  <c r="N16" i="53"/>
  <c r="O16" i="53"/>
  <c r="P16" i="53"/>
  <c r="Q16" i="53"/>
  <c r="R16" i="53"/>
  <c r="S16" i="53"/>
  <c r="T16" i="53"/>
  <c r="U16" i="53"/>
  <c r="V16" i="53"/>
  <c r="W16" i="53"/>
  <c r="X16" i="53"/>
  <c r="Y16" i="53"/>
  <c r="Z16" i="53"/>
  <c r="AA16" i="53"/>
  <c r="AB16" i="53"/>
  <c r="AC16" i="53"/>
  <c r="AD16" i="53"/>
  <c r="AE16" i="53"/>
  <c r="AF16" i="53"/>
  <c r="AG16" i="53"/>
  <c r="AH16" i="53"/>
  <c r="AI16" i="53"/>
  <c r="AJ16" i="53"/>
  <c r="AK16" i="53"/>
  <c r="AL16" i="53"/>
  <c r="AM16" i="53"/>
  <c r="AN16" i="53"/>
  <c r="AO16" i="53"/>
  <c r="AP16" i="53"/>
  <c r="AQ16" i="53"/>
  <c r="AR16" i="53"/>
  <c r="AS16" i="53"/>
  <c r="AT16" i="53"/>
  <c r="AU16" i="53"/>
  <c r="AV16" i="53"/>
  <c r="E17" i="53"/>
  <c r="F17" i="53"/>
  <c r="G17" i="53"/>
  <c r="H17" i="53"/>
  <c r="I17" i="53"/>
  <c r="J17" i="53"/>
  <c r="K17" i="53"/>
  <c r="L17" i="53"/>
  <c r="M17" i="53"/>
  <c r="N17" i="53"/>
  <c r="O17" i="53"/>
  <c r="P17" i="53"/>
  <c r="Q17" i="53"/>
  <c r="R17" i="53"/>
  <c r="S17" i="53"/>
  <c r="T17" i="53"/>
  <c r="U17" i="53"/>
  <c r="V17" i="53"/>
  <c r="W17" i="53"/>
  <c r="E18" i="53"/>
  <c r="F18" i="53"/>
  <c r="G18" i="53"/>
  <c r="H18" i="53"/>
  <c r="I18" i="53"/>
  <c r="J18" i="53"/>
  <c r="K18" i="53"/>
  <c r="L18" i="53"/>
  <c r="M18" i="53"/>
  <c r="N18" i="53"/>
  <c r="O18" i="53"/>
  <c r="P18" i="53"/>
  <c r="Q18" i="53"/>
  <c r="R18" i="53"/>
  <c r="S18" i="53"/>
  <c r="T18" i="53"/>
  <c r="U18" i="53"/>
  <c r="V18" i="53"/>
  <c r="W18" i="53"/>
  <c r="X18" i="53"/>
  <c r="Y18" i="53"/>
  <c r="Z18" i="53"/>
  <c r="AA18" i="53"/>
  <c r="AB18" i="53"/>
  <c r="AC18" i="53"/>
  <c r="AD18" i="53"/>
  <c r="AE18" i="53"/>
  <c r="AF18" i="53"/>
  <c r="AG18" i="53"/>
  <c r="AH18" i="53"/>
  <c r="AI18" i="53"/>
  <c r="AJ18" i="53"/>
  <c r="AK18" i="53"/>
  <c r="AL18" i="53"/>
  <c r="AM18" i="53"/>
  <c r="AN18" i="53"/>
  <c r="AO18" i="53"/>
  <c r="AP18" i="53"/>
  <c r="AQ18" i="53"/>
  <c r="AR18" i="53"/>
  <c r="AS18" i="53"/>
  <c r="AT18" i="53"/>
  <c r="AU18" i="53"/>
  <c r="AV18" i="53"/>
  <c r="E19" i="53"/>
  <c r="F19" i="53"/>
  <c r="G19" i="53"/>
  <c r="H19" i="53"/>
  <c r="I19" i="53"/>
  <c r="J19" i="53"/>
  <c r="K19" i="53"/>
  <c r="L19" i="53"/>
  <c r="M19" i="53"/>
  <c r="N19" i="53"/>
  <c r="O19" i="53"/>
  <c r="P19" i="53"/>
  <c r="Q19" i="53"/>
  <c r="R19" i="53"/>
  <c r="S19" i="53"/>
  <c r="T19" i="53"/>
  <c r="U19" i="53"/>
  <c r="V19" i="53"/>
  <c r="W19" i="53"/>
  <c r="E20" i="53"/>
  <c r="F20" i="53"/>
  <c r="G20" i="53"/>
  <c r="H20" i="53"/>
  <c r="I20" i="53"/>
  <c r="J20" i="53"/>
  <c r="K20" i="53"/>
  <c r="L20" i="53"/>
  <c r="M20" i="53"/>
  <c r="N20" i="53"/>
  <c r="O20" i="53"/>
  <c r="P20" i="53"/>
  <c r="Q20" i="53"/>
  <c r="R20" i="53"/>
  <c r="S20" i="53"/>
  <c r="T20" i="53"/>
  <c r="U20" i="53"/>
  <c r="V20" i="53"/>
  <c r="W20" i="53"/>
  <c r="X20" i="53"/>
  <c r="Y20" i="53"/>
  <c r="Z20" i="53"/>
  <c r="AA20" i="53"/>
  <c r="AB20" i="53"/>
  <c r="AC20" i="53"/>
  <c r="AD20" i="53"/>
  <c r="AE20" i="53"/>
  <c r="AF20" i="53"/>
  <c r="AG20" i="53"/>
  <c r="AH20" i="53"/>
  <c r="AI20" i="53"/>
  <c r="AJ20" i="53"/>
  <c r="AK20" i="53"/>
  <c r="AL20" i="53"/>
  <c r="AM20" i="53"/>
  <c r="AN20" i="53"/>
  <c r="AO20" i="53"/>
  <c r="AP20" i="53"/>
  <c r="AQ20" i="53"/>
  <c r="AR20" i="53"/>
  <c r="AS20" i="53"/>
  <c r="AT20" i="53"/>
  <c r="AU20" i="53"/>
  <c r="AV20" i="53"/>
  <c r="E21" i="53"/>
  <c r="F21" i="53"/>
  <c r="G21" i="53"/>
  <c r="H21" i="53"/>
  <c r="I21" i="53"/>
  <c r="J21" i="53"/>
  <c r="K21" i="53"/>
  <c r="L21" i="53"/>
  <c r="M21" i="53"/>
  <c r="N21" i="53"/>
  <c r="O21" i="53"/>
  <c r="P21" i="53"/>
  <c r="Q21" i="53"/>
  <c r="R21" i="53"/>
  <c r="S21" i="53"/>
  <c r="T21" i="53"/>
  <c r="U21" i="53"/>
  <c r="V21" i="53"/>
  <c r="W21" i="53"/>
  <c r="X21" i="53"/>
  <c r="E22" i="53"/>
  <c r="F22" i="53"/>
  <c r="G22" i="53"/>
  <c r="H22" i="53"/>
  <c r="I22" i="53"/>
  <c r="J22" i="53"/>
  <c r="K22" i="53"/>
  <c r="L22" i="53"/>
  <c r="M22" i="53"/>
  <c r="N22" i="53"/>
  <c r="O22" i="53"/>
  <c r="P22" i="53"/>
  <c r="Q22" i="53"/>
  <c r="R22" i="53"/>
  <c r="S22" i="53"/>
  <c r="T22" i="53"/>
  <c r="U22" i="53"/>
  <c r="V22" i="53"/>
  <c r="W22" i="53"/>
  <c r="X22" i="53"/>
  <c r="Y22" i="53"/>
  <c r="Z22" i="53"/>
  <c r="AA22" i="53"/>
  <c r="AB22" i="53"/>
  <c r="AC22" i="53"/>
  <c r="AD22" i="53"/>
  <c r="AE22" i="53"/>
  <c r="AF22" i="53"/>
  <c r="AG22" i="53"/>
  <c r="AH22" i="53"/>
  <c r="AI22" i="53"/>
  <c r="AJ22" i="53"/>
  <c r="AK22" i="53"/>
  <c r="AL22" i="53"/>
  <c r="AM22" i="53"/>
  <c r="AN22" i="53"/>
  <c r="AO22" i="53"/>
  <c r="AP22" i="53"/>
  <c r="AQ22" i="53"/>
  <c r="AR22" i="53"/>
  <c r="AS22" i="53"/>
  <c r="AT22" i="53"/>
  <c r="AU22" i="53"/>
  <c r="AV22" i="53"/>
  <c r="E23" i="53"/>
  <c r="F23" i="53"/>
  <c r="G23" i="53"/>
  <c r="H23" i="53"/>
  <c r="I23" i="53"/>
  <c r="J23" i="53"/>
  <c r="K23" i="53"/>
  <c r="L23" i="53"/>
  <c r="M23" i="53"/>
  <c r="N23" i="53"/>
  <c r="O23" i="53"/>
  <c r="P23" i="53"/>
  <c r="Q23" i="53"/>
  <c r="R23" i="53"/>
  <c r="S23" i="53"/>
  <c r="T23" i="53"/>
  <c r="U23" i="53"/>
  <c r="V23" i="53"/>
  <c r="W23" i="53"/>
  <c r="E24" i="53"/>
  <c r="F24" i="53"/>
  <c r="G24" i="53"/>
  <c r="H24" i="53"/>
  <c r="I24" i="53"/>
  <c r="J24" i="53"/>
  <c r="K24" i="53"/>
  <c r="L24" i="53"/>
  <c r="M24" i="53"/>
  <c r="N24" i="53"/>
  <c r="O24" i="53"/>
  <c r="P24" i="53"/>
  <c r="Q24" i="53"/>
  <c r="R24" i="53"/>
  <c r="S24" i="53"/>
  <c r="T24" i="53"/>
  <c r="U24" i="53"/>
  <c r="V24" i="53"/>
  <c r="W24" i="53"/>
  <c r="E25" i="53"/>
  <c r="F25" i="53"/>
  <c r="G25" i="53"/>
  <c r="H25" i="53"/>
  <c r="I25" i="53"/>
  <c r="J25" i="53"/>
  <c r="K25" i="53"/>
  <c r="L25" i="53"/>
  <c r="M25" i="53"/>
  <c r="N25" i="53"/>
  <c r="O25" i="53"/>
  <c r="P25" i="53"/>
  <c r="Q25" i="53"/>
  <c r="R25" i="53"/>
  <c r="S25" i="53"/>
  <c r="T25" i="53"/>
  <c r="U25" i="53"/>
  <c r="V25" i="53"/>
  <c r="W25" i="53"/>
  <c r="E26" i="53"/>
  <c r="F26" i="53"/>
  <c r="G26" i="53"/>
  <c r="H26" i="53"/>
  <c r="I26" i="53"/>
  <c r="J26" i="53"/>
  <c r="K26" i="53"/>
  <c r="L26" i="53"/>
  <c r="M26" i="53"/>
  <c r="N26" i="53"/>
  <c r="O26" i="53"/>
  <c r="P26" i="53"/>
  <c r="Q26" i="53"/>
  <c r="R26" i="53"/>
  <c r="S26" i="53"/>
  <c r="T26" i="53"/>
  <c r="U26" i="53"/>
  <c r="V26" i="53"/>
  <c r="W26" i="53"/>
  <c r="X26" i="53"/>
  <c r="Y26" i="53"/>
  <c r="Z26" i="53"/>
  <c r="AA26" i="53"/>
  <c r="AB26" i="53"/>
  <c r="AC26" i="53"/>
  <c r="AD26" i="53"/>
  <c r="AE26" i="53"/>
  <c r="AF26" i="53"/>
  <c r="AG26" i="53"/>
  <c r="AH26" i="53"/>
  <c r="AI26" i="53"/>
  <c r="AJ26" i="53"/>
  <c r="AK26" i="53"/>
  <c r="AL26" i="53"/>
  <c r="AM26" i="53"/>
  <c r="AN26" i="53"/>
  <c r="AO26" i="53"/>
  <c r="AP26" i="53"/>
  <c r="AQ26" i="53"/>
  <c r="AR26" i="53"/>
  <c r="AS26" i="53"/>
  <c r="AT26" i="53"/>
  <c r="AU26" i="53"/>
  <c r="AV26" i="53"/>
  <c r="E27" i="53"/>
  <c r="F27" i="53"/>
  <c r="G27" i="53"/>
  <c r="H27" i="53"/>
  <c r="I27" i="53"/>
  <c r="J27" i="53"/>
  <c r="K27" i="53"/>
  <c r="L27" i="53"/>
  <c r="M27" i="53"/>
  <c r="N27" i="53"/>
  <c r="O27" i="53"/>
  <c r="P27" i="53"/>
  <c r="Q27" i="53"/>
  <c r="R27" i="53"/>
  <c r="S27" i="53"/>
  <c r="T27" i="53"/>
  <c r="U27" i="53"/>
  <c r="V27" i="53"/>
  <c r="W27" i="53"/>
  <c r="E28" i="53"/>
  <c r="F28" i="53"/>
  <c r="G28" i="53"/>
  <c r="H28" i="53"/>
  <c r="I28" i="53"/>
  <c r="J28" i="53"/>
  <c r="K28" i="53"/>
  <c r="L28" i="53"/>
  <c r="M28" i="53"/>
  <c r="N28" i="53"/>
  <c r="O28" i="53"/>
  <c r="P28" i="53"/>
  <c r="Q28" i="53"/>
  <c r="R28" i="53"/>
  <c r="S28" i="53"/>
  <c r="T28" i="53"/>
  <c r="U28" i="53"/>
  <c r="V28" i="53"/>
  <c r="W28" i="53"/>
  <c r="X28" i="53"/>
  <c r="Y28" i="53"/>
  <c r="Z28" i="53"/>
  <c r="AA28" i="53"/>
  <c r="AB28" i="53"/>
  <c r="AC28" i="53"/>
  <c r="AD28" i="53"/>
  <c r="AE28" i="53"/>
  <c r="AF28" i="53"/>
  <c r="AG28" i="53"/>
  <c r="AH28" i="53"/>
  <c r="AI28" i="53"/>
  <c r="AJ28" i="53"/>
  <c r="AK28" i="53"/>
  <c r="AL28" i="53"/>
  <c r="AM28" i="53"/>
  <c r="AN28" i="53"/>
  <c r="AO28" i="53"/>
  <c r="AP28" i="53"/>
  <c r="AQ28" i="53"/>
  <c r="AR28" i="53"/>
  <c r="AS28" i="53"/>
  <c r="AT28" i="53"/>
  <c r="AU28" i="53"/>
  <c r="AV28" i="53"/>
  <c r="E29" i="53"/>
  <c r="F29" i="53"/>
  <c r="G29" i="53"/>
  <c r="H29" i="53"/>
  <c r="I29" i="53"/>
  <c r="J29" i="53"/>
  <c r="K29" i="53"/>
  <c r="L29" i="53"/>
  <c r="M29" i="53"/>
  <c r="N29" i="53"/>
  <c r="O29" i="53"/>
  <c r="P29" i="53"/>
  <c r="Q29" i="53"/>
  <c r="R29" i="53"/>
  <c r="S29" i="53"/>
  <c r="T29" i="53"/>
  <c r="U29" i="53"/>
  <c r="V29" i="53"/>
  <c r="W29" i="53"/>
  <c r="E30" i="53"/>
  <c r="F30" i="53"/>
  <c r="G30" i="53"/>
  <c r="H30" i="53"/>
  <c r="I30" i="53"/>
  <c r="J30" i="53"/>
  <c r="K30" i="53"/>
  <c r="L30" i="53"/>
  <c r="M30" i="53"/>
  <c r="N30" i="53"/>
  <c r="O30" i="53"/>
  <c r="P30" i="53"/>
  <c r="Q30" i="53"/>
  <c r="R30" i="53"/>
  <c r="S30" i="53"/>
  <c r="T30" i="53"/>
  <c r="U30" i="53"/>
  <c r="V30" i="53"/>
  <c r="W30" i="53"/>
  <c r="X30" i="53"/>
  <c r="Y30" i="53"/>
  <c r="Z30" i="53"/>
  <c r="AA30" i="53"/>
  <c r="AC30" i="53"/>
  <c r="AD30" i="53"/>
  <c r="AE30" i="53"/>
  <c r="AF30" i="53"/>
  <c r="AH30" i="53"/>
  <c r="AI30" i="53"/>
  <c r="AJ30" i="53"/>
  <c r="AK30" i="53"/>
  <c r="AM30" i="53"/>
  <c r="AN30" i="53"/>
  <c r="AO30" i="53"/>
  <c r="AP30" i="53"/>
  <c r="AR30" i="53"/>
  <c r="AS30" i="53"/>
  <c r="AT30" i="53"/>
  <c r="AU30" i="53"/>
  <c r="E31" i="53"/>
  <c r="F31" i="53"/>
  <c r="G31" i="53"/>
  <c r="H31" i="53"/>
  <c r="I31" i="53"/>
  <c r="J31" i="53"/>
  <c r="K31" i="53"/>
  <c r="L31" i="53"/>
  <c r="M31" i="53"/>
  <c r="N31" i="53"/>
  <c r="O31" i="53"/>
  <c r="P31" i="53"/>
  <c r="Q31" i="53"/>
  <c r="R31" i="53"/>
  <c r="S31" i="53"/>
  <c r="T31" i="53"/>
  <c r="U31" i="53"/>
  <c r="V31" i="53"/>
  <c r="W31" i="53"/>
  <c r="X31" i="53"/>
  <c r="Y31" i="53"/>
  <c r="Z31" i="53"/>
  <c r="AA31" i="53"/>
  <c r="AC31" i="53"/>
  <c r="AD31" i="53"/>
  <c r="AE31" i="53"/>
  <c r="AF31" i="53"/>
  <c r="AH31" i="53"/>
  <c r="AI31" i="53"/>
  <c r="AJ31" i="53"/>
  <c r="AK31" i="53"/>
  <c r="AM31" i="53"/>
  <c r="AN31" i="53"/>
  <c r="AO31" i="53"/>
  <c r="AP31" i="53"/>
  <c r="AR31" i="53"/>
  <c r="AS31" i="53"/>
  <c r="AT31" i="53"/>
  <c r="AU31" i="53"/>
  <c r="E32" i="53"/>
  <c r="F32" i="53"/>
  <c r="G32" i="53"/>
  <c r="H32" i="53"/>
  <c r="I32" i="53"/>
  <c r="J32" i="53"/>
  <c r="K32" i="53"/>
  <c r="L32" i="53"/>
  <c r="M32" i="53"/>
  <c r="N32" i="53"/>
  <c r="O32" i="53"/>
  <c r="P32" i="53"/>
  <c r="Q32" i="53"/>
  <c r="R32" i="53"/>
  <c r="S32" i="53"/>
  <c r="T32" i="53"/>
  <c r="U32" i="53"/>
  <c r="V32" i="53"/>
  <c r="W32" i="53"/>
  <c r="E33" i="53"/>
  <c r="F33" i="53"/>
  <c r="G33" i="53"/>
  <c r="H33" i="53"/>
  <c r="I33" i="53"/>
  <c r="J33" i="53"/>
  <c r="K33" i="53"/>
  <c r="L33" i="53"/>
  <c r="M33" i="53"/>
  <c r="N33" i="53"/>
  <c r="O33" i="53"/>
  <c r="P33" i="53"/>
  <c r="Q33" i="53"/>
  <c r="R33" i="53"/>
  <c r="S33" i="53"/>
  <c r="T33" i="53"/>
  <c r="U33" i="53"/>
  <c r="V33" i="53"/>
  <c r="W33" i="53"/>
  <c r="E34" i="53"/>
  <c r="F34" i="53"/>
  <c r="G34" i="53"/>
  <c r="H34" i="53"/>
  <c r="I34" i="53"/>
  <c r="J34" i="53"/>
  <c r="K34" i="53"/>
  <c r="L34" i="53"/>
  <c r="M34" i="53"/>
  <c r="N34" i="53"/>
  <c r="O34" i="53"/>
  <c r="P34" i="53"/>
  <c r="Q34" i="53"/>
  <c r="R34" i="53"/>
  <c r="S34" i="53"/>
  <c r="T34" i="53"/>
  <c r="U34" i="53"/>
  <c r="V34" i="53"/>
  <c r="W34" i="53"/>
  <c r="E35" i="53"/>
  <c r="F35" i="53"/>
  <c r="G35" i="53"/>
  <c r="H35" i="53"/>
  <c r="I35" i="53"/>
  <c r="J35" i="53"/>
  <c r="K35" i="53"/>
  <c r="L35" i="53"/>
  <c r="M35" i="53"/>
  <c r="N35" i="53"/>
  <c r="O35" i="53"/>
  <c r="P35" i="53"/>
  <c r="Q35" i="53"/>
  <c r="R35" i="53"/>
  <c r="S35" i="53"/>
  <c r="T35" i="53"/>
  <c r="U35" i="53"/>
  <c r="V35" i="53"/>
  <c r="W35" i="53"/>
  <c r="X35" i="53"/>
  <c r="Y35" i="53"/>
  <c r="Z35" i="53"/>
  <c r="AA35" i="53"/>
  <c r="AB35" i="53"/>
  <c r="AC35" i="53"/>
  <c r="AD35" i="53"/>
  <c r="AE35" i="53"/>
  <c r="AF35" i="53"/>
  <c r="AG35" i="53"/>
  <c r="AH35" i="53"/>
  <c r="AI35" i="53"/>
  <c r="AJ35" i="53"/>
  <c r="AK35" i="53"/>
  <c r="AL35" i="53"/>
  <c r="AM35" i="53"/>
  <c r="AN35" i="53"/>
  <c r="AO35" i="53"/>
  <c r="AP35" i="53"/>
  <c r="AQ35" i="53"/>
  <c r="AR35" i="53"/>
  <c r="AS35" i="53"/>
  <c r="AT35" i="53"/>
  <c r="AU35" i="53"/>
  <c r="AV35" i="53"/>
  <c r="E36" i="53"/>
  <c r="F36" i="53"/>
  <c r="G36" i="53"/>
  <c r="H36" i="53"/>
  <c r="I36" i="53"/>
  <c r="J36" i="53"/>
  <c r="K36" i="53"/>
  <c r="L36" i="53"/>
  <c r="M36" i="53"/>
  <c r="N36" i="53"/>
  <c r="O36" i="53"/>
  <c r="P36" i="53"/>
  <c r="Q36" i="53"/>
  <c r="R36" i="53"/>
  <c r="S36" i="53"/>
  <c r="T36" i="53"/>
  <c r="U36" i="53"/>
  <c r="V36" i="53"/>
  <c r="W36" i="53"/>
  <c r="X36" i="53"/>
  <c r="Y36" i="53"/>
  <c r="Z36" i="53"/>
  <c r="AA36" i="53"/>
  <c r="AC36" i="53"/>
  <c r="AD36" i="53"/>
  <c r="AE36" i="53"/>
  <c r="AF36" i="53"/>
  <c r="AH36" i="53"/>
  <c r="AI36" i="53"/>
  <c r="AJ36" i="53"/>
  <c r="AK36" i="53"/>
  <c r="AM36" i="53"/>
  <c r="AN36" i="53"/>
  <c r="AO36" i="53"/>
  <c r="AP36" i="53"/>
  <c r="AR36" i="53"/>
  <c r="AS36" i="53"/>
  <c r="AT36" i="53"/>
  <c r="AU36" i="53"/>
  <c r="D6" i="53"/>
  <c r="D7" i="53"/>
  <c r="D8" i="53"/>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D35" i="53"/>
  <c r="D36" i="53"/>
  <c r="D5" i="53"/>
  <c r="F29" i="52"/>
  <c r="F13" i="52"/>
  <c r="F15" i="52" s="1"/>
  <c r="F8" i="52"/>
  <c r="F16" i="52" s="1"/>
  <c r="F7" i="52"/>
  <c r="AL63" i="50"/>
  <c r="AL62" i="50"/>
  <c r="S57" i="50"/>
  <c r="O57" i="50"/>
  <c r="N57" i="50"/>
  <c r="J57" i="50"/>
  <c r="I57" i="50"/>
  <c r="D57" i="50"/>
  <c r="AJ56" i="50"/>
  <c r="AK56" i="50" s="1"/>
  <c r="AM56" i="50" s="1"/>
  <c r="AR56" i="50" s="1"/>
  <c r="AI56" i="50"/>
  <c r="AN56" i="50" s="1"/>
  <c r="AO56" i="50" s="1"/>
  <c r="AP56" i="50" s="1"/>
  <c r="AE56" i="50"/>
  <c r="AF56" i="50" s="1"/>
  <c r="AD56" i="50"/>
  <c r="Z56" i="50"/>
  <c r="AA56" i="50" s="1"/>
  <c r="Y56" i="50"/>
  <c r="S54" i="50"/>
  <c r="N54" i="50"/>
  <c r="I54" i="50"/>
  <c r="D54" i="50"/>
  <c r="T47" i="50"/>
  <c r="Q47" i="50"/>
  <c r="P47" i="50"/>
  <c r="O47" i="50"/>
  <c r="G47" i="50"/>
  <c r="F47" i="50"/>
  <c r="D47" i="50"/>
  <c r="AG43" i="50"/>
  <c r="AL43" i="50" s="1"/>
  <c r="AQ43" i="50" s="1"/>
  <c r="AV43" i="50" s="1"/>
  <c r="AB43" i="50"/>
  <c r="H40" i="50"/>
  <c r="AV38" i="50"/>
  <c r="AQ38" i="50"/>
  <c r="AL38" i="50"/>
  <c r="AG38" i="50"/>
  <c r="AB38" i="50"/>
  <c r="T38" i="50"/>
  <c r="P38" i="50"/>
  <c r="O38" i="50"/>
  <c r="J38" i="50"/>
  <c r="K38" i="50" s="1"/>
  <c r="D38" i="50"/>
  <c r="E38" i="50" s="1"/>
  <c r="S37" i="50"/>
  <c r="D37" i="50"/>
  <c r="AV36" i="50"/>
  <c r="AQ36" i="50"/>
  <c r="AL36" i="50"/>
  <c r="AG36" i="50"/>
  <c r="AB36" i="50"/>
  <c r="T36" i="50"/>
  <c r="U36" i="50" s="1"/>
  <c r="V36" i="50" s="1"/>
  <c r="O36" i="50"/>
  <c r="P36" i="50" s="1"/>
  <c r="J36" i="50"/>
  <c r="F36" i="50"/>
  <c r="G36" i="50" s="1"/>
  <c r="E36" i="50"/>
  <c r="H36" i="50" s="1"/>
  <c r="U35" i="50"/>
  <c r="T35" i="50"/>
  <c r="O35" i="50"/>
  <c r="K35" i="50"/>
  <c r="L35" i="50" s="1"/>
  <c r="J35" i="50"/>
  <c r="E35" i="50"/>
  <c r="F35" i="50" s="1"/>
  <c r="AU34" i="50"/>
  <c r="AT34" i="50"/>
  <c r="AS34" i="50"/>
  <c r="AR34" i="50"/>
  <c r="AP34" i="50"/>
  <c r="AO34" i="50"/>
  <c r="AN34" i="50"/>
  <c r="AM34" i="50"/>
  <c r="AJ34" i="50"/>
  <c r="AI34" i="50"/>
  <c r="AH34" i="50"/>
  <c r="AF34" i="50"/>
  <c r="AE34" i="50"/>
  <c r="AD34" i="50"/>
  <c r="AC34" i="50"/>
  <c r="AA34" i="50"/>
  <c r="Z34" i="50"/>
  <c r="Y34" i="50"/>
  <c r="X34" i="50"/>
  <c r="V34" i="50"/>
  <c r="U34" i="50"/>
  <c r="T34" i="50"/>
  <c r="O34" i="50"/>
  <c r="J34" i="50"/>
  <c r="K34" i="50" s="1"/>
  <c r="K57" i="50" s="1"/>
  <c r="F34" i="50"/>
  <c r="E34" i="50"/>
  <c r="T33" i="50"/>
  <c r="U33" i="50" s="1"/>
  <c r="V33" i="50" s="1"/>
  <c r="W33" i="50" s="1"/>
  <c r="P33" i="50"/>
  <c r="Q33" i="50" s="1"/>
  <c r="O33" i="50"/>
  <c r="M33" i="50"/>
  <c r="L33" i="50"/>
  <c r="K33" i="50"/>
  <c r="J33" i="50"/>
  <c r="E33" i="50"/>
  <c r="AV32" i="50"/>
  <c r="AQ32" i="50"/>
  <c r="AL32" i="50"/>
  <c r="AG32" i="50"/>
  <c r="AB32" i="50"/>
  <c r="T32" i="50"/>
  <c r="U32" i="50" s="1"/>
  <c r="V32" i="50" s="1"/>
  <c r="O32" i="50"/>
  <c r="P32" i="50" s="1"/>
  <c r="K32" i="50"/>
  <c r="L32" i="50" s="1"/>
  <c r="J32" i="50"/>
  <c r="F32" i="50"/>
  <c r="G32" i="50" s="1"/>
  <c r="E32" i="50"/>
  <c r="AV31" i="50"/>
  <c r="AQ31" i="50"/>
  <c r="AL31" i="50"/>
  <c r="AG31" i="50"/>
  <c r="AB31" i="50"/>
  <c r="U31" i="50"/>
  <c r="V31" i="50" s="1"/>
  <c r="W31" i="50" s="1"/>
  <c r="T31" i="50"/>
  <c r="P31" i="50"/>
  <c r="O31" i="50"/>
  <c r="J31" i="50"/>
  <c r="K31" i="50" s="1"/>
  <c r="L31" i="50" s="1"/>
  <c r="I31" i="50"/>
  <c r="G31" i="50"/>
  <c r="H31" i="50" s="1"/>
  <c r="AV30" i="50"/>
  <c r="AQ30" i="50"/>
  <c r="AL30" i="50"/>
  <c r="AG30" i="50"/>
  <c r="AB30" i="50"/>
  <c r="U30" i="50"/>
  <c r="N30" i="50"/>
  <c r="M30" i="50"/>
  <c r="J30" i="50"/>
  <c r="L30" i="50" s="1"/>
  <c r="H30" i="50"/>
  <c r="G30" i="50"/>
  <c r="F30" i="50"/>
  <c r="T29" i="50"/>
  <c r="U29" i="50" s="1"/>
  <c r="U37" i="50" s="1"/>
  <c r="O29" i="50"/>
  <c r="K29" i="50"/>
  <c r="J29" i="50"/>
  <c r="E29" i="50"/>
  <c r="F29" i="50" s="1"/>
  <c r="O27" i="50"/>
  <c r="T26" i="50"/>
  <c r="Q26" i="50"/>
  <c r="O26" i="50"/>
  <c r="P26" i="50" s="1"/>
  <c r="J26" i="50"/>
  <c r="F26" i="50"/>
  <c r="G26" i="50" s="1"/>
  <c r="E26" i="50"/>
  <c r="U25" i="50"/>
  <c r="T25" i="50"/>
  <c r="Q25" i="50"/>
  <c r="P25" i="50"/>
  <c r="O25" i="50"/>
  <c r="J25" i="50"/>
  <c r="E25" i="50"/>
  <c r="F25" i="50" s="1"/>
  <c r="T24" i="50"/>
  <c r="T27" i="50" s="1"/>
  <c r="S24" i="50"/>
  <c r="S27" i="50" s="1"/>
  <c r="O24" i="50"/>
  <c r="P24" i="50" s="1"/>
  <c r="Q24" i="50" s="1"/>
  <c r="N24" i="50"/>
  <c r="L24" i="50"/>
  <c r="K24" i="50"/>
  <c r="J24" i="50"/>
  <c r="J27" i="50" s="1"/>
  <c r="I24" i="50"/>
  <c r="E24" i="50"/>
  <c r="F24" i="50" s="1"/>
  <c r="G24" i="50" s="1"/>
  <c r="D24" i="50"/>
  <c r="D22" i="50"/>
  <c r="U21" i="50"/>
  <c r="V21" i="50" s="1"/>
  <c r="T21" i="50"/>
  <c r="S21" i="50"/>
  <c r="N21" i="50"/>
  <c r="I21" i="50"/>
  <c r="H21" i="50"/>
  <c r="F21" i="50"/>
  <c r="G21" i="50" s="1"/>
  <c r="E21" i="50"/>
  <c r="T20" i="50"/>
  <c r="P20" i="50"/>
  <c r="Q20" i="50" s="1"/>
  <c r="O20" i="50"/>
  <c r="J20" i="50"/>
  <c r="H20" i="50"/>
  <c r="G20" i="50"/>
  <c r="F20" i="50"/>
  <c r="T19" i="50"/>
  <c r="Q19" i="50"/>
  <c r="O19" i="50"/>
  <c r="P19" i="50" s="1"/>
  <c r="J19" i="50"/>
  <c r="F19" i="50"/>
  <c r="G19" i="50" s="1"/>
  <c r="E19" i="50"/>
  <c r="U18" i="50"/>
  <c r="V18" i="50" s="1"/>
  <c r="T18" i="50"/>
  <c r="P18" i="50"/>
  <c r="O18" i="50"/>
  <c r="J18" i="50"/>
  <c r="E18" i="50"/>
  <c r="F18" i="50" s="1"/>
  <c r="G18" i="50" s="1"/>
  <c r="T17" i="50"/>
  <c r="S17" i="50"/>
  <c r="S22" i="50" s="1"/>
  <c r="O17" i="50"/>
  <c r="J17" i="50"/>
  <c r="H17" i="50"/>
  <c r="E17" i="50"/>
  <c r="F17" i="50" s="1"/>
  <c r="G17" i="50" s="1"/>
  <c r="T16" i="50"/>
  <c r="O16" i="50"/>
  <c r="J16" i="50"/>
  <c r="K16" i="50" s="1"/>
  <c r="E16" i="50"/>
  <c r="T15" i="50"/>
  <c r="U15" i="50" s="1"/>
  <c r="V15" i="50" s="1"/>
  <c r="P15" i="50"/>
  <c r="Q15" i="50" s="1"/>
  <c r="O15" i="50"/>
  <c r="R15" i="50" s="1"/>
  <c r="K15" i="50"/>
  <c r="J15" i="50"/>
  <c r="E15" i="50"/>
  <c r="AV13" i="50"/>
  <c r="AQ13" i="50"/>
  <c r="AL13" i="50"/>
  <c r="AG13" i="50"/>
  <c r="AB13" i="50"/>
  <c r="U13" i="50"/>
  <c r="T13" i="50"/>
  <c r="N13" i="50"/>
  <c r="I13" i="50"/>
  <c r="F13" i="50"/>
  <c r="G13" i="50" s="1"/>
  <c r="E13" i="50"/>
  <c r="T12" i="50"/>
  <c r="U12" i="50" s="1"/>
  <c r="P12" i="50"/>
  <c r="O12" i="50"/>
  <c r="K12" i="50"/>
  <c r="J12" i="50"/>
  <c r="E12" i="50"/>
  <c r="AV11" i="50"/>
  <c r="AQ11" i="50"/>
  <c r="AL11" i="50"/>
  <c r="AG11" i="50"/>
  <c r="AB11" i="50"/>
  <c r="T11" i="50"/>
  <c r="U11" i="50" s="1"/>
  <c r="V11" i="50" s="1"/>
  <c r="Q11" i="50"/>
  <c r="O11" i="50"/>
  <c r="P11" i="50" s="1"/>
  <c r="R11" i="50" s="1"/>
  <c r="K11" i="50"/>
  <c r="L11" i="50" s="1"/>
  <c r="J11" i="50"/>
  <c r="E11" i="50"/>
  <c r="F11" i="50" s="1"/>
  <c r="G11" i="50" s="1"/>
  <c r="U10" i="50"/>
  <c r="U54" i="50" s="1"/>
  <c r="T10" i="50"/>
  <c r="O10" i="50"/>
  <c r="O54" i="50" s="1"/>
  <c r="K10" i="50"/>
  <c r="J10" i="50"/>
  <c r="J54" i="50" s="1"/>
  <c r="E10" i="50"/>
  <c r="F10" i="50" s="1"/>
  <c r="U9" i="50"/>
  <c r="T9" i="50"/>
  <c r="T54" i="50" s="1"/>
  <c r="O9" i="50"/>
  <c r="J9" i="50"/>
  <c r="G9" i="50"/>
  <c r="F9" i="50"/>
  <c r="E9" i="50"/>
  <c r="E54" i="50" s="1"/>
  <c r="T8" i="50"/>
  <c r="U8" i="50" s="1"/>
  <c r="O8" i="50"/>
  <c r="L8" i="50"/>
  <c r="J8" i="50"/>
  <c r="K8" i="50" s="1"/>
  <c r="M8" i="50" s="1"/>
  <c r="F8" i="50"/>
  <c r="G8" i="50" s="1"/>
  <c r="E8" i="50"/>
  <c r="H8" i="50" s="1"/>
  <c r="T7" i="50"/>
  <c r="O7" i="50"/>
  <c r="J7" i="50"/>
  <c r="E7" i="50"/>
  <c r="L6" i="50"/>
  <c r="W66" i="49"/>
  <c r="AB66" i="49" s="1"/>
  <c r="AG66" i="49" s="1"/>
  <c r="AL66" i="49" s="1"/>
  <c r="AQ66" i="49" s="1"/>
  <c r="AV66" i="49" s="1"/>
  <c r="T63" i="49"/>
  <c r="Q63" i="49"/>
  <c r="P63" i="49"/>
  <c r="O63" i="49"/>
  <c r="G63" i="49"/>
  <c r="F63" i="49"/>
  <c r="D63" i="49"/>
  <c r="AF61" i="49"/>
  <c r="AU60" i="49"/>
  <c r="AR60" i="49" s="1"/>
  <c r="AT60" i="49"/>
  <c r="AS60" i="49"/>
  <c r="AP60" i="49"/>
  <c r="AO60" i="49"/>
  <c r="AN60" i="49"/>
  <c r="AM60" i="49"/>
  <c r="AK60" i="49"/>
  <c r="AJ60" i="49"/>
  <c r="AI60" i="49"/>
  <c r="AH60" i="49"/>
  <c r="AF60" i="49"/>
  <c r="AE60" i="49"/>
  <c r="AD60" i="49"/>
  <c r="AC60" i="49"/>
  <c r="AA60" i="49"/>
  <c r="Z60" i="49"/>
  <c r="Y60" i="49"/>
  <c r="X60" i="49"/>
  <c r="AD59" i="49"/>
  <c r="T56" i="49"/>
  <c r="S56" i="49"/>
  <c r="O56" i="49"/>
  <c r="N56" i="49"/>
  <c r="J56" i="49"/>
  <c r="I56" i="49"/>
  <c r="V55" i="49"/>
  <c r="U55" i="49"/>
  <c r="T55" i="49"/>
  <c r="Y55" i="49" s="1"/>
  <c r="S55" i="49"/>
  <c r="X55" i="49" s="1"/>
  <c r="Q55" i="49"/>
  <c r="P55" i="49"/>
  <c r="O55" i="49"/>
  <c r="N55" i="49"/>
  <c r="L55" i="49"/>
  <c r="K55" i="49"/>
  <c r="J55" i="49"/>
  <c r="I55" i="49"/>
  <c r="G55" i="49"/>
  <c r="F55" i="49"/>
  <c r="E55" i="49"/>
  <c r="D55" i="49"/>
  <c r="X54" i="49"/>
  <c r="V54" i="49"/>
  <c r="U54" i="49"/>
  <c r="T54" i="49"/>
  <c r="Y54" i="49" s="1"/>
  <c r="S54" i="49"/>
  <c r="Q54" i="49"/>
  <c r="P54" i="49"/>
  <c r="O54" i="49"/>
  <c r="N54" i="49"/>
  <c r="L54" i="49"/>
  <c r="K54" i="49"/>
  <c r="J54" i="49"/>
  <c r="I54" i="49"/>
  <c r="G54" i="49"/>
  <c r="F54" i="49"/>
  <c r="E54" i="49"/>
  <c r="D54" i="49"/>
  <c r="F52" i="49"/>
  <c r="E52" i="49"/>
  <c r="X51" i="49"/>
  <c r="AC51" i="49" s="1"/>
  <c r="AH51" i="49" s="1"/>
  <c r="AM51" i="49" s="1"/>
  <c r="AR51" i="49" s="1"/>
  <c r="V51" i="49"/>
  <c r="AA51" i="49" s="1"/>
  <c r="AF51" i="49" s="1"/>
  <c r="AK51" i="49" s="1"/>
  <c r="AP51" i="49" s="1"/>
  <c r="AU51" i="49" s="1"/>
  <c r="U51" i="49"/>
  <c r="Z51" i="49" s="1"/>
  <c r="T51" i="49"/>
  <c r="S51" i="49"/>
  <c r="Q51" i="49"/>
  <c r="P51" i="49"/>
  <c r="O51" i="49"/>
  <c r="N51" i="49"/>
  <c r="L51" i="49"/>
  <c r="K51" i="49"/>
  <c r="J51" i="49"/>
  <c r="I51" i="49"/>
  <c r="F51" i="49"/>
  <c r="E51" i="49"/>
  <c r="D51" i="49"/>
  <c r="AJ50" i="49"/>
  <c r="AI50" i="49"/>
  <c r="P50" i="49"/>
  <c r="O50" i="49"/>
  <c r="V49" i="49"/>
  <c r="AA49" i="49" s="1"/>
  <c r="AF49" i="49" s="1"/>
  <c r="AK49" i="49" s="1"/>
  <c r="AP49" i="49" s="1"/>
  <c r="AU49" i="49" s="1"/>
  <c r="U49" i="49"/>
  <c r="Z49" i="49" s="1"/>
  <c r="AE49" i="49" s="1"/>
  <c r="AJ49" i="49" s="1"/>
  <c r="AO49" i="49" s="1"/>
  <c r="AT49" i="49" s="1"/>
  <c r="T49" i="49"/>
  <c r="Y49" i="49" s="1"/>
  <c r="AD49" i="49" s="1"/>
  <c r="AI49" i="49" s="1"/>
  <c r="AN49" i="49" s="1"/>
  <c r="AS49" i="49" s="1"/>
  <c r="S49" i="49"/>
  <c r="Q49" i="49"/>
  <c r="P49" i="49"/>
  <c r="O49" i="49"/>
  <c r="N49" i="49"/>
  <c r="X49" i="49" s="1"/>
  <c r="AC49" i="49" s="1"/>
  <c r="AH49" i="49" s="1"/>
  <c r="AM49" i="49" s="1"/>
  <c r="AR49" i="49" s="1"/>
  <c r="L49" i="49"/>
  <c r="K49" i="49"/>
  <c r="J49" i="49"/>
  <c r="I49" i="49"/>
  <c r="F49" i="49"/>
  <c r="E49" i="49"/>
  <c r="D49" i="49"/>
  <c r="AU46" i="49"/>
  <c r="AU50" i="49" s="1"/>
  <c r="AT46" i="49"/>
  <c r="AS46" i="49"/>
  <c r="AR46" i="49"/>
  <c r="AR52" i="49" s="1"/>
  <c r="AP46" i="49"/>
  <c r="AP52" i="49" s="1"/>
  <c r="AO46" i="49"/>
  <c r="AN46" i="49"/>
  <c r="AM46" i="49"/>
  <c r="AK46" i="49"/>
  <c r="AJ46" i="49"/>
  <c r="AI46" i="49"/>
  <c r="AH46" i="49"/>
  <c r="AF46" i="49"/>
  <c r="AF50" i="49" s="1"/>
  <c r="AE46" i="49"/>
  <c r="AE50" i="49" s="1"/>
  <c r="AD46" i="49"/>
  <c r="AD50" i="49" s="1"/>
  <c r="AC46" i="49"/>
  <c r="AC50" i="49" s="1"/>
  <c r="AA46" i="49"/>
  <c r="AA50" i="49" s="1"/>
  <c r="Z46" i="49"/>
  <c r="Z50" i="49" s="1"/>
  <c r="Y46" i="49"/>
  <c r="Y50" i="49" s="1"/>
  <c r="X46" i="49"/>
  <c r="X52" i="49" s="1"/>
  <c r="V46" i="49"/>
  <c r="V52" i="49" s="1"/>
  <c r="U46" i="49"/>
  <c r="U52" i="49" s="1"/>
  <c r="T46" i="49"/>
  <c r="T52" i="49" s="1"/>
  <c r="S46" i="49"/>
  <c r="S52" i="49" s="1"/>
  <c r="Q46" i="49"/>
  <c r="Q52" i="49" s="1"/>
  <c r="P46" i="49"/>
  <c r="O46" i="49"/>
  <c r="N46" i="49"/>
  <c r="N50" i="49" s="1"/>
  <c r="L46" i="49"/>
  <c r="L50" i="49" s="1"/>
  <c r="K46" i="49"/>
  <c r="K50" i="49" s="1"/>
  <c r="J46" i="49"/>
  <c r="J50" i="49" s="1"/>
  <c r="I46" i="49"/>
  <c r="I50" i="49" s="1"/>
  <c r="G46" i="49"/>
  <c r="F46" i="49"/>
  <c r="F50" i="49" s="1"/>
  <c r="E46" i="49"/>
  <c r="E50" i="49" s="1"/>
  <c r="D46" i="49"/>
  <c r="D52" i="49" s="1"/>
  <c r="U41" i="49"/>
  <c r="T41" i="49"/>
  <c r="E41" i="49"/>
  <c r="D41" i="49"/>
  <c r="X40" i="49"/>
  <c r="Y40" i="49" s="1"/>
  <c r="Z40" i="49" s="1"/>
  <c r="AA40" i="49" s="1"/>
  <c r="W40" i="49"/>
  <c r="R40" i="49"/>
  <c r="M40" i="49"/>
  <c r="H40" i="49"/>
  <c r="X39" i="49"/>
  <c r="Y39" i="49" s="1"/>
  <c r="Z39" i="49" s="1"/>
  <c r="AA39" i="49" s="1"/>
  <c r="W39" i="49"/>
  <c r="R39" i="49"/>
  <c r="M39" i="49"/>
  <c r="H39" i="49"/>
  <c r="W38" i="49"/>
  <c r="R38" i="49"/>
  <c r="M38" i="49"/>
  <c r="H38" i="49"/>
  <c r="V37" i="49"/>
  <c r="W37" i="49" s="1"/>
  <c r="W41" i="49" s="1"/>
  <c r="U37" i="49"/>
  <c r="T37" i="49"/>
  <c r="S37" i="49"/>
  <c r="S41" i="49" s="1"/>
  <c r="Q37" i="49"/>
  <c r="P37" i="49"/>
  <c r="P41" i="49" s="1"/>
  <c r="O37" i="49"/>
  <c r="O41" i="49" s="1"/>
  <c r="N37" i="49"/>
  <c r="N41" i="49" s="1"/>
  <c r="L37" i="49"/>
  <c r="L41" i="49" s="1"/>
  <c r="K37" i="49"/>
  <c r="K41" i="49" s="1"/>
  <c r="J37" i="49"/>
  <c r="J41" i="49" s="1"/>
  <c r="I37" i="49"/>
  <c r="I41" i="49" s="1"/>
  <c r="H37" i="49"/>
  <c r="G37" i="49"/>
  <c r="G41" i="49" s="1"/>
  <c r="G62" i="49" s="1"/>
  <c r="F37" i="49"/>
  <c r="F41" i="49" s="1"/>
  <c r="E37" i="49"/>
  <c r="D37" i="49"/>
  <c r="F35" i="49"/>
  <c r="AA34" i="49"/>
  <c r="X34" i="49"/>
  <c r="Y34" i="49" s="1"/>
  <c r="Z34" i="49" s="1"/>
  <c r="W34" i="49"/>
  <c r="R34" i="49"/>
  <c r="M34" i="49"/>
  <c r="H34" i="49"/>
  <c r="Z33" i="49"/>
  <c r="AA33" i="49" s="1"/>
  <c r="Y33" i="49"/>
  <c r="X33" i="49"/>
  <c r="W33" i="49"/>
  <c r="R33" i="49"/>
  <c r="M33" i="49"/>
  <c r="H33" i="49"/>
  <c r="X32" i="49"/>
  <c r="Y32" i="49" s="1"/>
  <c r="Z32" i="49" s="1"/>
  <c r="AA32" i="49" s="1"/>
  <c r="W32" i="49"/>
  <c r="R32" i="49"/>
  <c r="M32" i="49"/>
  <c r="H32" i="49"/>
  <c r="X31" i="49"/>
  <c r="Y31" i="49" s="1"/>
  <c r="Z31" i="49" s="1"/>
  <c r="AA31" i="49" s="1"/>
  <c r="W31" i="49"/>
  <c r="R31" i="49"/>
  <c r="M31" i="49"/>
  <c r="H31" i="49"/>
  <c r="Q30" i="49"/>
  <c r="Q35" i="49" s="1"/>
  <c r="P30" i="49"/>
  <c r="P35" i="49" s="1"/>
  <c r="O30" i="49"/>
  <c r="O35" i="49" s="1"/>
  <c r="M30" i="49"/>
  <c r="M35" i="49" s="1"/>
  <c r="L30" i="49"/>
  <c r="L35" i="49" s="1"/>
  <c r="K30" i="49"/>
  <c r="K35" i="49" s="1"/>
  <c r="G30" i="49"/>
  <c r="G35" i="49" s="1"/>
  <c r="F30" i="49"/>
  <c r="D30" i="49"/>
  <c r="D35" i="49" s="1"/>
  <c r="AV29" i="49"/>
  <c r="AQ29" i="49"/>
  <c r="AL29" i="49"/>
  <c r="AG29" i="49"/>
  <c r="AB29" i="49"/>
  <c r="W29" i="49"/>
  <c r="R29" i="49"/>
  <c r="M29" i="49"/>
  <c r="H29" i="49"/>
  <c r="W28" i="49"/>
  <c r="V28" i="49"/>
  <c r="U28" i="49"/>
  <c r="S28" i="49"/>
  <c r="R28" i="49"/>
  <c r="N28" i="49"/>
  <c r="M28" i="49"/>
  <c r="L28" i="49"/>
  <c r="K28" i="49"/>
  <c r="J28" i="49"/>
  <c r="I28" i="49"/>
  <c r="I62" i="49" s="1"/>
  <c r="H28" i="49"/>
  <c r="E28" i="49"/>
  <c r="X27" i="49"/>
  <c r="X19" i="50" s="1"/>
  <c r="W27" i="49"/>
  <c r="R27" i="49"/>
  <c r="M27" i="49"/>
  <c r="H27" i="49"/>
  <c r="Y26" i="49"/>
  <c r="Z26" i="49" s="1"/>
  <c r="AA26" i="49" s="1"/>
  <c r="X26" i="49"/>
  <c r="W26" i="49"/>
  <c r="R26" i="49"/>
  <c r="M26" i="49"/>
  <c r="H26" i="49"/>
  <c r="T25" i="49"/>
  <c r="T30" i="49" s="1"/>
  <c r="T35" i="49" s="1"/>
  <c r="R25" i="49"/>
  <c r="M25" i="49"/>
  <c r="H25" i="49"/>
  <c r="X24" i="49"/>
  <c r="Y24" i="49" s="1"/>
  <c r="Z24" i="49" s="1"/>
  <c r="AA24" i="49" s="1"/>
  <c r="W24" i="49"/>
  <c r="R24" i="49"/>
  <c r="M24" i="49"/>
  <c r="H24" i="49"/>
  <c r="X23" i="49"/>
  <c r="W23" i="49"/>
  <c r="R23" i="49"/>
  <c r="M23" i="49"/>
  <c r="H23" i="49"/>
  <c r="W22" i="49"/>
  <c r="R22" i="49"/>
  <c r="M22" i="49"/>
  <c r="H22" i="49"/>
  <c r="X19" i="49"/>
  <c r="Y19" i="49" s="1"/>
  <c r="Z19" i="49" s="1"/>
  <c r="AA19" i="49" s="1"/>
  <c r="W19" i="49"/>
  <c r="R19" i="49"/>
  <c r="M19" i="49"/>
  <c r="H19" i="49"/>
  <c r="X18" i="49"/>
  <c r="Y18" i="49" s="1"/>
  <c r="Z18" i="49" s="1"/>
  <c r="AA18" i="49" s="1"/>
  <c r="W18" i="49"/>
  <c r="R18" i="49"/>
  <c r="M18" i="49"/>
  <c r="H18" i="49"/>
  <c r="W17" i="49"/>
  <c r="R17" i="49"/>
  <c r="M17" i="49"/>
  <c r="H17" i="49"/>
  <c r="W16" i="49"/>
  <c r="R16" i="49"/>
  <c r="M16" i="49"/>
  <c r="H16" i="49"/>
  <c r="H55" i="49" s="1"/>
  <c r="Y15" i="49"/>
  <c r="Z15" i="49" s="1"/>
  <c r="AA15" i="49" s="1"/>
  <c r="X15" i="49"/>
  <c r="W15" i="49"/>
  <c r="R15" i="49"/>
  <c r="M15" i="49"/>
  <c r="H15" i="49"/>
  <c r="W14" i="49"/>
  <c r="R14" i="49"/>
  <c r="M14" i="49"/>
  <c r="H14" i="49"/>
  <c r="Y13" i="49"/>
  <c r="X13" i="49"/>
  <c r="W13" i="49"/>
  <c r="R13" i="49"/>
  <c r="M13" i="49"/>
  <c r="H13" i="49"/>
  <c r="W12" i="49"/>
  <c r="R12" i="49"/>
  <c r="M12" i="49"/>
  <c r="H12" i="49"/>
  <c r="X10" i="49"/>
  <c r="X17" i="50" s="1"/>
  <c r="W10" i="49"/>
  <c r="R10" i="49"/>
  <c r="M10" i="49"/>
  <c r="H10" i="49"/>
  <c r="W9" i="49"/>
  <c r="R9" i="49"/>
  <c r="M9" i="49"/>
  <c r="H9" i="49"/>
  <c r="W8" i="49"/>
  <c r="R8" i="49"/>
  <c r="M8" i="49"/>
  <c r="H8" i="49"/>
  <c r="W7" i="49"/>
  <c r="R7" i="49"/>
  <c r="M7" i="49"/>
  <c r="H7" i="49"/>
  <c r="H54" i="49" s="1"/>
  <c r="Y173" i="48"/>
  <c r="Z173" i="48" s="1"/>
  <c r="AA173" i="48" s="1"/>
  <c r="AC173" i="48" s="1"/>
  <c r="AD173" i="48" s="1"/>
  <c r="AE173" i="48" s="1"/>
  <c r="AF173" i="48" s="1"/>
  <c r="AH173" i="48" s="1"/>
  <c r="AI173" i="48" s="1"/>
  <c r="AJ173" i="48" s="1"/>
  <c r="AK173" i="48" s="1"/>
  <c r="AM173" i="48" s="1"/>
  <c r="AN173" i="48" s="1"/>
  <c r="AO173" i="48" s="1"/>
  <c r="AP173" i="48" s="1"/>
  <c r="AR173" i="48" s="1"/>
  <c r="AS173" i="48" s="1"/>
  <c r="AT173" i="48" s="1"/>
  <c r="AU173" i="48" s="1"/>
  <c r="F173" i="48"/>
  <c r="V172" i="48"/>
  <c r="V173" i="48" s="1"/>
  <c r="X173" i="48" s="1"/>
  <c r="U172" i="48"/>
  <c r="U173" i="48" s="1"/>
  <c r="T172" i="48"/>
  <c r="Q172" i="48"/>
  <c r="P172" i="48"/>
  <c r="O172" i="48"/>
  <c r="N172" i="48"/>
  <c r="N173" i="48" s="1"/>
  <c r="K172" i="48"/>
  <c r="K173" i="48" s="1"/>
  <c r="T171" i="48"/>
  <c r="Q171" i="48"/>
  <c r="F171" i="48"/>
  <c r="E171" i="48"/>
  <c r="P170" i="48"/>
  <c r="N170" i="48"/>
  <c r="L170" i="48"/>
  <c r="L173" i="48" s="1"/>
  <c r="K170" i="48"/>
  <c r="J170" i="48"/>
  <c r="J173" i="48" s="1"/>
  <c r="V168" i="48"/>
  <c r="V170" i="48" s="1"/>
  <c r="U168" i="48"/>
  <c r="U170" i="48" s="1"/>
  <c r="T168" i="48"/>
  <c r="T170" i="48" s="1"/>
  <c r="Q168" i="48"/>
  <c r="Q170" i="48" s="1"/>
  <c r="P168" i="48"/>
  <c r="O168" i="48"/>
  <c r="O170" i="48" s="1"/>
  <c r="N168" i="48"/>
  <c r="L168" i="48"/>
  <c r="K168" i="48"/>
  <c r="J168" i="48"/>
  <c r="I168" i="48"/>
  <c r="I170" i="48" s="1"/>
  <c r="I173" i="48" s="1"/>
  <c r="G168" i="48"/>
  <c r="G170" i="48" s="1"/>
  <c r="G173" i="48" s="1"/>
  <c r="F168" i="48"/>
  <c r="F170" i="48" s="1"/>
  <c r="E168" i="48"/>
  <c r="E170" i="48" s="1"/>
  <c r="E173" i="48" s="1"/>
  <c r="AR167" i="48"/>
  <c r="AM167" i="48"/>
  <c r="AH167" i="48"/>
  <c r="Y167" i="48"/>
  <c r="Z167" i="48" s="1"/>
  <c r="AA167" i="48" s="1"/>
  <c r="AC167" i="48" s="1"/>
  <c r="H167" i="48"/>
  <c r="AR166" i="48"/>
  <c r="AM166" i="48"/>
  <c r="AH166" i="48"/>
  <c r="AC166" i="48"/>
  <c r="X166" i="48"/>
  <c r="H166" i="48"/>
  <c r="X165" i="48"/>
  <c r="Y165" i="48" s="1"/>
  <c r="S165" i="48"/>
  <c r="S168" i="48" s="1"/>
  <c r="S170" i="48" s="1"/>
  <c r="S173" i="48" s="1"/>
  <c r="H165" i="48"/>
  <c r="G165" i="48"/>
  <c r="D165" i="48"/>
  <c r="AR164" i="48"/>
  <c r="AM164" i="48"/>
  <c r="AH164" i="48"/>
  <c r="AC164" i="48"/>
  <c r="X164" i="48"/>
  <c r="D164" i="48"/>
  <c r="H164" i="48" s="1"/>
  <c r="H168" i="48" s="1"/>
  <c r="AD163" i="48"/>
  <c r="AC163" i="48"/>
  <c r="K163" i="48"/>
  <c r="H163" i="48"/>
  <c r="G163" i="48"/>
  <c r="D163" i="48"/>
  <c r="D168" i="48" s="1"/>
  <c r="D170" i="48" s="1"/>
  <c r="D173" i="48" s="1"/>
  <c r="F161" i="48"/>
  <c r="E161" i="48"/>
  <c r="E158" i="48"/>
  <c r="E152" i="48" s="1"/>
  <c r="D157" i="48"/>
  <c r="D158" i="48" s="1"/>
  <c r="AD155" i="48"/>
  <c r="AC155" i="48"/>
  <c r="AA155" i="48"/>
  <c r="Z155" i="48"/>
  <c r="Y155" i="48"/>
  <c r="X155" i="48"/>
  <c r="AB155" i="48" s="1"/>
  <c r="U155" i="48"/>
  <c r="Q155" i="48"/>
  <c r="P155" i="48"/>
  <c r="O155" i="48"/>
  <c r="N155" i="48"/>
  <c r="R155" i="48" s="1"/>
  <c r="L155" i="48"/>
  <c r="L151" i="48" s="1"/>
  <c r="K155" i="48"/>
  <c r="K151" i="48" s="1"/>
  <c r="J155" i="48"/>
  <c r="I155" i="48"/>
  <c r="H155" i="48"/>
  <c r="G155" i="48"/>
  <c r="F155" i="48"/>
  <c r="E155" i="48"/>
  <c r="AV154" i="48"/>
  <c r="AQ154" i="48"/>
  <c r="AK154" i="48"/>
  <c r="AG154" i="48"/>
  <c r="AB154" i="48"/>
  <c r="V154" i="48"/>
  <c r="V155" i="48" s="1"/>
  <c r="T154" i="48"/>
  <c r="S154" i="48"/>
  <c r="W154" i="48" s="1"/>
  <c r="R154" i="48"/>
  <c r="M154" i="48"/>
  <c r="H154" i="48"/>
  <c r="F154" i="48"/>
  <c r="V153" i="48"/>
  <c r="T152" i="48"/>
  <c r="S152" i="48"/>
  <c r="Q152" i="48"/>
  <c r="P152" i="48"/>
  <c r="O152" i="48"/>
  <c r="N152" i="48"/>
  <c r="K152" i="48"/>
  <c r="J152" i="48"/>
  <c r="G152" i="48"/>
  <c r="F152" i="48"/>
  <c r="T151" i="48"/>
  <c r="S151" i="48"/>
  <c r="Q151" i="48"/>
  <c r="P151" i="48"/>
  <c r="O151" i="48"/>
  <c r="J151" i="48"/>
  <c r="G151" i="48"/>
  <c r="F151" i="48"/>
  <c r="E151" i="48"/>
  <c r="Y145" i="48"/>
  <c r="Z145" i="48" s="1"/>
  <c r="AA145" i="48" s="1"/>
  <c r="AC145" i="48" s="1"/>
  <c r="AD145" i="48" s="1"/>
  <c r="AE145" i="48" s="1"/>
  <c r="AF145" i="48" s="1"/>
  <c r="AH145" i="48" s="1"/>
  <c r="AI145" i="48" s="1"/>
  <c r="AJ145" i="48" s="1"/>
  <c r="AK145" i="48" s="1"/>
  <c r="AM145" i="48" s="1"/>
  <c r="AN145" i="48" s="1"/>
  <c r="AO145" i="48" s="1"/>
  <c r="AP145" i="48" s="1"/>
  <c r="AR145" i="48" s="1"/>
  <c r="AS145" i="48" s="1"/>
  <c r="AT145" i="48" s="1"/>
  <c r="AU145" i="48" s="1"/>
  <c r="V145" i="48"/>
  <c r="F17" i="52" s="1"/>
  <c r="U145" i="48"/>
  <c r="T145" i="48"/>
  <c r="S145" i="48"/>
  <c r="Q145" i="48"/>
  <c r="P145" i="48"/>
  <c r="O145" i="48"/>
  <c r="N145" i="48"/>
  <c r="L145" i="48"/>
  <c r="K145" i="48"/>
  <c r="J145" i="48"/>
  <c r="I145" i="48"/>
  <c r="F145" i="48"/>
  <c r="E145" i="48"/>
  <c r="AC143" i="48"/>
  <c r="V136" i="48"/>
  <c r="U136" i="48"/>
  <c r="T136" i="48"/>
  <c r="S136" i="48"/>
  <c r="Q136" i="48"/>
  <c r="P136" i="48"/>
  <c r="O136" i="48"/>
  <c r="N136" i="48"/>
  <c r="L136" i="48"/>
  <c r="K136" i="48"/>
  <c r="J136" i="48"/>
  <c r="I136" i="48"/>
  <c r="F136" i="48"/>
  <c r="E136" i="48"/>
  <c r="D136" i="48"/>
  <c r="V135" i="48"/>
  <c r="U135" i="48"/>
  <c r="T135" i="48"/>
  <c r="S135" i="48"/>
  <c r="Q135" i="48"/>
  <c r="P135" i="48"/>
  <c r="O135" i="48"/>
  <c r="N135" i="48"/>
  <c r="L135" i="48"/>
  <c r="K135" i="48"/>
  <c r="J135" i="48"/>
  <c r="I135" i="48"/>
  <c r="F135" i="48"/>
  <c r="E135" i="48"/>
  <c r="D135" i="48"/>
  <c r="V134" i="48"/>
  <c r="U134" i="48"/>
  <c r="T134" i="48"/>
  <c r="S134" i="48"/>
  <c r="Q134" i="48"/>
  <c r="P134" i="48"/>
  <c r="O134" i="48"/>
  <c r="N134" i="48"/>
  <c r="L134" i="48"/>
  <c r="K134" i="48"/>
  <c r="J134" i="48"/>
  <c r="I134" i="48"/>
  <c r="F134" i="48"/>
  <c r="E134" i="48"/>
  <c r="D134" i="48"/>
  <c r="V133" i="48"/>
  <c r="U133" i="48"/>
  <c r="T133" i="48"/>
  <c r="S133" i="48"/>
  <c r="Q133" i="48"/>
  <c r="P133" i="48"/>
  <c r="O133" i="48"/>
  <c r="N133" i="48"/>
  <c r="L133" i="48"/>
  <c r="K133" i="48"/>
  <c r="J133" i="48"/>
  <c r="I133" i="48"/>
  <c r="F133" i="48"/>
  <c r="E133" i="48"/>
  <c r="D133" i="48"/>
  <c r="V131" i="48"/>
  <c r="U131" i="48"/>
  <c r="S131" i="48"/>
  <c r="P131" i="48"/>
  <c r="E131" i="48"/>
  <c r="D131" i="48"/>
  <c r="V130" i="48"/>
  <c r="U130" i="48"/>
  <c r="T130" i="48"/>
  <c r="T131" i="48" s="1"/>
  <c r="S130" i="48"/>
  <c r="Q130" i="48"/>
  <c r="Q131" i="48" s="1"/>
  <c r="P130" i="48"/>
  <c r="O130" i="48"/>
  <c r="O131" i="48" s="1"/>
  <c r="N130" i="48"/>
  <c r="N131" i="48" s="1"/>
  <c r="L130" i="48"/>
  <c r="L131" i="48" s="1"/>
  <c r="K130" i="48"/>
  <c r="K131" i="48" s="1"/>
  <c r="J130" i="48"/>
  <c r="J131" i="48" s="1"/>
  <c r="I130" i="48"/>
  <c r="I131" i="48" s="1"/>
  <c r="F130" i="48"/>
  <c r="F131" i="48" s="1"/>
  <c r="E130" i="48"/>
  <c r="D130" i="48"/>
  <c r="X129" i="48"/>
  <c r="W129" i="48"/>
  <c r="R129" i="48"/>
  <c r="M129" i="48"/>
  <c r="AV128" i="48"/>
  <c r="AQ128" i="48"/>
  <c r="AL128" i="48"/>
  <c r="AG128" i="48"/>
  <c r="AB128" i="48"/>
  <c r="W128" i="48"/>
  <c r="R128" i="48"/>
  <c r="M128" i="48"/>
  <c r="W127" i="48"/>
  <c r="R127" i="48"/>
  <c r="M127" i="48"/>
  <c r="AV126" i="48"/>
  <c r="AQ126" i="48"/>
  <c r="AL126" i="48"/>
  <c r="AG126" i="48"/>
  <c r="AB126" i="48"/>
  <c r="W126" i="48"/>
  <c r="R126" i="48"/>
  <c r="R130" i="48" s="1"/>
  <c r="R131" i="48" s="1"/>
  <c r="M126" i="48"/>
  <c r="G126" i="48"/>
  <c r="G130" i="48" s="1"/>
  <c r="G131" i="48" s="1"/>
  <c r="AV125" i="48"/>
  <c r="AQ125" i="48"/>
  <c r="AL125" i="48"/>
  <c r="AG125" i="48"/>
  <c r="AB125" i="48"/>
  <c r="W125" i="48"/>
  <c r="W130" i="48" s="1"/>
  <c r="R125" i="48"/>
  <c r="M125" i="48"/>
  <c r="M130" i="48" s="1"/>
  <c r="M131" i="48" s="1"/>
  <c r="AB124" i="48"/>
  <c r="W124" i="48"/>
  <c r="V124" i="48"/>
  <c r="U124" i="48"/>
  <c r="T124" i="48"/>
  <c r="S124" i="48"/>
  <c r="R124" i="48"/>
  <c r="Q124" i="48"/>
  <c r="P124" i="48"/>
  <c r="O124" i="48"/>
  <c r="N124" i="48"/>
  <c r="L124" i="48"/>
  <c r="K124" i="48"/>
  <c r="J124" i="48"/>
  <c r="I124" i="48"/>
  <c r="AF123" i="48"/>
  <c r="AK123" i="48" s="1"/>
  <c r="AC123" i="48"/>
  <c r="AA123" i="48"/>
  <c r="Z123" i="48"/>
  <c r="Y123" i="48"/>
  <c r="AD123" i="48" s="1"/>
  <c r="X123" i="48"/>
  <c r="AB123" i="48" s="1"/>
  <c r="W123" i="48"/>
  <c r="R123" i="48"/>
  <c r="M123" i="48"/>
  <c r="M124" i="48" s="1"/>
  <c r="H123" i="48"/>
  <c r="O121" i="48"/>
  <c r="L121" i="48"/>
  <c r="J121" i="48"/>
  <c r="G121" i="48"/>
  <c r="L120" i="48"/>
  <c r="J120" i="48"/>
  <c r="I120" i="48"/>
  <c r="I121" i="48" s="1"/>
  <c r="G120" i="48"/>
  <c r="Y119" i="48"/>
  <c r="X119" i="48"/>
  <c r="W119" i="48"/>
  <c r="R119" i="48"/>
  <c r="M119" i="48"/>
  <c r="H119" i="48"/>
  <c r="V118" i="48"/>
  <c r="V120" i="48" s="1"/>
  <c r="V121" i="48" s="1"/>
  <c r="U118" i="48"/>
  <c r="U120" i="48" s="1"/>
  <c r="U121" i="48" s="1"/>
  <c r="T118" i="48"/>
  <c r="T120" i="48" s="1"/>
  <c r="T121" i="48" s="1"/>
  <c r="S118" i="48"/>
  <c r="S120" i="48" s="1"/>
  <c r="S121" i="48" s="1"/>
  <c r="Q118" i="48"/>
  <c r="Q120" i="48" s="1"/>
  <c r="Q121" i="48" s="1"/>
  <c r="P118" i="48"/>
  <c r="P120" i="48" s="1"/>
  <c r="P121" i="48" s="1"/>
  <c r="O118" i="48"/>
  <c r="O120" i="48" s="1"/>
  <c r="N118" i="48"/>
  <c r="N120" i="48" s="1"/>
  <c r="N121" i="48" s="1"/>
  <c r="L118" i="48"/>
  <c r="K118" i="48"/>
  <c r="K120" i="48" s="1"/>
  <c r="K121" i="48" s="1"/>
  <c r="J118" i="48"/>
  <c r="I118" i="48"/>
  <c r="G118" i="48"/>
  <c r="F118" i="48"/>
  <c r="F120" i="48" s="1"/>
  <c r="F121" i="48" s="1"/>
  <c r="E118" i="48"/>
  <c r="E120" i="48" s="1"/>
  <c r="E121" i="48" s="1"/>
  <c r="D118" i="48"/>
  <c r="D120" i="48" s="1"/>
  <c r="D121" i="48" s="1"/>
  <c r="V117" i="48"/>
  <c r="X117" i="48" s="1"/>
  <c r="R117" i="48"/>
  <c r="M117" i="48"/>
  <c r="H117" i="48"/>
  <c r="AE116" i="48"/>
  <c r="AD116" i="48"/>
  <c r="Z116" i="48"/>
  <c r="Z187" i="48" s="1"/>
  <c r="Y116" i="48"/>
  <c r="Y187" i="48" s="1"/>
  <c r="V116" i="48"/>
  <c r="AA116" i="48" s="1"/>
  <c r="U116" i="48"/>
  <c r="U187" i="48" s="1"/>
  <c r="T116" i="48"/>
  <c r="S116" i="48"/>
  <c r="Q116" i="48"/>
  <c r="P116" i="48"/>
  <c r="O116" i="48"/>
  <c r="N116" i="48"/>
  <c r="L116" i="48"/>
  <c r="K116" i="48"/>
  <c r="J116" i="48"/>
  <c r="I116" i="48"/>
  <c r="G116" i="48"/>
  <c r="F116" i="48"/>
  <c r="E116" i="48"/>
  <c r="D116" i="48"/>
  <c r="Y115" i="48"/>
  <c r="W115" i="48"/>
  <c r="W116" i="48" s="1"/>
  <c r="R115" i="48"/>
  <c r="R116" i="48" s="1"/>
  <c r="M115" i="48"/>
  <c r="H115" i="48"/>
  <c r="AV114" i="48"/>
  <c r="AQ114" i="48"/>
  <c r="AL114" i="48"/>
  <c r="AG114" i="48"/>
  <c r="AB114" i="48"/>
  <c r="W114" i="48"/>
  <c r="R114" i="48"/>
  <c r="M114" i="48"/>
  <c r="H114" i="48"/>
  <c r="AM113" i="48"/>
  <c r="AH113" i="48"/>
  <c r="AH186" i="48" s="1"/>
  <c r="AC113" i="48"/>
  <c r="AC186" i="48" s="1"/>
  <c r="X113" i="48"/>
  <c r="X186" i="48" s="1"/>
  <c r="V113" i="48"/>
  <c r="U113" i="48"/>
  <c r="T113" i="48"/>
  <c r="S113" i="48"/>
  <c r="Q113" i="48"/>
  <c r="Q186" i="48" s="1"/>
  <c r="P113" i="48"/>
  <c r="O113" i="48"/>
  <c r="N113" i="48"/>
  <c r="L113" i="48"/>
  <c r="K113" i="48"/>
  <c r="J113" i="48"/>
  <c r="I113" i="48"/>
  <c r="G113" i="48"/>
  <c r="F113" i="48"/>
  <c r="E113" i="48"/>
  <c r="D113" i="48"/>
  <c r="W112" i="48"/>
  <c r="W113" i="48" s="1"/>
  <c r="R112" i="48"/>
  <c r="R113" i="48" s="1"/>
  <c r="M112" i="48"/>
  <c r="M113" i="48" s="1"/>
  <c r="H112" i="48"/>
  <c r="H113" i="48" s="1"/>
  <c r="AC111" i="48"/>
  <c r="X111" i="48"/>
  <c r="X185" i="48" s="1"/>
  <c r="V111" i="48"/>
  <c r="U111" i="48"/>
  <c r="T111" i="48"/>
  <c r="S111" i="48"/>
  <c r="Q111" i="48"/>
  <c r="Q185" i="48" s="1"/>
  <c r="P111" i="48"/>
  <c r="O111" i="48"/>
  <c r="N111" i="48"/>
  <c r="M111" i="48"/>
  <c r="L111" i="48"/>
  <c r="K111" i="48"/>
  <c r="J111" i="48"/>
  <c r="I111" i="48"/>
  <c r="H111" i="48"/>
  <c r="G111" i="48"/>
  <c r="F111" i="48"/>
  <c r="E111" i="48"/>
  <c r="D111" i="48"/>
  <c r="W110" i="48"/>
  <c r="W111" i="48" s="1"/>
  <c r="R110" i="48"/>
  <c r="M110" i="48"/>
  <c r="M118" i="48" s="1"/>
  <c r="H110" i="48"/>
  <c r="V109" i="48"/>
  <c r="U109" i="48"/>
  <c r="T109" i="48"/>
  <c r="S109" i="48"/>
  <c r="Q109" i="48"/>
  <c r="P109" i="48"/>
  <c r="O109" i="48"/>
  <c r="N109" i="48"/>
  <c r="L109" i="48"/>
  <c r="K109" i="48"/>
  <c r="J109" i="48"/>
  <c r="I109" i="48"/>
  <c r="AE108" i="48"/>
  <c r="AD108" i="48"/>
  <c r="AC108" i="48"/>
  <c r="AA108" i="48"/>
  <c r="Z108" i="48"/>
  <c r="Z115" i="48" s="1"/>
  <c r="Y108" i="48"/>
  <c r="X108" i="48"/>
  <c r="W108" i="48"/>
  <c r="R108" i="48"/>
  <c r="R111" i="48" s="1"/>
  <c r="M108" i="48"/>
  <c r="H108" i="48"/>
  <c r="V105" i="48"/>
  <c r="V106" i="48" s="1"/>
  <c r="U105" i="48"/>
  <c r="U106" i="48" s="1"/>
  <c r="G105" i="48"/>
  <c r="G106" i="48" s="1"/>
  <c r="F105" i="48"/>
  <c r="F106" i="48" s="1"/>
  <c r="E105" i="48"/>
  <c r="E106" i="48" s="1"/>
  <c r="AV104" i="48"/>
  <c r="AQ104" i="48"/>
  <c r="AL104" i="48"/>
  <c r="AG104" i="48"/>
  <c r="AB104" i="48"/>
  <c r="W104" i="48"/>
  <c r="R104" i="48"/>
  <c r="M104" i="48"/>
  <c r="H104" i="48"/>
  <c r="V103" i="48"/>
  <c r="U103" i="48"/>
  <c r="T103" i="48"/>
  <c r="S103" i="48"/>
  <c r="Q103" i="48"/>
  <c r="P103" i="48"/>
  <c r="O103" i="48"/>
  <c r="N103" i="48"/>
  <c r="L103" i="48"/>
  <c r="K103" i="48"/>
  <c r="J103" i="48"/>
  <c r="I103" i="48"/>
  <c r="G103" i="48"/>
  <c r="F103" i="48"/>
  <c r="E103" i="48"/>
  <c r="D103" i="48"/>
  <c r="X102" i="48"/>
  <c r="V102" i="48"/>
  <c r="W102" i="48" s="1"/>
  <c r="R102" i="48"/>
  <c r="M102" i="48"/>
  <c r="H102" i="48"/>
  <c r="V101" i="48"/>
  <c r="I101" i="48"/>
  <c r="G101" i="48"/>
  <c r="F101" i="48"/>
  <c r="W100" i="48"/>
  <c r="R100" i="48"/>
  <c r="M100" i="48"/>
  <c r="H100" i="48"/>
  <c r="W99" i="48"/>
  <c r="R99" i="48"/>
  <c r="M99" i="48"/>
  <c r="H99" i="48"/>
  <c r="T98" i="48"/>
  <c r="O98" i="48"/>
  <c r="N98" i="48"/>
  <c r="D98" i="48"/>
  <c r="W97" i="48"/>
  <c r="R97" i="48"/>
  <c r="M97" i="48"/>
  <c r="H97" i="48"/>
  <c r="AA96" i="48"/>
  <c r="AA181" i="48" s="1"/>
  <c r="Z96" i="48"/>
  <c r="Z181" i="48" s="1"/>
  <c r="Y96" i="48"/>
  <c r="Y181" i="48" s="1"/>
  <c r="X96" i="48"/>
  <c r="W96" i="48"/>
  <c r="V96" i="48"/>
  <c r="V181" i="48" s="1"/>
  <c r="U96" i="48"/>
  <c r="U181" i="48" s="1"/>
  <c r="T96" i="48"/>
  <c r="S96" i="48"/>
  <c r="Q96" i="48"/>
  <c r="Q181" i="48" s="1"/>
  <c r="P96" i="48"/>
  <c r="O96" i="48"/>
  <c r="N96" i="48"/>
  <c r="L96" i="48"/>
  <c r="K96" i="48"/>
  <c r="J96" i="48"/>
  <c r="I96" i="48"/>
  <c r="H96" i="48"/>
  <c r="G96" i="48"/>
  <c r="F96" i="48"/>
  <c r="E96" i="48"/>
  <c r="D96" i="48"/>
  <c r="W95" i="48"/>
  <c r="R95" i="48"/>
  <c r="R96" i="48" s="1"/>
  <c r="M95" i="48"/>
  <c r="M96" i="48" s="1"/>
  <c r="H95" i="48"/>
  <c r="U94" i="48"/>
  <c r="T94" i="48"/>
  <c r="S94" i="48"/>
  <c r="Q94" i="48"/>
  <c r="G94" i="48"/>
  <c r="E94" i="48"/>
  <c r="D94" i="48"/>
  <c r="W93" i="48"/>
  <c r="W103" i="48" s="1"/>
  <c r="R93" i="48"/>
  <c r="R103" i="48" s="1"/>
  <c r="M93" i="48"/>
  <c r="H93" i="48"/>
  <c r="H103" i="48" s="1"/>
  <c r="V92" i="48"/>
  <c r="V98" i="48" s="1"/>
  <c r="U92" i="48"/>
  <c r="U101" i="48" s="1"/>
  <c r="T92" i="48"/>
  <c r="T105" i="48" s="1"/>
  <c r="T106" i="48" s="1"/>
  <c r="S92" i="48"/>
  <c r="S105" i="48" s="1"/>
  <c r="Q92" i="48"/>
  <c r="Q105" i="48" s="1"/>
  <c r="Q106" i="48" s="1"/>
  <c r="P92" i="48"/>
  <c r="P94" i="48" s="1"/>
  <c r="O92" i="48"/>
  <c r="O94" i="48" s="1"/>
  <c r="N92" i="48"/>
  <c r="N94" i="48" s="1"/>
  <c r="L92" i="48"/>
  <c r="K92" i="48"/>
  <c r="J92" i="48"/>
  <c r="J98" i="48" s="1"/>
  <c r="I92" i="48"/>
  <c r="I98" i="48" s="1"/>
  <c r="G92" i="48"/>
  <c r="G98" i="48" s="1"/>
  <c r="F92" i="48"/>
  <c r="F98" i="48" s="1"/>
  <c r="E92" i="48"/>
  <c r="E101" i="48" s="1"/>
  <c r="D92" i="48"/>
  <c r="D105" i="48" s="1"/>
  <c r="AU91" i="48"/>
  <c r="AT91" i="48"/>
  <c r="AS91" i="48"/>
  <c r="AR91" i="48"/>
  <c r="AP91" i="48"/>
  <c r="AO91" i="48"/>
  <c r="AN91" i="48"/>
  <c r="AM91" i="48"/>
  <c r="AK91" i="48"/>
  <c r="AJ91" i="48"/>
  <c r="AI91" i="48"/>
  <c r="AH91" i="48"/>
  <c r="AF91" i="48"/>
  <c r="AE91" i="48"/>
  <c r="AD91" i="48"/>
  <c r="AC91" i="48"/>
  <c r="AA91" i="48"/>
  <c r="Z91" i="48"/>
  <c r="Y91" i="48"/>
  <c r="X91" i="48"/>
  <c r="V91" i="48"/>
  <c r="U91" i="48"/>
  <c r="T91" i="48"/>
  <c r="S91" i="48"/>
  <c r="Q91" i="48"/>
  <c r="P91" i="48"/>
  <c r="O91" i="48"/>
  <c r="N91" i="48"/>
  <c r="J91" i="48"/>
  <c r="I91" i="48"/>
  <c r="N90" i="48"/>
  <c r="L90" i="48"/>
  <c r="K90" i="48"/>
  <c r="J90" i="48"/>
  <c r="I90" i="48"/>
  <c r="G90" i="48"/>
  <c r="F90" i="48"/>
  <c r="E90" i="48"/>
  <c r="D90" i="48"/>
  <c r="V89" i="48"/>
  <c r="U89" i="48"/>
  <c r="T89" i="48"/>
  <c r="S89" i="48"/>
  <c r="Q89" i="48"/>
  <c r="P89" i="48"/>
  <c r="O89" i="48"/>
  <c r="N89" i="48"/>
  <c r="L89" i="48"/>
  <c r="K89" i="48"/>
  <c r="J89" i="48"/>
  <c r="I89" i="48"/>
  <c r="AE88" i="48"/>
  <c r="AJ88" i="48" s="1"/>
  <c r="AD88" i="48"/>
  <c r="AI88" i="48" s="1"/>
  <c r="AC88" i="48"/>
  <c r="AH88" i="48" s="1"/>
  <c r="AB88" i="48"/>
  <c r="AA88" i="48"/>
  <c r="AF88" i="48" s="1"/>
  <c r="Z88" i="48"/>
  <c r="Y88" i="48"/>
  <c r="X88" i="48"/>
  <c r="W88" i="48"/>
  <c r="R88" i="48"/>
  <c r="M88" i="48"/>
  <c r="H88" i="48"/>
  <c r="W87" i="48"/>
  <c r="R87" i="48"/>
  <c r="M87" i="48"/>
  <c r="H87" i="48"/>
  <c r="AI86" i="48"/>
  <c r="AH86" i="48"/>
  <c r="O86" i="48"/>
  <c r="N86" i="48"/>
  <c r="G86" i="48"/>
  <c r="T85" i="48"/>
  <c r="T86" i="48" s="1"/>
  <c r="Y86" i="48" s="1"/>
  <c r="AD86" i="48" s="1"/>
  <c r="S85" i="48"/>
  <c r="S86" i="48" s="1"/>
  <c r="X86" i="48" s="1"/>
  <c r="AC86" i="48" s="1"/>
  <c r="N85" i="48"/>
  <c r="L85" i="48"/>
  <c r="L86" i="48" s="1"/>
  <c r="K85" i="48"/>
  <c r="K86" i="48" s="1"/>
  <c r="J85" i="48"/>
  <c r="J86" i="48" s="1"/>
  <c r="I85" i="48"/>
  <c r="I86" i="48" s="1"/>
  <c r="G85" i="48"/>
  <c r="F85" i="48"/>
  <c r="F86" i="48" s="1"/>
  <c r="E85" i="48"/>
  <c r="E86" i="48" s="1"/>
  <c r="D85" i="48"/>
  <c r="D86" i="48" s="1"/>
  <c r="AV84" i="48"/>
  <c r="AV91" i="48" s="1"/>
  <c r="AQ84" i="48"/>
  <c r="AQ91" i="48" s="1"/>
  <c r="AL84" i="48"/>
  <c r="AG84" i="48"/>
  <c r="AB84" i="48"/>
  <c r="W84" i="48"/>
  <c r="W91" i="48" s="1"/>
  <c r="R84" i="48"/>
  <c r="R91" i="48" s="1"/>
  <c r="K84" i="48"/>
  <c r="K91" i="48" s="1"/>
  <c r="J84" i="48"/>
  <c r="I84" i="48"/>
  <c r="M84" i="48" s="1"/>
  <c r="M91" i="48" s="1"/>
  <c r="G84" i="48"/>
  <c r="G91" i="48" s="1"/>
  <c r="F84" i="48"/>
  <c r="F91" i="48" s="1"/>
  <c r="E84" i="48"/>
  <c r="E91" i="48" s="1"/>
  <c r="D84" i="48"/>
  <c r="D91" i="48" s="1"/>
  <c r="T83" i="48"/>
  <c r="S83" i="48"/>
  <c r="R83" i="48"/>
  <c r="O83" i="48"/>
  <c r="O85" i="48" s="1"/>
  <c r="M83" i="48"/>
  <c r="H83" i="48"/>
  <c r="W79" i="48"/>
  <c r="V79" i="48"/>
  <c r="U79" i="48"/>
  <c r="T79" i="48"/>
  <c r="S79" i="48"/>
  <c r="Q79" i="48"/>
  <c r="P79" i="48"/>
  <c r="O79" i="48"/>
  <c r="N79" i="48"/>
  <c r="L79" i="48"/>
  <c r="K79" i="48"/>
  <c r="J79" i="48"/>
  <c r="I79" i="48"/>
  <c r="W78" i="48"/>
  <c r="R78" i="48"/>
  <c r="M78" i="48"/>
  <c r="H78" i="48"/>
  <c r="I77" i="48"/>
  <c r="N76" i="48"/>
  <c r="N77" i="48" s="1"/>
  <c r="L76" i="48"/>
  <c r="L77" i="48" s="1"/>
  <c r="K76" i="48"/>
  <c r="K77" i="48" s="1"/>
  <c r="J76" i="48"/>
  <c r="J77" i="48" s="1"/>
  <c r="I76" i="48"/>
  <c r="G76" i="48"/>
  <c r="G77" i="48" s="1"/>
  <c r="F76" i="48"/>
  <c r="F77" i="48" s="1"/>
  <c r="E76" i="48"/>
  <c r="E77" i="48" s="1"/>
  <c r="AV75" i="48"/>
  <c r="AQ75" i="48"/>
  <c r="AL75" i="48"/>
  <c r="AG75" i="48"/>
  <c r="AB75" i="48"/>
  <c r="AB91" i="48" s="1"/>
  <c r="W75" i="48"/>
  <c r="R75" i="48"/>
  <c r="L75" i="48"/>
  <c r="L91" i="48" s="1"/>
  <c r="K75" i="48"/>
  <c r="J75" i="48"/>
  <c r="I75" i="48"/>
  <c r="M75" i="48" s="1"/>
  <c r="G75" i="48"/>
  <c r="F75" i="48"/>
  <c r="E75" i="48"/>
  <c r="D75" i="48"/>
  <c r="H75" i="48" s="1"/>
  <c r="O74" i="48"/>
  <c r="M74" i="48"/>
  <c r="H74" i="48"/>
  <c r="Q72" i="48"/>
  <c r="P72" i="48"/>
  <c r="N71" i="48"/>
  <c r="V70" i="48"/>
  <c r="U70" i="48"/>
  <c r="T70" i="48"/>
  <c r="S70" i="48"/>
  <c r="Q70" i="48"/>
  <c r="P70" i="48"/>
  <c r="O70" i="48"/>
  <c r="N70" i="48"/>
  <c r="L70" i="48"/>
  <c r="K70" i="48"/>
  <c r="J70" i="48"/>
  <c r="I70" i="48"/>
  <c r="H70" i="48"/>
  <c r="G70" i="48"/>
  <c r="F70" i="48"/>
  <c r="E70" i="48"/>
  <c r="D70" i="48"/>
  <c r="Y69" i="48"/>
  <c r="Z69" i="48" s="1"/>
  <c r="X69" i="48"/>
  <c r="W69" i="48"/>
  <c r="U68" i="48"/>
  <c r="T68" i="48"/>
  <c r="S68" i="48"/>
  <c r="W67" i="48"/>
  <c r="W66" i="48"/>
  <c r="T65" i="48"/>
  <c r="Q65" i="48"/>
  <c r="P65" i="48"/>
  <c r="J65" i="48"/>
  <c r="D65" i="48"/>
  <c r="W64" i="48"/>
  <c r="Y176" i="48"/>
  <c r="X176" i="48"/>
  <c r="V63" i="48"/>
  <c r="U63" i="48"/>
  <c r="T63" i="48"/>
  <c r="S63" i="48"/>
  <c r="S176" i="48" s="1"/>
  <c r="Q63" i="48"/>
  <c r="P63" i="48"/>
  <c r="O63" i="48"/>
  <c r="N63" i="48"/>
  <c r="L63" i="48"/>
  <c r="K63" i="48"/>
  <c r="J63" i="48"/>
  <c r="I63" i="48"/>
  <c r="G63" i="48"/>
  <c r="F63" i="48"/>
  <c r="E63" i="48"/>
  <c r="D63" i="48"/>
  <c r="W62" i="48"/>
  <c r="T61" i="48"/>
  <c r="J61" i="48"/>
  <c r="I61" i="48"/>
  <c r="G61" i="48"/>
  <c r="F61" i="48"/>
  <c r="W60" i="48"/>
  <c r="V59" i="48"/>
  <c r="V71" i="48" s="1"/>
  <c r="U59" i="48"/>
  <c r="U71" i="48" s="1"/>
  <c r="T59" i="48"/>
  <c r="T71" i="48" s="1"/>
  <c r="T72" i="48" s="1"/>
  <c r="S59" i="48"/>
  <c r="S61" i="48" s="1"/>
  <c r="Q59" i="48"/>
  <c r="Q71" i="48" s="1"/>
  <c r="P59" i="48"/>
  <c r="P71" i="48" s="1"/>
  <c r="O59" i="48"/>
  <c r="O71" i="48" s="1"/>
  <c r="N59" i="48"/>
  <c r="N65" i="48" s="1"/>
  <c r="L59" i="48"/>
  <c r="L71" i="48" s="1"/>
  <c r="K59" i="48"/>
  <c r="J59" i="48"/>
  <c r="J71" i="48" s="1"/>
  <c r="I59" i="48"/>
  <c r="I71" i="48" s="1"/>
  <c r="G59" i="48"/>
  <c r="G65" i="48" s="1"/>
  <c r="F59" i="48"/>
  <c r="F71" i="48" s="1"/>
  <c r="E59" i="48"/>
  <c r="E61" i="48" s="1"/>
  <c r="D59" i="48"/>
  <c r="D71" i="48" s="1"/>
  <c r="AU58" i="48"/>
  <c r="AT58" i="48"/>
  <c r="AS58" i="48"/>
  <c r="AR58" i="48"/>
  <c r="AP58" i="48"/>
  <c r="AO58" i="48"/>
  <c r="AN58" i="48"/>
  <c r="AM58" i="48"/>
  <c r="AK58" i="48"/>
  <c r="AJ58" i="48"/>
  <c r="AI58" i="48"/>
  <c r="AH58" i="48"/>
  <c r="AF58" i="48"/>
  <c r="AE58" i="48"/>
  <c r="AD58" i="48"/>
  <c r="AC58" i="48"/>
  <c r="AA58" i="48"/>
  <c r="Z58" i="48"/>
  <c r="Y58" i="48"/>
  <c r="X58" i="48"/>
  <c r="V58" i="48"/>
  <c r="U58" i="48"/>
  <c r="T58" i="48"/>
  <c r="S58" i="48"/>
  <c r="Q58" i="48"/>
  <c r="P58" i="48"/>
  <c r="O58" i="48"/>
  <c r="N58" i="48"/>
  <c r="N57" i="48"/>
  <c r="L57" i="48"/>
  <c r="K57" i="48"/>
  <c r="J57" i="48"/>
  <c r="I57" i="48"/>
  <c r="G57" i="48"/>
  <c r="F57" i="48"/>
  <c r="E57" i="48"/>
  <c r="D57" i="48"/>
  <c r="V56" i="48"/>
  <c r="U56" i="48"/>
  <c r="T56" i="48"/>
  <c r="S56" i="48"/>
  <c r="Q56" i="48"/>
  <c r="P56" i="48"/>
  <c r="O56" i="48"/>
  <c r="N56" i="48"/>
  <c r="L56" i="48"/>
  <c r="K56" i="48"/>
  <c r="J56" i="48"/>
  <c r="I56" i="48"/>
  <c r="AR55" i="48"/>
  <c r="AM55" i="48"/>
  <c r="AH55" i="48"/>
  <c r="AC55" i="48"/>
  <c r="AA55" i="48"/>
  <c r="Z55" i="48"/>
  <c r="Y55" i="48"/>
  <c r="X55" i="48"/>
  <c r="W55" i="48"/>
  <c r="W54" i="48"/>
  <c r="G53" i="48"/>
  <c r="F53" i="48"/>
  <c r="E53" i="48"/>
  <c r="D53" i="48"/>
  <c r="N52" i="48"/>
  <c r="N53" i="48" s="1"/>
  <c r="L52" i="48"/>
  <c r="L53" i="48" s="1"/>
  <c r="K52" i="48"/>
  <c r="K53" i="48" s="1"/>
  <c r="J52" i="48"/>
  <c r="J53" i="48" s="1"/>
  <c r="I52" i="48"/>
  <c r="I53" i="48" s="1"/>
  <c r="G52" i="48"/>
  <c r="F52" i="48"/>
  <c r="E52" i="48"/>
  <c r="D52" i="48"/>
  <c r="AV51" i="48"/>
  <c r="AV58" i="48" s="1"/>
  <c r="AQ51" i="48"/>
  <c r="AL51" i="48"/>
  <c r="AL58" i="48" s="1"/>
  <c r="AG51" i="48"/>
  <c r="AG58" i="48" s="1"/>
  <c r="AB51" i="48"/>
  <c r="AB58" i="48" s="1"/>
  <c r="W51" i="48"/>
  <c r="W58" i="48" s="1"/>
  <c r="K51" i="48"/>
  <c r="K58" i="48" s="1"/>
  <c r="J51" i="48"/>
  <c r="J58" i="48" s="1"/>
  <c r="I51" i="48"/>
  <c r="I58" i="48" s="1"/>
  <c r="G51" i="48"/>
  <c r="G58" i="48" s="1"/>
  <c r="F51" i="48"/>
  <c r="H51" i="48" s="1"/>
  <c r="H58" i="48" s="1"/>
  <c r="E51" i="48"/>
  <c r="E58" i="48" s="1"/>
  <c r="D51" i="48"/>
  <c r="D58" i="48" s="1"/>
  <c r="S50" i="48"/>
  <c r="S52" i="48" s="1"/>
  <c r="S53" i="48" s="1"/>
  <c r="X53" i="48" s="1"/>
  <c r="AC53" i="48" s="1"/>
  <c r="AH53" i="48" s="1"/>
  <c r="O50" i="48"/>
  <c r="P50" i="48" s="1"/>
  <c r="W46" i="48"/>
  <c r="V46" i="48"/>
  <c r="U46" i="48"/>
  <c r="T46" i="48"/>
  <c r="S46" i="48"/>
  <c r="Q46" i="48"/>
  <c r="P46" i="48"/>
  <c r="O46" i="48"/>
  <c r="N46" i="48"/>
  <c r="L46" i="48"/>
  <c r="K46" i="48"/>
  <c r="J46" i="48"/>
  <c r="I46" i="48"/>
  <c r="W45" i="48"/>
  <c r="W63" i="48" s="1"/>
  <c r="R45" i="48"/>
  <c r="M45" i="48"/>
  <c r="H45" i="48"/>
  <c r="J44" i="48"/>
  <c r="N43" i="48"/>
  <c r="N44" i="48" s="1"/>
  <c r="L43" i="48"/>
  <c r="L44" i="48" s="1"/>
  <c r="K43" i="48"/>
  <c r="K44" i="48" s="1"/>
  <c r="J43" i="48"/>
  <c r="I43" i="48"/>
  <c r="I44" i="48" s="1"/>
  <c r="G43" i="48"/>
  <c r="G44" i="48" s="1"/>
  <c r="F43" i="48"/>
  <c r="F44" i="48" s="1"/>
  <c r="E43" i="48"/>
  <c r="E44" i="48" s="1"/>
  <c r="D43" i="48"/>
  <c r="AV42" i="48"/>
  <c r="AQ42" i="48"/>
  <c r="AQ58" i="48" s="1"/>
  <c r="AL42" i="48"/>
  <c r="AG42" i="48"/>
  <c r="AB42" i="48"/>
  <c r="W42" i="48"/>
  <c r="L42" i="48"/>
  <c r="L58" i="48" s="1"/>
  <c r="K42" i="48"/>
  <c r="J42" i="48"/>
  <c r="I42" i="48"/>
  <c r="G42" i="48"/>
  <c r="F42" i="48"/>
  <c r="E42" i="48"/>
  <c r="D42" i="48"/>
  <c r="H42" i="48" s="1"/>
  <c r="O41" i="48"/>
  <c r="Q37" i="48"/>
  <c r="L37" i="48"/>
  <c r="G37" i="48"/>
  <c r="X35" i="48"/>
  <c r="W35" i="48"/>
  <c r="L35" i="48"/>
  <c r="N35" i="48" s="1"/>
  <c r="R35" i="48" s="1"/>
  <c r="H35" i="48"/>
  <c r="Y31" i="48"/>
  <c r="Z31" i="48" s="1"/>
  <c r="AA31" i="48" s="1"/>
  <c r="AC31" i="48" s="1"/>
  <c r="AD31" i="48" s="1"/>
  <c r="X31" i="48"/>
  <c r="X30" i="48"/>
  <c r="Y30" i="48" s="1"/>
  <c r="Z30" i="48" s="1"/>
  <c r="AA30" i="48" s="1"/>
  <c r="AC30" i="48" s="1"/>
  <c r="AD30" i="48" s="1"/>
  <c r="V28" i="48"/>
  <c r="U28" i="48"/>
  <c r="W28" i="48" s="1"/>
  <c r="T28" i="48"/>
  <c r="S28" i="48"/>
  <c r="Q28" i="48"/>
  <c r="P28" i="48"/>
  <c r="O28" i="48"/>
  <c r="N28" i="48"/>
  <c r="R28" i="48" s="1"/>
  <c r="L28" i="48"/>
  <c r="K28" i="48"/>
  <c r="J28" i="48"/>
  <c r="I28" i="48"/>
  <c r="M28" i="48" s="1"/>
  <c r="G28" i="48"/>
  <c r="F28" i="48"/>
  <c r="E28" i="48"/>
  <c r="H28" i="48" s="1"/>
  <c r="D28" i="48"/>
  <c r="X26" i="48"/>
  <c r="T26" i="48"/>
  <c r="W26" i="48" s="1"/>
  <c r="R26" i="48"/>
  <c r="M26" i="48"/>
  <c r="G26" i="48"/>
  <c r="W24" i="48"/>
  <c r="R24" i="48"/>
  <c r="M24" i="48"/>
  <c r="G24" i="48"/>
  <c r="X22" i="48"/>
  <c r="W22" i="48"/>
  <c r="R22" i="48"/>
  <c r="M22" i="48"/>
  <c r="G22" i="48"/>
  <c r="G145" i="48" s="1"/>
  <c r="W21" i="48"/>
  <c r="R21" i="48"/>
  <c r="M21" i="48"/>
  <c r="G21" i="48"/>
  <c r="AV20" i="48"/>
  <c r="AQ20" i="48"/>
  <c r="AL20" i="48"/>
  <c r="AG20" i="48"/>
  <c r="AB20" i="48"/>
  <c r="W20" i="48"/>
  <c r="R20" i="48"/>
  <c r="M20" i="48"/>
  <c r="G20" i="48"/>
  <c r="V18" i="48"/>
  <c r="U18" i="48"/>
  <c r="T18" i="48"/>
  <c r="S18" i="48"/>
  <c r="W18" i="48" s="1"/>
  <c r="Q18" i="48"/>
  <c r="P18" i="48"/>
  <c r="O18" i="48"/>
  <c r="O19" i="48" s="1"/>
  <c r="N18" i="48"/>
  <c r="R18" i="48" s="1"/>
  <c r="L18" i="48"/>
  <c r="K18" i="48"/>
  <c r="J18" i="48"/>
  <c r="I18" i="48"/>
  <c r="M18" i="48" s="1"/>
  <c r="G18" i="48"/>
  <c r="F18" i="48"/>
  <c r="E18" i="48"/>
  <c r="D18" i="48"/>
  <c r="H18" i="48" s="1"/>
  <c r="O17" i="48"/>
  <c r="O141" i="48" s="1"/>
  <c r="L17" i="48"/>
  <c r="L141" i="48" s="1"/>
  <c r="K17" i="48"/>
  <c r="K141" i="48" s="1"/>
  <c r="Y16" i="48"/>
  <c r="Y9" i="50" s="1"/>
  <c r="Y10" i="50" s="1"/>
  <c r="X16" i="48"/>
  <c r="W16" i="48"/>
  <c r="R16" i="48"/>
  <c r="M16" i="48"/>
  <c r="G16" i="48"/>
  <c r="G136" i="48" s="1"/>
  <c r="V15" i="48"/>
  <c r="U15" i="48"/>
  <c r="T15" i="48"/>
  <c r="S15" i="48"/>
  <c r="Q15" i="48"/>
  <c r="P15" i="48"/>
  <c r="O15" i="48"/>
  <c r="N15" i="48"/>
  <c r="L15" i="48"/>
  <c r="K15" i="48"/>
  <c r="J15" i="48"/>
  <c r="I15" i="48"/>
  <c r="H15" i="48"/>
  <c r="F15" i="48"/>
  <c r="E15" i="48"/>
  <c r="D15" i="48"/>
  <c r="X14" i="48"/>
  <c r="W14" i="48"/>
  <c r="R14" i="48"/>
  <c r="M14" i="48"/>
  <c r="G14" i="48"/>
  <c r="W13" i="48"/>
  <c r="R13" i="48"/>
  <c r="M13" i="48"/>
  <c r="G13" i="48"/>
  <c r="W12" i="48"/>
  <c r="R12" i="48"/>
  <c r="M12" i="48"/>
  <c r="G12" i="48"/>
  <c r="W11" i="48"/>
  <c r="R11" i="48"/>
  <c r="M11" i="48"/>
  <c r="G11" i="48"/>
  <c r="W10" i="48"/>
  <c r="W15" i="48" s="1"/>
  <c r="R10" i="48"/>
  <c r="M10" i="48"/>
  <c r="G10" i="48"/>
  <c r="W9" i="48"/>
  <c r="R9" i="48"/>
  <c r="R15" i="48" s="1"/>
  <c r="M9" i="48"/>
  <c r="M15" i="48" s="1"/>
  <c r="G9" i="48"/>
  <c r="V8" i="48"/>
  <c r="U8" i="48"/>
  <c r="T8" i="48"/>
  <c r="S8" i="48"/>
  <c r="R8" i="48"/>
  <c r="R17" i="48" s="1"/>
  <c r="Q8" i="48"/>
  <c r="Q47" i="49" s="1"/>
  <c r="P8" i="48"/>
  <c r="P17" i="48" s="1"/>
  <c r="O8" i="48"/>
  <c r="N8" i="48"/>
  <c r="N17" i="48" s="1"/>
  <c r="L8" i="48"/>
  <c r="K8" i="48"/>
  <c r="J8" i="48"/>
  <c r="I8" i="48"/>
  <c r="H8" i="48"/>
  <c r="H17" i="48" s="1"/>
  <c r="F8" i="48"/>
  <c r="F47" i="49" s="1"/>
  <c r="F48" i="49" s="1"/>
  <c r="E8" i="48"/>
  <c r="E47" i="49" s="1"/>
  <c r="E48" i="49" s="1"/>
  <c r="D8" i="48"/>
  <c r="AC7" i="48"/>
  <c r="AA7" i="48"/>
  <c r="Z7" i="48"/>
  <c r="Y7" i="48"/>
  <c r="X7" i="48"/>
  <c r="AB7" i="48" s="1"/>
  <c r="W7" i="48"/>
  <c r="R7" i="48"/>
  <c r="M7" i="48"/>
  <c r="G7" i="48"/>
  <c r="G135" i="48" s="1"/>
  <c r="W6" i="48"/>
  <c r="R6" i="48"/>
  <c r="M6" i="48"/>
  <c r="G6" i="48"/>
  <c r="G134" i="48" s="1"/>
  <c r="W5" i="48"/>
  <c r="W8" i="48" s="1"/>
  <c r="R5" i="48"/>
  <c r="M5" i="48"/>
  <c r="M8" i="48" s="1"/>
  <c r="G5" i="48"/>
  <c r="G133" i="48" s="1"/>
  <c r="D43" i="41"/>
  <c r="M45" i="41"/>
  <c r="F29" i="40"/>
  <c r="F31" i="40" s="1"/>
  <c r="F36" i="40"/>
  <c r="AB43" i="43"/>
  <c r="AG43" i="43" s="1"/>
  <c r="AL43" i="43" s="1"/>
  <c r="AQ43" i="43" s="1"/>
  <c r="AV43" i="43" s="1"/>
  <c r="AD42" i="43"/>
  <c r="F17" i="40"/>
  <c r="F7" i="40"/>
  <c r="F8" i="40" s="1"/>
  <c r="F16" i="40" s="1"/>
  <c r="P141" i="48" l="1"/>
  <c r="P23" i="48"/>
  <c r="P19" i="48"/>
  <c r="AA69" i="48"/>
  <c r="R141" i="48"/>
  <c r="R23" i="48"/>
  <c r="R25" i="48" s="1"/>
  <c r="R27" i="48" s="1"/>
  <c r="R19" i="48"/>
  <c r="M140" i="48"/>
  <c r="M17" i="48"/>
  <c r="L72" i="48"/>
  <c r="H141" i="48"/>
  <c r="H23" i="48"/>
  <c r="H19" i="48"/>
  <c r="O142" i="48"/>
  <c r="O29" i="48"/>
  <c r="O34" i="48" s="1"/>
  <c r="W140" i="48"/>
  <c r="W17" i="48"/>
  <c r="N141" i="48"/>
  <c r="N23" i="48"/>
  <c r="N19" i="48"/>
  <c r="X9" i="50"/>
  <c r="X136" i="48"/>
  <c r="G51" i="49"/>
  <c r="G49" i="49"/>
  <c r="G15" i="48"/>
  <c r="S56" i="50"/>
  <c r="S53" i="50"/>
  <c r="S47" i="49"/>
  <c r="S140" i="48"/>
  <c r="AA98" i="48"/>
  <c r="AC185" i="48"/>
  <c r="AH111" i="48"/>
  <c r="AC110" i="48"/>
  <c r="T50" i="48"/>
  <c r="D53" i="50"/>
  <c r="D56" i="50"/>
  <c r="D47" i="49"/>
  <c r="T56" i="50"/>
  <c r="T47" i="49"/>
  <c r="Y47" i="49" s="1"/>
  <c r="T140" i="48"/>
  <c r="N72" i="48"/>
  <c r="D106" i="48"/>
  <c r="H105" i="48"/>
  <c r="Y175" i="48"/>
  <c r="AD61" i="53"/>
  <c r="Q17" i="48"/>
  <c r="G8" i="48"/>
  <c r="X68" i="48"/>
  <c r="U47" i="49"/>
  <c r="U140" i="48"/>
  <c r="S17" i="48"/>
  <c r="Y68" i="48"/>
  <c r="V47" i="49"/>
  <c r="AA47" i="49" s="1"/>
  <c r="V140" i="48"/>
  <c r="D17" i="48"/>
  <c r="T17" i="48"/>
  <c r="Y135" i="48"/>
  <c r="AD55" i="48"/>
  <c r="AB55" i="48"/>
  <c r="P47" i="49"/>
  <c r="P140" i="48"/>
  <c r="O30" i="50"/>
  <c r="P30" i="50" s="1"/>
  <c r="Q30" i="50" s="1"/>
  <c r="N37" i="50"/>
  <c r="J47" i="49"/>
  <c r="J140" i="48"/>
  <c r="E17" i="48"/>
  <c r="U17" i="48"/>
  <c r="K19" i="48"/>
  <c r="K23" i="48"/>
  <c r="Z135" i="48"/>
  <c r="AE55" i="48"/>
  <c r="Q177" i="48"/>
  <c r="I53" i="50"/>
  <c r="I47" i="49"/>
  <c r="I56" i="50"/>
  <c r="I140" i="48"/>
  <c r="K47" i="49"/>
  <c r="K48" i="49" s="1"/>
  <c r="K140" i="48"/>
  <c r="F17" i="48"/>
  <c r="V17" i="48"/>
  <c r="L19" i="48"/>
  <c r="L23" i="48"/>
  <c r="L25" i="48" s="1"/>
  <c r="L27" i="48" s="1"/>
  <c r="F58" i="48"/>
  <c r="L65" i="48"/>
  <c r="L68" i="48"/>
  <c r="L61" i="48"/>
  <c r="L47" i="49"/>
  <c r="Y26" i="48"/>
  <c r="Z26" i="48" s="1"/>
  <c r="AA26" i="48" s="1"/>
  <c r="AC26" i="48" s="1"/>
  <c r="U176" i="48"/>
  <c r="Q180" i="48"/>
  <c r="W70" i="48"/>
  <c r="V176" i="48"/>
  <c r="Q140" i="48"/>
  <c r="R140" i="48"/>
  <c r="I17" i="48"/>
  <c r="O23" i="48"/>
  <c r="J72" i="48"/>
  <c r="N56" i="50"/>
  <c r="N53" i="50"/>
  <c r="N47" i="49"/>
  <c r="N48" i="49" s="1"/>
  <c r="N140" i="48"/>
  <c r="O47" i="49"/>
  <c r="O140" i="48"/>
  <c r="J17" i="48"/>
  <c r="Q52" i="48"/>
  <c r="Q53" i="48" s="1"/>
  <c r="P52" i="48"/>
  <c r="P53" i="48" s="1"/>
  <c r="K71" i="48"/>
  <c r="K65" i="48"/>
  <c r="K68" i="48"/>
  <c r="K61" i="48"/>
  <c r="AA135" i="48"/>
  <c r="S65" i="48"/>
  <c r="S71" i="48"/>
  <c r="AK88" i="48"/>
  <c r="AL88" i="48" s="1"/>
  <c r="AD187" i="48"/>
  <c r="AI116" i="48"/>
  <c r="AD115" i="48"/>
  <c r="Y168" i="48"/>
  <c r="Y170" i="48" s="1"/>
  <c r="Z165" i="48"/>
  <c r="O72" i="48"/>
  <c r="T177" i="48"/>
  <c r="V68" i="48"/>
  <c r="AF108" i="48"/>
  <c r="AA115" i="48"/>
  <c r="P41" i="48"/>
  <c r="AC135" i="48"/>
  <c r="U65" i="48"/>
  <c r="D68" i="48"/>
  <c r="AM88" i="48"/>
  <c r="AB108" i="48"/>
  <c r="O52" i="48"/>
  <c r="O53" i="48" s="1"/>
  <c r="Q137" i="48"/>
  <c r="V65" i="48"/>
  <c r="E68" i="48"/>
  <c r="AN88" i="48"/>
  <c r="V152" i="48"/>
  <c r="V151" i="48"/>
  <c r="N61" i="48"/>
  <c r="S175" i="48" s="1"/>
  <c r="F68" i="48"/>
  <c r="AO88" i="48"/>
  <c r="M94" i="48"/>
  <c r="AA101" i="48"/>
  <c r="AF55" i="48"/>
  <c r="O61" i="48"/>
  <c r="T175" i="48" s="1"/>
  <c r="E65" i="48"/>
  <c r="G68" i="48"/>
  <c r="Z68" i="48"/>
  <c r="K98" i="48"/>
  <c r="K94" i="48"/>
  <c r="K105" i="48"/>
  <c r="K106" i="48" s="1"/>
  <c r="K101" i="48"/>
  <c r="M92" i="48"/>
  <c r="M98" i="48" s="1"/>
  <c r="U72" i="48"/>
  <c r="P61" i="48"/>
  <c r="AC63" i="53"/>
  <c r="F65" i="48"/>
  <c r="Y65" i="48"/>
  <c r="I68" i="48"/>
  <c r="L98" i="48"/>
  <c r="L94" i="48"/>
  <c r="L105" i="48"/>
  <c r="L106" i="48" s="1"/>
  <c r="L101" i="48"/>
  <c r="W98" i="48"/>
  <c r="D72" i="48"/>
  <c r="V137" i="48"/>
  <c r="V72" i="48"/>
  <c r="Q61" i="48"/>
  <c r="Q175" i="48" s="1"/>
  <c r="AD63" i="53"/>
  <c r="J68" i="48"/>
  <c r="M35" i="48"/>
  <c r="W59" i="48"/>
  <c r="I65" i="48"/>
  <c r="F137" i="48"/>
  <c r="O43" i="48"/>
  <c r="O44" i="48" s="1"/>
  <c r="G71" i="48"/>
  <c r="U61" i="48"/>
  <c r="N68" i="48"/>
  <c r="S178" i="48" s="1"/>
  <c r="P76" i="48"/>
  <c r="P77" i="48" s="1"/>
  <c r="O76" i="48"/>
  <c r="O77" i="48" s="1"/>
  <c r="AG91" i="48"/>
  <c r="O57" i="48"/>
  <c r="H59" i="48"/>
  <c r="V61" i="48"/>
  <c r="Q176" i="48"/>
  <c r="O68" i="48"/>
  <c r="T178" i="48" s="1"/>
  <c r="E71" i="48"/>
  <c r="P74" i="48"/>
  <c r="AL91" i="48"/>
  <c r="S106" i="48"/>
  <c r="W105" i="48"/>
  <c r="W106" i="48" s="1"/>
  <c r="AC33" i="50"/>
  <c r="X33" i="50"/>
  <c r="I72" i="48"/>
  <c r="D61" i="48"/>
  <c r="P68" i="48"/>
  <c r="U178" i="48" s="1"/>
  <c r="F72" i="48"/>
  <c r="M101" i="48"/>
  <c r="Y35" i="48"/>
  <c r="X135" i="48"/>
  <c r="T176" i="48"/>
  <c r="O65" i="48"/>
  <c r="Q68" i="48"/>
  <c r="Q178" i="48" s="1"/>
  <c r="AB69" i="48"/>
  <c r="U183" i="48"/>
  <c r="Z101" i="48"/>
  <c r="X181" i="48"/>
  <c r="AC96" i="48"/>
  <c r="Y102" i="48"/>
  <c r="Y136" i="48"/>
  <c r="Z119" i="48"/>
  <c r="S180" i="48"/>
  <c r="M103" i="48"/>
  <c r="AM186" i="48"/>
  <c r="AE187" i="48"/>
  <c r="AJ116" i="48"/>
  <c r="T180" i="48"/>
  <c r="P98" i="48"/>
  <c r="AR113" i="48"/>
  <c r="W155" i="48"/>
  <c r="P83" i="48"/>
  <c r="U180" i="48"/>
  <c r="Q98" i="48"/>
  <c r="Q182" i="48" s="1"/>
  <c r="J101" i="48"/>
  <c r="I105" i="48"/>
  <c r="W109" i="48"/>
  <c r="AD143" i="48"/>
  <c r="AC129" i="48"/>
  <c r="F94" i="48"/>
  <c r="V94" i="48"/>
  <c r="J105" i="48"/>
  <c r="J106" i="48" s="1"/>
  <c r="AD129" i="48"/>
  <c r="AE163" i="48"/>
  <c r="AG88" i="48"/>
  <c r="S98" i="48"/>
  <c r="AG108" i="48"/>
  <c r="S185" i="48"/>
  <c r="T186" i="48"/>
  <c r="Y113" i="48"/>
  <c r="AE115" i="48"/>
  <c r="W131" i="48"/>
  <c r="R92" i="48"/>
  <c r="X94" i="48"/>
  <c r="AD96" i="48"/>
  <c r="T182" i="48"/>
  <c r="AH108" i="48"/>
  <c r="T185" i="48"/>
  <c r="U186" i="48"/>
  <c r="Z113" i="48"/>
  <c r="U83" i="48"/>
  <c r="H84" i="48"/>
  <c r="H91" i="48" s="1"/>
  <c r="I94" i="48"/>
  <c r="Y94" i="48"/>
  <c r="AE96" i="48"/>
  <c r="E98" i="48"/>
  <c r="U98" i="48"/>
  <c r="N101" i="48"/>
  <c r="AI108" i="48"/>
  <c r="U185" i="48"/>
  <c r="Q187" i="48"/>
  <c r="AI123" i="48"/>
  <c r="Y129" i="48"/>
  <c r="Z129" i="48" s="1"/>
  <c r="AA129" i="48" s="1"/>
  <c r="AB129" i="48"/>
  <c r="J94" i="48"/>
  <c r="Z94" i="48"/>
  <c r="AF96" i="48"/>
  <c r="O101" i="48"/>
  <c r="N105" i="48"/>
  <c r="H120" i="48"/>
  <c r="H121" i="48" s="1"/>
  <c r="AJ108" i="48"/>
  <c r="V185" i="48"/>
  <c r="AC15" i="49"/>
  <c r="AD15" i="49" s="1"/>
  <c r="AE15" i="49" s="1"/>
  <c r="AF15" i="49" s="1"/>
  <c r="AB15" i="49"/>
  <c r="P101" i="48"/>
  <c r="O105" i="48"/>
  <c r="O106" i="48" s="1"/>
  <c r="M120" i="48"/>
  <c r="M121" i="48" s="1"/>
  <c r="M109" i="48"/>
  <c r="H118" i="48"/>
  <c r="AC112" i="48"/>
  <c r="O90" i="48"/>
  <c r="Q101" i="48"/>
  <c r="P105" i="48"/>
  <c r="P106" i="48" s="1"/>
  <c r="R120" i="48"/>
  <c r="R121" i="48" s="1"/>
  <c r="AH123" i="48"/>
  <c r="AG123" i="48"/>
  <c r="M155" i="48"/>
  <c r="I151" i="48"/>
  <c r="I152" i="48"/>
  <c r="W92" i="48"/>
  <c r="S181" i="48"/>
  <c r="Y98" i="48"/>
  <c r="R118" i="48"/>
  <c r="Y111" i="48"/>
  <c r="Y117" i="48"/>
  <c r="Z117" i="48" s="1"/>
  <c r="AA117" i="48" s="1"/>
  <c r="AC117" i="48" s="1"/>
  <c r="AE123" i="48"/>
  <c r="H92" i="48"/>
  <c r="H98" i="48" s="1"/>
  <c r="T181" i="48"/>
  <c r="S101" i="48"/>
  <c r="X112" i="48"/>
  <c r="W118" i="48"/>
  <c r="W120" i="48" s="1"/>
  <c r="W121" i="48" s="1"/>
  <c r="Z111" i="48"/>
  <c r="AA187" i="48"/>
  <c r="AF116" i="48"/>
  <c r="D101" i="48"/>
  <c r="T101" i="48"/>
  <c r="X110" i="48"/>
  <c r="AA111" i="48"/>
  <c r="H116" i="48"/>
  <c r="AP123" i="48"/>
  <c r="AC19" i="49"/>
  <c r="AD19" i="49" s="1"/>
  <c r="AE19" i="49" s="1"/>
  <c r="AF19" i="49" s="1"/>
  <c r="AB19" i="49"/>
  <c r="R109" i="48"/>
  <c r="M116" i="48"/>
  <c r="S186" i="48"/>
  <c r="X168" i="48"/>
  <c r="X170" i="48" s="1"/>
  <c r="R26" i="50"/>
  <c r="F62" i="49"/>
  <c r="F42" i="49"/>
  <c r="V187" i="48"/>
  <c r="AC33" i="49"/>
  <c r="AD33" i="49" s="1"/>
  <c r="AE33" i="49" s="1"/>
  <c r="AF33" i="49" s="1"/>
  <c r="AB33" i="49"/>
  <c r="T42" i="49"/>
  <c r="T62" i="49"/>
  <c r="V186" i="48"/>
  <c r="S187" i="48"/>
  <c r="L152" i="48"/>
  <c r="T187" i="48"/>
  <c r="AC24" i="49"/>
  <c r="AD24" i="49" s="1"/>
  <c r="AE24" i="49" s="1"/>
  <c r="AF24" i="49" s="1"/>
  <c r="AB24" i="49"/>
  <c r="AC26" i="49"/>
  <c r="AD26" i="49" s="1"/>
  <c r="AE26" i="49" s="1"/>
  <c r="AF26" i="49" s="1"/>
  <c r="AB26" i="49"/>
  <c r="W117" i="48"/>
  <c r="N151" i="48"/>
  <c r="O173" i="48"/>
  <c r="P173" i="48"/>
  <c r="AC18" i="49"/>
  <c r="AD18" i="49" s="1"/>
  <c r="AE18" i="49" s="1"/>
  <c r="AF18" i="49" s="1"/>
  <c r="AB18" i="49"/>
  <c r="AS50" i="49"/>
  <c r="AK34" i="50"/>
  <c r="AJ61" i="49"/>
  <c r="Q173" i="48"/>
  <c r="M47" i="50"/>
  <c r="M67" i="49"/>
  <c r="AA113" i="48"/>
  <c r="X116" i="48"/>
  <c r="AL154" i="48"/>
  <c r="T173" i="48"/>
  <c r="N47" i="50"/>
  <c r="N63" i="49"/>
  <c r="N62" i="49"/>
  <c r="N30" i="49"/>
  <c r="N35" i="49" s="1"/>
  <c r="N42" i="49" s="1"/>
  <c r="AC32" i="49"/>
  <c r="AD32" i="49" s="1"/>
  <c r="AE32" i="49" s="1"/>
  <c r="AF32" i="49" s="1"/>
  <c r="AB32" i="49"/>
  <c r="E22" i="50"/>
  <c r="F7" i="50"/>
  <c r="E56" i="49"/>
  <c r="R47" i="50"/>
  <c r="R67" i="49"/>
  <c r="Z52" i="49"/>
  <c r="AE51" i="49"/>
  <c r="AJ51" i="49" s="1"/>
  <c r="AO51" i="49" s="1"/>
  <c r="AT51" i="49" s="1"/>
  <c r="AT52" i="49" s="1"/>
  <c r="U152" i="48"/>
  <c r="U151" i="48"/>
  <c r="H30" i="49"/>
  <c r="H35" i="49" s="1"/>
  <c r="AC34" i="49"/>
  <c r="AD34" i="49" s="1"/>
  <c r="AE34" i="49" s="1"/>
  <c r="AF34" i="49" s="1"/>
  <c r="AB34" i="49"/>
  <c r="R30" i="49"/>
  <c r="R35" i="49" s="1"/>
  <c r="Y27" i="49"/>
  <c r="AC31" i="49"/>
  <c r="AD31" i="49" s="1"/>
  <c r="AE31" i="49" s="1"/>
  <c r="AF31" i="49" s="1"/>
  <c r="AB31" i="49"/>
  <c r="X16" i="49"/>
  <c r="X8" i="50" s="1"/>
  <c r="Z55" i="49"/>
  <c r="S47" i="50"/>
  <c r="S63" i="49"/>
  <c r="S62" i="49"/>
  <c r="AC39" i="49"/>
  <c r="AD39" i="49" s="1"/>
  <c r="AE39" i="49" s="1"/>
  <c r="AF39" i="49" s="1"/>
  <c r="AB39" i="49"/>
  <c r="AT50" i="49"/>
  <c r="K53" i="50"/>
  <c r="G35" i="50"/>
  <c r="H35" i="50" s="1"/>
  <c r="U25" i="49"/>
  <c r="U62" i="49"/>
  <c r="U47" i="50"/>
  <c r="H41" i="49"/>
  <c r="H42" i="49" s="1"/>
  <c r="G50" i="49"/>
  <c r="U63" i="49"/>
  <c r="R19" i="50"/>
  <c r="AC57" i="50"/>
  <c r="V47" i="50"/>
  <c r="I42" i="49"/>
  <c r="G42" i="49"/>
  <c r="V63" i="49"/>
  <c r="W47" i="50"/>
  <c r="W67" i="49"/>
  <c r="W62" i="49"/>
  <c r="W63" i="49"/>
  <c r="Z13" i="49"/>
  <c r="X28" i="49"/>
  <c r="K42" i="49"/>
  <c r="M9" i="50"/>
  <c r="S30" i="49"/>
  <c r="S35" i="49" s="1"/>
  <c r="S42" i="49" s="1"/>
  <c r="L42" i="49"/>
  <c r="R9" i="50"/>
  <c r="M15" i="50"/>
  <c r="AH50" i="49"/>
  <c r="L29" i="50"/>
  <c r="X21" i="50"/>
  <c r="E62" i="49"/>
  <c r="E63" i="49"/>
  <c r="E47" i="50"/>
  <c r="E30" i="49"/>
  <c r="E35" i="49" s="1"/>
  <c r="E42" i="49" s="1"/>
  <c r="O42" i="49"/>
  <c r="O62" i="49"/>
  <c r="O52" i="49"/>
  <c r="O48" i="49"/>
  <c r="W9" i="50"/>
  <c r="O37" i="50"/>
  <c r="Y23" i="49"/>
  <c r="H47" i="50"/>
  <c r="P42" i="49"/>
  <c r="P62" i="49"/>
  <c r="P52" i="49"/>
  <c r="P48" i="49"/>
  <c r="AJ52" i="49"/>
  <c r="V9" i="50"/>
  <c r="Q38" i="50"/>
  <c r="R38" i="50"/>
  <c r="I47" i="50"/>
  <c r="I63" i="49"/>
  <c r="Q41" i="49"/>
  <c r="R37" i="49"/>
  <c r="R41" i="49" s="1"/>
  <c r="AC40" i="49"/>
  <c r="AD40" i="49" s="1"/>
  <c r="AE40" i="49" s="1"/>
  <c r="AF40" i="49" s="1"/>
  <c r="AB40" i="49"/>
  <c r="AK52" i="49"/>
  <c r="Y51" i="49"/>
  <c r="W25" i="50"/>
  <c r="W56" i="50" s="1"/>
  <c r="J47" i="50"/>
  <c r="J63" i="49"/>
  <c r="J62" i="49"/>
  <c r="AM52" i="49"/>
  <c r="F16" i="50"/>
  <c r="G16" i="50" s="1"/>
  <c r="U56" i="50"/>
  <c r="V25" i="50"/>
  <c r="V56" i="50" s="1"/>
  <c r="K47" i="50"/>
  <c r="K63" i="49"/>
  <c r="K62" i="49"/>
  <c r="I30" i="49"/>
  <c r="I35" i="49" s="1"/>
  <c r="R18" i="50"/>
  <c r="Y10" i="49"/>
  <c r="L47" i="50"/>
  <c r="L63" i="49"/>
  <c r="L62" i="49"/>
  <c r="J30" i="49"/>
  <c r="J35" i="49" s="1"/>
  <c r="J42" i="49" s="1"/>
  <c r="D62" i="49"/>
  <c r="D42" i="49"/>
  <c r="V8" i="50"/>
  <c r="W8" i="50" s="1"/>
  <c r="W13" i="50"/>
  <c r="W18" i="50"/>
  <c r="V41" i="49"/>
  <c r="V62" i="49" s="1"/>
  <c r="Q50" i="49"/>
  <c r="AK50" i="49"/>
  <c r="G52" i="49"/>
  <c r="AA52" i="49"/>
  <c r="AU52" i="49"/>
  <c r="G10" i="50"/>
  <c r="G54" i="50" s="1"/>
  <c r="F54" i="50"/>
  <c r="R20" i="50"/>
  <c r="J21" i="50"/>
  <c r="K21" i="50" s="1"/>
  <c r="L21" i="50" s="1"/>
  <c r="AG34" i="50"/>
  <c r="S39" i="50"/>
  <c r="I48" i="49"/>
  <c r="S50" i="49"/>
  <c r="AM50" i="49"/>
  <c r="I52" i="49"/>
  <c r="AC52" i="49"/>
  <c r="P8" i="50"/>
  <c r="Q8" i="50" s="1"/>
  <c r="H10" i="50"/>
  <c r="H54" i="50" s="1"/>
  <c r="L16" i="50"/>
  <c r="M16" i="50" s="1"/>
  <c r="W19" i="50"/>
  <c r="P27" i="50"/>
  <c r="V29" i="50"/>
  <c r="V30" i="50"/>
  <c r="W30" i="50" s="1"/>
  <c r="F33" i="50"/>
  <c r="G33" i="50" s="1"/>
  <c r="T37" i="50"/>
  <c r="W38" i="50"/>
  <c r="U38" i="50"/>
  <c r="V38" i="50" s="1"/>
  <c r="J48" i="49"/>
  <c r="T50" i="49"/>
  <c r="AN50" i="49"/>
  <c r="J52" i="49"/>
  <c r="V13" i="50"/>
  <c r="W15" i="50"/>
  <c r="O21" i="50"/>
  <c r="P21" i="50" s="1"/>
  <c r="Q21" i="50" s="1"/>
  <c r="H24" i="50"/>
  <c r="D27" i="50"/>
  <c r="W29" i="50"/>
  <c r="E57" i="50"/>
  <c r="M35" i="50"/>
  <c r="K36" i="50"/>
  <c r="L36" i="50" s="1"/>
  <c r="M37" i="49"/>
  <c r="M41" i="49" s="1"/>
  <c r="M42" i="49" s="1"/>
  <c r="U50" i="49"/>
  <c r="AO50" i="49"/>
  <c r="K52" i="49"/>
  <c r="AE52" i="49"/>
  <c r="L10" i="50"/>
  <c r="L54" i="50" s="1"/>
  <c r="K54" i="50"/>
  <c r="E53" i="50"/>
  <c r="F12" i="50"/>
  <c r="W21" i="50"/>
  <c r="I22" i="50"/>
  <c r="G27" i="50"/>
  <c r="G34" i="50"/>
  <c r="G57" i="50" s="1"/>
  <c r="F57" i="50"/>
  <c r="P35" i="50"/>
  <c r="Q35" i="50" s="1"/>
  <c r="Q36" i="50"/>
  <c r="R36" i="50" s="1"/>
  <c r="L48" i="49"/>
  <c r="V50" i="49"/>
  <c r="AP50" i="49"/>
  <c r="L52" i="49"/>
  <c r="AF52" i="49"/>
  <c r="K7" i="50"/>
  <c r="H9" i="50"/>
  <c r="M10" i="50"/>
  <c r="M54" i="50" s="1"/>
  <c r="J53" i="50"/>
  <c r="W16" i="50"/>
  <c r="U20" i="50"/>
  <c r="V20" i="50" s="1"/>
  <c r="M24" i="50"/>
  <c r="D50" i="49"/>
  <c r="X50" i="49"/>
  <c r="AR50" i="49"/>
  <c r="N52" i="49"/>
  <c r="AH52" i="49"/>
  <c r="P10" i="50"/>
  <c r="U16" i="50"/>
  <c r="V16" i="50" s="1"/>
  <c r="K17" i="50"/>
  <c r="L17" i="50" s="1"/>
  <c r="L34" i="50"/>
  <c r="L57" i="50" s="1"/>
  <c r="W35" i="50"/>
  <c r="K9" i="50"/>
  <c r="L9" i="50" s="1"/>
  <c r="M11" i="50"/>
  <c r="L12" i="50"/>
  <c r="K27" i="50"/>
  <c r="M32" i="50"/>
  <c r="R33" i="50"/>
  <c r="V35" i="50"/>
  <c r="W36" i="50"/>
  <c r="AS56" i="50"/>
  <c r="AT56" i="50" s="1"/>
  <c r="AU56" i="50" s="1"/>
  <c r="W10" i="50"/>
  <c r="P17" i="50"/>
  <c r="Q17" i="50" s="1"/>
  <c r="F56" i="50"/>
  <c r="G25" i="50"/>
  <c r="Q48" i="49"/>
  <c r="P7" i="50"/>
  <c r="V10" i="50"/>
  <c r="V54" i="50" s="1"/>
  <c r="H13" i="50"/>
  <c r="S55" i="50"/>
  <c r="S148" i="48" s="1"/>
  <c r="H18" i="50"/>
  <c r="R24" i="50"/>
  <c r="N27" i="50"/>
  <c r="H25" i="50"/>
  <c r="H56" i="50" s="1"/>
  <c r="M31" i="50"/>
  <c r="I37" i="50"/>
  <c r="R32" i="50"/>
  <c r="Q32" i="50"/>
  <c r="W34" i="50"/>
  <c r="W57" i="50" s="1"/>
  <c r="AQ34" i="50"/>
  <c r="S48" i="49"/>
  <c r="Z54" i="49"/>
  <c r="AC54" i="49" s="1"/>
  <c r="P53" i="50"/>
  <c r="H15" i="50"/>
  <c r="F15" i="50"/>
  <c r="G15" i="50" s="1"/>
  <c r="K18" i="50"/>
  <c r="L18" i="50" s="1"/>
  <c r="H19" i="50"/>
  <c r="Q27" i="50"/>
  <c r="K25" i="50"/>
  <c r="H26" i="50"/>
  <c r="U57" i="50"/>
  <c r="AA54" i="49"/>
  <c r="P9" i="50"/>
  <c r="Q9" i="50" s="1"/>
  <c r="Q12" i="50"/>
  <c r="Q53" i="50" s="1"/>
  <c r="M13" i="50"/>
  <c r="U17" i="50"/>
  <c r="V17" i="50" s="1"/>
  <c r="O56" i="50"/>
  <c r="V57" i="50"/>
  <c r="U48" i="49"/>
  <c r="T22" i="50"/>
  <c r="U53" i="50"/>
  <c r="V12" i="50"/>
  <c r="V53" i="50" s="1"/>
  <c r="P56" i="50"/>
  <c r="W32" i="50"/>
  <c r="AB34" i="50"/>
  <c r="X57" i="50"/>
  <c r="X58" i="50" s="1"/>
  <c r="F38" i="50"/>
  <c r="G38" i="50" s="1"/>
  <c r="V48" i="49"/>
  <c r="U7" i="50"/>
  <c r="L15" i="50"/>
  <c r="Q18" i="50"/>
  <c r="M19" i="50"/>
  <c r="U24" i="50"/>
  <c r="Q56" i="50"/>
  <c r="M26" i="50"/>
  <c r="E27" i="50"/>
  <c r="G29" i="50"/>
  <c r="F37" i="50"/>
  <c r="Q31" i="50"/>
  <c r="R31" i="50" s="1"/>
  <c r="D39" i="50"/>
  <c r="D41" i="50" s="1"/>
  <c r="J56" i="50"/>
  <c r="D48" i="49"/>
  <c r="W11" i="50"/>
  <c r="N22" i="50"/>
  <c r="K19" i="50"/>
  <c r="L19" i="50" s="1"/>
  <c r="R25" i="50"/>
  <c r="R56" i="50" s="1"/>
  <c r="K26" i="50"/>
  <c r="L26" i="50" s="1"/>
  <c r="F27" i="50"/>
  <c r="J37" i="50"/>
  <c r="M29" i="50"/>
  <c r="AV34" i="50"/>
  <c r="L38" i="50"/>
  <c r="M38" i="50" s="1"/>
  <c r="H11" i="50"/>
  <c r="J13" i="50"/>
  <c r="K13" i="50" s="1"/>
  <c r="L13" i="50" s="1"/>
  <c r="H32" i="50"/>
  <c r="E37" i="50"/>
  <c r="E39" i="50" s="1"/>
  <c r="P16" i="50"/>
  <c r="Q16" i="50" s="1"/>
  <c r="U19" i="50"/>
  <c r="V19" i="50" s="1"/>
  <c r="K20" i="50"/>
  <c r="L20" i="50" s="1"/>
  <c r="U26" i="50"/>
  <c r="V26" i="50" s="1"/>
  <c r="P34" i="50"/>
  <c r="O13" i="50"/>
  <c r="O22" i="50" s="1"/>
  <c r="I27" i="50"/>
  <c r="O53" i="50"/>
  <c r="P29" i="50"/>
  <c r="T57" i="50"/>
  <c r="T53" i="50"/>
  <c r="E56" i="50"/>
  <c r="K42" i="43"/>
  <c r="L42" i="43"/>
  <c r="N42" i="43"/>
  <c r="AE42" i="43"/>
  <c r="AF42" i="43"/>
  <c r="AH42" i="43"/>
  <c r="O42" i="43"/>
  <c r="AI42" i="43"/>
  <c r="P42" i="43"/>
  <c r="AJ42" i="43"/>
  <c r="Q42" i="43"/>
  <c r="AK42" i="43"/>
  <c r="S42" i="43"/>
  <c r="AM42" i="43"/>
  <c r="T42" i="43"/>
  <c r="AN42" i="43"/>
  <c r="U42" i="43"/>
  <c r="AO42" i="43"/>
  <c r="V42" i="43"/>
  <c r="AP42" i="43"/>
  <c r="D42" i="43"/>
  <c r="X42" i="43"/>
  <c r="AR42" i="43"/>
  <c r="G42" i="43"/>
  <c r="Y42" i="43"/>
  <c r="AS42" i="43"/>
  <c r="F42" i="43"/>
  <c r="Z42" i="43"/>
  <c r="AT42" i="43"/>
  <c r="E42" i="43"/>
  <c r="AA42" i="43"/>
  <c r="AU42" i="43"/>
  <c r="I42" i="43"/>
  <c r="AC42" i="43"/>
  <c r="J42" i="43"/>
  <c r="F19" i="40"/>
  <c r="F20" i="40" s="1"/>
  <c r="AD117" i="48" l="1"/>
  <c r="S182" i="48"/>
  <c r="X98" i="48"/>
  <c r="Z176" i="48"/>
  <c r="AE63" i="53"/>
  <c r="P37" i="50"/>
  <c r="P39" i="50" s="1"/>
  <c r="Q29" i="50"/>
  <c r="M105" i="48"/>
  <c r="M106" i="48" s="1"/>
  <c r="I106" i="48"/>
  <c r="V175" i="48"/>
  <c r="W17" i="50"/>
  <c r="R27" i="50"/>
  <c r="AD54" i="49"/>
  <c r="AG34" i="49"/>
  <c r="AH34" i="49"/>
  <c r="AI34" i="49" s="1"/>
  <c r="AJ34" i="49" s="1"/>
  <c r="AK34" i="49" s="1"/>
  <c r="AH33" i="49"/>
  <c r="AI33" i="49" s="1"/>
  <c r="AJ33" i="49" s="1"/>
  <c r="AK33" i="49" s="1"/>
  <c r="AG33" i="49"/>
  <c r="S183" i="48"/>
  <c r="X101" i="48"/>
  <c r="Z178" i="48"/>
  <c r="AE68" i="48"/>
  <c r="AK108" i="48"/>
  <c r="S177" i="48"/>
  <c r="X65" i="48"/>
  <c r="L137" i="48"/>
  <c r="Z183" i="48"/>
  <c r="AE101" i="48"/>
  <c r="G47" i="49"/>
  <c r="G48" i="49" s="1"/>
  <c r="G17" i="48"/>
  <c r="I55" i="50"/>
  <c r="I148" i="48" s="1"/>
  <c r="AH39" i="49"/>
  <c r="AI39" i="49" s="1"/>
  <c r="AJ39" i="49" s="1"/>
  <c r="AK39" i="49" s="1"/>
  <c r="AG39" i="49"/>
  <c r="AU123" i="48"/>
  <c r="AN108" i="48"/>
  <c r="AD181" i="48"/>
  <c r="AI96" i="48"/>
  <c r="AE117" i="48"/>
  <c r="AE129" i="48"/>
  <c r="AF163" i="48"/>
  <c r="AS88" i="48"/>
  <c r="J137" i="48"/>
  <c r="AD26" i="48"/>
  <c r="AE26" i="48" s="1"/>
  <c r="AF26" i="48" s="1"/>
  <c r="AH26" i="48" s="1"/>
  <c r="N39" i="50"/>
  <c r="AA48" i="49"/>
  <c r="AF47" i="49"/>
  <c r="Q141" i="48"/>
  <c r="Q23" i="48"/>
  <c r="Q19" i="48"/>
  <c r="M141" i="48"/>
  <c r="M23" i="48"/>
  <c r="M19" i="48"/>
  <c r="AN123" i="48"/>
  <c r="U141" i="48"/>
  <c r="U23" i="48"/>
  <c r="U19" i="48"/>
  <c r="T141" i="48"/>
  <c r="T23" i="48"/>
  <c r="T19" i="48"/>
  <c r="P13" i="50"/>
  <c r="Q13" i="50" s="1"/>
  <c r="Q10" i="50"/>
  <c r="P54" i="50"/>
  <c r="K56" i="49"/>
  <c r="L7" i="50"/>
  <c r="K22" i="50"/>
  <c r="Y17" i="50"/>
  <c r="Z10" i="49"/>
  <c r="Q183" i="48"/>
  <c r="AO108" i="48"/>
  <c r="W61" i="48"/>
  <c r="W65" i="48"/>
  <c r="W68" i="48"/>
  <c r="V178" i="48"/>
  <c r="AA68" i="48"/>
  <c r="AB26" i="48"/>
  <c r="R30" i="50"/>
  <c r="AD175" i="48"/>
  <c r="AI61" i="53"/>
  <c r="U182" i="48"/>
  <c r="Z98" i="48"/>
  <c r="X180" i="48"/>
  <c r="AC94" i="48"/>
  <c r="I137" i="48"/>
  <c r="V177" i="48"/>
  <c r="AA65" i="48"/>
  <c r="L140" i="48"/>
  <c r="Y178" i="48"/>
  <c r="AD68" i="48"/>
  <c r="T52" i="48"/>
  <c r="T53" i="48" s="1"/>
  <c r="Y53" i="48" s="1"/>
  <c r="AD53" i="48" s="1"/>
  <c r="AI53" i="48" s="1"/>
  <c r="U50" i="48"/>
  <c r="X10" i="50"/>
  <c r="R65" i="49"/>
  <c r="R142" i="48"/>
  <c r="R29" i="48"/>
  <c r="F141" i="48"/>
  <c r="F23" i="48"/>
  <c r="F19" i="48"/>
  <c r="M18" i="50"/>
  <c r="AH112" i="48"/>
  <c r="AM108" i="48"/>
  <c r="AL108" i="48"/>
  <c r="AH7" i="48"/>
  <c r="J39" i="50"/>
  <c r="W20" i="50"/>
  <c r="AJ123" i="48"/>
  <c r="G37" i="50"/>
  <c r="R16" i="50"/>
  <c r="T39" i="50"/>
  <c r="AA13" i="49"/>
  <c r="AC116" i="48"/>
  <c r="X115" i="48"/>
  <c r="AB115" i="48" s="1"/>
  <c r="AB116" i="48" s="1"/>
  <c r="X187" i="48"/>
  <c r="AH26" i="49"/>
  <c r="AI26" i="49" s="1"/>
  <c r="AJ26" i="49" s="1"/>
  <c r="AK26" i="49" s="1"/>
  <c r="AG26" i="49"/>
  <c r="R105" i="48"/>
  <c r="R106" i="48" s="1"/>
  <c r="N106" i="48"/>
  <c r="H94" i="48"/>
  <c r="Q85" i="48"/>
  <c r="Q86" i="48" s="1"/>
  <c r="P85" i="48"/>
  <c r="P86" i="48" s="1"/>
  <c r="P90" i="48"/>
  <c r="Y177" i="48"/>
  <c r="AD65" i="48"/>
  <c r="T137" i="48"/>
  <c r="O143" i="48"/>
  <c r="O25" i="48"/>
  <c r="O27" i="48" s="1"/>
  <c r="N142" i="48"/>
  <c r="N29" i="48"/>
  <c r="N34" i="48" s="1"/>
  <c r="AH32" i="49"/>
  <c r="AI32" i="49" s="1"/>
  <c r="AJ32" i="49" s="1"/>
  <c r="AK32" i="49" s="1"/>
  <c r="AG32" i="49"/>
  <c r="AG124" i="48"/>
  <c r="S137" i="48"/>
  <c r="W71" i="48"/>
  <c r="W72" i="48" s="1"/>
  <c r="S72" i="48"/>
  <c r="E40" i="50"/>
  <c r="E41" i="50" s="1"/>
  <c r="D6" i="49"/>
  <c r="AE54" i="49"/>
  <c r="R12" i="50"/>
  <c r="R53" i="50" s="1"/>
  <c r="M34" i="50"/>
  <c r="M57" i="50" s="1"/>
  <c r="G12" i="50"/>
  <c r="F53" i="50"/>
  <c r="H34" i="50"/>
  <c r="M36" i="50"/>
  <c r="R8" i="50"/>
  <c r="AA186" i="48"/>
  <c r="AF113" i="48"/>
  <c r="AA112" i="48"/>
  <c r="AA185" i="48"/>
  <c r="AF111" i="48"/>
  <c r="AA110" i="48"/>
  <c r="AA118" i="48" s="1"/>
  <c r="AA120" i="48" s="1"/>
  <c r="AA121" i="48" s="1"/>
  <c r="AB117" i="48"/>
  <c r="AE181" i="48"/>
  <c r="AJ96" i="48"/>
  <c r="R82" i="48"/>
  <c r="R98" i="48"/>
  <c r="R94" i="48"/>
  <c r="AA119" i="48"/>
  <c r="Z16" i="48"/>
  <c r="AD176" i="48"/>
  <c r="AI63" i="53"/>
  <c r="O137" i="48"/>
  <c r="K137" i="48"/>
  <c r="K72" i="48"/>
  <c r="I141" i="48"/>
  <c r="I23" i="48"/>
  <c r="I19" i="48"/>
  <c r="X175" i="48"/>
  <c r="AC61" i="53"/>
  <c r="AH185" i="48"/>
  <c r="AM111" i="48"/>
  <c r="AH110" i="48"/>
  <c r="N143" i="48"/>
  <c r="N25" i="48"/>
  <c r="N27" i="48" s="1"/>
  <c r="R64" i="49"/>
  <c r="AH24" i="49"/>
  <c r="AI24" i="49" s="1"/>
  <c r="AJ24" i="49" s="1"/>
  <c r="AK24" i="49" s="1"/>
  <c r="AG24" i="49"/>
  <c r="X118" i="48"/>
  <c r="X120" i="48" s="1"/>
  <c r="X121" i="48" s="1"/>
  <c r="AB110" i="48"/>
  <c r="Y185" i="48"/>
  <c r="Y110" i="48"/>
  <c r="AD111" i="48"/>
  <c r="AF181" i="48"/>
  <c r="AK96" i="48"/>
  <c r="Y180" i="48"/>
  <c r="AD94" i="48"/>
  <c r="V180" i="48"/>
  <c r="AA94" i="48"/>
  <c r="AC176" i="48"/>
  <c r="AH63" i="53"/>
  <c r="AF135" i="48"/>
  <c r="AK55" i="48"/>
  <c r="AF7" i="48"/>
  <c r="AB109" i="48"/>
  <c r="AJ55" i="48"/>
  <c r="AE7" i="48"/>
  <c r="AE135" i="48" s="1"/>
  <c r="R17" i="50"/>
  <c r="AM123" i="48"/>
  <c r="AL123" i="48"/>
  <c r="F39" i="50"/>
  <c r="T48" i="49"/>
  <c r="W37" i="50"/>
  <c r="X53" i="50"/>
  <c r="Y53" i="50" s="1"/>
  <c r="Z53" i="50" s="1"/>
  <c r="AA53" i="50" s="1"/>
  <c r="AC53" i="50" s="1"/>
  <c r="AD53" i="50" s="1"/>
  <c r="AE53" i="50" s="1"/>
  <c r="AF53" i="50" s="1"/>
  <c r="AH53" i="50" s="1"/>
  <c r="AI53" i="50" s="1"/>
  <c r="AJ53" i="50" s="1"/>
  <c r="AK53" i="50" s="1"/>
  <c r="AM53" i="50" s="1"/>
  <c r="AN53" i="50" s="1"/>
  <c r="AO53" i="50" s="1"/>
  <c r="AP53" i="50" s="1"/>
  <c r="AR53" i="50" s="1"/>
  <c r="AS53" i="50" s="1"/>
  <c r="AT53" i="50" s="1"/>
  <c r="AU53" i="50" s="1"/>
  <c r="P22" i="50"/>
  <c r="P56" i="49"/>
  <c r="Q7" i="50"/>
  <c r="H33" i="50"/>
  <c r="H16" i="50"/>
  <c r="AA55" i="49"/>
  <c r="X172" i="48"/>
  <c r="X28" i="48" s="1"/>
  <c r="X18" i="48"/>
  <c r="T183" i="48"/>
  <c r="Y101" i="48"/>
  <c r="Z180" i="48"/>
  <c r="AE94" i="48"/>
  <c r="H101" i="48"/>
  <c r="AA183" i="48"/>
  <c r="AF101" i="48"/>
  <c r="Z168" i="48"/>
  <c r="Z170" i="48" s="1"/>
  <c r="AA165" i="48"/>
  <c r="S141" i="48"/>
  <c r="S19" i="48"/>
  <c r="S23" i="48"/>
  <c r="H106" i="48"/>
  <c r="AA182" i="48"/>
  <c r="AF98" i="48"/>
  <c r="W141" i="48"/>
  <c r="W23" i="48"/>
  <c r="W19" i="48"/>
  <c r="AC69" i="48"/>
  <c r="U22" i="50"/>
  <c r="V7" i="50"/>
  <c r="V56" i="49" s="1"/>
  <c r="U56" i="49"/>
  <c r="W7" i="50"/>
  <c r="Q41" i="48"/>
  <c r="Y52" i="49"/>
  <c r="AD51" i="49"/>
  <c r="Y182" i="48"/>
  <c r="AD98" i="48"/>
  <c r="AR186" i="48"/>
  <c r="U175" i="48"/>
  <c r="V183" i="48"/>
  <c r="Y172" i="48"/>
  <c r="Y28" i="48" s="1"/>
  <c r="Y18" i="48"/>
  <c r="P57" i="48"/>
  <c r="AA176" i="48"/>
  <c r="AF63" i="53"/>
  <c r="AI55" i="48"/>
  <c r="AD7" i="48"/>
  <c r="AG7" i="48" s="1"/>
  <c r="V182" i="48"/>
  <c r="AG18" i="49"/>
  <c r="AH18" i="49"/>
  <c r="AI18" i="49" s="1"/>
  <c r="AJ18" i="49" s="1"/>
  <c r="AK18" i="49" s="1"/>
  <c r="N55" i="50"/>
  <c r="N148" i="48" s="1"/>
  <c r="V37" i="50"/>
  <c r="K37" i="50"/>
  <c r="U30" i="49"/>
  <c r="U35" i="49" s="1"/>
  <c r="U42" i="49" s="1"/>
  <c r="V25" i="49"/>
  <c r="AC55" i="49"/>
  <c r="F22" i="50"/>
  <c r="G7" i="50"/>
  <c r="F56" i="49"/>
  <c r="V83" i="48"/>
  <c r="U85" i="48"/>
  <c r="U86" i="48" s="1"/>
  <c r="Z86" i="48" s="1"/>
  <c r="AE86" i="48" s="1"/>
  <c r="AJ86" i="48" s="1"/>
  <c r="Z102" i="48"/>
  <c r="Y14" i="48"/>
  <c r="AD33" i="50"/>
  <c r="AD57" i="50" s="1"/>
  <c r="Y33" i="50"/>
  <c r="Y57" i="50" s="1"/>
  <c r="Y58" i="50" s="1"/>
  <c r="Z35" i="48"/>
  <c r="G137" i="48"/>
  <c r="G72" i="48"/>
  <c r="U137" i="48"/>
  <c r="AR88" i="48"/>
  <c r="AQ88" i="48"/>
  <c r="AM7" i="48"/>
  <c r="J141" i="48"/>
  <c r="J23" i="48"/>
  <c r="J19" i="48"/>
  <c r="Z47" i="49"/>
  <c r="P43" i="48"/>
  <c r="P44" i="48" s="1"/>
  <c r="P142" i="48"/>
  <c r="P29" i="48"/>
  <c r="P34" i="48" s="1"/>
  <c r="AG109" i="48"/>
  <c r="E141" i="48"/>
  <c r="E23" i="48"/>
  <c r="E19" i="48"/>
  <c r="D141" i="48"/>
  <c r="D23" i="48"/>
  <c r="D19" i="48"/>
  <c r="Q34" i="50"/>
  <c r="Q57" i="50" s="1"/>
  <c r="P57" i="50"/>
  <c r="X29" i="50"/>
  <c r="X47" i="50"/>
  <c r="X63" i="49"/>
  <c r="Y28" i="49"/>
  <c r="Y22" i="48"/>
  <c r="H27" i="50"/>
  <c r="T55" i="50"/>
  <c r="T148" i="48" s="1"/>
  <c r="L53" i="50"/>
  <c r="M12" i="50"/>
  <c r="M53" i="50" s="1"/>
  <c r="L25" i="50"/>
  <c r="K56" i="50"/>
  <c r="J22" i="50"/>
  <c r="O55" i="50" s="1"/>
  <c r="O148" i="48" s="1"/>
  <c r="Y21" i="50"/>
  <c r="Z23" i="49"/>
  <c r="L37" i="50"/>
  <c r="AL34" i="50"/>
  <c r="AF187" i="48"/>
  <c r="AK116" i="48"/>
  <c r="AF115" i="48"/>
  <c r="W82" i="48"/>
  <c r="W94" i="48"/>
  <c r="W101" i="48"/>
  <c r="Y186" i="48"/>
  <c r="AD113" i="48"/>
  <c r="Y112" i="48"/>
  <c r="R101" i="48"/>
  <c r="AG55" i="48"/>
  <c r="AI187" i="48"/>
  <c r="AN116" i="48"/>
  <c r="AI115" i="48"/>
  <c r="L32" i="48"/>
  <c r="L33" i="48"/>
  <c r="R143" i="48"/>
  <c r="N137" i="48"/>
  <c r="P143" i="48"/>
  <c r="P25" i="48"/>
  <c r="P27" i="48" s="1"/>
  <c r="AH19" i="49"/>
  <c r="AI19" i="49" s="1"/>
  <c r="AJ19" i="49" s="1"/>
  <c r="AK19" i="49" s="1"/>
  <c r="AG19" i="49"/>
  <c r="Y48" i="49"/>
  <c r="AD47" i="49"/>
  <c r="H29" i="50"/>
  <c r="H37" i="50" s="1"/>
  <c r="R34" i="50"/>
  <c r="R57" i="50" s="1"/>
  <c r="W26" i="50"/>
  <c r="AO52" i="49"/>
  <c r="AH40" i="49"/>
  <c r="AI40" i="49" s="1"/>
  <c r="AJ40" i="49" s="1"/>
  <c r="AK40" i="49" s="1"/>
  <c r="AG40" i="49"/>
  <c r="O39" i="50"/>
  <c r="M17" i="50"/>
  <c r="AH31" i="49"/>
  <c r="AI31" i="49" s="1"/>
  <c r="AJ31" i="49" s="1"/>
  <c r="AK31" i="49" s="1"/>
  <c r="AG31" i="49"/>
  <c r="Q76" i="48"/>
  <c r="Q77" i="48" s="1"/>
  <c r="Q74" i="48"/>
  <c r="H71" i="48"/>
  <c r="H72" i="48" s="1"/>
  <c r="AT88" i="48"/>
  <c r="U177" i="48"/>
  <c r="Z65" i="48"/>
  <c r="L142" i="48"/>
  <c r="L29" i="48"/>
  <c r="L34" i="48" s="1"/>
  <c r="K143" i="48"/>
  <c r="K25" i="48"/>
  <c r="K27" i="48" s="1"/>
  <c r="X178" i="48"/>
  <c r="AC68" i="48"/>
  <c r="H142" i="48"/>
  <c r="H29" i="48"/>
  <c r="H34" i="48" s="1"/>
  <c r="Q42" i="49"/>
  <c r="Q62" i="49"/>
  <c r="AJ187" i="48"/>
  <c r="AJ115" i="48"/>
  <c r="AO116" i="48"/>
  <c r="AP88" i="48"/>
  <c r="AH15" i="49"/>
  <c r="AI15" i="49" s="1"/>
  <c r="AJ15" i="49" s="1"/>
  <c r="AK15" i="49" s="1"/>
  <c r="AG15" i="49"/>
  <c r="V24" i="50"/>
  <c r="V27" i="50" s="1"/>
  <c r="U27" i="50"/>
  <c r="U39" i="50" s="1"/>
  <c r="W12" i="50"/>
  <c r="H38" i="50"/>
  <c r="I39" i="50"/>
  <c r="G56" i="50"/>
  <c r="M7" i="50"/>
  <c r="M22" i="50" s="1"/>
  <c r="R35" i="50"/>
  <c r="R21" i="50"/>
  <c r="M21" i="50"/>
  <c r="R42" i="49"/>
  <c r="M20" i="50"/>
  <c r="Y19" i="50"/>
  <c r="Z27" i="49"/>
  <c r="Z185" i="48"/>
  <c r="AE111" i="48"/>
  <c r="Z110" i="48"/>
  <c r="Y16" i="49"/>
  <c r="Y8" i="50" s="1"/>
  <c r="Z186" i="48"/>
  <c r="AE113" i="48"/>
  <c r="Z112" i="48"/>
  <c r="AB112" i="48" s="1"/>
  <c r="AB113" i="48" s="1"/>
  <c r="AE143" i="48"/>
  <c r="AC181" i="48"/>
  <c r="AH96" i="48"/>
  <c r="E72" i="48"/>
  <c r="E137" i="48"/>
  <c r="D137" i="48"/>
  <c r="P137" i="48"/>
  <c r="V141" i="48"/>
  <c r="V23" i="48"/>
  <c r="V19" i="48"/>
  <c r="K142" i="48"/>
  <c r="K29" i="48"/>
  <c r="K34" i="48" s="1"/>
  <c r="X47" i="49"/>
  <c r="H25" i="48"/>
  <c r="H27" i="48" s="1"/>
  <c r="H143" i="48"/>
  <c r="H42" i="43"/>
  <c r="AG42" i="43"/>
  <c r="AL42" i="43"/>
  <c r="W42" i="43"/>
  <c r="AQ42" i="43"/>
  <c r="AV42" i="43"/>
  <c r="R42" i="43"/>
  <c r="M42" i="43"/>
  <c r="AB42" i="43"/>
  <c r="F32" i="40"/>
  <c r="F35" i="40" s="1"/>
  <c r="AG44" i="43" l="1"/>
  <c r="AL44" i="43"/>
  <c r="AV44" i="43"/>
  <c r="AB44" i="43"/>
  <c r="AQ44" i="43"/>
  <c r="W44" i="43"/>
  <c r="D142" i="48"/>
  <c r="D29" i="48"/>
  <c r="D34" i="48" s="1"/>
  <c r="AE180" i="48"/>
  <c r="AJ94" i="48"/>
  <c r="I142" i="48"/>
  <c r="I29" i="48"/>
  <c r="I34" i="48" s="1"/>
  <c r="I147" i="48" s="1"/>
  <c r="AF176" i="48"/>
  <c r="AK63" i="53"/>
  <c r="I143" i="48"/>
  <c r="I25" i="48"/>
  <c r="I27" i="48" s="1"/>
  <c r="AJ181" i="48"/>
  <c r="AO96" i="48"/>
  <c r="AL109" i="48"/>
  <c r="U52" i="48"/>
  <c r="U53" i="48" s="1"/>
  <c r="Z53" i="48" s="1"/>
  <c r="AE53" i="48" s="1"/>
  <c r="AJ53" i="48" s="1"/>
  <c r="V50" i="48"/>
  <c r="L56" i="49"/>
  <c r="L22" i="50"/>
  <c r="M25" i="48"/>
  <c r="M27" i="48" s="1"/>
  <c r="M143" i="48"/>
  <c r="G141" i="48"/>
  <c r="G23" i="48"/>
  <c r="G19" i="48"/>
  <c r="AD69" i="48"/>
  <c r="AB118" i="48"/>
  <c r="AB111" i="48"/>
  <c r="W25" i="48"/>
  <c r="W27" i="48" s="1"/>
  <c r="W143" i="48"/>
  <c r="Z118" i="48"/>
  <c r="Z120" i="48" s="1"/>
  <c r="Z121" i="48" s="1"/>
  <c r="E143" i="48"/>
  <c r="E25" i="48"/>
  <c r="E27" i="48" s="1"/>
  <c r="Y183" i="48"/>
  <c r="AD101" i="48"/>
  <c r="AL124" i="48"/>
  <c r="AM24" i="49"/>
  <c r="AN24" i="49" s="1"/>
  <c r="AO24" i="49" s="1"/>
  <c r="AP24" i="49" s="1"/>
  <c r="AL24" i="49"/>
  <c r="D46" i="50"/>
  <c r="D48" i="50" s="1"/>
  <c r="D11" i="49"/>
  <c r="D20" i="49" s="1"/>
  <c r="O32" i="48"/>
  <c r="O33" i="48"/>
  <c r="AR108" i="48"/>
  <c r="AR7" i="48" s="1"/>
  <c r="AM135" i="48"/>
  <c r="AM112" i="48"/>
  <c r="AM33" i="49"/>
  <c r="AN33" i="49" s="1"/>
  <c r="AO33" i="49" s="1"/>
  <c r="AP33" i="49" s="1"/>
  <c r="AL33" i="49"/>
  <c r="X182" i="48"/>
  <c r="AC98" i="48"/>
  <c r="AE186" i="48"/>
  <c r="AE112" i="48"/>
  <c r="AJ113" i="48"/>
  <c r="AK187" i="48"/>
  <c r="AP116" i="48"/>
  <c r="AK115" i="48"/>
  <c r="V30" i="49"/>
  <c r="V35" i="49" s="1"/>
  <c r="V42" i="49" s="1"/>
  <c r="X25" i="49"/>
  <c r="W25" i="49"/>
  <c r="W30" i="49" s="1"/>
  <c r="W35" i="49" s="1"/>
  <c r="W42" i="49" s="1"/>
  <c r="AF182" i="48"/>
  <c r="AK98" i="48"/>
  <c r="AR123" i="48"/>
  <c r="AA180" i="48"/>
  <c r="AF94" i="48"/>
  <c r="F40" i="50"/>
  <c r="F41" i="50" s="1"/>
  <c r="E6" i="49"/>
  <c r="AC187" i="48"/>
  <c r="AC115" i="48"/>
  <c r="AH116" i="48"/>
  <c r="AD178" i="48"/>
  <c r="AI68" i="48"/>
  <c r="Q142" i="48"/>
  <c r="Q29" i="48"/>
  <c r="Q34" i="48" s="1"/>
  <c r="Q147" i="48" s="1"/>
  <c r="AM34" i="49"/>
  <c r="AN34" i="49" s="1"/>
  <c r="AO34" i="49" s="1"/>
  <c r="AP34" i="49" s="1"/>
  <c r="AL34" i="49"/>
  <c r="G53" i="50"/>
  <c r="H12" i="50"/>
  <c r="H53" i="50" s="1"/>
  <c r="G22" i="50"/>
  <c r="G56" i="49"/>
  <c r="AM26" i="49"/>
  <c r="AN26" i="49" s="1"/>
  <c r="AO26" i="49" s="1"/>
  <c r="AP26" i="49" s="1"/>
  <c r="AL26" i="49"/>
  <c r="AI51" i="49"/>
  <c r="AD52" i="49"/>
  <c r="AC13" i="49"/>
  <c r="AB13" i="49"/>
  <c r="Q54" i="50"/>
  <c r="R10" i="50"/>
  <c r="R54" i="50" s="1"/>
  <c r="Q143" i="48"/>
  <c r="Q25" i="48"/>
  <c r="Q27" i="48" s="1"/>
  <c r="AE183" i="48"/>
  <c r="AJ101" i="48"/>
  <c r="Z17" i="50"/>
  <c r="AA10" i="49"/>
  <c r="AC47" i="49"/>
  <c r="X48" i="49"/>
  <c r="K32" i="48"/>
  <c r="K33" i="48"/>
  <c r="Z19" i="50"/>
  <c r="AA27" i="49"/>
  <c r="AM40" i="49"/>
  <c r="AN40" i="49" s="1"/>
  <c r="AO40" i="49" s="1"/>
  <c r="AP40" i="49" s="1"/>
  <c r="AL40" i="49"/>
  <c r="AN187" i="48"/>
  <c r="AS116" i="48"/>
  <c r="AN115" i="48"/>
  <c r="K39" i="50"/>
  <c r="Z16" i="49"/>
  <c r="Z8" i="50" s="1"/>
  <c r="AF185" i="48"/>
  <c r="AK111" i="48"/>
  <c r="AF110" i="48"/>
  <c r="AF118" i="48" s="1"/>
  <c r="AD177" i="48"/>
  <c r="AI65" i="48"/>
  <c r="AA178" i="48"/>
  <c r="AF68" i="48"/>
  <c r="M37" i="50"/>
  <c r="AI181" i="48"/>
  <c r="AN96" i="48"/>
  <c r="P32" i="48"/>
  <c r="P33" i="48"/>
  <c r="P146" i="48" s="1"/>
  <c r="W65" i="49"/>
  <c r="W64" i="49" s="1"/>
  <c r="W142" i="48"/>
  <c r="W29" i="48"/>
  <c r="AS123" i="48"/>
  <c r="AH135" i="48"/>
  <c r="Z33" i="50"/>
  <c r="Z57" i="50" s="1"/>
  <c r="Z58" i="50" s="1"/>
  <c r="AE33" i="50"/>
  <c r="AE57" i="50" s="1"/>
  <c r="AA35" i="48"/>
  <c r="S143" i="48"/>
  <c r="S25" i="48"/>
  <c r="S27" i="48" s="1"/>
  <c r="AA16" i="49"/>
  <c r="AD55" i="49"/>
  <c r="AD180" i="48"/>
  <c r="AI94" i="48"/>
  <c r="AI176" i="48"/>
  <c r="AN63" i="48"/>
  <c r="AN63" i="53" s="1"/>
  <c r="R13" i="50"/>
  <c r="AK47" i="49"/>
  <c r="AF48" i="49"/>
  <c r="N147" i="48"/>
  <c r="M65" i="49"/>
  <c r="M64" i="49" s="1"/>
  <c r="M142" i="48"/>
  <c r="M29" i="48"/>
  <c r="AM15" i="49"/>
  <c r="AN15" i="49" s="1"/>
  <c r="AO15" i="49" s="1"/>
  <c r="AP15" i="49" s="1"/>
  <c r="AL15" i="49"/>
  <c r="Y29" i="50"/>
  <c r="Y47" i="50"/>
  <c r="Y63" i="49"/>
  <c r="Z28" i="49"/>
  <c r="Z22" i="48"/>
  <c r="P147" i="48"/>
  <c r="Q57" i="48"/>
  <c r="W57" i="48" s="1"/>
  <c r="S43" i="48"/>
  <c r="S44" i="48" s="1"/>
  <c r="S41" i="48"/>
  <c r="S142" i="48"/>
  <c r="S29" i="48"/>
  <c r="S34" i="48" s="1"/>
  <c r="S147" i="48" s="1"/>
  <c r="AO55" i="48"/>
  <c r="AJ7" i="48"/>
  <c r="AJ135" i="48" s="1"/>
  <c r="F142" i="48"/>
  <c r="F29" i="48"/>
  <c r="F34" i="48" s="1"/>
  <c r="K147" i="48" s="1"/>
  <c r="AA177" i="48"/>
  <c r="AF65" i="48"/>
  <c r="AS108" i="48"/>
  <c r="H32" i="48"/>
  <c r="H33" i="48"/>
  <c r="H36" i="48" s="1"/>
  <c r="X83" i="48"/>
  <c r="W83" i="48"/>
  <c r="V85" i="48"/>
  <c r="V86" i="48" s="1"/>
  <c r="AA86" i="48" s="1"/>
  <c r="AF86" i="48" s="1"/>
  <c r="AK86" i="48" s="1"/>
  <c r="AN55" i="48"/>
  <c r="AI7" i="48"/>
  <c r="AL7" i="48" s="1"/>
  <c r="AL55" i="48"/>
  <c r="X183" i="48"/>
  <c r="AC101" i="48"/>
  <c r="AD135" i="48"/>
  <c r="H7" i="50"/>
  <c r="Z177" i="48"/>
  <c r="AE65" i="48"/>
  <c r="Z175" i="48"/>
  <c r="AE61" i="53"/>
  <c r="Q43" i="48"/>
  <c r="Q44" i="48" s="1"/>
  <c r="N32" i="48"/>
  <c r="R30" i="48"/>
  <c r="R32" i="48" s="1"/>
  <c r="N33" i="48"/>
  <c r="R31" i="48"/>
  <c r="R33" i="48" s="1"/>
  <c r="AF112" i="48"/>
  <c r="AF186" i="48"/>
  <c r="AK113" i="48"/>
  <c r="F143" i="48"/>
  <c r="F25" i="48"/>
  <c r="F27" i="48" s="1"/>
  <c r="T142" i="48"/>
  <c r="T29" i="48"/>
  <c r="T34" i="48" s="1"/>
  <c r="T147" i="48" s="1"/>
  <c r="X177" i="48"/>
  <c r="AC65" i="48"/>
  <c r="AA175" i="48"/>
  <c r="AF61" i="53"/>
  <c r="V142" i="48"/>
  <c r="V29" i="48"/>
  <c r="V34" i="48" s="1"/>
  <c r="V147" i="48" s="1"/>
  <c r="AU88" i="48"/>
  <c r="AV88" i="48" s="1"/>
  <c r="Z21" i="50"/>
  <c r="AA23" i="49"/>
  <c r="AA168" i="48"/>
  <c r="AA170" i="48" s="1"/>
  <c r="AC165" i="48"/>
  <c r="Q56" i="49"/>
  <c r="Q22" i="50"/>
  <c r="R7" i="50"/>
  <c r="R22" i="50" s="1"/>
  <c r="R55" i="50" s="1"/>
  <c r="R148" i="48" s="1"/>
  <c r="AK181" i="48"/>
  <c r="AP96" i="48"/>
  <c r="AF54" i="49"/>
  <c r="T143" i="48"/>
  <c r="T25" i="48"/>
  <c r="T27" i="48" s="1"/>
  <c r="AG26" i="48"/>
  <c r="AH176" i="48"/>
  <c r="AM63" i="48"/>
  <c r="AM63" i="53" s="1"/>
  <c r="K55" i="50"/>
  <c r="K148" i="48" s="1"/>
  <c r="AC178" i="48"/>
  <c r="AH68" i="48"/>
  <c r="V143" i="48"/>
  <c r="V25" i="48"/>
  <c r="AO187" i="48"/>
  <c r="AO115" i="48"/>
  <c r="AT116" i="48"/>
  <c r="AM18" i="49"/>
  <c r="AN18" i="49" s="1"/>
  <c r="AO18" i="49" s="1"/>
  <c r="AP18" i="49" s="1"/>
  <c r="AL18" i="49"/>
  <c r="X56" i="49"/>
  <c r="Z172" i="48"/>
  <c r="Z28" i="48" s="1"/>
  <c r="Z18" i="48"/>
  <c r="Z9" i="50"/>
  <c r="AB16" i="48"/>
  <c r="G39" i="50"/>
  <c r="AI26" i="48"/>
  <c r="AJ26" i="48" s="1"/>
  <c r="AK26" i="48" s="1"/>
  <c r="AM26" i="48" s="1"/>
  <c r="AP108" i="48"/>
  <c r="AQ108" i="48" s="1"/>
  <c r="D143" i="48"/>
  <c r="D25" i="48"/>
  <c r="D27" i="48" s="1"/>
  <c r="AI175" i="48"/>
  <c r="AN61" i="48"/>
  <c r="AN61" i="53" s="1"/>
  <c r="E142" i="48"/>
  <c r="E29" i="48"/>
  <c r="E34" i="48" s="1"/>
  <c r="J55" i="50"/>
  <c r="J148" i="48" s="1"/>
  <c r="Z48" i="49"/>
  <c r="AE47" i="49"/>
  <c r="AA102" i="48"/>
  <c r="Z14" i="48"/>
  <c r="P55" i="50"/>
  <c r="P148" i="48" s="1"/>
  <c r="AM185" i="48"/>
  <c r="AR111" i="48"/>
  <c r="AM110" i="48"/>
  <c r="AC119" i="48"/>
  <c r="AA16" i="48"/>
  <c r="AA9" i="50" s="1"/>
  <c r="AA10" i="50" s="1"/>
  <c r="AB119" i="48"/>
  <c r="AM32" i="49"/>
  <c r="AN32" i="49" s="1"/>
  <c r="AO32" i="49" s="1"/>
  <c r="AP32" i="49" s="1"/>
  <c r="AL32" i="49"/>
  <c r="AO123" i="48"/>
  <c r="AQ123" i="48" s="1"/>
  <c r="AT108" i="48"/>
  <c r="U142" i="48"/>
  <c r="U29" i="48"/>
  <c r="U34" i="48" s="1"/>
  <c r="U147" i="48" s="1"/>
  <c r="W24" i="50"/>
  <c r="W27" i="50" s="1"/>
  <c r="L56" i="50"/>
  <c r="L27" i="50"/>
  <c r="L39" i="50" s="1"/>
  <c r="M25" i="50"/>
  <c r="AE176" i="48"/>
  <c r="AJ63" i="53"/>
  <c r="AM31" i="49"/>
  <c r="AN31" i="49" s="1"/>
  <c r="AO31" i="49" s="1"/>
  <c r="AP31" i="49" s="1"/>
  <c r="AL31" i="49"/>
  <c r="AE185" i="48"/>
  <c r="AJ111" i="48"/>
  <c r="AE110" i="48"/>
  <c r="AE118" i="48" s="1"/>
  <c r="AD185" i="48"/>
  <c r="AI111" i="48"/>
  <c r="AD110" i="48"/>
  <c r="Z136" i="48"/>
  <c r="H57" i="50"/>
  <c r="AC180" i="48"/>
  <c r="AH94" i="48"/>
  <c r="U143" i="48"/>
  <c r="U25" i="48"/>
  <c r="U27" i="48" s="1"/>
  <c r="AM39" i="49"/>
  <c r="AN39" i="49" s="1"/>
  <c r="AO39" i="49" s="1"/>
  <c r="AP39" i="49" s="1"/>
  <c r="AL39" i="49"/>
  <c r="AE178" i="48"/>
  <c r="AJ68" i="48"/>
  <c r="Q37" i="50"/>
  <c r="Q39" i="50" s="1"/>
  <c r="Z182" i="48"/>
  <c r="AE98" i="48"/>
  <c r="AF129" i="48"/>
  <c r="AG129" i="48" s="1"/>
  <c r="AH163" i="48"/>
  <c r="AF117" i="48"/>
  <c r="AG117" i="48" s="1"/>
  <c r="AH181" i="48"/>
  <c r="AM96" i="48"/>
  <c r="AI47" i="49"/>
  <c r="AD48" i="49"/>
  <c r="AH143" i="48"/>
  <c r="AF143" i="48"/>
  <c r="J142" i="48"/>
  <c r="J29" i="48"/>
  <c r="J34" i="48" s="1"/>
  <c r="U55" i="50"/>
  <c r="U148" i="48" s="1"/>
  <c r="AF183" i="48"/>
  <c r="AK101" i="48"/>
  <c r="AI143" i="48"/>
  <c r="Q90" i="48"/>
  <c r="W90" i="48" s="1"/>
  <c r="S74" i="48"/>
  <c r="R74" i="48"/>
  <c r="AM19" i="49"/>
  <c r="AN19" i="49" s="1"/>
  <c r="AO19" i="49" s="1"/>
  <c r="AP19" i="49" s="1"/>
  <c r="AL19" i="49"/>
  <c r="AD186" i="48"/>
  <c r="AI113" i="48"/>
  <c r="AD112" i="48"/>
  <c r="AG112" i="48" s="1"/>
  <c r="AG113" i="48" s="1"/>
  <c r="J25" i="48"/>
  <c r="J27" i="48" s="1"/>
  <c r="J143" i="48"/>
  <c r="AD182" i="48"/>
  <c r="AI98" i="48"/>
  <c r="AK7" i="48"/>
  <c r="AK135" i="48" s="1"/>
  <c r="AP55" i="48"/>
  <c r="Y118" i="48"/>
  <c r="Y120" i="48" s="1"/>
  <c r="Y121" i="48" s="1"/>
  <c r="AC175" i="48"/>
  <c r="AH61" i="53"/>
  <c r="R29" i="50"/>
  <c r="R37" i="50" s="1"/>
  <c r="R39" i="50" s="1"/>
  <c r="F34" i="40" l="1"/>
  <c r="F37" i="40" s="1"/>
  <c r="AR135" i="48"/>
  <c r="AQ124" i="48"/>
  <c r="AQ109" i="48"/>
  <c r="AB21" i="50"/>
  <c r="AR18" i="49"/>
  <c r="AS18" i="49" s="1"/>
  <c r="AT18" i="49" s="1"/>
  <c r="AU18" i="49" s="1"/>
  <c r="AV18" i="49" s="1"/>
  <c r="AQ18" i="49"/>
  <c r="X20" i="50"/>
  <c r="Y25" i="49"/>
  <c r="AN26" i="48"/>
  <c r="AO26" i="48" s="1"/>
  <c r="AP26" i="48" s="1"/>
  <c r="AR26" i="48" s="1"/>
  <c r="AT55" i="48"/>
  <c r="AO7" i="48"/>
  <c r="AO135" i="48" s="1"/>
  <c r="AR15" i="49"/>
  <c r="AS15" i="49" s="1"/>
  <c r="AT15" i="49" s="1"/>
  <c r="AU15" i="49" s="1"/>
  <c r="AV15" i="49" s="1"/>
  <c r="AQ15" i="49"/>
  <c r="AA8" i="50"/>
  <c r="AB8" i="50" s="1"/>
  <c r="AB16" i="49"/>
  <c r="AA17" i="50"/>
  <c r="AB17" i="50" s="1"/>
  <c r="AC10" i="49"/>
  <c r="AB10" i="49"/>
  <c r="AP115" i="48"/>
  <c r="AP187" i="48"/>
  <c r="AU116" i="48"/>
  <c r="O146" i="48"/>
  <c r="AP135" i="48"/>
  <c r="AU55" i="48"/>
  <c r="AP7" i="48"/>
  <c r="T33" i="48"/>
  <c r="T146" i="48" s="1"/>
  <c r="T32" i="48"/>
  <c r="AN51" i="49"/>
  <c r="AI52" i="49"/>
  <c r="AL26" i="48"/>
  <c r="AF175" i="48"/>
  <c r="AK61" i="53"/>
  <c r="AS55" i="48"/>
  <c r="AQ55" i="48"/>
  <c r="AN7" i="48"/>
  <c r="AR26" i="49"/>
  <c r="AS26" i="49" s="1"/>
  <c r="AT26" i="49" s="1"/>
  <c r="AU26" i="49" s="1"/>
  <c r="AV26" i="49" s="1"/>
  <c r="AQ26" i="49"/>
  <c r="E46" i="50"/>
  <c r="E48" i="50" s="1"/>
  <c r="E11" i="49"/>
  <c r="E20" i="49" s="1"/>
  <c r="E144" i="48"/>
  <c r="V52" i="48"/>
  <c r="V53" i="48" s="1"/>
  <c r="AA53" i="48" s="1"/>
  <c r="AF53" i="48" s="1"/>
  <c r="AK53" i="48" s="1"/>
  <c r="X50" i="48"/>
  <c r="W50" i="48"/>
  <c r="AT187" i="48"/>
  <c r="AT115" i="48"/>
  <c r="AH129" i="48"/>
  <c r="AI163" i="48"/>
  <c r="AH117" i="48"/>
  <c r="AR32" i="49"/>
  <c r="AS32" i="49" s="1"/>
  <c r="AT32" i="49" s="1"/>
  <c r="AU32" i="49" s="1"/>
  <c r="AV32" i="49" s="1"/>
  <c r="AQ32" i="49"/>
  <c r="V6" i="50"/>
  <c r="V27" i="48"/>
  <c r="W31" i="48" s="1"/>
  <c r="AE175" i="48"/>
  <c r="AJ61" i="53"/>
  <c r="AI135" i="48"/>
  <c r="S33" i="48"/>
  <c r="S146" i="48" s="1"/>
  <c r="S32" i="48"/>
  <c r="G40" i="50"/>
  <c r="G41" i="50" s="1"/>
  <c r="G6" i="49" s="1"/>
  <c r="F6" i="49"/>
  <c r="AJ186" i="48"/>
  <c r="AO113" i="48"/>
  <c r="AJ112" i="48"/>
  <c r="D53" i="49"/>
  <c r="D43" i="49"/>
  <c r="AI180" i="48"/>
  <c r="AN94" i="48"/>
  <c r="R34" i="48"/>
  <c r="L55" i="50"/>
  <c r="L148" i="48" s="1"/>
  <c r="AJ183" i="48"/>
  <c r="AO101" i="48"/>
  <c r="AJ176" i="48"/>
  <c r="AO63" i="48"/>
  <c r="AO63" i="53" s="1"/>
  <c r="Z10" i="50"/>
  <c r="AB10" i="50" s="1"/>
  <c r="AB9" i="50"/>
  <c r="AC177" i="48"/>
  <c r="AH65" i="48"/>
  <c r="AF180" i="48"/>
  <c r="AK94" i="48"/>
  <c r="AH187" i="48"/>
  <c r="AM116" i="48"/>
  <c r="AH115" i="48"/>
  <c r="J147" i="48"/>
  <c r="O147" i="48"/>
  <c r="AA136" i="48"/>
  <c r="AH178" i="48"/>
  <c r="AM68" i="48"/>
  <c r="T41" i="48"/>
  <c r="T43" i="48"/>
  <c r="T44" i="48" s="1"/>
  <c r="S57" i="48"/>
  <c r="AF33" i="50"/>
  <c r="AF57" i="50" s="1"/>
  <c r="AA33" i="50"/>
  <c r="AC35" i="48"/>
  <c r="AB35" i="48"/>
  <c r="AN181" i="48"/>
  <c r="AS96" i="48"/>
  <c r="Q32" i="48"/>
  <c r="Q33" i="48"/>
  <c r="Q146" i="48" s="1"/>
  <c r="AR24" i="49"/>
  <c r="AS24" i="49" s="1"/>
  <c r="AT24" i="49" s="1"/>
  <c r="AU24" i="49" s="1"/>
  <c r="AV24" i="49" s="1"/>
  <c r="AQ24" i="49"/>
  <c r="AB120" i="48"/>
  <c r="AB121" i="48" s="1"/>
  <c r="E33" i="48"/>
  <c r="E32" i="48"/>
  <c r="AR31" i="49"/>
  <c r="AS31" i="49" s="1"/>
  <c r="AT31" i="49" s="1"/>
  <c r="AU31" i="49" s="1"/>
  <c r="AV31" i="49" s="1"/>
  <c r="AQ31" i="49"/>
  <c r="AD119" i="48"/>
  <c r="AC16" i="48"/>
  <c r="AE177" i="48"/>
  <c r="AJ65" i="48"/>
  <c r="Y83" i="48"/>
  <c r="X85" i="48"/>
  <c r="X87" i="48" s="1"/>
  <c r="AC44" i="53"/>
  <c r="AP47" i="49"/>
  <c r="AK48" i="49"/>
  <c r="AS187" i="48"/>
  <c r="AS115" i="48"/>
  <c r="AC182" i="48"/>
  <c r="AH98" i="48"/>
  <c r="AG33" i="50"/>
  <c r="AG57" i="50" s="1"/>
  <c r="AJ180" i="48"/>
  <c r="AO94" i="48"/>
  <c r="N146" i="48"/>
  <c r="Q55" i="50"/>
  <c r="Q148" i="48" s="1"/>
  <c r="AN113" i="48"/>
  <c r="AI186" i="48"/>
  <c r="AI112" i="48"/>
  <c r="AR34" i="49"/>
  <c r="AS34" i="49" s="1"/>
  <c r="AT34" i="49" s="1"/>
  <c r="AU34" i="49" s="1"/>
  <c r="AV34" i="49" s="1"/>
  <c r="AQ34" i="49"/>
  <c r="AO181" i="48"/>
  <c r="AT96" i="48"/>
  <c r="M32" i="48"/>
  <c r="M33" i="48"/>
  <c r="AC102" i="48"/>
  <c r="AA14" i="48"/>
  <c r="AB14" i="48" s="1"/>
  <c r="AB102" i="48"/>
  <c r="AH47" i="49"/>
  <c r="AC48" i="49"/>
  <c r="AI182" i="48"/>
  <c r="AN98" i="48"/>
  <c r="U33" i="48"/>
  <c r="U146" i="48" s="1"/>
  <c r="U32" i="48"/>
  <c r="AR185" i="48"/>
  <c r="AR110" i="48"/>
  <c r="AD165" i="48"/>
  <c r="AC168" i="48"/>
  <c r="AC170" i="48" s="1"/>
  <c r="F32" i="48"/>
  <c r="F33" i="48"/>
  <c r="K146" i="48" s="1"/>
  <c r="AS63" i="48"/>
  <c r="AS63" i="53" s="1"/>
  <c r="AE69" i="48"/>
  <c r="AJ185" i="48"/>
  <c r="AO111" i="48"/>
  <c r="AJ110" i="48"/>
  <c r="AK185" i="48"/>
  <c r="AP111" i="48"/>
  <c r="AK110" i="48"/>
  <c r="AT123" i="48"/>
  <c r="AS61" i="48"/>
  <c r="AS61" i="53" s="1"/>
  <c r="X7" i="50"/>
  <c r="AR63" i="48"/>
  <c r="AR63" i="53" s="1"/>
  <c r="AA172" i="48"/>
  <c r="AA28" i="48" s="1"/>
  <c r="AB28" i="48" s="1"/>
  <c r="AA18" i="48"/>
  <c r="AB18" i="48" s="1"/>
  <c r="H56" i="49"/>
  <c r="H22" i="50"/>
  <c r="AF178" i="48"/>
  <c r="AK68" i="48"/>
  <c r="AR40" i="49"/>
  <c r="AS40" i="49" s="1"/>
  <c r="AT40" i="49" s="1"/>
  <c r="AU40" i="49" s="1"/>
  <c r="AV40" i="49" s="1"/>
  <c r="AQ40" i="49"/>
  <c r="G142" i="48"/>
  <c r="G29" i="48"/>
  <c r="G34" i="48" s="1"/>
  <c r="L147" i="48" s="1"/>
  <c r="M30" i="48"/>
  <c r="I32" i="48"/>
  <c r="M31" i="48"/>
  <c r="M34" i="48" s="1"/>
  <c r="M147" i="48" s="1"/>
  <c r="I33" i="48"/>
  <c r="I146" i="48" s="1"/>
  <c r="T74" i="48"/>
  <c r="T76" i="48" s="1"/>
  <c r="T77" i="48" s="1"/>
  <c r="Y77" i="48" s="1"/>
  <c r="S90" i="48"/>
  <c r="AU108" i="48"/>
  <c r="AK183" i="48"/>
  <c r="AP101" i="48"/>
  <c r="AP181" i="48"/>
  <c r="AU96" i="48"/>
  <c r="J32" i="48"/>
  <c r="J33" i="48"/>
  <c r="AE182" i="48"/>
  <c r="AJ98" i="48"/>
  <c r="AJ143" i="48"/>
  <c r="Y56" i="49"/>
  <c r="AA21" i="50"/>
  <c r="AC23" i="49"/>
  <c r="AB23" i="49"/>
  <c r="AK186" i="48"/>
  <c r="AP113" i="48"/>
  <c r="AK112" i="48"/>
  <c r="Z29" i="50"/>
  <c r="Z47" i="50"/>
  <c r="Z63" i="49"/>
  <c r="AA28" i="49"/>
  <c r="AA22" i="48"/>
  <c r="AB22" i="48" s="1"/>
  <c r="AA19" i="50"/>
  <c r="AB19" i="50" s="1"/>
  <c r="AC27" i="49"/>
  <c r="AB27" i="49"/>
  <c r="AD13" i="49"/>
  <c r="AK182" i="48"/>
  <c r="AP98" i="48"/>
  <c r="AR33" i="49"/>
  <c r="AS33" i="49" s="1"/>
  <c r="AT33" i="49" s="1"/>
  <c r="AU33" i="49" s="1"/>
  <c r="AV33" i="49" s="1"/>
  <c r="AQ33" i="49"/>
  <c r="AD183" i="48"/>
  <c r="AI101" i="48"/>
  <c r="G25" i="48"/>
  <c r="G27" i="48" s="1"/>
  <c r="G143" i="48"/>
  <c r="R36" i="48"/>
  <c r="AV108" i="48"/>
  <c r="AR112" i="48"/>
  <c r="AR39" i="49"/>
  <c r="AS39" i="49" s="1"/>
  <c r="AT39" i="49" s="1"/>
  <c r="AU39" i="49" s="1"/>
  <c r="AV39" i="49" s="1"/>
  <c r="AQ39" i="49"/>
  <c r="M56" i="50"/>
  <c r="M27" i="50"/>
  <c r="M39" i="50" s="1"/>
  <c r="AH175" i="48"/>
  <c r="AM61" i="48"/>
  <c r="AM61" i="53" s="1"/>
  <c r="AN47" i="49"/>
  <c r="AI48" i="49"/>
  <c r="AD118" i="48"/>
  <c r="AG110" i="48"/>
  <c r="Z56" i="49"/>
  <c r="AF177" i="48"/>
  <c r="AK65" i="48"/>
  <c r="AE55" i="49"/>
  <c r="AI178" i="48"/>
  <c r="AN68" i="48"/>
  <c r="AJ178" i="48"/>
  <c r="AO68" i="48"/>
  <c r="AJ47" i="49"/>
  <c r="AE48" i="49"/>
  <c r="AG115" i="48"/>
  <c r="AG116" i="48" s="1"/>
  <c r="AC118" i="48"/>
  <c r="AC120" i="48" s="1"/>
  <c r="AC121" i="48" s="1"/>
  <c r="AH180" i="48"/>
  <c r="AM94" i="48"/>
  <c r="AR19" i="49"/>
  <c r="AS19" i="49" s="1"/>
  <c r="AT19" i="49" s="1"/>
  <c r="AU19" i="49" s="1"/>
  <c r="AV19" i="49" s="1"/>
  <c r="AQ19" i="49"/>
  <c r="S76" i="48"/>
  <c r="S77" i="48" s="1"/>
  <c r="X77" i="48" s="1"/>
  <c r="AM181" i="48"/>
  <c r="AR96" i="48"/>
  <c r="AH54" i="49"/>
  <c r="AI185" i="48"/>
  <c r="AN111" i="48"/>
  <c r="AI110" i="48"/>
  <c r="D33" i="48"/>
  <c r="D32" i="48"/>
  <c r="AC183" i="48"/>
  <c r="AH101" i="48"/>
  <c r="AI177" i="48"/>
  <c r="AN65" i="48"/>
  <c r="AS65" i="48" s="1"/>
  <c r="AK176" i="48"/>
  <c r="AP63" i="48"/>
  <c r="AP63" i="53" s="1"/>
  <c r="C30" i="40" l="1"/>
  <c r="F38" i="40"/>
  <c r="AD77" i="48"/>
  <c r="W34" i="48"/>
  <c r="W147" i="48" s="1"/>
  <c r="W33" i="48"/>
  <c r="AR61" i="48"/>
  <c r="AR61" i="53" s="1"/>
  <c r="AP186" i="48"/>
  <c r="AU113" i="48"/>
  <c r="AP112" i="48"/>
  <c r="AP183" i="48"/>
  <c r="AU101" i="48"/>
  <c r="AO180" i="48"/>
  <c r="AT94" i="48"/>
  <c r="AS181" i="48"/>
  <c r="AL115" i="48"/>
  <c r="AL116" i="48" s="1"/>
  <c r="AH118" i="48"/>
  <c r="V22" i="50"/>
  <c r="W6" i="50"/>
  <c r="W22" i="50" s="1"/>
  <c r="M146" i="48"/>
  <c r="M36" i="48"/>
  <c r="AR181" i="48"/>
  <c r="AC172" i="48"/>
  <c r="AC28" i="48" s="1"/>
  <c r="AC18" i="48"/>
  <c r="AC9" i="50"/>
  <c r="AM187" i="48"/>
  <c r="AM115" i="48"/>
  <c r="AR116" i="48"/>
  <c r="E53" i="49"/>
  <c r="E43" i="49"/>
  <c r="AS51" i="49"/>
  <c r="AS52" i="49" s="1"/>
  <c r="AN52" i="49"/>
  <c r="AU181" i="48"/>
  <c r="AK178" i="48"/>
  <c r="AP68" i="48"/>
  <c r="AS68" i="48"/>
  <c r="AP182" i="48"/>
  <c r="AU98" i="48"/>
  <c r="AP185" i="48"/>
  <c r="AP110" i="48"/>
  <c r="AU111" i="48"/>
  <c r="AE165" i="48"/>
  <c r="AD168" i="48"/>
  <c r="AD170" i="48" s="1"/>
  <c r="AT181" i="48"/>
  <c r="AT63" i="48"/>
  <c r="AT63" i="53" s="1"/>
  <c r="AE13" i="49"/>
  <c r="H39" i="50"/>
  <c r="H41" i="50" s="1"/>
  <c r="M55" i="50"/>
  <c r="M148" i="48" s="1"/>
  <c r="AH182" i="48"/>
  <c r="AM98" i="48"/>
  <c r="AC136" i="48"/>
  <c r="AA57" i="50"/>
  <c r="AA58" i="50" s="1"/>
  <c r="AB33" i="50"/>
  <c r="AB57" i="50" s="1"/>
  <c r="AT7" i="48"/>
  <c r="AT135" i="48" s="1"/>
  <c r="AD102" i="48"/>
  <c r="AC14" i="48"/>
  <c r="X52" i="48"/>
  <c r="X54" i="48" s="1"/>
  <c r="Y50" i="48"/>
  <c r="AJ177" i="48"/>
  <c r="AO65" i="48"/>
  <c r="AT65" i="48" s="1"/>
  <c r="AC21" i="50"/>
  <c r="AD23" i="49"/>
  <c r="AH55" i="49"/>
  <c r="AO185" i="48"/>
  <c r="AO110" i="48"/>
  <c r="AT111" i="48"/>
  <c r="F46" i="50"/>
  <c r="F48" i="50" s="1"/>
  <c r="F11" i="49"/>
  <c r="F20" i="49" s="1"/>
  <c r="F144" i="48"/>
  <c r="AU7" i="48"/>
  <c r="AU135" i="48" s="1"/>
  <c r="AK177" i="48"/>
  <c r="AP65" i="48"/>
  <c r="AU65" i="48" s="1"/>
  <c r="AV109" i="48"/>
  <c r="AK180" i="48"/>
  <c r="AP94" i="48"/>
  <c r="AO183" i="48"/>
  <c r="AT101" i="48"/>
  <c r="G46" i="50"/>
  <c r="G48" i="50" s="1"/>
  <c r="G11" i="49"/>
  <c r="G20" i="49" s="1"/>
  <c r="H6" i="49"/>
  <c r="G144" i="48"/>
  <c r="AI129" i="48"/>
  <c r="AJ163" i="48"/>
  <c r="AI117" i="48"/>
  <c r="AI183" i="48"/>
  <c r="AN101" i="48"/>
  <c r="AT68" i="48"/>
  <c r="Z83" i="48"/>
  <c r="Y85" i="48"/>
  <c r="Y87" i="48" s="1"/>
  <c r="U74" i="48"/>
  <c r="U76" i="48"/>
  <c r="U77" i="48" s="1"/>
  <c r="Z77" i="48" s="1"/>
  <c r="T90" i="48"/>
  <c r="AD44" i="53"/>
  <c r="AQ7" i="48"/>
  <c r="AS26" i="48"/>
  <c r="AT26" i="48" s="1"/>
  <c r="AU26" i="48" s="1"/>
  <c r="AV26" i="48"/>
  <c r="AC19" i="50"/>
  <c r="AD27" i="49"/>
  <c r="AC16" i="49"/>
  <c r="AC8" i="50" s="1"/>
  <c r="AK143" i="48"/>
  <c r="U41" i="48"/>
  <c r="U43" i="48" s="1"/>
  <c r="U44" i="48" s="1"/>
  <c r="T57" i="48"/>
  <c r="R146" i="48"/>
  <c r="AL112" i="48"/>
  <c r="AL113" i="48" s="1"/>
  <c r="AU47" i="49"/>
  <c r="AU48" i="49" s="1"/>
  <c r="AP48" i="49"/>
  <c r="AH177" i="48"/>
  <c r="AM65" i="48"/>
  <c r="AR65" i="48" s="1"/>
  <c r="W30" i="48"/>
  <c r="W32" i="48" s="1"/>
  <c r="AS135" i="48"/>
  <c r="AS7" i="48"/>
  <c r="AV55" i="48"/>
  <c r="AU187" i="48"/>
  <c r="AU115" i="48"/>
  <c r="AQ26" i="48"/>
  <c r="AF55" i="49"/>
  <c r="AI55" i="49" s="1"/>
  <c r="AC17" i="50"/>
  <c r="AD10" i="49"/>
  <c r="AM180" i="48"/>
  <c r="AR94" i="48"/>
  <c r="AF69" i="48"/>
  <c r="AG69" i="48" s="1"/>
  <c r="AG118" i="48"/>
  <c r="AG111" i="48"/>
  <c r="AD120" i="48"/>
  <c r="AD121" i="48" s="1"/>
  <c r="J146" i="48"/>
  <c r="X127" i="48"/>
  <c r="X99" i="48"/>
  <c r="X66" i="48"/>
  <c r="AV123" i="48"/>
  <c r="AR68" i="48"/>
  <c r="Y20" i="50"/>
  <c r="Z25" i="49"/>
  <c r="AN180" i="48"/>
  <c r="AS94" i="48"/>
  <c r="V32" i="48"/>
  <c r="V33" i="48"/>
  <c r="V146" i="48" s="1"/>
  <c r="AO186" i="48"/>
  <c r="AT113" i="48"/>
  <c r="AO112" i="48"/>
  <c r="AH183" i="48"/>
  <c r="AM101" i="48"/>
  <c r="AA56" i="49"/>
  <c r="G32" i="48"/>
  <c r="G33" i="48"/>
  <c r="L146" i="48" s="1"/>
  <c r="AA47" i="50"/>
  <c r="AA29" i="50"/>
  <c r="AA63" i="49"/>
  <c r="AC28" i="49"/>
  <c r="AB28" i="49"/>
  <c r="AC22" i="48"/>
  <c r="AM47" i="49"/>
  <c r="AH48" i="49"/>
  <c r="AN186" i="48"/>
  <c r="AS113" i="48"/>
  <c r="AN112" i="48"/>
  <c r="R147" i="48"/>
  <c r="AN135" i="48"/>
  <c r="AN185" i="48"/>
  <c r="AS111" i="48"/>
  <c r="AN110" i="48"/>
  <c r="AU63" i="48"/>
  <c r="AU63" i="53" s="1"/>
  <c r="AC77" i="48"/>
  <c r="AE119" i="48"/>
  <c r="AD16" i="48"/>
  <c r="AD9" i="50" s="1"/>
  <c r="AD10" i="50" s="1"/>
  <c r="AH33" i="50"/>
  <c r="AD35" i="48"/>
  <c r="AJ182" i="48"/>
  <c r="AO98" i="48"/>
  <c r="AN182" i="48"/>
  <c r="AS98" i="48"/>
  <c r="AI54" i="49"/>
  <c r="AJ54" i="49" s="1"/>
  <c r="AL110" i="48"/>
  <c r="AO47" i="49"/>
  <c r="AJ48" i="49"/>
  <c r="AS47" i="49"/>
  <c r="AS48" i="49" s="1"/>
  <c r="AN48" i="49"/>
  <c r="AJ175" i="48"/>
  <c r="AO61" i="48"/>
  <c r="AO61" i="53" s="1"/>
  <c r="AK175" i="48"/>
  <c r="AP61" i="48"/>
  <c r="AP61" i="53" s="1"/>
  <c r="AB29" i="50"/>
  <c r="X47" i="42"/>
  <c r="G51" i="42"/>
  <c r="F51" i="42"/>
  <c r="E51" i="42"/>
  <c r="D51" i="42"/>
  <c r="L51" i="42"/>
  <c r="K51" i="42"/>
  <c r="J51" i="42"/>
  <c r="I51" i="42"/>
  <c r="Q51" i="42"/>
  <c r="P51" i="42"/>
  <c r="O51" i="42"/>
  <c r="N51" i="42"/>
  <c r="S51" i="42"/>
  <c r="T51" i="42"/>
  <c r="U51" i="42"/>
  <c r="V51" i="42"/>
  <c r="G49" i="42"/>
  <c r="F49" i="42"/>
  <c r="E49" i="42"/>
  <c r="D49" i="42"/>
  <c r="L49" i="42"/>
  <c r="K49" i="42"/>
  <c r="J49" i="42"/>
  <c r="I49" i="42"/>
  <c r="Q49" i="42"/>
  <c r="P49" i="42"/>
  <c r="O49" i="42"/>
  <c r="N49" i="42"/>
  <c r="S49" i="42"/>
  <c r="T49" i="42"/>
  <c r="U49" i="42"/>
  <c r="V49" i="42"/>
  <c r="G47" i="42"/>
  <c r="F47" i="42"/>
  <c r="E47" i="42"/>
  <c r="D47" i="42"/>
  <c r="L47" i="42"/>
  <c r="K47" i="42"/>
  <c r="J47" i="42"/>
  <c r="I47" i="42"/>
  <c r="Q47" i="42"/>
  <c r="P47" i="42"/>
  <c r="O47" i="42"/>
  <c r="N47" i="42"/>
  <c r="S47" i="42"/>
  <c r="T47" i="42"/>
  <c r="U47" i="42"/>
  <c r="V47" i="42"/>
  <c r="AM44" i="48" l="1"/>
  <c r="AH44" i="53"/>
  <c r="AK54" i="49"/>
  <c r="AE44" i="53"/>
  <c r="AO182" i="48"/>
  <c r="AT98" i="48"/>
  <c r="AM55" i="49"/>
  <c r="AU186" i="48"/>
  <c r="AU112" i="48"/>
  <c r="AI33" i="50"/>
  <c r="AI57" i="50" s="1"/>
  <c r="AE35" i="48"/>
  <c r="AQ112" i="48"/>
  <c r="AQ113" i="48" s="1"/>
  <c r="AM183" i="48"/>
  <c r="AR101" i="48"/>
  <c r="AC58" i="50"/>
  <c r="AD58" i="50" s="1"/>
  <c r="AE58" i="50" s="1"/>
  <c r="AF58" i="50" s="1"/>
  <c r="AB58" i="50"/>
  <c r="AV124" i="48"/>
  <c r="AJ55" i="49"/>
  <c r="X12" i="48"/>
  <c r="AD17" i="50"/>
  <c r="AE10" i="49"/>
  <c r="AJ129" i="48"/>
  <c r="AK163" i="48"/>
  <c r="AJ117" i="48"/>
  <c r="AJ118" i="48" s="1"/>
  <c r="AD21" i="50"/>
  <c r="AE23" i="49"/>
  <c r="AD172" i="48"/>
  <c r="AD28" i="48" s="1"/>
  <c r="AD18" i="48"/>
  <c r="W55" i="50"/>
  <c r="W148" i="48" s="1"/>
  <c r="W39" i="50"/>
  <c r="AM182" i="48"/>
  <c r="AR98" i="48"/>
  <c r="AF165" i="48"/>
  <c r="AE168" i="48"/>
  <c r="AE170" i="48" s="1"/>
  <c r="V55" i="50"/>
  <c r="V148" i="48" s="1"/>
  <c r="V39" i="50"/>
  <c r="AU68" i="48"/>
  <c r="AT61" i="48"/>
  <c r="AT61" i="53" s="1"/>
  <c r="AR180" i="48"/>
  <c r="AS186" i="48"/>
  <c r="AS112" i="48"/>
  <c r="AR47" i="49"/>
  <c r="AR48" i="49" s="1"/>
  <c r="AM48" i="49"/>
  <c r="AT186" i="48"/>
  <c r="AT112" i="48"/>
  <c r="X130" i="48"/>
  <c r="X131" i="48" s="1"/>
  <c r="AU185" i="48"/>
  <c r="AU110" i="48"/>
  <c r="AE77" i="48"/>
  <c r="AR187" i="48"/>
  <c r="AR115" i="48"/>
  <c r="AL111" i="48"/>
  <c r="AI118" i="48"/>
  <c r="AK55" i="49"/>
  <c r="V74" i="48"/>
  <c r="U90" i="48"/>
  <c r="H46" i="50"/>
  <c r="H48" i="50" s="1"/>
  <c r="H11" i="49"/>
  <c r="H20" i="49" s="1"/>
  <c r="AQ115" i="48"/>
  <c r="AQ116" i="48" s="1"/>
  <c r="W146" i="48"/>
  <c r="W36" i="48"/>
  <c r="AU183" i="48"/>
  <c r="V41" i="48"/>
  <c r="V43" i="48" s="1"/>
  <c r="V44" i="48" s="1"/>
  <c r="U57" i="48"/>
  <c r="G53" i="49"/>
  <c r="G43" i="49"/>
  <c r="Y52" i="48"/>
  <c r="Y54" i="48" s="1"/>
  <c r="Z50" i="48"/>
  <c r="M40" i="50"/>
  <c r="I40" i="50"/>
  <c r="AP180" i="48"/>
  <c r="AU94" i="48"/>
  <c r="AT47" i="49"/>
  <c r="AT48" i="49" s="1"/>
  <c r="AO48" i="49"/>
  <c r="AH77" i="48"/>
  <c r="AB47" i="50"/>
  <c r="AB67" i="49"/>
  <c r="AM143" i="48"/>
  <c r="AN143" i="48" s="1"/>
  <c r="X6" i="48"/>
  <c r="AU182" i="48"/>
  <c r="AN183" i="48"/>
  <c r="AS101" i="48"/>
  <c r="AC56" i="49"/>
  <c r="AA83" i="48"/>
  <c r="Z85" i="48"/>
  <c r="Z87" i="48" s="1"/>
  <c r="F53" i="49"/>
  <c r="F43" i="49"/>
  <c r="AF13" i="49"/>
  <c r="AC10" i="50"/>
  <c r="AT180" i="48"/>
  <c r="AF119" i="48"/>
  <c r="AE16" i="48"/>
  <c r="AE9" i="50" s="1"/>
  <c r="AE10" i="50" s="1"/>
  <c r="AE120" i="48"/>
  <c r="AE121" i="48" s="1"/>
  <c r="AC47" i="50"/>
  <c r="AC63" i="49"/>
  <c r="AC29" i="50"/>
  <c r="AD28" i="49"/>
  <c r="AD22" i="48"/>
  <c r="AQ110" i="48"/>
  <c r="AH69" i="48"/>
  <c r="AT183" i="48"/>
  <c r="AE102" i="48"/>
  <c r="AD14" i="48"/>
  <c r="AH57" i="50"/>
  <c r="AD136" i="48"/>
  <c r="AS182" i="48"/>
  <c r="AS180" i="48"/>
  <c r="AU61" i="48"/>
  <c r="AU61" i="53" s="1"/>
  <c r="AS185" i="48"/>
  <c r="AS110" i="48"/>
  <c r="Z20" i="50"/>
  <c r="AA25" i="49"/>
  <c r="AV7" i="48"/>
  <c r="AD19" i="50"/>
  <c r="AE27" i="49"/>
  <c r="AD16" i="49"/>
  <c r="AD8" i="50" s="1"/>
  <c r="AT185" i="48"/>
  <c r="AT110" i="48"/>
  <c r="AI77" i="48"/>
  <c r="V151" i="41"/>
  <c r="Y167" i="41"/>
  <c r="Z167" i="41" s="1"/>
  <c r="Y61" i="41"/>
  <c r="AA61" i="41"/>
  <c r="Z61" i="41"/>
  <c r="AA63" i="41"/>
  <c r="X61" i="41"/>
  <c r="X63" i="41"/>
  <c r="Y145" i="41"/>
  <c r="Z145" i="41" s="1"/>
  <c r="AA145" i="41" s="1"/>
  <c r="AB57" i="41"/>
  <c r="AB90" i="41"/>
  <c r="V173" i="41"/>
  <c r="V172" i="41"/>
  <c r="V152" i="41"/>
  <c r="V145" i="41"/>
  <c r="V144" i="41"/>
  <c r="V143" i="41"/>
  <c r="V124" i="41"/>
  <c r="V116" i="41"/>
  <c r="V113" i="41"/>
  <c r="V111" i="41"/>
  <c r="V109" i="41"/>
  <c r="V101" i="41"/>
  <c r="V98" i="41"/>
  <c r="V96" i="41"/>
  <c r="V94" i="41"/>
  <c r="V89" i="41"/>
  <c r="V86" i="41"/>
  <c r="V68" i="41"/>
  <c r="V65" i="41"/>
  <c r="V63" i="41"/>
  <c r="V61" i="41"/>
  <c r="V56" i="41"/>
  <c r="V53" i="41"/>
  <c r="V43" i="41"/>
  <c r="V44" i="41"/>
  <c r="V56" i="42"/>
  <c r="V55" i="42"/>
  <c r="V54" i="42"/>
  <c r="V53" i="42"/>
  <c r="V52" i="42"/>
  <c r="V46" i="42"/>
  <c r="V50" i="42" s="1"/>
  <c r="V50" i="45" s="1"/>
  <c r="V37" i="42"/>
  <c r="V28" i="42"/>
  <c r="V56" i="43"/>
  <c r="V56" i="46" s="1"/>
  <c r="V55" i="43"/>
  <c r="V54" i="43"/>
  <c r="V53" i="43"/>
  <c r="V38" i="43"/>
  <c r="V36" i="43"/>
  <c r="V35" i="43"/>
  <c r="V34" i="43"/>
  <c r="V33" i="43"/>
  <c r="V32" i="43"/>
  <c r="V29" i="43"/>
  <c r="V30" i="43"/>
  <c r="V26" i="43"/>
  <c r="V25" i="43"/>
  <c r="V24" i="43"/>
  <c r="V21" i="43"/>
  <c r="V19" i="43"/>
  <c r="V18" i="43"/>
  <c r="V20" i="43"/>
  <c r="V16" i="43"/>
  <c r="V15" i="43"/>
  <c r="V13" i="43"/>
  <c r="V12" i="43"/>
  <c r="V10" i="43"/>
  <c r="V9" i="43"/>
  <c r="V8" i="43"/>
  <c r="V7" i="43"/>
  <c r="V31" i="43"/>
  <c r="V19" i="46"/>
  <c r="V17" i="43"/>
  <c r="V11" i="43"/>
  <c r="AL60" i="46"/>
  <c r="AL62" i="46"/>
  <c r="AL63" i="46"/>
  <c r="E53" i="46"/>
  <c r="F53" i="46"/>
  <c r="G53" i="46"/>
  <c r="H53" i="46"/>
  <c r="I53" i="46"/>
  <c r="J53" i="46"/>
  <c r="K53" i="46"/>
  <c r="L53" i="46"/>
  <c r="M53" i="46"/>
  <c r="N53" i="46"/>
  <c r="O53" i="46"/>
  <c r="P53" i="46"/>
  <c r="Q53" i="46"/>
  <c r="R53" i="46"/>
  <c r="S53" i="46"/>
  <c r="T53" i="46"/>
  <c r="U53" i="46"/>
  <c r="V53" i="46"/>
  <c r="W53" i="46"/>
  <c r="AB53" i="46"/>
  <c r="AG53" i="46"/>
  <c r="AL53" i="46"/>
  <c r="AQ53" i="46"/>
  <c r="AV53" i="46"/>
  <c r="E54" i="46"/>
  <c r="F54" i="46"/>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E55" i="46"/>
  <c r="F55" i="46"/>
  <c r="G55" i="46"/>
  <c r="H55" i="46"/>
  <c r="I55" i="46"/>
  <c r="J55" i="46"/>
  <c r="K55" i="46"/>
  <c r="L55" i="46"/>
  <c r="M55" i="46"/>
  <c r="N55" i="46"/>
  <c r="O55" i="46"/>
  <c r="P55" i="46"/>
  <c r="Q55" i="46"/>
  <c r="R55" i="46"/>
  <c r="S55" i="46"/>
  <c r="T55" i="46"/>
  <c r="U55" i="46"/>
  <c r="E56" i="46"/>
  <c r="F56" i="46"/>
  <c r="G56" i="46"/>
  <c r="H56" i="46"/>
  <c r="I56" i="46"/>
  <c r="J56" i="46"/>
  <c r="K56" i="46"/>
  <c r="L56" i="46"/>
  <c r="M56" i="46"/>
  <c r="N56" i="46"/>
  <c r="O56" i="46"/>
  <c r="P56" i="46"/>
  <c r="Q56" i="46"/>
  <c r="R56" i="46"/>
  <c r="S56" i="46"/>
  <c r="T56" i="46"/>
  <c r="U56" i="46"/>
  <c r="X56" i="46"/>
  <c r="AC56" i="46"/>
  <c r="AH56" i="46"/>
  <c r="E57" i="46"/>
  <c r="F57" i="46"/>
  <c r="G57" i="46"/>
  <c r="H57" i="46"/>
  <c r="I57" i="46"/>
  <c r="J57" i="46"/>
  <c r="K57" i="46"/>
  <c r="L57" i="46"/>
  <c r="M57" i="46"/>
  <c r="N57" i="46"/>
  <c r="O57" i="46"/>
  <c r="P57" i="46"/>
  <c r="Q57" i="46"/>
  <c r="R57" i="46"/>
  <c r="S57" i="46"/>
  <c r="T57" i="46"/>
  <c r="U57" i="46"/>
  <c r="E58" i="46"/>
  <c r="F58" i="46"/>
  <c r="G58" i="46"/>
  <c r="H58" i="46"/>
  <c r="I58" i="46"/>
  <c r="J58" i="46"/>
  <c r="K58" i="46"/>
  <c r="L58" i="46"/>
  <c r="M58" i="46"/>
  <c r="N58" i="46"/>
  <c r="O58" i="46"/>
  <c r="P58" i="46"/>
  <c r="Q58" i="46"/>
  <c r="R58" i="46"/>
  <c r="S58" i="46"/>
  <c r="T58" i="46"/>
  <c r="U58" i="46"/>
  <c r="V58" i="46"/>
  <c r="W58" i="46"/>
  <c r="AM58" i="46"/>
  <c r="AN58" i="46"/>
  <c r="AO58" i="46"/>
  <c r="AP58" i="46"/>
  <c r="AQ58" i="46"/>
  <c r="AR58" i="46"/>
  <c r="AS58" i="46"/>
  <c r="AT58" i="46"/>
  <c r="AU58" i="46"/>
  <c r="AV58" i="46"/>
  <c r="D54" i="46"/>
  <c r="D55" i="46"/>
  <c r="D56" i="46"/>
  <c r="D57" i="46"/>
  <c r="D58" i="46"/>
  <c r="D53" i="46"/>
  <c r="E6" i="46"/>
  <c r="F6" i="46"/>
  <c r="G6" i="46"/>
  <c r="H6" i="46"/>
  <c r="I6" i="46"/>
  <c r="J6" i="46"/>
  <c r="K6" i="46"/>
  <c r="L6" i="46"/>
  <c r="M6" i="46"/>
  <c r="N6" i="46"/>
  <c r="O6" i="46"/>
  <c r="P6" i="46"/>
  <c r="Q6" i="46"/>
  <c r="R6" i="46"/>
  <c r="S6" i="46"/>
  <c r="T6" i="46"/>
  <c r="U6" i="46"/>
  <c r="E7" i="46"/>
  <c r="F7" i="46"/>
  <c r="G7" i="46"/>
  <c r="H7" i="46"/>
  <c r="I7" i="46"/>
  <c r="J7" i="46"/>
  <c r="K7" i="46"/>
  <c r="L7" i="46"/>
  <c r="M7" i="46"/>
  <c r="N7" i="46"/>
  <c r="O7" i="46"/>
  <c r="P7" i="46"/>
  <c r="Q7" i="46"/>
  <c r="R7" i="46"/>
  <c r="S7" i="46"/>
  <c r="T7" i="46"/>
  <c r="U7" i="46"/>
  <c r="V7" i="46"/>
  <c r="E8" i="46"/>
  <c r="F8" i="46"/>
  <c r="G8" i="46"/>
  <c r="H8" i="46"/>
  <c r="I8" i="46"/>
  <c r="J8" i="46"/>
  <c r="K8" i="46"/>
  <c r="L8" i="46"/>
  <c r="M8" i="46"/>
  <c r="N8" i="46"/>
  <c r="O8" i="46"/>
  <c r="P8" i="46"/>
  <c r="Q8" i="46"/>
  <c r="R8" i="46"/>
  <c r="S8" i="46"/>
  <c r="T8" i="46"/>
  <c r="U8" i="46"/>
  <c r="V8" i="46"/>
  <c r="E9" i="46"/>
  <c r="F9" i="46"/>
  <c r="G9" i="46"/>
  <c r="H9" i="46"/>
  <c r="I9" i="46"/>
  <c r="J9" i="46"/>
  <c r="K9" i="46"/>
  <c r="L9" i="46"/>
  <c r="M9" i="46"/>
  <c r="N9" i="46"/>
  <c r="O9" i="46"/>
  <c r="P9" i="46"/>
  <c r="Q9" i="46"/>
  <c r="R9" i="46"/>
  <c r="S9" i="46"/>
  <c r="T9" i="46"/>
  <c r="U9" i="46"/>
  <c r="E10" i="46"/>
  <c r="F10" i="46"/>
  <c r="G10" i="46"/>
  <c r="H10" i="46"/>
  <c r="I10" i="46"/>
  <c r="J10" i="46"/>
  <c r="K10" i="46"/>
  <c r="L10" i="46"/>
  <c r="M10" i="46"/>
  <c r="N10" i="46"/>
  <c r="O10" i="46"/>
  <c r="P10" i="46"/>
  <c r="Q10" i="46"/>
  <c r="R10" i="46"/>
  <c r="S10" i="46"/>
  <c r="T10" i="46"/>
  <c r="U10" i="46"/>
  <c r="E11" i="46"/>
  <c r="F11" i="46"/>
  <c r="G11" i="46"/>
  <c r="H11" i="46"/>
  <c r="I11" i="46"/>
  <c r="J11" i="46"/>
  <c r="K11" i="46"/>
  <c r="L11" i="46"/>
  <c r="M11" i="46"/>
  <c r="N11" i="46"/>
  <c r="O11" i="46"/>
  <c r="P11" i="46"/>
  <c r="Q11" i="46"/>
  <c r="R11" i="46"/>
  <c r="S11" i="46"/>
  <c r="T11" i="46"/>
  <c r="U11" i="46"/>
  <c r="V11" i="46"/>
  <c r="X11" i="46"/>
  <c r="Y11" i="46"/>
  <c r="Z11" i="46"/>
  <c r="AA11" i="46"/>
  <c r="AB11" i="46"/>
  <c r="AC11" i="46"/>
  <c r="AD11" i="46"/>
  <c r="AE11" i="46"/>
  <c r="AF11" i="46"/>
  <c r="AG11" i="46"/>
  <c r="AH11" i="46"/>
  <c r="AI11" i="46"/>
  <c r="AJ11" i="46"/>
  <c r="AK11" i="46"/>
  <c r="AL11" i="46"/>
  <c r="AM11" i="46"/>
  <c r="AN11" i="46"/>
  <c r="AO11" i="46"/>
  <c r="AP11" i="46"/>
  <c r="AQ11" i="46"/>
  <c r="AR11" i="46"/>
  <c r="AS11" i="46"/>
  <c r="AT11" i="46"/>
  <c r="AU11" i="46"/>
  <c r="AV11" i="46"/>
  <c r="E12" i="46"/>
  <c r="F12" i="46"/>
  <c r="G12" i="46"/>
  <c r="H12" i="46"/>
  <c r="I12" i="46"/>
  <c r="J12" i="46"/>
  <c r="K12" i="46"/>
  <c r="L12" i="46"/>
  <c r="M12" i="46"/>
  <c r="N12" i="46"/>
  <c r="O12" i="46"/>
  <c r="P12" i="46"/>
  <c r="Q12" i="46"/>
  <c r="R12" i="46"/>
  <c r="S12" i="46"/>
  <c r="T12" i="46"/>
  <c r="U12" i="46"/>
  <c r="E13" i="46"/>
  <c r="F13" i="46"/>
  <c r="G13" i="46"/>
  <c r="H13" i="46"/>
  <c r="I13" i="46"/>
  <c r="J13" i="46"/>
  <c r="K13" i="46"/>
  <c r="L13" i="46"/>
  <c r="M13" i="46"/>
  <c r="N13" i="46"/>
  <c r="O13" i="46"/>
  <c r="P13" i="46"/>
  <c r="Q13" i="46"/>
  <c r="R13" i="46"/>
  <c r="S13" i="46"/>
  <c r="T13" i="46"/>
  <c r="U13" i="46"/>
  <c r="V13" i="46"/>
  <c r="X13" i="46"/>
  <c r="Y13" i="46"/>
  <c r="Z13" i="46"/>
  <c r="AA13" i="46"/>
  <c r="AB13" i="46"/>
  <c r="AC13" i="46"/>
  <c r="AD13" i="46"/>
  <c r="AE13" i="46"/>
  <c r="AF13" i="46"/>
  <c r="AG13" i="46"/>
  <c r="AH13" i="46"/>
  <c r="AI13" i="46"/>
  <c r="AJ13" i="46"/>
  <c r="AK13" i="46"/>
  <c r="AL13" i="46"/>
  <c r="AM13" i="46"/>
  <c r="AN13" i="46"/>
  <c r="AO13" i="46"/>
  <c r="AP13" i="46"/>
  <c r="AQ13" i="46"/>
  <c r="AR13" i="46"/>
  <c r="AS13" i="46"/>
  <c r="AT13" i="46"/>
  <c r="AU13" i="46"/>
  <c r="AV13" i="46"/>
  <c r="E14" i="46"/>
  <c r="F14" i="46"/>
  <c r="G14" i="46"/>
  <c r="H14" i="46"/>
  <c r="I14" i="46"/>
  <c r="J14" i="46"/>
  <c r="K14" i="46"/>
  <c r="L14" i="46"/>
  <c r="M14" i="46"/>
  <c r="N14" i="46"/>
  <c r="O14" i="46"/>
  <c r="P14" i="46"/>
  <c r="Q14" i="46"/>
  <c r="R14" i="46"/>
  <c r="S14" i="46"/>
  <c r="T14" i="46"/>
  <c r="U14" i="46"/>
  <c r="V14" i="46"/>
  <c r="W14" i="46"/>
  <c r="X14" i="46"/>
  <c r="Y14" i="46"/>
  <c r="Z14" i="46"/>
  <c r="AA14" i="46"/>
  <c r="AB14" i="46"/>
  <c r="AC14" i="46"/>
  <c r="AD14" i="46"/>
  <c r="AE14" i="46"/>
  <c r="AF14" i="46"/>
  <c r="AG14" i="46"/>
  <c r="AH14" i="46"/>
  <c r="AI14" i="46"/>
  <c r="AJ14" i="46"/>
  <c r="AK14" i="46"/>
  <c r="AL14" i="46"/>
  <c r="AM14" i="46"/>
  <c r="AN14" i="46"/>
  <c r="AO14" i="46"/>
  <c r="AP14" i="46"/>
  <c r="AQ14" i="46"/>
  <c r="AR14" i="46"/>
  <c r="AS14" i="46"/>
  <c r="AT14" i="46"/>
  <c r="AU14" i="46"/>
  <c r="AV14" i="46"/>
  <c r="E15" i="46"/>
  <c r="F15" i="46"/>
  <c r="G15" i="46"/>
  <c r="H15" i="46"/>
  <c r="I15" i="46"/>
  <c r="J15" i="46"/>
  <c r="K15" i="46"/>
  <c r="L15" i="46"/>
  <c r="M15" i="46"/>
  <c r="N15" i="46"/>
  <c r="O15" i="46"/>
  <c r="P15" i="46"/>
  <c r="Q15" i="46"/>
  <c r="R15" i="46"/>
  <c r="S15" i="46"/>
  <c r="T15" i="46"/>
  <c r="U15" i="46"/>
  <c r="E16" i="46"/>
  <c r="F16" i="46"/>
  <c r="G16" i="46"/>
  <c r="H16" i="46"/>
  <c r="I16" i="46"/>
  <c r="J16" i="46"/>
  <c r="K16" i="46"/>
  <c r="L16" i="46"/>
  <c r="M16" i="46"/>
  <c r="N16" i="46"/>
  <c r="O16" i="46"/>
  <c r="P16" i="46"/>
  <c r="Q16" i="46"/>
  <c r="R16" i="46"/>
  <c r="S16" i="46"/>
  <c r="T16" i="46"/>
  <c r="U16" i="46"/>
  <c r="E17" i="46"/>
  <c r="F17" i="46"/>
  <c r="G17" i="46"/>
  <c r="H17" i="46"/>
  <c r="I17" i="46"/>
  <c r="J17" i="46"/>
  <c r="K17" i="46"/>
  <c r="L17" i="46"/>
  <c r="M17" i="46"/>
  <c r="N17" i="46"/>
  <c r="O17" i="46"/>
  <c r="P17" i="46"/>
  <c r="Q17" i="46"/>
  <c r="R17" i="46"/>
  <c r="S17" i="46"/>
  <c r="T17" i="46"/>
  <c r="U17" i="46"/>
  <c r="V17" i="46"/>
  <c r="E18" i="46"/>
  <c r="F18" i="46"/>
  <c r="G18" i="46"/>
  <c r="H18" i="46"/>
  <c r="I18" i="46"/>
  <c r="J18" i="46"/>
  <c r="K18" i="46"/>
  <c r="L18" i="46"/>
  <c r="M18" i="46"/>
  <c r="N18" i="46"/>
  <c r="O18" i="46"/>
  <c r="P18" i="46"/>
  <c r="Q18" i="46"/>
  <c r="R18" i="46"/>
  <c r="S18" i="46"/>
  <c r="T18" i="46"/>
  <c r="U18" i="46"/>
  <c r="E19" i="46"/>
  <c r="F19" i="46"/>
  <c r="G19" i="46"/>
  <c r="H19" i="46"/>
  <c r="I19" i="46"/>
  <c r="J19" i="46"/>
  <c r="K19" i="46"/>
  <c r="L19" i="46"/>
  <c r="M19" i="46"/>
  <c r="N19" i="46"/>
  <c r="O19" i="46"/>
  <c r="P19" i="46"/>
  <c r="Q19" i="46"/>
  <c r="R19" i="46"/>
  <c r="S19" i="46"/>
  <c r="T19" i="46"/>
  <c r="U19" i="46"/>
  <c r="E20" i="46"/>
  <c r="F20" i="46"/>
  <c r="G20" i="46"/>
  <c r="H20" i="46"/>
  <c r="I20" i="46"/>
  <c r="J20" i="46"/>
  <c r="K20" i="46"/>
  <c r="L20" i="46"/>
  <c r="M20" i="46"/>
  <c r="N20" i="46"/>
  <c r="O20" i="46"/>
  <c r="P20" i="46"/>
  <c r="Q20" i="46"/>
  <c r="R20" i="46"/>
  <c r="S20" i="46"/>
  <c r="T20" i="46"/>
  <c r="U20" i="46"/>
  <c r="V20" i="46"/>
  <c r="X20" i="46"/>
  <c r="Y20" i="46"/>
  <c r="Z20" i="46"/>
  <c r="AA20" i="46"/>
  <c r="AB20" i="46"/>
  <c r="AC20" i="46"/>
  <c r="AD20" i="46"/>
  <c r="AE20" i="46"/>
  <c r="AF20" i="46"/>
  <c r="AG20" i="46"/>
  <c r="AH20" i="46"/>
  <c r="AI20" i="46"/>
  <c r="AJ20" i="46"/>
  <c r="AK20" i="46"/>
  <c r="AL20" i="46"/>
  <c r="AM20" i="46"/>
  <c r="AN20" i="46"/>
  <c r="AO20" i="46"/>
  <c r="AP20" i="46"/>
  <c r="AQ20" i="46"/>
  <c r="AR20" i="46"/>
  <c r="AS20" i="46"/>
  <c r="AT20" i="46"/>
  <c r="AU20" i="46"/>
  <c r="AV20" i="46"/>
  <c r="E21" i="46"/>
  <c r="F21" i="46"/>
  <c r="G21" i="46"/>
  <c r="H21" i="46"/>
  <c r="I21" i="46"/>
  <c r="J21" i="46"/>
  <c r="K21" i="46"/>
  <c r="L21" i="46"/>
  <c r="M21" i="46"/>
  <c r="N21" i="46"/>
  <c r="O21" i="46"/>
  <c r="P21" i="46"/>
  <c r="Q21" i="46"/>
  <c r="R21" i="46"/>
  <c r="S21" i="46"/>
  <c r="T21" i="46"/>
  <c r="U21" i="46"/>
  <c r="V21" i="46"/>
  <c r="E22" i="46"/>
  <c r="F22" i="46"/>
  <c r="G22" i="46"/>
  <c r="H22" i="46"/>
  <c r="I22" i="46"/>
  <c r="J22" i="46"/>
  <c r="K22" i="46"/>
  <c r="L22" i="46"/>
  <c r="M22" i="46"/>
  <c r="N22" i="46"/>
  <c r="O22" i="46"/>
  <c r="P22" i="46"/>
  <c r="Q22" i="46"/>
  <c r="R22" i="46"/>
  <c r="S22" i="46"/>
  <c r="T22" i="46"/>
  <c r="U22" i="46"/>
  <c r="E23" i="46"/>
  <c r="F23" i="46"/>
  <c r="G23" i="46"/>
  <c r="H23" i="46"/>
  <c r="I23" i="46"/>
  <c r="J23" i="46"/>
  <c r="K23" i="46"/>
  <c r="L23" i="46"/>
  <c r="M23" i="46"/>
  <c r="N23" i="46"/>
  <c r="O23" i="46"/>
  <c r="P23" i="46"/>
  <c r="Q23" i="46"/>
  <c r="R23" i="46"/>
  <c r="S23" i="46"/>
  <c r="T23" i="46"/>
  <c r="U23" i="46"/>
  <c r="V23" i="46"/>
  <c r="W23" i="46"/>
  <c r="X23" i="46"/>
  <c r="Y23" i="46"/>
  <c r="Z23" i="46"/>
  <c r="AA23" i="46"/>
  <c r="AB23" i="46"/>
  <c r="AC23" i="46"/>
  <c r="AD23" i="46"/>
  <c r="AE23" i="46"/>
  <c r="AF23" i="46"/>
  <c r="AG23" i="46"/>
  <c r="AH23" i="46"/>
  <c r="AI23" i="46"/>
  <c r="AJ23" i="46"/>
  <c r="AK23" i="46"/>
  <c r="AL23" i="46"/>
  <c r="AM23" i="46"/>
  <c r="AN23" i="46"/>
  <c r="AO23" i="46"/>
  <c r="AP23" i="46"/>
  <c r="AQ23" i="46"/>
  <c r="AR23" i="46"/>
  <c r="AS23" i="46"/>
  <c r="AT23" i="46"/>
  <c r="AU23" i="46"/>
  <c r="AV23" i="46"/>
  <c r="E24" i="46"/>
  <c r="F24" i="46"/>
  <c r="G24" i="46"/>
  <c r="H24" i="46"/>
  <c r="I24" i="46"/>
  <c r="J24" i="46"/>
  <c r="K24" i="46"/>
  <c r="L24" i="46"/>
  <c r="M24" i="46"/>
  <c r="N24" i="46"/>
  <c r="O24" i="46"/>
  <c r="P24" i="46"/>
  <c r="Q24" i="46"/>
  <c r="R24" i="46"/>
  <c r="S24" i="46"/>
  <c r="T24" i="46"/>
  <c r="U24" i="46"/>
  <c r="E25" i="46"/>
  <c r="F25" i="46"/>
  <c r="G25" i="46"/>
  <c r="H25" i="46"/>
  <c r="I25" i="46"/>
  <c r="J25" i="46"/>
  <c r="K25" i="46"/>
  <c r="L25" i="46"/>
  <c r="M25" i="46"/>
  <c r="N25" i="46"/>
  <c r="O25" i="46"/>
  <c r="P25" i="46"/>
  <c r="Q25" i="46"/>
  <c r="R25" i="46"/>
  <c r="S25" i="46"/>
  <c r="T25" i="46"/>
  <c r="U25" i="46"/>
  <c r="E26" i="46"/>
  <c r="F26" i="46"/>
  <c r="G26" i="46"/>
  <c r="H26" i="46"/>
  <c r="I26" i="46"/>
  <c r="J26" i="46"/>
  <c r="K26" i="46"/>
  <c r="L26" i="46"/>
  <c r="M26" i="46"/>
  <c r="N26" i="46"/>
  <c r="O26" i="46"/>
  <c r="P26" i="46"/>
  <c r="Q26" i="46"/>
  <c r="R26" i="46"/>
  <c r="S26" i="46"/>
  <c r="T26" i="46"/>
  <c r="U26" i="46"/>
  <c r="E27" i="46"/>
  <c r="F27" i="46"/>
  <c r="G27" i="46"/>
  <c r="H27" i="46"/>
  <c r="I27" i="46"/>
  <c r="J27" i="46"/>
  <c r="K27" i="46"/>
  <c r="L27" i="46"/>
  <c r="M27" i="46"/>
  <c r="N27" i="46"/>
  <c r="O27" i="46"/>
  <c r="P27" i="46"/>
  <c r="Q27" i="46"/>
  <c r="R27" i="46"/>
  <c r="S27" i="46"/>
  <c r="T27" i="46"/>
  <c r="U27" i="46"/>
  <c r="E28" i="46"/>
  <c r="F28" i="46"/>
  <c r="G28" i="46"/>
  <c r="H28" i="46"/>
  <c r="I28" i="46"/>
  <c r="J28" i="46"/>
  <c r="K28" i="46"/>
  <c r="L28" i="46"/>
  <c r="M28" i="46"/>
  <c r="N28" i="46"/>
  <c r="O28" i="46"/>
  <c r="P28" i="46"/>
  <c r="Q28" i="46"/>
  <c r="R28" i="46"/>
  <c r="S28" i="46"/>
  <c r="T28" i="46"/>
  <c r="U28" i="46"/>
  <c r="V28" i="46"/>
  <c r="W28" i="46"/>
  <c r="X28" i="46"/>
  <c r="Y28" i="46"/>
  <c r="Z28" i="46"/>
  <c r="AA28" i="46"/>
  <c r="AB28" i="46"/>
  <c r="AC28" i="46"/>
  <c r="AD28" i="46"/>
  <c r="AE28" i="46"/>
  <c r="AF28" i="46"/>
  <c r="AG28" i="46"/>
  <c r="AH28" i="46"/>
  <c r="AI28" i="46"/>
  <c r="AJ28" i="46"/>
  <c r="AK28" i="46"/>
  <c r="AL28" i="46"/>
  <c r="AM28" i="46"/>
  <c r="AN28" i="46"/>
  <c r="AO28" i="46"/>
  <c r="AP28" i="46"/>
  <c r="AQ28" i="46"/>
  <c r="AR28" i="46"/>
  <c r="AS28" i="46"/>
  <c r="AT28" i="46"/>
  <c r="AU28" i="46"/>
  <c r="AV28" i="46"/>
  <c r="E29" i="46"/>
  <c r="F29" i="46"/>
  <c r="G29" i="46"/>
  <c r="H29" i="46"/>
  <c r="I29" i="46"/>
  <c r="J29" i="46"/>
  <c r="K29" i="46"/>
  <c r="L29" i="46"/>
  <c r="M29" i="46"/>
  <c r="N29" i="46"/>
  <c r="O29" i="46"/>
  <c r="P29" i="46"/>
  <c r="Q29" i="46"/>
  <c r="R29" i="46"/>
  <c r="S29" i="46"/>
  <c r="T29" i="46"/>
  <c r="U29" i="46"/>
  <c r="V29" i="46"/>
  <c r="E30" i="46"/>
  <c r="F30" i="46"/>
  <c r="G30" i="46"/>
  <c r="H30" i="46"/>
  <c r="I30" i="46"/>
  <c r="J30" i="46"/>
  <c r="K30" i="46"/>
  <c r="L30" i="46"/>
  <c r="M30" i="46"/>
  <c r="N30" i="46"/>
  <c r="O30" i="46"/>
  <c r="P30" i="46"/>
  <c r="Q30" i="46"/>
  <c r="R30" i="46"/>
  <c r="S30" i="46"/>
  <c r="T30" i="46"/>
  <c r="U30" i="46"/>
  <c r="V30" i="46"/>
  <c r="X30" i="46"/>
  <c r="Y30" i="46"/>
  <c r="Z30" i="46"/>
  <c r="AA30" i="46"/>
  <c r="AB30" i="46"/>
  <c r="AC30" i="46"/>
  <c r="AD30" i="46"/>
  <c r="AE30" i="46"/>
  <c r="AF30" i="46"/>
  <c r="AG30" i="46"/>
  <c r="AH30" i="46"/>
  <c r="AI30" i="46"/>
  <c r="AJ30" i="46"/>
  <c r="AK30" i="46"/>
  <c r="AL30" i="46"/>
  <c r="AM30" i="46"/>
  <c r="AN30" i="46"/>
  <c r="AO30" i="46"/>
  <c r="AP30" i="46"/>
  <c r="AQ30" i="46"/>
  <c r="AR30" i="46"/>
  <c r="AS30" i="46"/>
  <c r="AT30" i="46"/>
  <c r="AU30" i="46"/>
  <c r="AV30" i="46"/>
  <c r="E31" i="46"/>
  <c r="F31" i="46"/>
  <c r="G31" i="46"/>
  <c r="H31" i="46"/>
  <c r="I31" i="46"/>
  <c r="J31" i="46"/>
  <c r="K31" i="46"/>
  <c r="L31" i="46"/>
  <c r="M31" i="46"/>
  <c r="N31" i="46"/>
  <c r="O31" i="46"/>
  <c r="P31" i="46"/>
  <c r="Q31" i="46"/>
  <c r="R31" i="46"/>
  <c r="S31" i="46"/>
  <c r="T31" i="46"/>
  <c r="U31" i="46"/>
  <c r="V31" i="46"/>
  <c r="X31" i="46"/>
  <c r="Y31" i="46"/>
  <c r="Z31" i="46"/>
  <c r="AA31" i="46"/>
  <c r="AB31" i="46"/>
  <c r="AC31" i="46"/>
  <c r="AD31" i="46"/>
  <c r="AE31" i="46"/>
  <c r="AF31" i="46"/>
  <c r="AG31" i="46"/>
  <c r="AH31" i="46"/>
  <c r="AI31" i="46"/>
  <c r="AJ31" i="46"/>
  <c r="AK31" i="46"/>
  <c r="AL31" i="46"/>
  <c r="AM31" i="46"/>
  <c r="AN31" i="46"/>
  <c r="AO31" i="46"/>
  <c r="AP31" i="46"/>
  <c r="AQ31" i="46"/>
  <c r="AR31" i="46"/>
  <c r="AS31" i="46"/>
  <c r="AT31" i="46"/>
  <c r="AU31" i="46"/>
  <c r="AV31" i="46"/>
  <c r="E32" i="46"/>
  <c r="F32" i="46"/>
  <c r="G32" i="46"/>
  <c r="H32" i="46"/>
  <c r="I32" i="46"/>
  <c r="J32" i="46"/>
  <c r="K32" i="46"/>
  <c r="L32" i="46"/>
  <c r="M32" i="46"/>
  <c r="N32" i="46"/>
  <c r="O32" i="46"/>
  <c r="P32" i="46"/>
  <c r="Q32" i="46"/>
  <c r="R32" i="46"/>
  <c r="S32" i="46"/>
  <c r="T32" i="46"/>
  <c r="U32" i="46"/>
  <c r="V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E33" i="46"/>
  <c r="F33" i="46"/>
  <c r="G33" i="46"/>
  <c r="H33" i="46"/>
  <c r="I33" i="46"/>
  <c r="J33" i="46"/>
  <c r="K33" i="46"/>
  <c r="L33" i="46"/>
  <c r="M33" i="46"/>
  <c r="N33" i="46"/>
  <c r="O33" i="46"/>
  <c r="P33" i="46"/>
  <c r="Q33" i="46"/>
  <c r="R33" i="46"/>
  <c r="S33" i="46"/>
  <c r="T33" i="46"/>
  <c r="U33" i="46"/>
  <c r="E34" i="46"/>
  <c r="F34" i="46"/>
  <c r="G34" i="46"/>
  <c r="H34" i="46"/>
  <c r="I34" i="46"/>
  <c r="J34" i="46"/>
  <c r="K34" i="46"/>
  <c r="L34" i="46"/>
  <c r="M34" i="46"/>
  <c r="N34" i="46"/>
  <c r="O34" i="46"/>
  <c r="P34" i="46"/>
  <c r="Q34" i="46"/>
  <c r="R34" i="46"/>
  <c r="S34" i="46"/>
  <c r="T34" i="46"/>
  <c r="U34" i="46"/>
  <c r="V34" i="46"/>
  <c r="X34" i="46"/>
  <c r="Y34" i="46"/>
  <c r="Z34" i="46"/>
  <c r="AA34" i="46"/>
  <c r="AB34" i="46"/>
  <c r="AC34" i="46"/>
  <c r="AD34" i="46"/>
  <c r="AM34" i="46"/>
  <c r="AN34" i="46"/>
  <c r="AO34" i="46"/>
  <c r="AP34" i="46"/>
  <c r="AQ34" i="46"/>
  <c r="AR34" i="46"/>
  <c r="AS34" i="46"/>
  <c r="AT34" i="46"/>
  <c r="AU34" i="46"/>
  <c r="AV34" i="46"/>
  <c r="E35" i="46"/>
  <c r="F35" i="46"/>
  <c r="G35" i="46"/>
  <c r="H35" i="46"/>
  <c r="I35" i="46"/>
  <c r="J35" i="46"/>
  <c r="K35" i="46"/>
  <c r="L35" i="46"/>
  <c r="M35" i="46"/>
  <c r="N35" i="46"/>
  <c r="O35" i="46"/>
  <c r="P35" i="46"/>
  <c r="Q35" i="46"/>
  <c r="R35" i="46"/>
  <c r="S35" i="46"/>
  <c r="T35" i="46"/>
  <c r="U35" i="46"/>
  <c r="E36" i="46"/>
  <c r="F36" i="46"/>
  <c r="G36" i="46"/>
  <c r="H36" i="46"/>
  <c r="I36" i="46"/>
  <c r="J36" i="46"/>
  <c r="K36" i="46"/>
  <c r="L36" i="46"/>
  <c r="M36" i="46"/>
  <c r="N36" i="46"/>
  <c r="O36" i="46"/>
  <c r="P36" i="46"/>
  <c r="Q36" i="46"/>
  <c r="R36" i="46"/>
  <c r="S36" i="46"/>
  <c r="T36" i="46"/>
  <c r="U36" i="46"/>
  <c r="V36" i="46"/>
  <c r="X36" i="46"/>
  <c r="Y36" i="46"/>
  <c r="Z36" i="46"/>
  <c r="AA36" i="46"/>
  <c r="AB36" i="46"/>
  <c r="AC36" i="46"/>
  <c r="AD36" i="46"/>
  <c r="AE36" i="46"/>
  <c r="AF36" i="46"/>
  <c r="AG36" i="46"/>
  <c r="AH36" i="46"/>
  <c r="AI36" i="46"/>
  <c r="AJ36" i="46"/>
  <c r="AK36" i="46"/>
  <c r="AL36" i="46"/>
  <c r="AM36" i="46"/>
  <c r="AN36" i="46"/>
  <c r="AO36" i="46"/>
  <c r="AP36" i="46"/>
  <c r="AQ36" i="46"/>
  <c r="AR36" i="46"/>
  <c r="AS36" i="46"/>
  <c r="AT36" i="46"/>
  <c r="AU36" i="46"/>
  <c r="AV36" i="46"/>
  <c r="E37" i="46"/>
  <c r="F37" i="46"/>
  <c r="G37" i="46"/>
  <c r="H37" i="46"/>
  <c r="I37" i="46"/>
  <c r="J37" i="46"/>
  <c r="K37" i="46"/>
  <c r="L37" i="46"/>
  <c r="M37" i="46"/>
  <c r="N37" i="46"/>
  <c r="O37" i="46"/>
  <c r="P37" i="46"/>
  <c r="Q37" i="46"/>
  <c r="R37" i="46"/>
  <c r="S37" i="46"/>
  <c r="T37" i="46"/>
  <c r="U37" i="46"/>
  <c r="E38" i="46"/>
  <c r="F38" i="46"/>
  <c r="G38" i="46"/>
  <c r="H38" i="46"/>
  <c r="I38" i="46"/>
  <c r="J38" i="46"/>
  <c r="K38" i="46"/>
  <c r="L38" i="46"/>
  <c r="M38" i="46"/>
  <c r="N38" i="46"/>
  <c r="O38" i="46"/>
  <c r="P38" i="46"/>
  <c r="Q38" i="46"/>
  <c r="R38" i="46"/>
  <c r="S38" i="46"/>
  <c r="T38" i="46"/>
  <c r="U38" i="46"/>
  <c r="V38" i="46"/>
  <c r="X38" i="46"/>
  <c r="Y38" i="46"/>
  <c r="Z38" i="46"/>
  <c r="AA38" i="46"/>
  <c r="AB38" i="46"/>
  <c r="AC38" i="46"/>
  <c r="AD38" i="46"/>
  <c r="AE38" i="46"/>
  <c r="AF38" i="46"/>
  <c r="AG38" i="46"/>
  <c r="AH38" i="46"/>
  <c r="AI38" i="46"/>
  <c r="AJ38" i="46"/>
  <c r="AK38" i="46"/>
  <c r="AL38" i="46"/>
  <c r="AM38" i="46"/>
  <c r="AN38" i="46"/>
  <c r="AO38" i="46"/>
  <c r="AP38" i="46"/>
  <c r="AQ38" i="46"/>
  <c r="AR38" i="46"/>
  <c r="AS38" i="46"/>
  <c r="AT38" i="46"/>
  <c r="AU38" i="46"/>
  <c r="AV38" i="46"/>
  <c r="E39" i="46"/>
  <c r="F39" i="46"/>
  <c r="G39" i="46"/>
  <c r="H39" i="46"/>
  <c r="I39" i="46"/>
  <c r="J39" i="46"/>
  <c r="K39" i="46"/>
  <c r="L39" i="46"/>
  <c r="M39" i="46"/>
  <c r="N39" i="46"/>
  <c r="O39" i="46"/>
  <c r="P39" i="46"/>
  <c r="Q39" i="46"/>
  <c r="R39" i="46"/>
  <c r="S39" i="46"/>
  <c r="T39" i="46"/>
  <c r="U39" i="46"/>
  <c r="E40" i="46"/>
  <c r="F40" i="46"/>
  <c r="G40" i="46"/>
  <c r="H40" i="46"/>
  <c r="I40" i="46"/>
  <c r="J40" i="46"/>
  <c r="K40" i="46"/>
  <c r="L40" i="46"/>
  <c r="M40" i="46"/>
  <c r="N40" i="46"/>
  <c r="O40" i="46"/>
  <c r="P40" i="46"/>
  <c r="Q40" i="46"/>
  <c r="R40" i="46"/>
  <c r="S40" i="46"/>
  <c r="T40" i="46"/>
  <c r="U40" i="46"/>
  <c r="V40" i="46"/>
  <c r="W40" i="46"/>
  <c r="E41" i="46"/>
  <c r="F41" i="46"/>
  <c r="G41" i="46"/>
  <c r="H41" i="46"/>
  <c r="I41" i="46"/>
  <c r="J41" i="46"/>
  <c r="K41" i="46"/>
  <c r="L41" i="46"/>
  <c r="M41" i="46"/>
  <c r="N41" i="46"/>
  <c r="O41" i="46"/>
  <c r="P41" i="46"/>
  <c r="Q41" i="46"/>
  <c r="R41" i="46"/>
  <c r="S41" i="46"/>
  <c r="T41" i="46"/>
  <c r="U41" i="46"/>
  <c r="E42" i="46"/>
  <c r="F42" i="46"/>
  <c r="G42" i="46"/>
  <c r="H42" i="46"/>
  <c r="I42" i="46"/>
  <c r="J42" i="46"/>
  <c r="K42" i="46"/>
  <c r="L42" i="46"/>
  <c r="M42" i="46"/>
  <c r="N42" i="46"/>
  <c r="O42" i="46"/>
  <c r="P42" i="46"/>
  <c r="Q42" i="46"/>
  <c r="R42" i="46"/>
  <c r="S42" i="46"/>
  <c r="T42" i="46"/>
  <c r="U42" i="46"/>
  <c r="V42" i="46"/>
  <c r="W42" i="46"/>
  <c r="X42" i="46"/>
  <c r="Y42" i="46"/>
  <c r="Z42" i="46"/>
  <c r="AA42" i="46"/>
  <c r="AB42" i="46"/>
  <c r="AC42" i="46"/>
  <c r="AD42" i="46"/>
  <c r="AE42" i="46"/>
  <c r="AF42" i="46"/>
  <c r="AG42" i="46"/>
  <c r="AH42" i="46"/>
  <c r="AI42" i="46"/>
  <c r="AJ42" i="46"/>
  <c r="AK42" i="46"/>
  <c r="AL42" i="46"/>
  <c r="AM42" i="46"/>
  <c r="AN42" i="46"/>
  <c r="AO42" i="46"/>
  <c r="AP42" i="46"/>
  <c r="AQ42" i="46"/>
  <c r="AR42" i="46"/>
  <c r="AS42" i="46"/>
  <c r="AT42" i="46"/>
  <c r="AU42" i="46"/>
  <c r="AV42" i="46"/>
  <c r="E43" i="46"/>
  <c r="F43" i="46"/>
  <c r="G43" i="46"/>
  <c r="H43" i="46"/>
  <c r="I43" i="46"/>
  <c r="J43" i="46"/>
  <c r="K43" i="46"/>
  <c r="L43" i="46"/>
  <c r="M43" i="46"/>
  <c r="N43" i="46"/>
  <c r="O43" i="46"/>
  <c r="P43" i="46"/>
  <c r="Q43" i="46"/>
  <c r="R43" i="46"/>
  <c r="S43" i="46"/>
  <c r="T43" i="46"/>
  <c r="U43" i="46"/>
  <c r="V43" i="46"/>
  <c r="W43" i="46"/>
  <c r="X43" i="46"/>
  <c r="Y43" i="46"/>
  <c r="Z43" i="46"/>
  <c r="AA43" i="46"/>
  <c r="AB43" i="46"/>
  <c r="AC43" i="46"/>
  <c r="AD43" i="46"/>
  <c r="AE43" i="46"/>
  <c r="AF43" i="46"/>
  <c r="AG43" i="46"/>
  <c r="AH43" i="46"/>
  <c r="AI43" i="46"/>
  <c r="AJ43" i="46"/>
  <c r="AK43" i="46"/>
  <c r="AL43" i="46"/>
  <c r="AM43" i="46"/>
  <c r="AN43" i="46"/>
  <c r="AO43" i="46"/>
  <c r="AP43" i="46"/>
  <c r="AQ43" i="46"/>
  <c r="AR43" i="46"/>
  <c r="AS43" i="46"/>
  <c r="AT43" i="46"/>
  <c r="AU43" i="46"/>
  <c r="AV43" i="46"/>
  <c r="E44" i="46"/>
  <c r="F44" i="46"/>
  <c r="G44" i="46"/>
  <c r="H44" i="46"/>
  <c r="I44" i="46"/>
  <c r="J44" i="46"/>
  <c r="K44" i="46"/>
  <c r="L44" i="46"/>
  <c r="M44" i="46"/>
  <c r="N44" i="46"/>
  <c r="O44" i="46"/>
  <c r="P44" i="46"/>
  <c r="Q44" i="46"/>
  <c r="R44" i="46"/>
  <c r="S44" i="46"/>
  <c r="T44" i="46"/>
  <c r="U44" i="46"/>
  <c r="V44" i="46"/>
  <c r="W44" i="46"/>
  <c r="X44" i="46"/>
  <c r="Y44" i="46"/>
  <c r="Z44" i="46"/>
  <c r="AA44" i="46"/>
  <c r="AB44" i="46"/>
  <c r="AC44" i="46"/>
  <c r="AD44" i="46"/>
  <c r="AE44" i="46"/>
  <c r="AF44" i="46"/>
  <c r="AG44" i="46"/>
  <c r="AH44" i="46"/>
  <c r="AI44" i="46"/>
  <c r="AJ44" i="46"/>
  <c r="AK44" i="46"/>
  <c r="AL44" i="46"/>
  <c r="AM44" i="46"/>
  <c r="AN44" i="46"/>
  <c r="AO44" i="46"/>
  <c r="AP44" i="46"/>
  <c r="AQ44" i="46"/>
  <c r="AR44" i="46"/>
  <c r="AS44" i="46"/>
  <c r="AT44" i="46"/>
  <c r="AU44" i="46"/>
  <c r="AV44" i="46"/>
  <c r="E45" i="46"/>
  <c r="F45" i="46"/>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E46" i="46"/>
  <c r="F46" i="46"/>
  <c r="G46" i="46"/>
  <c r="H46" i="46"/>
  <c r="I46" i="46"/>
  <c r="J46" i="46"/>
  <c r="K46" i="46"/>
  <c r="L46" i="46"/>
  <c r="M46" i="46"/>
  <c r="N46" i="46"/>
  <c r="O46" i="46"/>
  <c r="P46" i="46"/>
  <c r="Q46" i="46"/>
  <c r="R46" i="46"/>
  <c r="S46" i="46"/>
  <c r="T46" i="46"/>
  <c r="U46" i="46"/>
  <c r="E47" i="46"/>
  <c r="F47" i="46"/>
  <c r="G47" i="46"/>
  <c r="H47" i="46"/>
  <c r="I47" i="46"/>
  <c r="J47" i="46"/>
  <c r="K47" i="46"/>
  <c r="L47" i="46"/>
  <c r="M47" i="46"/>
  <c r="N47" i="46"/>
  <c r="O47" i="46"/>
  <c r="P47" i="46"/>
  <c r="Q47" i="46"/>
  <c r="R47" i="46"/>
  <c r="S47" i="46"/>
  <c r="T47" i="46"/>
  <c r="U47" i="46"/>
  <c r="E48" i="46"/>
  <c r="F48" i="46"/>
  <c r="G48" i="46"/>
  <c r="H48" i="46"/>
  <c r="I48" i="46"/>
  <c r="J48" i="46"/>
  <c r="K48" i="46"/>
  <c r="L48" i="46"/>
  <c r="M48" i="46"/>
  <c r="N48" i="46"/>
  <c r="O48" i="46"/>
  <c r="P48" i="46"/>
  <c r="Q48" i="46"/>
  <c r="R48" i="46"/>
  <c r="S48" i="46"/>
  <c r="T48" i="46"/>
  <c r="U48" i="46"/>
  <c r="D7" i="46"/>
  <c r="D8" i="46"/>
  <c r="D9" i="46"/>
  <c r="D10" i="46"/>
  <c r="D11" i="46"/>
  <c r="D12" i="46"/>
  <c r="D13" i="46"/>
  <c r="D14" i="46"/>
  <c r="D15" i="46"/>
  <c r="D16" i="46"/>
  <c r="D17" i="46"/>
  <c r="D18" i="46"/>
  <c r="D19" i="46"/>
  <c r="D20" i="46"/>
  <c r="D21" i="46"/>
  <c r="D22" i="46"/>
  <c r="D23" i="46"/>
  <c r="D24" i="46"/>
  <c r="D25" i="46"/>
  <c r="D26" i="46"/>
  <c r="D27" i="46"/>
  <c r="D28" i="46"/>
  <c r="D29" i="46"/>
  <c r="D30" i="46"/>
  <c r="D31" i="46"/>
  <c r="D32" i="46"/>
  <c r="D33" i="46"/>
  <c r="D34" i="46"/>
  <c r="D35" i="46"/>
  <c r="D36" i="46"/>
  <c r="D37" i="46"/>
  <c r="D38" i="46"/>
  <c r="D39" i="46"/>
  <c r="D40" i="46"/>
  <c r="D41" i="46"/>
  <c r="D42" i="46"/>
  <c r="D43" i="46"/>
  <c r="D44" i="46"/>
  <c r="D45" i="46"/>
  <c r="D46" i="46"/>
  <c r="D47" i="46"/>
  <c r="D48" i="46"/>
  <c r="D6" i="46"/>
  <c r="E46" i="45"/>
  <c r="F46" i="45"/>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E47" i="45"/>
  <c r="F47" i="45"/>
  <c r="G47" i="45"/>
  <c r="H47" i="45"/>
  <c r="I47" i="45"/>
  <c r="J47" i="45"/>
  <c r="K47" i="45"/>
  <c r="L47" i="45"/>
  <c r="M47" i="45"/>
  <c r="N47" i="45"/>
  <c r="O47" i="45"/>
  <c r="P47" i="45"/>
  <c r="Q47" i="45"/>
  <c r="R47" i="45"/>
  <c r="S47" i="45"/>
  <c r="T47" i="45"/>
  <c r="U47" i="45"/>
  <c r="V47" i="45"/>
  <c r="W47" i="45"/>
  <c r="AB47" i="45"/>
  <c r="AG47" i="45"/>
  <c r="AL47" i="45"/>
  <c r="AQ47" i="45"/>
  <c r="AV47" i="45"/>
  <c r="H48" i="45"/>
  <c r="M48" i="45"/>
  <c r="R48" i="45"/>
  <c r="W48" i="45"/>
  <c r="AB48" i="45"/>
  <c r="AG48" i="45"/>
  <c r="AL48" i="45"/>
  <c r="AQ48" i="45"/>
  <c r="AV48" i="45"/>
  <c r="E49" i="45"/>
  <c r="F49" i="45"/>
  <c r="G49" i="45"/>
  <c r="H49" i="45"/>
  <c r="I49" i="45"/>
  <c r="J49" i="45"/>
  <c r="K49" i="45"/>
  <c r="L49" i="45"/>
  <c r="M49" i="45"/>
  <c r="N49" i="45"/>
  <c r="O49" i="45"/>
  <c r="P49" i="45"/>
  <c r="Q49" i="45"/>
  <c r="R49" i="45"/>
  <c r="S49" i="45"/>
  <c r="T49" i="45"/>
  <c r="U49" i="45"/>
  <c r="V49" i="45"/>
  <c r="W49" i="45"/>
  <c r="AB49" i="45"/>
  <c r="AG49" i="45"/>
  <c r="AL49" i="45"/>
  <c r="AQ49" i="45"/>
  <c r="AV49" i="45"/>
  <c r="H50" i="45"/>
  <c r="M50" i="45"/>
  <c r="R50" i="45"/>
  <c r="W50" i="45"/>
  <c r="AB50" i="45"/>
  <c r="AG50" i="45"/>
  <c r="AL50" i="45"/>
  <c r="AQ50" i="45"/>
  <c r="AV50" i="45"/>
  <c r="E51" i="45"/>
  <c r="F51" i="45"/>
  <c r="G51" i="45"/>
  <c r="H51" i="45"/>
  <c r="I51" i="45"/>
  <c r="J51" i="45"/>
  <c r="K51" i="45"/>
  <c r="L51" i="45"/>
  <c r="M51" i="45"/>
  <c r="N51" i="45"/>
  <c r="O51" i="45"/>
  <c r="P51" i="45"/>
  <c r="Q51" i="45"/>
  <c r="R51" i="45"/>
  <c r="S51" i="45"/>
  <c r="T51" i="45"/>
  <c r="U51" i="45"/>
  <c r="V51" i="45"/>
  <c r="W51" i="45"/>
  <c r="AB51" i="45"/>
  <c r="AG51" i="45"/>
  <c r="AL51" i="45"/>
  <c r="AQ51" i="45"/>
  <c r="AV51" i="45"/>
  <c r="H52" i="45"/>
  <c r="M52" i="45"/>
  <c r="R52" i="45"/>
  <c r="V52" i="45"/>
  <c r="W52" i="45"/>
  <c r="AB52" i="45"/>
  <c r="AG52" i="45"/>
  <c r="AL52" i="45"/>
  <c r="AQ52" i="45"/>
  <c r="AV52" i="45"/>
  <c r="E53" i="45"/>
  <c r="F53" i="45"/>
  <c r="G53" i="45"/>
  <c r="H53" i="45"/>
  <c r="I53" i="45"/>
  <c r="J53" i="45"/>
  <c r="K53" i="45"/>
  <c r="L53" i="45"/>
  <c r="M53" i="45"/>
  <c r="N53" i="45"/>
  <c r="O53" i="45"/>
  <c r="P53" i="45"/>
  <c r="Q53" i="45"/>
  <c r="R53" i="45"/>
  <c r="S53" i="45"/>
  <c r="T53" i="45"/>
  <c r="U53" i="45"/>
  <c r="V53" i="45"/>
  <c r="W53" i="45"/>
  <c r="AB53" i="45"/>
  <c r="AG53" i="45"/>
  <c r="AL53" i="45"/>
  <c r="AQ53" i="45"/>
  <c r="AV53" i="45"/>
  <c r="E54" i="45"/>
  <c r="F54" i="45"/>
  <c r="G54" i="45"/>
  <c r="H54" i="45"/>
  <c r="I54" i="45"/>
  <c r="J54" i="45"/>
  <c r="K54" i="45"/>
  <c r="L54" i="45"/>
  <c r="M54" i="45"/>
  <c r="N54" i="45"/>
  <c r="O54" i="45"/>
  <c r="P54" i="45"/>
  <c r="Q54" i="45"/>
  <c r="R54" i="45"/>
  <c r="S54" i="45"/>
  <c r="T54" i="45"/>
  <c r="U54" i="45"/>
  <c r="V54" i="45"/>
  <c r="W54" i="45"/>
  <c r="AB54" i="45"/>
  <c r="AG54" i="45"/>
  <c r="AL54" i="45"/>
  <c r="AQ54" i="45"/>
  <c r="AV54" i="45"/>
  <c r="E55" i="45"/>
  <c r="F55" i="45"/>
  <c r="G55" i="45"/>
  <c r="H55" i="45"/>
  <c r="I55" i="45"/>
  <c r="J55" i="45"/>
  <c r="K55" i="45"/>
  <c r="L55" i="45"/>
  <c r="M55" i="45"/>
  <c r="N55" i="45"/>
  <c r="O55" i="45"/>
  <c r="P55" i="45"/>
  <c r="Q55" i="45"/>
  <c r="R55" i="45"/>
  <c r="S55" i="45"/>
  <c r="T55" i="45"/>
  <c r="U55" i="45"/>
  <c r="V55" i="45"/>
  <c r="W55" i="45"/>
  <c r="AB55" i="45"/>
  <c r="AG55" i="45"/>
  <c r="AL55" i="45"/>
  <c r="AQ55" i="45"/>
  <c r="AV55" i="45"/>
  <c r="E56" i="45"/>
  <c r="F56" i="45"/>
  <c r="G56" i="45"/>
  <c r="H56" i="45"/>
  <c r="I56" i="45"/>
  <c r="J56" i="45"/>
  <c r="K56" i="45"/>
  <c r="L56" i="45"/>
  <c r="M56" i="45"/>
  <c r="N56" i="45"/>
  <c r="O56" i="45"/>
  <c r="P56" i="45"/>
  <c r="Q56" i="45"/>
  <c r="R56" i="45"/>
  <c r="S56" i="45"/>
  <c r="T56" i="45"/>
  <c r="U56" i="45"/>
  <c r="V56" i="45"/>
  <c r="W56" i="45"/>
  <c r="AB56" i="45"/>
  <c r="AG56" i="45"/>
  <c r="AL56" i="45"/>
  <c r="AQ56" i="45"/>
  <c r="AV56" i="45"/>
  <c r="E57" i="45"/>
  <c r="F57" i="45"/>
  <c r="G57" i="45"/>
  <c r="H57" i="45"/>
  <c r="I57" i="45"/>
  <c r="J57" i="45"/>
  <c r="K57" i="45"/>
  <c r="L57" i="45"/>
  <c r="M57" i="45"/>
  <c r="N57" i="45"/>
  <c r="O57" i="45"/>
  <c r="P57"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E58" i="45"/>
  <c r="F58" i="45"/>
  <c r="G58" i="45"/>
  <c r="H58" i="45"/>
  <c r="I58" i="45"/>
  <c r="J58" i="45"/>
  <c r="K58" i="45"/>
  <c r="L58" i="45"/>
  <c r="M58" i="45"/>
  <c r="N58" i="45"/>
  <c r="O58" i="45"/>
  <c r="P58"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E59" i="45"/>
  <c r="F59" i="45"/>
  <c r="G59" i="45"/>
  <c r="H59" i="45"/>
  <c r="I59" i="45"/>
  <c r="J59" i="45"/>
  <c r="K59" i="45"/>
  <c r="L59" i="45"/>
  <c r="M59" i="45"/>
  <c r="N59" i="45"/>
  <c r="O59" i="45"/>
  <c r="P59"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E60" i="45"/>
  <c r="F60" i="45"/>
  <c r="G60" i="45"/>
  <c r="H60" i="45"/>
  <c r="I60" i="45"/>
  <c r="J60" i="45"/>
  <c r="K60" i="45"/>
  <c r="L60" i="45"/>
  <c r="M60" i="45"/>
  <c r="N60" i="45"/>
  <c r="O60" i="45"/>
  <c r="P60"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E61" i="45"/>
  <c r="F61" i="45"/>
  <c r="G61" i="45"/>
  <c r="H61" i="45"/>
  <c r="I61" i="45"/>
  <c r="J61" i="45"/>
  <c r="K61" i="45"/>
  <c r="L61" i="45"/>
  <c r="M61" i="45"/>
  <c r="N61" i="45"/>
  <c r="O61" i="45"/>
  <c r="P61" i="45"/>
  <c r="Q61" i="45"/>
  <c r="R61" i="45"/>
  <c r="S61" i="45"/>
  <c r="T61" i="45"/>
  <c r="U61" i="45"/>
  <c r="V61" i="45"/>
  <c r="W61" i="45"/>
  <c r="X61" i="45"/>
  <c r="Y61" i="45"/>
  <c r="Z61" i="45"/>
  <c r="AA61" i="45"/>
  <c r="AB61" i="45"/>
  <c r="AC61" i="45"/>
  <c r="AD61" i="45"/>
  <c r="AE61" i="45"/>
  <c r="AG61" i="45"/>
  <c r="AH61" i="45"/>
  <c r="AI61" i="45"/>
  <c r="AK61" i="45"/>
  <c r="AL61" i="45"/>
  <c r="AM61" i="45"/>
  <c r="AN61" i="45"/>
  <c r="AO61" i="45"/>
  <c r="AP61" i="45"/>
  <c r="AQ61" i="45"/>
  <c r="AR61" i="45"/>
  <c r="AS61" i="45"/>
  <c r="AT61" i="45"/>
  <c r="AU61" i="45"/>
  <c r="AV61" i="45"/>
  <c r="E62" i="45"/>
  <c r="F62" i="45"/>
  <c r="G62" i="45"/>
  <c r="H62" i="45"/>
  <c r="I62" i="45"/>
  <c r="J62" i="45"/>
  <c r="K62" i="45"/>
  <c r="L62" i="45"/>
  <c r="M62" i="45"/>
  <c r="N62" i="45"/>
  <c r="O62" i="45"/>
  <c r="P62" i="45"/>
  <c r="Q62" i="45"/>
  <c r="R62" i="45"/>
  <c r="S62" i="45"/>
  <c r="T62" i="45"/>
  <c r="U62" i="45"/>
  <c r="AB62" i="45"/>
  <c r="AG62" i="45"/>
  <c r="AL62" i="45"/>
  <c r="AQ62" i="45"/>
  <c r="AV62" i="45"/>
  <c r="E63" i="45"/>
  <c r="F63" i="45"/>
  <c r="G63" i="45"/>
  <c r="H63" i="45"/>
  <c r="I63" i="45"/>
  <c r="J63" i="45"/>
  <c r="K63" i="45"/>
  <c r="L63" i="45"/>
  <c r="M63" i="45"/>
  <c r="N63" i="45"/>
  <c r="O63" i="45"/>
  <c r="P63" i="45"/>
  <c r="Q63" i="45"/>
  <c r="R63" i="45"/>
  <c r="S63" i="45"/>
  <c r="T63" i="45"/>
  <c r="U63" i="45"/>
  <c r="AB63" i="45"/>
  <c r="AG63" i="45"/>
  <c r="AL63" i="45"/>
  <c r="AQ63" i="45"/>
  <c r="AV63" i="45"/>
  <c r="E64" i="45"/>
  <c r="F64" i="45"/>
  <c r="G64" i="45"/>
  <c r="H64" i="45"/>
  <c r="I64" i="45"/>
  <c r="J64" i="45"/>
  <c r="K64" i="45"/>
  <c r="L64" i="45"/>
  <c r="M64" i="45"/>
  <c r="N64" i="45"/>
  <c r="O64" i="45"/>
  <c r="P64" i="45"/>
  <c r="Q64" i="45"/>
  <c r="R64" i="45"/>
  <c r="S64" i="45"/>
  <c r="T64" i="45"/>
  <c r="U64" i="45"/>
  <c r="V64" i="45"/>
  <c r="X64" i="45"/>
  <c r="Y64" i="45"/>
  <c r="Z64" i="45"/>
  <c r="AA64" i="45"/>
  <c r="AC64" i="45"/>
  <c r="AD64" i="45"/>
  <c r="AE64" i="45"/>
  <c r="AF64" i="45"/>
  <c r="AH64" i="45"/>
  <c r="AI64" i="45"/>
  <c r="AJ64" i="45"/>
  <c r="AK64" i="45"/>
  <c r="AM64" i="45"/>
  <c r="AN64" i="45"/>
  <c r="AO64" i="45"/>
  <c r="AP64" i="45"/>
  <c r="AR64" i="45"/>
  <c r="AS64" i="45"/>
  <c r="AT64" i="45"/>
  <c r="AU64" i="45"/>
  <c r="E65" i="45"/>
  <c r="F65" i="45"/>
  <c r="G65" i="45"/>
  <c r="H65" i="45"/>
  <c r="I65" i="45"/>
  <c r="J65" i="45"/>
  <c r="K65" i="45"/>
  <c r="L65" i="45"/>
  <c r="M65" i="45"/>
  <c r="N65" i="45"/>
  <c r="O65" i="45"/>
  <c r="P65" i="45"/>
  <c r="Q65" i="45"/>
  <c r="R65" i="45"/>
  <c r="S65" i="45"/>
  <c r="T65" i="45"/>
  <c r="U65" i="45"/>
  <c r="V65" i="45"/>
  <c r="X65" i="45"/>
  <c r="Y65" i="45"/>
  <c r="Z65" i="45"/>
  <c r="AA65" i="45"/>
  <c r="AC65" i="45"/>
  <c r="AD65" i="45"/>
  <c r="AE65" i="45"/>
  <c r="AF65" i="45"/>
  <c r="AH65" i="45"/>
  <c r="AI65" i="45"/>
  <c r="AJ65" i="45"/>
  <c r="AK65" i="45"/>
  <c r="AM65" i="45"/>
  <c r="AN65" i="45"/>
  <c r="AO65" i="45"/>
  <c r="AP65" i="45"/>
  <c r="AR65" i="45"/>
  <c r="AS65" i="45"/>
  <c r="AT65" i="45"/>
  <c r="AU65"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AG66" i="45"/>
  <c r="AH66" i="45"/>
  <c r="AI66" i="45"/>
  <c r="AJ66" i="45"/>
  <c r="AK66" i="45"/>
  <c r="AL66" i="45"/>
  <c r="AM66" i="45"/>
  <c r="AN66" i="45"/>
  <c r="AO66" i="45"/>
  <c r="AP66" i="45"/>
  <c r="AQ66" i="45"/>
  <c r="AR66" i="45"/>
  <c r="AS66" i="45"/>
  <c r="AT66" i="45"/>
  <c r="AU66" i="45"/>
  <c r="AV66" i="45"/>
  <c r="E67" i="45"/>
  <c r="F67" i="45"/>
  <c r="G67" i="45"/>
  <c r="H67" i="45"/>
  <c r="I67" i="45"/>
  <c r="J67" i="45"/>
  <c r="K67" i="45"/>
  <c r="L67" i="45"/>
  <c r="M67" i="45"/>
  <c r="N67" i="45"/>
  <c r="O67" i="45"/>
  <c r="P67" i="45"/>
  <c r="Q67" i="45"/>
  <c r="R67" i="45"/>
  <c r="S67" i="45"/>
  <c r="T67" i="45"/>
  <c r="U67" i="45"/>
  <c r="V67" i="45"/>
  <c r="X67" i="45"/>
  <c r="Y67" i="45"/>
  <c r="Z67" i="45"/>
  <c r="AA67" i="45"/>
  <c r="AC67" i="45"/>
  <c r="AD67" i="45"/>
  <c r="AE67" i="45"/>
  <c r="AF67" i="45"/>
  <c r="AH67" i="45"/>
  <c r="AI67" i="45"/>
  <c r="AJ67" i="45"/>
  <c r="AK67" i="45"/>
  <c r="AM67" i="45"/>
  <c r="AN67" i="45"/>
  <c r="AO67" i="45"/>
  <c r="AP67" i="45"/>
  <c r="AR67" i="45"/>
  <c r="AS67" i="45"/>
  <c r="AT67" i="45"/>
  <c r="AU67" i="45"/>
  <c r="D47" i="45"/>
  <c r="D49" i="45"/>
  <c r="D51" i="45"/>
  <c r="D53" i="45"/>
  <c r="D54" i="45"/>
  <c r="D55" i="45"/>
  <c r="D56" i="45"/>
  <c r="D57" i="45"/>
  <c r="D58" i="45"/>
  <c r="D59" i="45"/>
  <c r="D60" i="45"/>
  <c r="D61" i="45"/>
  <c r="D62" i="45"/>
  <c r="D63" i="45"/>
  <c r="D64" i="45"/>
  <c r="D65" i="45"/>
  <c r="D66" i="45"/>
  <c r="D67" i="45"/>
  <c r="D46" i="45"/>
  <c r="E37" i="45"/>
  <c r="F37" i="45"/>
  <c r="G37" i="45"/>
  <c r="H37" i="45"/>
  <c r="I37" i="45"/>
  <c r="J37" i="45"/>
  <c r="K37" i="45"/>
  <c r="L37" i="45"/>
  <c r="M37" i="45"/>
  <c r="N37" i="45"/>
  <c r="O37" i="45"/>
  <c r="P37" i="45"/>
  <c r="Q37" i="45"/>
  <c r="R37" i="45"/>
  <c r="S37" i="45"/>
  <c r="T37" i="45"/>
  <c r="U37" i="45"/>
  <c r="E38" i="45"/>
  <c r="F38" i="45"/>
  <c r="G38" i="45"/>
  <c r="H38" i="45"/>
  <c r="I38" i="45"/>
  <c r="J38" i="45"/>
  <c r="K38" i="45"/>
  <c r="L38" i="45"/>
  <c r="M38" i="45"/>
  <c r="N38" i="45"/>
  <c r="O38" i="45"/>
  <c r="P38" i="45"/>
  <c r="Q38" i="45"/>
  <c r="R38" i="45"/>
  <c r="S38" i="45"/>
  <c r="T38" i="45"/>
  <c r="U38" i="45"/>
  <c r="E39" i="45"/>
  <c r="F39" i="45"/>
  <c r="G39" i="45"/>
  <c r="H39" i="45"/>
  <c r="I39" i="45"/>
  <c r="J39" i="45"/>
  <c r="K39" i="45"/>
  <c r="L39" i="45"/>
  <c r="M39" i="45"/>
  <c r="N39" i="45"/>
  <c r="O39" i="45"/>
  <c r="P39" i="45"/>
  <c r="Q39" i="45"/>
  <c r="R39" i="45"/>
  <c r="S39" i="45"/>
  <c r="T39" i="45"/>
  <c r="U39" i="45"/>
  <c r="V39" i="45"/>
  <c r="E40" i="45"/>
  <c r="F40" i="45"/>
  <c r="G40" i="45"/>
  <c r="H40" i="45"/>
  <c r="I40" i="45"/>
  <c r="J40" i="45"/>
  <c r="K40" i="45"/>
  <c r="L40" i="45"/>
  <c r="M40" i="45"/>
  <c r="N40" i="45"/>
  <c r="O40" i="45"/>
  <c r="P40" i="45"/>
  <c r="Q40" i="45"/>
  <c r="R40" i="45"/>
  <c r="S40" i="45"/>
  <c r="T40" i="45"/>
  <c r="U40" i="45"/>
  <c r="V40" i="45"/>
  <c r="E41" i="45"/>
  <c r="F41" i="45"/>
  <c r="G41" i="45"/>
  <c r="H41" i="45"/>
  <c r="I41" i="45"/>
  <c r="J41" i="45"/>
  <c r="K41" i="45"/>
  <c r="L41" i="45"/>
  <c r="M41" i="45"/>
  <c r="N41" i="45"/>
  <c r="O41" i="45"/>
  <c r="P41" i="45"/>
  <c r="Q41" i="45"/>
  <c r="R41" i="45"/>
  <c r="S41" i="45"/>
  <c r="T41" i="45"/>
  <c r="U41" i="45"/>
  <c r="E42" i="45"/>
  <c r="F42" i="45"/>
  <c r="G42" i="45"/>
  <c r="H42" i="45"/>
  <c r="I42" i="45"/>
  <c r="J42" i="45"/>
  <c r="K42" i="45"/>
  <c r="L42" i="45"/>
  <c r="M42" i="45"/>
  <c r="N42" i="45"/>
  <c r="O42" i="45"/>
  <c r="P42" i="45"/>
  <c r="Q42" i="45"/>
  <c r="R42" i="45"/>
  <c r="S42" i="45"/>
  <c r="T42" i="45"/>
  <c r="U42" i="45"/>
  <c r="E43" i="45"/>
  <c r="F43" i="45"/>
  <c r="G43" i="45"/>
  <c r="H43" i="45"/>
  <c r="I43" i="45"/>
  <c r="J43" i="45"/>
  <c r="K43" i="45"/>
  <c r="L43" i="45"/>
  <c r="M43" i="45"/>
  <c r="N43" i="45"/>
  <c r="O43" i="45"/>
  <c r="P43" i="45"/>
  <c r="Q43" i="45"/>
  <c r="R43" i="45"/>
  <c r="S43" i="45"/>
  <c r="T43" i="45"/>
  <c r="U43" i="45"/>
  <c r="D38" i="45"/>
  <c r="D39" i="45"/>
  <c r="D40" i="45"/>
  <c r="D41" i="45"/>
  <c r="D42" i="45"/>
  <c r="D43" i="45"/>
  <c r="D37" i="45"/>
  <c r="E22" i="45"/>
  <c r="F22" i="45"/>
  <c r="G22" i="45"/>
  <c r="H22" i="45"/>
  <c r="I22" i="45"/>
  <c r="J22" i="45"/>
  <c r="K22" i="45"/>
  <c r="L22" i="45"/>
  <c r="M22" i="45"/>
  <c r="N22" i="45"/>
  <c r="O22" i="45"/>
  <c r="P22" i="45"/>
  <c r="Q22" i="45"/>
  <c r="R22" i="45"/>
  <c r="S22" i="45"/>
  <c r="T22" i="45"/>
  <c r="U22" i="45"/>
  <c r="E23" i="45"/>
  <c r="F23" i="45"/>
  <c r="G23" i="45"/>
  <c r="H23" i="45"/>
  <c r="I23" i="45"/>
  <c r="J23" i="45"/>
  <c r="K23" i="45"/>
  <c r="L23" i="45"/>
  <c r="M23" i="45"/>
  <c r="N23" i="45"/>
  <c r="O23" i="45"/>
  <c r="P23" i="45"/>
  <c r="Q23" i="45"/>
  <c r="R23" i="45"/>
  <c r="S23" i="45"/>
  <c r="T23" i="45"/>
  <c r="U23" i="45"/>
  <c r="V23" i="45"/>
  <c r="E24" i="45"/>
  <c r="F24" i="45"/>
  <c r="G24" i="45"/>
  <c r="H24" i="45"/>
  <c r="I24" i="45"/>
  <c r="J24" i="45"/>
  <c r="K24" i="45"/>
  <c r="L24" i="45"/>
  <c r="M24" i="45"/>
  <c r="N24" i="45"/>
  <c r="O24" i="45"/>
  <c r="P24" i="45"/>
  <c r="Q24" i="45"/>
  <c r="R24" i="45"/>
  <c r="S24" i="45"/>
  <c r="T24" i="45"/>
  <c r="U24" i="45"/>
  <c r="V24" i="45"/>
  <c r="E25" i="45"/>
  <c r="F25" i="45"/>
  <c r="G25" i="45"/>
  <c r="H25" i="45"/>
  <c r="I25" i="45"/>
  <c r="J25" i="45"/>
  <c r="K25" i="45"/>
  <c r="L25" i="45"/>
  <c r="M25" i="45"/>
  <c r="N25" i="45"/>
  <c r="O25" i="45"/>
  <c r="P25" i="45"/>
  <c r="Q25" i="45"/>
  <c r="R25" i="45"/>
  <c r="S25" i="45"/>
  <c r="T25" i="45"/>
  <c r="U25" i="45"/>
  <c r="V25" i="45"/>
  <c r="W25" i="45"/>
  <c r="X25" i="45"/>
  <c r="Y25" i="45"/>
  <c r="Z25" i="45"/>
  <c r="AA25" i="45"/>
  <c r="AB25" i="45"/>
  <c r="AC25" i="45"/>
  <c r="AD25" i="45"/>
  <c r="AE25" i="45"/>
  <c r="AF25" i="45"/>
  <c r="AG25" i="45"/>
  <c r="AH25" i="45"/>
  <c r="AI25" i="45"/>
  <c r="AJ25" i="45"/>
  <c r="AK25" i="45"/>
  <c r="AL25" i="45"/>
  <c r="AM25" i="45"/>
  <c r="AN25" i="45"/>
  <c r="AO25" i="45"/>
  <c r="AP25" i="45"/>
  <c r="AQ25" i="45"/>
  <c r="AR25" i="45"/>
  <c r="AS25" i="45"/>
  <c r="AT25" i="45"/>
  <c r="AU25" i="45"/>
  <c r="AV25" i="45"/>
  <c r="E26" i="45"/>
  <c r="F26" i="45"/>
  <c r="G26" i="45"/>
  <c r="H26" i="45"/>
  <c r="I26" i="45"/>
  <c r="J26" i="45"/>
  <c r="K26" i="45"/>
  <c r="L26" i="45"/>
  <c r="M26" i="45"/>
  <c r="N26" i="45"/>
  <c r="O26" i="45"/>
  <c r="P26" i="45"/>
  <c r="Q26" i="45"/>
  <c r="R26" i="45"/>
  <c r="S26" i="45"/>
  <c r="T26" i="45"/>
  <c r="U26" i="45"/>
  <c r="V26" i="45"/>
  <c r="E27" i="45"/>
  <c r="F27" i="45"/>
  <c r="G27" i="45"/>
  <c r="H27" i="45"/>
  <c r="I27" i="45"/>
  <c r="J27" i="45"/>
  <c r="K27" i="45"/>
  <c r="L27" i="45"/>
  <c r="M27" i="45"/>
  <c r="N27" i="45"/>
  <c r="O27" i="45"/>
  <c r="P27" i="45"/>
  <c r="Q27" i="45"/>
  <c r="R27" i="45"/>
  <c r="S27" i="45"/>
  <c r="T27" i="45"/>
  <c r="U27" i="45"/>
  <c r="V27" i="45"/>
  <c r="E28" i="45"/>
  <c r="F28" i="45"/>
  <c r="G28" i="45"/>
  <c r="H28" i="45"/>
  <c r="I28" i="45"/>
  <c r="J28" i="45"/>
  <c r="K28" i="45"/>
  <c r="L28" i="45"/>
  <c r="M28" i="45"/>
  <c r="N28" i="45"/>
  <c r="O28" i="45"/>
  <c r="P28" i="45"/>
  <c r="Q28" i="45"/>
  <c r="R28" i="45"/>
  <c r="S28" i="45"/>
  <c r="T28" i="45"/>
  <c r="U28" i="45"/>
  <c r="V28" i="45"/>
  <c r="E29" i="45"/>
  <c r="F29" i="45"/>
  <c r="G29" i="45"/>
  <c r="H29" i="45"/>
  <c r="I29" i="45"/>
  <c r="J29" i="45"/>
  <c r="K29" i="45"/>
  <c r="L29" i="45"/>
  <c r="M29" i="45"/>
  <c r="N29" i="45"/>
  <c r="O29" i="45"/>
  <c r="P29" i="45"/>
  <c r="Q29" i="45"/>
  <c r="R29" i="45"/>
  <c r="S29" i="45"/>
  <c r="T29" i="45"/>
  <c r="U29" i="45"/>
  <c r="V29" i="45"/>
  <c r="W29" i="45"/>
  <c r="X29" i="45"/>
  <c r="Y29" i="45"/>
  <c r="Z29" i="45"/>
  <c r="AA29" i="45"/>
  <c r="AB29" i="45"/>
  <c r="AC29" i="45"/>
  <c r="AD29" i="45"/>
  <c r="AE29" i="45"/>
  <c r="AF29" i="45"/>
  <c r="AG29" i="45"/>
  <c r="AH29" i="45"/>
  <c r="AI29" i="45"/>
  <c r="AJ29" i="45"/>
  <c r="AK29" i="45"/>
  <c r="AL29" i="45"/>
  <c r="AM29" i="45"/>
  <c r="AN29" i="45"/>
  <c r="AO29" i="45"/>
  <c r="AP29" i="45"/>
  <c r="AQ29" i="45"/>
  <c r="AR29" i="45"/>
  <c r="AS29" i="45"/>
  <c r="AT29" i="45"/>
  <c r="AU29" i="45"/>
  <c r="AV29" i="45"/>
  <c r="E30" i="45"/>
  <c r="F30" i="45"/>
  <c r="G30" i="45"/>
  <c r="H30" i="45"/>
  <c r="I30" i="45"/>
  <c r="J30" i="45"/>
  <c r="K30" i="45"/>
  <c r="L30" i="45"/>
  <c r="M30" i="45"/>
  <c r="N30" i="45"/>
  <c r="O30" i="45"/>
  <c r="P30" i="45"/>
  <c r="Q30" i="45"/>
  <c r="R30" i="45"/>
  <c r="S30" i="45"/>
  <c r="T30" i="45"/>
  <c r="U30" i="45"/>
  <c r="E31" i="45"/>
  <c r="F31" i="45"/>
  <c r="G31" i="45"/>
  <c r="H31" i="45"/>
  <c r="I31" i="45"/>
  <c r="J31" i="45"/>
  <c r="K31" i="45"/>
  <c r="L31" i="45"/>
  <c r="M31" i="45"/>
  <c r="N31" i="45"/>
  <c r="O31" i="45"/>
  <c r="P31" i="45"/>
  <c r="Q31" i="45"/>
  <c r="R31" i="45"/>
  <c r="S31" i="45"/>
  <c r="T31" i="45"/>
  <c r="U31" i="45"/>
  <c r="V31" i="45"/>
  <c r="E32" i="45"/>
  <c r="F32" i="45"/>
  <c r="G32" i="45"/>
  <c r="H32" i="45"/>
  <c r="I32" i="45"/>
  <c r="J32" i="45"/>
  <c r="K32" i="45"/>
  <c r="L32" i="45"/>
  <c r="M32" i="45"/>
  <c r="N32" i="45"/>
  <c r="O32" i="45"/>
  <c r="P32" i="45"/>
  <c r="Q32" i="45"/>
  <c r="R32" i="45"/>
  <c r="S32" i="45"/>
  <c r="T32" i="45"/>
  <c r="U32" i="45"/>
  <c r="V32" i="45"/>
  <c r="E33" i="45"/>
  <c r="F33" i="45"/>
  <c r="G33" i="45"/>
  <c r="H33" i="45"/>
  <c r="I33" i="45"/>
  <c r="J33" i="45"/>
  <c r="K33" i="45"/>
  <c r="L33" i="45"/>
  <c r="M33" i="45"/>
  <c r="N33" i="45"/>
  <c r="O33" i="45"/>
  <c r="P33" i="45"/>
  <c r="Q33" i="45"/>
  <c r="R33" i="45"/>
  <c r="S33" i="45"/>
  <c r="T33" i="45"/>
  <c r="U33" i="45"/>
  <c r="V33" i="45"/>
  <c r="E34" i="45"/>
  <c r="F34" i="45"/>
  <c r="G34" i="45"/>
  <c r="H34" i="45"/>
  <c r="I34" i="45"/>
  <c r="J34" i="45"/>
  <c r="K34" i="45"/>
  <c r="L34" i="45"/>
  <c r="M34" i="45"/>
  <c r="N34" i="45"/>
  <c r="O34" i="45"/>
  <c r="P34" i="45"/>
  <c r="Q34" i="45"/>
  <c r="R34" i="45"/>
  <c r="S34" i="45"/>
  <c r="T34" i="45"/>
  <c r="U34" i="45"/>
  <c r="V34" i="45"/>
  <c r="E35" i="45"/>
  <c r="F35" i="45"/>
  <c r="G35" i="45"/>
  <c r="H35" i="45"/>
  <c r="I35" i="45"/>
  <c r="J35" i="45"/>
  <c r="K35" i="45"/>
  <c r="L35" i="45"/>
  <c r="M35" i="45"/>
  <c r="N35" i="45"/>
  <c r="O35" i="45"/>
  <c r="P35" i="45"/>
  <c r="Q35" i="45"/>
  <c r="R35" i="45"/>
  <c r="S35" i="45"/>
  <c r="T35" i="45"/>
  <c r="U35" i="45"/>
  <c r="D23" i="45"/>
  <c r="D24" i="45"/>
  <c r="D25" i="45"/>
  <c r="D26" i="45"/>
  <c r="D27" i="45"/>
  <c r="D28" i="45"/>
  <c r="D29" i="45"/>
  <c r="D30" i="45"/>
  <c r="D31" i="45"/>
  <c r="D32" i="45"/>
  <c r="D33" i="45"/>
  <c r="D34" i="45"/>
  <c r="D35" i="45"/>
  <c r="D22" i="45"/>
  <c r="E6" i="45"/>
  <c r="F6" i="45"/>
  <c r="G6" i="45"/>
  <c r="H6" i="45"/>
  <c r="I6" i="45"/>
  <c r="J6" i="45"/>
  <c r="K6" i="45"/>
  <c r="L6" i="45"/>
  <c r="M6" i="45"/>
  <c r="N6" i="45"/>
  <c r="O6" i="45"/>
  <c r="P6" i="45"/>
  <c r="Q6" i="45"/>
  <c r="R6" i="45"/>
  <c r="S6" i="45"/>
  <c r="T6" i="45"/>
  <c r="U6" i="45"/>
  <c r="E7" i="45"/>
  <c r="F7" i="45"/>
  <c r="G7" i="45"/>
  <c r="H7" i="45"/>
  <c r="I7" i="45"/>
  <c r="J7" i="45"/>
  <c r="K7" i="45"/>
  <c r="L7" i="45"/>
  <c r="M7" i="45"/>
  <c r="N7" i="45"/>
  <c r="O7" i="45"/>
  <c r="P7" i="45"/>
  <c r="Q7" i="45"/>
  <c r="R7" i="45"/>
  <c r="S7" i="45"/>
  <c r="T7" i="45"/>
  <c r="U7" i="45"/>
  <c r="E8" i="45"/>
  <c r="F8" i="45"/>
  <c r="G8" i="45"/>
  <c r="H8" i="45"/>
  <c r="I8" i="45"/>
  <c r="J8" i="45"/>
  <c r="K8" i="45"/>
  <c r="L8" i="45"/>
  <c r="M8" i="45"/>
  <c r="N8" i="45"/>
  <c r="O8" i="45"/>
  <c r="P8" i="45"/>
  <c r="Q8" i="45"/>
  <c r="R8" i="45"/>
  <c r="S8" i="45"/>
  <c r="T8" i="45"/>
  <c r="U8" i="45"/>
  <c r="E9" i="45"/>
  <c r="F9" i="45"/>
  <c r="G9" i="45"/>
  <c r="H9" i="45"/>
  <c r="I9" i="45"/>
  <c r="J9" i="45"/>
  <c r="K9" i="45"/>
  <c r="L9" i="45"/>
  <c r="M9" i="45"/>
  <c r="N9" i="45"/>
  <c r="O9" i="45"/>
  <c r="P9" i="45"/>
  <c r="Q9" i="45"/>
  <c r="R9" i="45"/>
  <c r="S9" i="45"/>
  <c r="T9" i="45"/>
  <c r="U9" i="45"/>
  <c r="E10" i="45"/>
  <c r="F10" i="45"/>
  <c r="G10" i="45"/>
  <c r="H10" i="45"/>
  <c r="I10" i="45"/>
  <c r="J10" i="45"/>
  <c r="K10" i="45"/>
  <c r="L10" i="45"/>
  <c r="M10" i="45"/>
  <c r="N10" i="45"/>
  <c r="O10" i="45"/>
  <c r="P10" i="45"/>
  <c r="Q10" i="45"/>
  <c r="R10" i="45"/>
  <c r="S10" i="45"/>
  <c r="T10" i="45"/>
  <c r="U10" i="45"/>
  <c r="V10" i="45"/>
  <c r="E11" i="45"/>
  <c r="F11" i="45"/>
  <c r="G11" i="45"/>
  <c r="H11" i="45"/>
  <c r="I11" i="45"/>
  <c r="J11" i="45"/>
  <c r="K11" i="45"/>
  <c r="L11" i="45"/>
  <c r="M11" i="45"/>
  <c r="N11" i="45"/>
  <c r="O11" i="45"/>
  <c r="P11" i="45"/>
  <c r="Q11" i="45"/>
  <c r="R11" i="45"/>
  <c r="S11" i="45"/>
  <c r="T11" i="45"/>
  <c r="U11" i="45"/>
  <c r="E12" i="45"/>
  <c r="F12" i="45"/>
  <c r="G12" i="45"/>
  <c r="H12" i="45"/>
  <c r="I12" i="45"/>
  <c r="J12" i="45"/>
  <c r="K12" i="45"/>
  <c r="L12" i="45"/>
  <c r="M12" i="45"/>
  <c r="N12" i="45"/>
  <c r="O12" i="45"/>
  <c r="P12" i="45"/>
  <c r="Q12" i="45"/>
  <c r="R12" i="45"/>
  <c r="S12" i="45"/>
  <c r="T12" i="45"/>
  <c r="U12" i="45"/>
  <c r="E13" i="45"/>
  <c r="F13" i="45"/>
  <c r="G13" i="45"/>
  <c r="H13" i="45"/>
  <c r="I13" i="45"/>
  <c r="J13" i="45"/>
  <c r="K13" i="45"/>
  <c r="L13" i="45"/>
  <c r="M13" i="45"/>
  <c r="N13" i="45"/>
  <c r="O13" i="45"/>
  <c r="P13" i="45"/>
  <c r="Q13" i="45"/>
  <c r="R13" i="45"/>
  <c r="S13" i="45"/>
  <c r="T13" i="45"/>
  <c r="U13" i="45"/>
  <c r="V13" i="45"/>
  <c r="E14" i="45"/>
  <c r="F14" i="45"/>
  <c r="G14" i="45"/>
  <c r="H14" i="45"/>
  <c r="I14" i="45"/>
  <c r="J14" i="45"/>
  <c r="K14" i="45"/>
  <c r="L14" i="45"/>
  <c r="M14" i="45"/>
  <c r="N14" i="45"/>
  <c r="O14" i="45"/>
  <c r="P14" i="45"/>
  <c r="Q14" i="45"/>
  <c r="R14" i="45"/>
  <c r="S14" i="45"/>
  <c r="T14" i="45"/>
  <c r="U14" i="45"/>
  <c r="E15" i="45"/>
  <c r="F15" i="45"/>
  <c r="G15" i="45"/>
  <c r="H15" i="45"/>
  <c r="I15" i="45"/>
  <c r="J15" i="45"/>
  <c r="K15" i="45"/>
  <c r="L15" i="45"/>
  <c r="M15" i="45"/>
  <c r="N15" i="45"/>
  <c r="O15" i="45"/>
  <c r="P15" i="45"/>
  <c r="Q15" i="45"/>
  <c r="R15" i="45"/>
  <c r="S15" i="45"/>
  <c r="T15" i="45"/>
  <c r="U15" i="45"/>
  <c r="V15" i="45"/>
  <c r="E16" i="45"/>
  <c r="F16" i="45"/>
  <c r="G16" i="45"/>
  <c r="H16" i="45"/>
  <c r="I16" i="45"/>
  <c r="J16" i="45"/>
  <c r="K16" i="45"/>
  <c r="L16" i="45"/>
  <c r="M16" i="45"/>
  <c r="N16" i="45"/>
  <c r="O16" i="45"/>
  <c r="P16" i="45"/>
  <c r="Q16" i="45"/>
  <c r="R16" i="45"/>
  <c r="S16" i="45"/>
  <c r="T16" i="45"/>
  <c r="U16" i="45"/>
  <c r="V16" i="45"/>
  <c r="E17" i="45"/>
  <c r="F17" i="45"/>
  <c r="G17" i="45"/>
  <c r="H17" i="45"/>
  <c r="I17" i="45"/>
  <c r="J17" i="45"/>
  <c r="K17" i="45"/>
  <c r="L17" i="45"/>
  <c r="M17" i="45"/>
  <c r="N17" i="45"/>
  <c r="O17" i="45"/>
  <c r="P17" i="45"/>
  <c r="Q17" i="45"/>
  <c r="R17" i="45"/>
  <c r="S17" i="45"/>
  <c r="T17" i="45"/>
  <c r="U17" i="45"/>
  <c r="E18" i="45"/>
  <c r="F18" i="45"/>
  <c r="G18" i="45"/>
  <c r="H18" i="45"/>
  <c r="I18" i="45"/>
  <c r="J18" i="45"/>
  <c r="K18" i="45"/>
  <c r="L18" i="45"/>
  <c r="M18" i="45"/>
  <c r="N18" i="45"/>
  <c r="O18" i="45"/>
  <c r="P18" i="45"/>
  <c r="Q18" i="45"/>
  <c r="R18" i="45"/>
  <c r="S18" i="45"/>
  <c r="T18" i="45"/>
  <c r="U18" i="45"/>
  <c r="V18" i="45"/>
  <c r="E19" i="45"/>
  <c r="F19" i="45"/>
  <c r="G19" i="45"/>
  <c r="H19" i="45"/>
  <c r="I19" i="45"/>
  <c r="J19" i="45"/>
  <c r="K19" i="45"/>
  <c r="L19" i="45"/>
  <c r="M19" i="45"/>
  <c r="N19" i="45"/>
  <c r="O19" i="45"/>
  <c r="P19" i="45"/>
  <c r="Q19" i="45"/>
  <c r="R19" i="45"/>
  <c r="S19" i="45"/>
  <c r="T19" i="45"/>
  <c r="U19" i="45"/>
  <c r="V19" i="45"/>
  <c r="E20" i="45"/>
  <c r="F20" i="45"/>
  <c r="G20" i="45"/>
  <c r="H20" i="45"/>
  <c r="I20" i="45"/>
  <c r="J20" i="45"/>
  <c r="K20" i="45"/>
  <c r="L20" i="45"/>
  <c r="M20" i="45"/>
  <c r="N20" i="45"/>
  <c r="O20" i="45"/>
  <c r="P20" i="45"/>
  <c r="Q20" i="45"/>
  <c r="R20" i="45"/>
  <c r="S20" i="45"/>
  <c r="T20" i="45"/>
  <c r="U20" i="45"/>
  <c r="D7" i="45"/>
  <c r="D8" i="45"/>
  <c r="D9" i="45"/>
  <c r="D10" i="45"/>
  <c r="D11" i="45"/>
  <c r="D12" i="45"/>
  <c r="D13" i="45"/>
  <c r="D14" i="45"/>
  <c r="D15" i="45"/>
  <c r="D16" i="45"/>
  <c r="D17" i="45"/>
  <c r="D18" i="45"/>
  <c r="D19" i="45"/>
  <c r="D20" i="45"/>
  <c r="D6" i="45"/>
  <c r="E163" i="44"/>
  <c r="F163" i="44"/>
  <c r="G163" i="44"/>
  <c r="H163" i="44"/>
  <c r="I163" i="44"/>
  <c r="J163" i="44"/>
  <c r="K163" i="44"/>
  <c r="L163" i="44"/>
  <c r="M163" i="44"/>
  <c r="N163" i="44"/>
  <c r="O163" i="44"/>
  <c r="P163" i="44"/>
  <c r="Q163" i="44"/>
  <c r="R163" i="44"/>
  <c r="S163" i="44"/>
  <c r="T163" i="44"/>
  <c r="U163" i="44"/>
  <c r="V163" i="44"/>
  <c r="W163" i="44"/>
  <c r="X163" i="44"/>
  <c r="Y163" i="44"/>
  <c r="AB163" i="44"/>
  <c r="AG163" i="44"/>
  <c r="AL163" i="44"/>
  <c r="AQ163" i="44"/>
  <c r="AV163" i="44"/>
  <c r="E164" i="44"/>
  <c r="F164" i="44"/>
  <c r="G164" i="44"/>
  <c r="H164" i="44"/>
  <c r="I164" i="44"/>
  <c r="J164" i="44"/>
  <c r="K164" i="44"/>
  <c r="L164" i="44"/>
  <c r="M164" i="44"/>
  <c r="N164" i="44"/>
  <c r="O164" i="44"/>
  <c r="P164" i="44"/>
  <c r="Q164" i="44"/>
  <c r="R164" i="44"/>
  <c r="S164" i="44"/>
  <c r="T164" i="44"/>
  <c r="U164" i="44"/>
  <c r="V164" i="44"/>
  <c r="W164" i="44"/>
  <c r="X164" i="44"/>
  <c r="Y164" i="44"/>
  <c r="Z164" i="44"/>
  <c r="AA164" i="44"/>
  <c r="AB164" i="44"/>
  <c r="AC164" i="44"/>
  <c r="AD164" i="44"/>
  <c r="AE164" i="44"/>
  <c r="AF164" i="44"/>
  <c r="AG164" i="44"/>
  <c r="AH164" i="44"/>
  <c r="AI164" i="44"/>
  <c r="AJ164" i="44"/>
  <c r="AK164" i="44"/>
  <c r="AL164" i="44"/>
  <c r="AM164" i="44"/>
  <c r="AN164" i="44"/>
  <c r="AO164" i="44"/>
  <c r="AP164" i="44"/>
  <c r="AQ164" i="44"/>
  <c r="AR164" i="44"/>
  <c r="AS164" i="44"/>
  <c r="AT164" i="44"/>
  <c r="AU164" i="44"/>
  <c r="AV164" i="44"/>
  <c r="E165" i="44"/>
  <c r="F165" i="44"/>
  <c r="G165" i="44"/>
  <c r="H165" i="44"/>
  <c r="I165" i="44"/>
  <c r="J165" i="44"/>
  <c r="K165" i="44"/>
  <c r="L165" i="44"/>
  <c r="M165" i="44"/>
  <c r="N165" i="44"/>
  <c r="O165" i="44"/>
  <c r="P165" i="44"/>
  <c r="Q165" i="44"/>
  <c r="R165" i="44"/>
  <c r="S165" i="44"/>
  <c r="T165" i="44"/>
  <c r="U165" i="44"/>
  <c r="V165" i="44"/>
  <c r="W165" i="44"/>
  <c r="AB165" i="44"/>
  <c r="AG165" i="44"/>
  <c r="AL165" i="44"/>
  <c r="AQ165" i="44"/>
  <c r="AV165" i="44"/>
  <c r="E166" i="44"/>
  <c r="F166" i="44"/>
  <c r="G166" i="44"/>
  <c r="H166" i="44"/>
  <c r="I166" i="44"/>
  <c r="J166" i="44"/>
  <c r="K166" i="44"/>
  <c r="L166" i="44"/>
  <c r="M166" i="44"/>
  <c r="N166" i="44"/>
  <c r="O166" i="44"/>
  <c r="P166" i="44"/>
  <c r="Q166" i="44"/>
  <c r="R166" i="44"/>
  <c r="S166" i="44"/>
  <c r="T166" i="44"/>
  <c r="U166" i="44"/>
  <c r="V166" i="44"/>
  <c r="W166" i="44"/>
  <c r="X166" i="44"/>
  <c r="Y166" i="44"/>
  <c r="Z166" i="44"/>
  <c r="AA166" i="44"/>
  <c r="AB166" i="44"/>
  <c r="AC166" i="44"/>
  <c r="AD166" i="44"/>
  <c r="AE166" i="44"/>
  <c r="AF166" i="44"/>
  <c r="AG166" i="44"/>
  <c r="AH166" i="44"/>
  <c r="AI166" i="44"/>
  <c r="AJ166" i="44"/>
  <c r="AK166" i="44"/>
  <c r="AL166" i="44"/>
  <c r="AM166" i="44"/>
  <c r="AN166" i="44"/>
  <c r="AO166" i="44"/>
  <c r="AP166" i="44"/>
  <c r="AQ166" i="44"/>
  <c r="AR166" i="44"/>
  <c r="AS166" i="44"/>
  <c r="AT166" i="44"/>
  <c r="AU166" i="44"/>
  <c r="AV166" i="44"/>
  <c r="E167" i="44"/>
  <c r="F167" i="44"/>
  <c r="G167" i="44"/>
  <c r="H167" i="44"/>
  <c r="I167" i="44"/>
  <c r="J167" i="44"/>
  <c r="K167" i="44"/>
  <c r="L167" i="44"/>
  <c r="M167" i="44"/>
  <c r="N167" i="44"/>
  <c r="O167" i="44"/>
  <c r="P167" i="44"/>
  <c r="Q167" i="44"/>
  <c r="R167" i="44"/>
  <c r="S167" i="44"/>
  <c r="T167" i="44"/>
  <c r="U167" i="44"/>
  <c r="V167" i="44"/>
  <c r="W167" i="44"/>
  <c r="X167" i="44"/>
  <c r="Y167" i="44"/>
  <c r="AB167" i="44"/>
  <c r="AD167" i="44"/>
  <c r="AE167" i="44"/>
  <c r="AF167" i="44"/>
  <c r="AG167" i="44"/>
  <c r="AH167" i="44"/>
  <c r="AI167" i="44"/>
  <c r="AJ167" i="44"/>
  <c r="AK167" i="44"/>
  <c r="AL167" i="44"/>
  <c r="AM167" i="44"/>
  <c r="AN167" i="44"/>
  <c r="AO167" i="44"/>
  <c r="AP167" i="44"/>
  <c r="AQ167" i="44"/>
  <c r="AR167" i="44"/>
  <c r="AS167" i="44"/>
  <c r="AT167" i="44"/>
  <c r="AU167" i="44"/>
  <c r="AV167" i="44"/>
  <c r="E168" i="44"/>
  <c r="F168" i="44"/>
  <c r="G168" i="44"/>
  <c r="H168" i="44"/>
  <c r="I168" i="44"/>
  <c r="J168" i="44"/>
  <c r="K168" i="44"/>
  <c r="L168" i="44"/>
  <c r="M168" i="44"/>
  <c r="N168" i="44"/>
  <c r="O168" i="44"/>
  <c r="P168" i="44"/>
  <c r="Q168" i="44"/>
  <c r="R168" i="44"/>
  <c r="S168" i="44"/>
  <c r="T168" i="44"/>
  <c r="U168" i="44"/>
  <c r="W168" i="44"/>
  <c r="AB168" i="44"/>
  <c r="AG168" i="44"/>
  <c r="AL168" i="44"/>
  <c r="AQ168" i="44"/>
  <c r="AV168" i="44"/>
  <c r="E169" i="44"/>
  <c r="F169" i="44"/>
  <c r="G169" i="44"/>
  <c r="H169" i="44"/>
  <c r="I169" i="44"/>
  <c r="J169" i="44"/>
  <c r="K169" i="44"/>
  <c r="L169" i="44"/>
  <c r="M169" i="44"/>
  <c r="N169" i="44"/>
  <c r="O169" i="44"/>
  <c r="P169" i="44"/>
  <c r="Q169" i="44"/>
  <c r="R169" i="44"/>
  <c r="S169" i="44"/>
  <c r="T169" i="44"/>
  <c r="U169" i="44"/>
  <c r="V169" i="44"/>
  <c r="W169" i="44"/>
  <c r="X169" i="44"/>
  <c r="Y169" i="44"/>
  <c r="Z169" i="44"/>
  <c r="AA169" i="44"/>
  <c r="AB169" i="44"/>
  <c r="AC169" i="44"/>
  <c r="AD169" i="44"/>
  <c r="AE169" i="44"/>
  <c r="AF169" i="44"/>
  <c r="AG169" i="44"/>
  <c r="AH169" i="44"/>
  <c r="AI169" i="44"/>
  <c r="AJ169" i="44"/>
  <c r="AK169" i="44"/>
  <c r="AL169" i="44"/>
  <c r="AM169" i="44"/>
  <c r="AN169" i="44"/>
  <c r="AO169" i="44"/>
  <c r="AP169" i="44"/>
  <c r="AQ169" i="44"/>
  <c r="AR169" i="44"/>
  <c r="AS169" i="44"/>
  <c r="AT169" i="44"/>
  <c r="AU169" i="44"/>
  <c r="AV169" i="44"/>
  <c r="E170" i="44"/>
  <c r="F170" i="44"/>
  <c r="G170" i="44"/>
  <c r="H170" i="44"/>
  <c r="I170" i="44"/>
  <c r="J170" i="44"/>
  <c r="K170" i="44"/>
  <c r="L170" i="44"/>
  <c r="M170" i="44"/>
  <c r="N170" i="44"/>
  <c r="O170" i="44"/>
  <c r="P170" i="44"/>
  <c r="Q170" i="44"/>
  <c r="R170" i="44"/>
  <c r="S170" i="44"/>
  <c r="T170" i="44"/>
  <c r="U170" i="44"/>
  <c r="W170" i="44"/>
  <c r="AB170" i="44"/>
  <c r="AG170" i="44"/>
  <c r="AL170" i="44"/>
  <c r="AQ170" i="44"/>
  <c r="AV170" i="44"/>
  <c r="E171" i="44"/>
  <c r="F171" i="44"/>
  <c r="G171" i="44"/>
  <c r="H171" i="44"/>
  <c r="I171" i="44"/>
  <c r="J171" i="44"/>
  <c r="K171" i="44"/>
  <c r="L171" i="44"/>
  <c r="M171" i="44"/>
  <c r="N171" i="44"/>
  <c r="O171" i="44"/>
  <c r="P171" i="44"/>
  <c r="Q171" i="44"/>
  <c r="R171" i="44"/>
  <c r="S171" i="44"/>
  <c r="T171" i="44"/>
  <c r="U171" i="44"/>
  <c r="V171" i="44"/>
  <c r="W171" i="44"/>
  <c r="X171" i="44"/>
  <c r="Y171" i="44"/>
  <c r="Z171" i="44"/>
  <c r="AA171" i="44"/>
  <c r="AB171" i="44"/>
  <c r="AC171" i="44"/>
  <c r="AD171" i="44"/>
  <c r="AE171" i="44"/>
  <c r="AF171" i="44"/>
  <c r="AG171" i="44"/>
  <c r="AH171" i="44"/>
  <c r="AI171" i="44"/>
  <c r="AJ171" i="44"/>
  <c r="AK171" i="44"/>
  <c r="AL171" i="44"/>
  <c r="AM171" i="44"/>
  <c r="AN171" i="44"/>
  <c r="AO171" i="44"/>
  <c r="AP171" i="44"/>
  <c r="AQ171" i="44"/>
  <c r="AR171" i="44"/>
  <c r="AS171" i="44"/>
  <c r="AT171" i="44"/>
  <c r="AU171" i="44"/>
  <c r="AV171" i="44"/>
  <c r="E172" i="44"/>
  <c r="F172" i="44"/>
  <c r="G172" i="44"/>
  <c r="H172" i="44"/>
  <c r="I172" i="44"/>
  <c r="J172" i="44"/>
  <c r="K172" i="44"/>
  <c r="L172" i="44"/>
  <c r="M172" i="44"/>
  <c r="N172" i="44"/>
  <c r="O172" i="44"/>
  <c r="P172" i="44"/>
  <c r="Q172" i="44"/>
  <c r="R172" i="44"/>
  <c r="S172" i="44"/>
  <c r="T172" i="44"/>
  <c r="U172" i="44"/>
  <c r="W172" i="44"/>
  <c r="AB172" i="44"/>
  <c r="AG172" i="44"/>
  <c r="AL172" i="44"/>
  <c r="AQ172" i="44"/>
  <c r="AV172" i="44"/>
  <c r="E173" i="44"/>
  <c r="F173" i="44"/>
  <c r="G173" i="44"/>
  <c r="H173" i="44"/>
  <c r="I173" i="44"/>
  <c r="J173" i="44"/>
  <c r="K173" i="44"/>
  <c r="L173" i="44"/>
  <c r="M173" i="44"/>
  <c r="N173" i="44"/>
  <c r="O173" i="44"/>
  <c r="P173" i="44"/>
  <c r="Q173" i="44"/>
  <c r="R173" i="44"/>
  <c r="S173" i="44"/>
  <c r="T173" i="44"/>
  <c r="U173" i="44"/>
  <c r="V173" i="44"/>
  <c r="W173" i="44"/>
  <c r="AB173" i="44"/>
  <c r="AG173" i="44"/>
  <c r="AL173" i="44"/>
  <c r="AQ173" i="44"/>
  <c r="AV173" i="44"/>
  <c r="D164" i="44"/>
  <c r="D165" i="44"/>
  <c r="D166" i="44"/>
  <c r="D167" i="44"/>
  <c r="D168" i="44"/>
  <c r="D169" i="44"/>
  <c r="D170" i="44"/>
  <c r="D171" i="44"/>
  <c r="D172" i="44"/>
  <c r="D173" i="44"/>
  <c r="D163" i="44"/>
  <c r="E151" i="44"/>
  <c r="F151" i="44"/>
  <c r="G151" i="44"/>
  <c r="H151" i="44"/>
  <c r="I151" i="44"/>
  <c r="J151" i="44"/>
  <c r="K151" i="44"/>
  <c r="L151" i="44"/>
  <c r="M151" i="44"/>
  <c r="N151" i="44"/>
  <c r="O151" i="44"/>
  <c r="P151" i="44"/>
  <c r="Q151" i="44"/>
  <c r="R151" i="44"/>
  <c r="S151" i="44"/>
  <c r="T151" i="44"/>
  <c r="U151" i="44"/>
  <c r="V151" i="44"/>
  <c r="W151" i="44"/>
  <c r="X151" i="44"/>
  <c r="Y151" i="44"/>
  <c r="Z151" i="44"/>
  <c r="AA151" i="44"/>
  <c r="AB151" i="44"/>
  <c r="AC151" i="44"/>
  <c r="AD151" i="44"/>
  <c r="AE151" i="44"/>
  <c r="AF151" i="44"/>
  <c r="AG151" i="44"/>
  <c r="AH151" i="44"/>
  <c r="AI151" i="44"/>
  <c r="AJ151" i="44"/>
  <c r="AK151" i="44"/>
  <c r="AL151" i="44"/>
  <c r="AM151" i="44"/>
  <c r="AN151" i="44"/>
  <c r="AO151" i="44"/>
  <c r="AP151" i="44"/>
  <c r="AQ151" i="44"/>
  <c r="AR151" i="44"/>
  <c r="AS151" i="44"/>
  <c r="AT151" i="44"/>
  <c r="AU151" i="44"/>
  <c r="AV151" i="44"/>
  <c r="E152" i="44"/>
  <c r="F152" i="44"/>
  <c r="G152" i="44"/>
  <c r="H152" i="44"/>
  <c r="I152" i="44"/>
  <c r="J152" i="44"/>
  <c r="K152" i="44"/>
  <c r="L152" i="44"/>
  <c r="M152" i="44"/>
  <c r="N152" i="44"/>
  <c r="O152" i="44"/>
  <c r="P152" i="44"/>
  <c r="Q152" i="44"/>
  <c r="R152" i="44"/>
  <c r="S152" i="44"/>
  <c r="T152" i="44"/>
  <c r="U152" i="44"/>
  <c r="V152" i="44"/>
  <c r="W152" i="44"/>
  <c r="X152" i="44"/>
  <c r="Y152" i="44"/>
  <c r="Z152" i="44"/>
  <c r="AA152" i="44"/>
  <c r="AB152" i="44"/>
  <c r="AC152" i="44"/>
  <c r="AD152" i="44"/>
  <c r="AE152" i="44"/>
  <c r="AF152" i="44"/>
  <c r="AG152" i="44"/>
  <c r="AH152" i="44"/>
  <c r="AI152" i="44"/>
  <c r="AJ152" i="44"/>
  <c r="AK152" i="44"/>
  <c r="AL152" i="44"/>
  <c r="AM152" i="44"/>
  <c r="AN152" i="44"/>
  <c r="AO152" i="44"/>
  <c r="AP152" i="44"/>
  <c r="AQ152" i="44"/>
  <c r="AR152" i="44"/>
  <c r="AS152" i="44"/>
  <c r="AT152" i="44"/>
  <c r="AU152" i="44"/>
  <c r="AV152" i="44"/>
  <c r="E153" i="44"/>
  <c r="F153" i="44"/>
  <c r="G153" i="44"/>
  <c r="H153" i="44"/>
  <c r="I153" i="44"/>
  <c r="J153" i="44"/>
  <c r="K153" i="44"/>
  <c r="L153" i="44"/>
  <c r="M153" i="44"/>
  <c r="N153" i="44"/>
  <c r="O153" i="44"/>
  <c r="P153" i="44"/>
  <c r="Q153" i="44"/>
  <c r="R153" i="44"/>
  <c r="S153" i="44"/>
  <c r="T153" i="44"/>
  <c r="U153" i="44"/>
  <c r="V153" i="44"/>
  <c r="W153" i="44"/>
  <c r="X153" i="44"/>
  <c r="Y153" i="44"/>
  <c r="Z153" i="44"/>
  <c r="AA153" i="44"/>
  <c r="AB153" i="44"/>
  <c r="AG153" i="44"/>
  <c r="AL153" i="44"/>
  <c r="AQ153" i="44"/>
  <c r="AV153" i="44"/>
  <c r="E154" i="44"/>
  <c r="F154" i="44"/>
  <c r="G154" i="44"/>
  <c r="H154" i="44"/>
  <c r="I154" i="44"/>
  <c r="J154" i="44"/>
  <c r="K154" i="44"/>
  <c r="L154" i="44"/>
  <c r="M154" i="44"/>
  <c r="N154" i="44"/>
  <c r="O154" i="44"/>
  <c r="P154" i="44"/>
  <c r="Q154" i="44"/>
  <c r="R154" i="44"/>
  <c r="S154" i="44"/>
  <c r="T154" i="44"/>
  <c r="U154" i="44"/>
  <c r="V154" i="44"/>
  <c r="W154" i="44"/>
  <c r="X154" i="44"/>
  <c r="Y154" i="44"/>
  <c r="Z154" i="44"/>
  <c r="AA154" i="44"/>
  <c r="AB154" i="44"/>
  <c r="AC154" i="44"/>
  <c r="AD154" i="44"/>
  <c r="AE154" i="44"/>
  <c r="AF154" i="44"/>
  <c r="AH154" i="44"/>
  <c r="AI154" i="44"/>
  <c r="AJ154" i="44"/>
  <c r="AM154" i="44"/>
  <c r="AN154" i="44"/>
  <c r="AO154" i="44"/>
  <c r="AP154" i="44"/>
  <c r="AQ154" i="44"/>
  <c r="AR154" i="44"/>
  <c r="AS154" i="44"/>
  <c r="AT154" i="44"/>
  <c r="AU154" i="44"/>
  <c r="AV154" i="44"/>
  <c r="E155" i="44"/>
  <c r="F155" i="44"/>
  <c r="G155" i="44"/>
  <c r="H155" i="44"/>
  <c r="I155" i="44"/>
  <c r="J155" i="44"/>
  <c r="K155" i="44"/>
  <c r="L155" i="44"/>
  <c r="M155" i="44"/>
  <c r="N155" i="44"/>
  <c r="O155" i="44"/>
  <c r="P155" i="44"/>
  <c r="Q155" i="44"/>
  <c r="R155" i="44"/>
  <c r="S155" i="44"/>
  <c r="T155" i="44"/>
  <c r="U155" i="44"/>
  <c r="V155" i="44"/>
  <c r="W155" i="44"/>
  <c r="X155" i="44"/>
  <c r="Y155" i="44"/>
  <c r="Z155" i="44"/>
  <c r="AA155" i="44"/>
  <c r="AB155" i="44"/>
  <c r="E156" i="44"/>
  <c r="F156" i="44"/>
  <c r="G156" i="44"/>
  <c r="H156" i="44"/>
  <c r="I156" i="44"/>
  <c r="J156" i="44"/>
  <c r="K156" i="44"/>
  <c r="L156" i="44"/>
  <c r="M156" i="44"/>
  <c r="N156" i="44"/>
  <c r="O156" i="44"/>
  <c r="P156" i="44"/>
  <c r="Q156" i="44"/>
  <c r="R156" i="44"/>
  <c r="S156" i="44"/>
  <c r="T156" i="44"/>
  <c r="U156" i="44"/>
  <c r="V156" i="44"/>
  <c r="W156" i="44"/>
  <c r="X156" i="44"/>
  <c r="Y156" i="44"/>
  <c r="Z156" i="44"/>
  <c r="AA156" i="44"/>
  <c r="AB156" i="44"/>
  <c r="AC156" i="44"/>
  <c r="AD156" i="44"/>
  <c r="AE156" i="44"/>
  <c r="AF156" i="44"/>
  <c r="AG156" i="44"/>
  <c r="AH156" i="44"/>
  <c r="AI156" i="44"/>
  <c r="AJ156" i="44"/>
  <c r="AK156" i="44"/>
  <c r="AL156" i="44"/>
  <c r="AM156" i="44"/>
  <c r="AN156" i="44"/>
  <c r="AO156" i="44"/>
  <c r="AP156" i="44"/>
  <c r="AQ156" i="44"/>
  <c r="AR156" i="44"/>
  <c r="AS156" i="44"/>
  <c r="AT156" i="44"/>
  <c r="AU156" i="44"/>
  <c r="AV156" i="44"/>
  <c r="E157" i="44"/>
  <c r="F157" i="44"/>
  <c r="G157" i="44"/>
  <c r="H157" i="44"/>
  <c r="I157" i="44"/>
  <c r="J157" i="44"/>
  <c r="K157" i="44"/>
  <c r="L157" i="44"/>
  <c r="M157" i="44"/>
  <c r="N157" i="44"/>
  <c r="O157" i="44"/>
  <c r="P157" i="44"/>
  <c r="Q157" i="44"/>
  <c r="R157" i="44"/>
  <c r="S157" i="44"/>
  <c r="T157" i="44"/>
  <c r="U157" i="44"/>
  <c r="V157" i="44"/>
  <c r="W157" i="44"/>
  <c r="X157" i="44"/>
  <c r="Y157" i="44"/>
  <c r="Z157" i="44"/>
  <c r="AA157" i="44"/>
  <c r="AB157" i="44"/>
  <c r="AC157" i="44"/>
  <c r="AD157" i="44"/>
  <c r="AE157" i="44"/>
  <c r="AF157" i="44"/>
  <c r="AG157" i="44"/>
  <c r="AH157" i="44"/>
  <c r="AI157" i="44"/>
  <c r="AJ157" i="44"/>
  <c r="AK157" i="44"/>
  <c r="AL157" i="44"/>
  <c r="AM157" i="44"/>
  <c r="AN157" i="44"/>
  <c r="AO157" i="44"/>
  <c r="AP157" i="44"/>
  <c r="AQ157" i="44"/>
  <c r="AR157" i="44"/>
  <c r="AS157" i="44"/>
  <c r="AT157" i="44"/>
  <c r="AU157" i="44"/>
  <c r="AV157" i="44"/>
  <c r="E158" i="44"/>
  <c r="F158" i="44"/>
  <c r="G158" i="44"/>
  <c r="H158" i="44"/>
  <c r="I158" i="44"/>
  <c r="J158" i="44"/>
  <c r="K158" i="44"/>
  <c r="L158" i="44"/>
  <c r="M158" i="44"/>
  <c r="N158" i="44"/>
  <c r="O158" i="44"/>
  <c r="P158" i="44"/>
  <c r="Q158" i="44"/>
  <c r="R158" i="44"/>
  <c r="S158" i="44"/>
  <c r="T158" i="44"/>
  <c r="U158" i="44"/>
  <c r="V158" i="44"/>
  <c r="W158" i="44"/>
  <c r="X158" i="44"/>
  <c r="Y158" i="44"/>
  <c r="Z158" i="44"/>
  <c r="AA158" i="44"/>
  <c r="AB158" i="44"/>
  <c r="AC158" i="44"/>
  <c r="AD158" i="44"/>
  <c r="AE158" i="44"/>
  <c r="AF158" i="44"/>
  <c r="AG158" i="44"/>
  <c r="AH158" i="44"/>
  <c r="AI158" i="44"/>
  <c r="AJ158" i="44"/>
  <c r="AK158" i="44"/>
  <c r="AL158" i="44"/>
  <c r="AM158" i="44"/>
  <c r="AN158" i="44"/>
  <c r="AO158" i="44"/>
  <c r="AP158" i="44"/>
  <c r="AQ158" i="44"/>
  <c r="AR158" i="44"/>
  <c r="AS158" i="44"/>
  <c r="AT158" i="44"/>
  <c r="AU158" i="44"/>
  <c r="AV158" i="44"/>
  <c r="E159" i="44"/>
  <c r="F159" i="44"/>
  <c r="G159" i="44"/>
  <c r="H159" i="44"/>
  <c r="I159" i="44"/>
  <c r="J159" i="44"/>
  <c r="K159" i="44"/>
  <c r="L159" i="44"/>
  <c r="M159" i="44"/>
  <c r="N159" i="44"/>
  <c r="O159" i="44"/>
  <c r="P159" i="44"/>
  <c r="Q159" i="44"/>
  <c r="R159" i="44"/>
  <c r="S159" i="44"/>
  <c r="T159" i="44"/>
  <c r="U159" i="44"/>
  <c r="V159" i="44"/>
  <c r="W159" i="44"/>
  <c r="X159" i="44"/>
  <c r="Y159" i="44"/>
  <c r="Z159" i="44"/>
  <c r="AA159" i="44"/>
  <c r="AB159" i="44"/>
  <c r="AC159" i="44"/>
  <c r="AD159" i="44"/>
  <c r="AE159" i="44"/>
  <c r="AF159" i="44"/>
  <c r="AG159" i="44"/>
  <c r="AH159" i="44"/>
  <c r="AI159" i="44"/>
  <c r="AJ159" i="44"/>
  <c r="AK159" i="44"/>
  <c r="AL159" i="44"/>
  <c r="AM159" i="44"/>
  <c r="AN159" i="44"/>
  <c r="AO159" i="44"/>
  <c r="AP159" i="44"/>
  <c r="AQ159" i="44"/>
  <c r="AR159" i="44"/>
  <c r="AS159" i="44"/>
  <c r="AT159" i="44"/>
  <c r="AU159" i="44"/>
  <c r="AV159" i="44"/>
  <c r="E160" i="44"/>
  <c r="F160" i="44"/>
  <c r="G160" i="44"/>
  <c r="H160" i="44"/>
  <c r="I160" i="44"/>
  <c r="J160" i="44"/>
  <c r="K160" i="44"/>
  <c r="L160" i="44"/>
  <c r="M160" i="44"/>
  <c r="N160" i="44"/>
  <c r="O160" i="44"/>
  <c r="P160" i="44"/>
  <c r="Q160" i="44"/>
  <c r="R160" i="44"/>
  <c r="S160" i="44"/>
  <c r="T160" i="44"/>
  <c r="U160" i="44"/>
  <c r="V160" i="44"/>
  <c r="W160" i="44"/>
  <c r="X160" i="44"/>
  <c r="Y160" i="44"/>
  <c r="Z160" i="44"/>
  <c r="AA160" i="44"/>
  <c r="AB160" i="44"/>
  <c r="AC160" i="44"/>
  <c r="AD160" i="44"/>
  <c r="AE160" i="44"/>
  <c r="AF160" i="44"/>
  <c r="AG160" i="44"/>
  <c r="AH160" i="44"/>
  <c r="AI160" i="44"/>
  <c r="AJ160" i="44"/>
  <c r="AK160" i="44"/>
  <c r="AL160" i="44"/>
  <c r="AM160" i="44"/>
  <c r="AN160" i="44"/>
  <c r="AO160" i="44"/>
  <c r="AP160" i="44"/>
  <c r="AQ160" i="44"/>
  <c r="AR160" i="44"/>
  <c r="AS160" i="44"/>
  <c r="AT160" i="44"/>
  <c r="AU160" i="44"/>
  <c r="AV160" i="44"/>
  <c r="E161" i="44"/>
  <c r="F161" i="44"/>
  <c r="G161" i="44"/>
  <c r="H161" i="44"/>
  <c r="I161" i="44"/>
  <c r="J161" i="44"/>
  <c r="K161" i="44"/>
  <c r="L161" i="44"/>
  <c r="M161" i="44"/>
  <c r="N161" i="44"/>
  <c r="O161" i="44"/>
  <c r="P161" i="44"/>
  <c r="Q161" i="44"/>
  <c r="R161" i="44"/>
  <c r="S161" i="44"/>
  <c r="T161" i="44"/>
  <c r="U161" i="44"/>
  <c r="V161" i="44"/>
  <c r="W161" i="44"/>
  <c r="X161" i="44"/>
  <c r="Y161" i="44"/>
  <c r="Z161" i="44"/>
  <c r="AA161" i="44"/>
  <c r="AB161" i="44"/>
  <c r="AC161" i="44"/>
  <c r="AD161" i="44"/>
  <c r="AE161" i="44"/>
  <c r="AF161" i="44"/>
  <c r="AG161" i="44"/>
  <c r="AH161" i="44"/>
  <c r="AI161" i="44"/>
  <c r="AJ161" i="44"/>
  <c r="AK161" i="44"/>
  <c r="AL161" i="44"/>
  <c r="AM161" i="44"/>
  <c r="AN161" i="44"/>
  <c r="AO161" i="44"/>
  <c r="AP161" i="44"/>
  <c r="AQ161" i="44"/>
  <c r="AR161" i="44"/>
  <c r="AS161" i="44"/>
  <c r="AT161" i="44"/>
  <c r="AU161" i="44"/>
  <c r="AV161" i="44"/>
  <c r="D152" i="44"/>
  <c r="D153" i="44"/>
  <c r="D154" i="44"/>
  <c r="D155" i="44"/>
  <c r="D156" i="44"/>
  <c r="D157" i="44"/>
  <c r="D158" i="44"/>
  <c r="D159" i="44"/>
  <c r="D160" i="44"/>
  <c r="D161" i="44"/>
  <c r="D151" i="44"/>
  <c r="E139" i="44"/>
  <c r="F139" i="44"/>
  <c r="G139" i="44"/>
  <c r="H139" i="44"/>
  <c r="I139" i="44"/>
  <c r="J139" i="44"/>
  <c r="K139" i="44"/>
  <c r="L139" i="44"/>
  <c r="M139" i="44"/>
  <c r="N139" i="44"/>
  <c r="O139" i="44"/>
  <c r="P139" i="44"/>
  <c r="Q139" i="44"/>
  <c r="R139" i="44"/>
  <c r="S139" i="44"/>
  <c r="T139" i="44"/>
  <c r="U139" i="44"/>
  <c r="V139" i="44"/>
  <c r="W139" i="44"/>
  <c r="X139" i="44"/>
  <c r="Y139" i="44"/>
  <c r="Z139" i="44"/>
  <c r="AA139" i="44"/>
  <c r="AC139" i="44"/>
  <c r="AD139" i="44"/>
  <c r="AE139" i="44"/>
  <c r="AF139" i="44"/>
  <c r="AH139" i="44"/>
  <c r="AI139" i="44"/>
  <c r="AJ139" i="44"/>
  <c r="AK139" i="44"/>
  <c r="AM139" i="44"/>
  <c r="AN139" i="44"/>
  <c r="AO139" i="44"/>
  <c r="AP139" i="44"/>
  <c r="AR139" i="44"/>
  <c r="AS139" i="44"/>
  <c r="AT139" i="44"/>
  <c r="AU139" i="44"/>
  <c r="E140" i="44"/>
  <c r="F140" i="44"/>
  <c r="G140" i="44"/>
  <c r="H140" i="44"/>
  <c r="I140" i="44"/>
  <c r="J140" i="44"/>
  <c r="K140" i="44"/>
  <c r="L140" i="44"/>
  <c r="M140" i="44"/>
  <c r="N140" i="44"/>
  <c r="O140" i="44"/>
  <c r="P140" i="44"/>
  <c r="Q140" i="44"/>
  <c r="R140" i="44"/>
  <c r="S140" i="44"/>
  <c r="T140" i="44"/>
  <c r="U140" i="44"/>
  <c r="E141" i="44"/>
  <c r="F141" i="44"/>
  <c r="G141" i="44"/>
  <c r="H141" i="44"/>
  <c r="I141" i="44"/>
  <c r="J141" i="44"/>
  <c r="K141" i="44"/>
  <c r="L141" i="44"/>
  <c r="M141" i="44"/>
  <c r="N141" i="44"/>
  <c r="O141" i="44"/>
  <c r="P141" i="44"/>
  <c r="Q141" i="44"/>
  <c r="R141" i="44"/>
  <c r="S141" i="44"/>
  <c r="T141" i="44"/>
  <c r="U141" i="44"/>
  <c r="E142" i="44"/>
  <c r="F142" i="44"/>
  <c r="G142" i="44"/>
  <c r="H142" i="44"/>
  <c r="I142" i="44"/>
  <c r="J142" i="44"/>
  <c r="K142" i="44"/>
  <c r="L142" i="44"/>
  <c r="M142" i="44"/>
  <c r="N142" i="44"/>
  <c r="O142" i="44"/>
  <c r="P142" i="44"/>
  <c r="Q142" i="44"/>
  <c r="R142" i="44"/>
  <c r="S142" i="44"/>
  <c r="T142" i="44"/>
  <c r="U142" i="44"/>
  <c r="E143" i="44"/>
  <c r="F143" i="44"/>
  <c r="G143" i="44"/>
  <c r="H143" i="44"/>
  <c r="I143" i="44"/>
  <c r="J143" i="44"/>
  <c r="K143" i="44"/>
  <c r="L143" i="44"/>
  <c r="M143" i="44"/>
  <c r="N143" i="44"/>
  <c r="O143" i="44"/>
  <c r="P143" i="44"/>
  <c r="Q143" i="44"/>
  <c r="R143" i="44"/>
  <c r="S143" i="44"/>
  <c r="T143" i="44"/>
  <c r="U143" i="44"/>
  <c r="V143" i="44"/>
  <c r="X143" i="44"/>
  <c r="Y143" i="44"/>
  <c r="Z143" i="44"/>
  <c r="AA143" i="44"/>
  <c r="AC143" i="44"/>
  <c r="AD143" i="44"/>
  <c r="AE143" i="44"/>
  <c r="AF143" i="44"/>
  <c r="AH143" i="44"/>
  <c r="AI143" i="44"/>
  <c r="AJ143" i="44"/>
  <c r="AK143" i="44"/>
  <c r="AM143" i="44"/>
  <c r="AN143" i="44"/>
  <c r="AO143" i="44"/>
  <c r="AP143" i="44"/>
  <c r="AR143" i="44"/>
  <c r="AS143" i="44"/>
  <c r="AT143" i="44"/>
  <c r="AU143" i="44"/>
  <c r="E144" i="44"/>
  <c r="F144" i="44"/>
  <c r="G144" i="44"/>
  <c r="H144" i="44"/>
  <c r="I144" i="44"/>
  <c r="J144" i="44"/>
  <c r="K144" i="44"/>
  <c r="L144" i="44"/>
  <c r="M144" i="44"/>
  <c r="N144" i="44"/>
  <c r="O144" i="44"/>
  <c r="P144" i="44"/>
  <c r="Q144" i="44"/>
  <c r="R144" i="44"/>
  <c r="S144" i="44"/>
  <c r="T144" i="44"/>
  <c r="U144" i="44"/>
  <c r="V144" i="44"/>
  <c r="W144" i="44"/>
  <c r="AB144" i="44"/>
  <c r="AG144" i="44"/>
  <c r="AL144" i="44"/>
  <c r="AQ144" i="44"/>
  <c r="AV144" i="44"/>
  <c r="E145" i="44"/>
  <c r="F145" i="44"/>
  <c r="G145" i="44"/>
  <c r="H145" i="44"/>
  <c r="I145" i="44"/>
  <c r="J145" i="44"/>
  <c r="K145" i="44"/>
  <c r="L145" i="44"/>
  <c r="M145" i="44"/>
  <c r="N145" i="44"/>
  <c r="O145" i="44"/>
  <c r="P145" i="44"/>
  <c r="Q145" i="44"/>
  <c r="R145" i="44"/>
  <c r="S145" i="44"/>
  <c r="T145" i="44"/>
  <c r="U145" i="44"/>
  <c r="V145" i="44"/>
  <c r="W145" i="44"/>
  <c r="AB145" i="44"/>
  <c r="AG145" i="44"/>
  <c r="AL145" i="44"/>
  <c r="AQ145" i="44"/>
  <c r="AV145" i="44"/>
  <c r="E146" i="44"/>
  <c r="F146" i="44"/>
  <c r="G146" i="44"/>
  <c r="H146" i="44"/>
  <c r="I146" i="44"/>
  <c r="J146" i="44"/>
  <c r="K146" i="44"/>
  <c r="L146" i="44"/>
  <c r="M146" i="44"/>
  <c r="N146" i="44"/>
  <c r="O146" i="44"/>
  <c r="P146" i="44"/>
  <c r="Q146" i="44"/>
  <c r="R146" i="44"/>
  <c r="S146" i="44"/>
  <c r="T146" i="44"/>
  <c r="U146" i="44"/>
  <c r="E147" i="44"/>
  <c r="F147" i="44"/>
  <c r="G147" i="44"/>
  <c r="H147" i="44"/>
  <c r="I147" i="44"/>
  <c r="J147" i="44"/>
  <c r="K147" i="44"/>
  <c r="L147" i="44"/>
  <c r="M147" i="44"/>
  <c r="N147" i="44"/>
  <c r="O147" i="44"/>
  <c r="P147" i="44"/>
  <c r="Q147" i="44"/>
  <c r="R147" i="44"/>
  <c r="S147" i="44"/>
  <c r="T147" i="44"/>
  <c r="U147" i="44"/>
  <c r="E148" i="44"/>
  <c r="F148" i="44"/>
  <c r="G148" i="44"/>
  <c r="H148" i="44"/>
  <c r="I148" i="44"/>
  <c r="J148" i="44"/>
  <c r="K148" i="44"/>
  <c r="L148" i="44"/>
  <c r="M148" i="44"/>
  <c r="N148" i="44"/>
  <c r="O148" i="44"/>
  <c r="P148" i="44"/>
  <c r="Q148" i="44"/>
  <c r="R148" i="44"/>
  <c r="S148" i="44"/>
  <c r="T148" i="44"/>
  <c r="U148" i="44"/>
  <c r="E149" i="44"/>
  <c r="F149" i="44"/>
  <c r="G149" i="44"/>
  <c r="H149" i="44"/>
  <c r="I149" i="44"/>
  <c r="J149" i="44"/>
  <c r="K149" i="44"/>
  <c r="L149" i="44"/>
  <c r="M149" i="44"/>
  <c r="N149" i="44"/>
  <c r="O149" i="44"/>
  <c r="P149" i="44"/>
  <c r="Q149" i="44"/>
  <c r="R149" i="44"/>
  <c r="S149" i="44"/>
  <c r="T149" i="44"/>
  <c r="U149" i="44"/>
  <c r="V149" i="44"/>
  <c r="W149" i="44"/>
  <c r="X149" i="44"/>
  <c r="Y149" i="44"/>
  <c r="Z149" i="44"/>
  <c r="AA149" i="44"/>
  <c r="AB149" i="44"/>
  <c r="AC149" i="44"/>
  <c r="AD149" i="44"/>
  <c r="AE149" i="44"/>
  <c r="AF149" i="44"/>
  <c r="AG149" i="44"/>
  <c r="AH149" i="44"/>
  <c r="AI149" i="44"/>
  <c r="AJ149" i="44"/>
  <c r="AK149" i="44"/>
  <c r="AM149" i="44"/>
  <c r="AN149" i="44"/>
  <c r="AO149" i="44"/>
  <c r="AP149" i="44"/>
  <c r="AQ149" i="44"/>
  <c r="AR149" i="44"/>
  <c r="AS149" i="44"/>
  <c r="AT149" i="44"/>
  <c r="AU149" i="44"/>
  <c r="AV149" i="44"/>
  <c r="D140" i="44"/>
  <c r="D141" i="44"/>
  <c r="D142" i="44"/>
  <c r="D143" i="44"/>
  <c r="D144" i="44"/>
  <c r="D145" i="44"/>
  <c r="D146" i="44"/>
  <c r="D147" i="44"/>
  <c r="D148" i="44"/>
  <c r="D149" i="44"/>
  <c r="D139" i="44"/>
  <c r="E123" i="44"/>
  <c r="F123" i="44"/>
  <c r="G123" i="44"/>
  <c r="H123" i="44"/>
  <c r="I123" i="44"/>
  <c r="J123" i="44"/>
  <c r="K123" i="44"/>
  <c r="L123" i="44"/>
  <c r="M123" i="44"/>
  <c r="N123" i="44"/>
  <c r="O123" i="44"/>
  <c r="P123" i="44"/>
  <c r="Q123" i="44"/>
  <c r="R123" i="44"/>
  <c r="S123" i="44"/>
  <c r="T123" i="44"/>
  <c r="U123" i="44"/>
  <c r="V123" i="44"/>
  <c r="X123" i="44"/>
  <c r="Y123" i="44"/>
  <c r="Z123" i="44"/>
  <c r="AC123" i="44"/>
  <c r="AD123" i="44"/>
  <c r="AE123" i="44"/>
  <c r="AH123" i="44"/>
  <c r="AI123" i="44"/>
  <c r="AJ123" i="44"/>
  <c r="AM123" i="44"/>
  <c r="AN123" i="44"/>
  <c r="AO123" i="44"/>
  <c r="AR123" i="44"/>
  <c r="AS123" i="44"/>
  <c r="AT123" i="44"/>
  <c r="E124" i="44"/>
  <c r="F124" i="44"/>
  <c r="G124" i="44"/>
  <c r="H124" i="44"/>
  <c r="I124" i="44"/>
  <c r="J124" i="44"/>
  <c r="K124" i="44"/>
  <c r="L124" i="44"/>
  <c r="M124" i="44"/>
  <c r="N124" i="44"/>
  <c r="O124" i="44"/>
  <c r="P124" i="44"/>
  <c r="Q124" i="44"/>
  <c r="R124" i="44"/>
  <c r="S124" i="44"/>
  <c r="T124" i="44"/>
  <c r="U124" i="44"/>
  <c r="V124" i="44"/>
  <c r="X124" i="44"/>
  <c r="Y124" i="44"/>
  <c r="Z124" i="44"/>
  <c r="AA124" i="44"/>
  <c r="AC124" i="44"/>
  <c r="AD124" i="44"/>
  <c r="AE124" i="44"/>
  <c r="AF124" i="44"/>
  <c r="AH124" i="44"/>
  <c r="AI124" i="44"/>
  <c r="AJ124" i="44"/>
  <c r="AK124" i="44"/>
  <c r="AM124" i="44"/>
  <c r="AN124" i="44"/>
  <c r="AO124" i="44"/>
  <c r="AP124" i="44"/>
  <c r="AR124" i="44"/>
  <c r="AS124" i="44"/>
  <c r="AT124" i="44"/>
  <c r="AU124" i="44"/>
  <c r="E125" i="44"/>
  <c r="F125" i="44"/>
  <c r="G125" i="44"/>
  <c r="H125" i="44"/>
  <c r="I125" i="44"/>
  <c r="J125" i="44"/>
  <c r="K125" i="44"/>
  <c r="L125" i="44"/>
  <c r="M125" i="44"/>
  <c r="N125" i="44"/>
  <c r="O125" i="44"/>
  <c r="P125" i="44"/>
  <c r="Q125" i="44"/>
  <c r="R125" i="44"/>
  <c r="S125" i="44"/>
  <c r="T125" i="44"/>
  <c r="U125" i="44"/>
  <c r="V125" i="44"/>
  <c r="X125" i="44"/>
  <c r="Y125" i="44"/>
  <c r="Z125" i="44"/>
  <c r="AA125" i="44"/>
  <c r="AB125" i="44"/>
  <c r="AC125" i="44"/>
  <c r="AD125" i="44"/>
  <c r="AE125" i="44"/>
  <c r="AF125" i="44"/>
  <c r="AG125" i="44"/>
  <c r="AH125" i="44"/>
  <c r="AI125" i="44"/>
  <c r="AJ125" i="44"/>
  <c r="AK125" i="44"/>
  <c r="AL125" i="44"/>
  <c r="AM125" i="44"/>
  <c r="AN125" i="44"/>
  <c r="AO125" i="44"/>
  <c r="AP125" i="44"/>
  <c r="AQ125" i="44"/>
  <c r="AR125" i="44"/>
  <c r="AS125" i="44"/>
  <c r="AT125" i="44"/>
  <c r="AU125" i="44"/>
  <c r="AV125" i="44"/>
  <c r="E126" i="44"/>
  <c r="F126" i="44"/>
  <c r="G126" i="44"/>
  <c r="H126" i="44"/>
  <c r="I126" i="44"/>
  <c r="J126" i="44"/>
  <c r="K126" i="44"/>
  <c r="L126" i="44"/>
  <c r="M126" i="44"/>
  <c r="N126" i="44"/>
  <c r="O126" i="44"/>
  <c r="P126" i="44"/>
  <c r="Q126" i="44"/>
  <c r="R126" i="44"/>
  <c r="S126" i="44"/>
  <c r="T126" i="44"/>
  <c r="U126" i="44"/>
  <c r="V126" i="44"/>
  <c r="X126" i="44"/>
  <c r="Y126" i="44"/>
  <c r="Z126" i="44"/>
  <c r="AA126" i="44"/>
  <c r="AB126" i="44"/>
  <c r="AC126" i="44"/>
  <c r="AD126" i="44"/>
  <c r="AE126" i="44"/>
  <c r="AF126" i="44"/>
  <c r="AG126" i="44"/>
  <c r="AH126" i="44"/>
  <c r="AI126" i="44"/>
  <c r="AJ126" i="44"/>
  <c r="AK126" i="44"/>
  <c r="AL126" i="44"/>
  <c r="AM126" i="44"/>
  <c r="AN126" i="44"/>
  <c r="AO126" i="44"/>
  <c r="AP126" i="44"/>
  <c r="AQ126" i="44"/>
  <c r="AR126" i="44"/>
  <c r="AS126" i="44"/>
  <c r="AT126" i="44"/>
  <c r="AU126" i="44"/>
  <c r="AV126" i="44"/>
  <c r="E127" i="44"/>
  <c r="F127" i="44"/>
  <c r="G127" i="44"/>
  <c r="H127" i="44"/>
  <c r="I127" i="44"/>
  <c r="J127" i="44"/>
  <c r="K127" i="44"/>
  <c r="L127" i="44"/>
  <c r="M127" i="44"/>
  <c r="N127" i="44"/>
  <c r="O127" i="44"/>
  <c r="P127" i="44"/>
  <c r="Q127" i="44"/>
  <c r="R127" i="44"/>
  <c r="S127" i="44"/>
  <c r="T127" i="44"/>
  <c r="U127" i="44"/>
  <c r="E128" i="44"/>
  <c r="F128" i="44"/>
  <c r="G128" i="44"/>
  <c r="H128" i="44"/>
  <c r="I128" i="44"/>
  <c r="J128" i="44"/>
  <c r="K128" i="44"/>
  <c r="L128" i="44"/>
  <c r="M128" i="44"/>
  <c r="N128" i="44"/>
  <c r="O128" i="44"/>
  <c r="P128" i="44"/>
  <c r="Q128" i="44"/>
  <c r="R128" i="44"/>
  <c r="S128" i="44"/>
  <c r="T128" i="44"/>
  <c r="U128" i="44"/>
  <c r="V128" i="44"/>
  <c r="X128" i="44"/>
  <c r="Y128" i="44"/>
  <c r="Z128" i="44"/>
  <c r="AA128" i="44"/>
  <c r="AB128" i="44"/>
  <c r="AC128" i="44"/>
  <c r="AD128" i="44"/>
  <c r="AE128" i="44"/>
  <c r="AF128" i="44"/>
  <c r="AG128" i="44"/>
  <c r="AH128" i="44"/>
  <c r="AI128" i="44"/>
  <c r="AJ128" i="44"/>
  <c r="AK128" i="44"/>
  <c r="AL128" i="44"/>
  <c r="AM128" i="44"/>
  <c r="AN128" i="44"/>
  <c r="AO128" i="44"/>
  <c r="AP128" i="44"/>
  <c r="AQ128" i="44"/>
  <c r="AR128" i="44"/>
  <c r="AS128" i="44"/>
  <c r="AT128" i="44"/>
  <c r="AU128" i="44"/>
  <c r="AV128" i="44"/>
  <c r="E129" i="44"/>
  <c r="F129" i="44"/>
  <c r="G129" i="44"/>
  <c r="H129" i="44"/>
  <c r="I129" i="44"/>
  <c r="J129" i="44"/>
  <c r="K129" i="44"/>
  <c r="L129" i="44"/>
  <c r="M129" i="44"/>
  <c r="N129" i="44"/>
  <c r="O129" i="44"/>
  <c r="P129" i="44"/>
  <c r="Q129" i="44"/>
  <c r="R129" i="44"/>
  <c r="S129" i="44"/>
  <c r="T129" i="44"/>
  <c r="U129" i="44"/>
  <c r="V129" i="44"/>
  <c r="E130" i="44"/>
  <c r="F130" i="44"/>
  <c r="G130" i="44"/>
  <c r="H130" i="44"/>
  <c r="I130" i="44"/>
  <c r="J130" i="44"/>
  <c r="K130" i="44"/>
  <c r="L130" i="44"/>
  <c r="M130" i="44"/>
  <c r="N130" i="44"/>
  <c r="O130" i="44"/>
  <c r="P130" i="44"/>
  <c r="Q130" i="44"/>
  <c r="R130" i="44"/>
  <c r="S130" i="44"/>
  <c r="T130" i="44"/>
  <c r="U130" i="44"/>
  <c r="E131" i="44"/>
  <c r="F131" i="44"/>
  <c r="G131" i="44"/>
  <c r="H131" i="44"/>
  <c r="I131" i="44"/>
  <c r="J131" i="44"/>
  <c r="K131" i="44"/>
  <c r="L131" i="44"/>
  <c r="M131" i="44"/>
  <c r="N131" i="44"/>
  <c r="O131" i="44"/>
  <c r="P131" i="44"/>
  <c r="Q131" i="44"/>
  <c r="R131" i="44"/>
  <c r="S131" i="44"/>
  <c r="T131" i="44"/>
  <c r="U131" i="44"/>
  <c r="D124" i="44"/>
  <c r="D125" i="44"/>
  <c r="D126" i="44"/>
  <c r="D127" i="44"/>
  <c r="D128" i="44"/>
  <c r="D129" i="44"/>
  <c r="D130" i="44"/>
  <c r="D131" i="44"/>
  <c r="D123" i="44"/>
  <c r="E108" i="44"/>
  <c r="F108" i="44"/>
  <c r="G108" i="44"/>
  <c r="H108" i="44"/>
  <c r="I108" i="44"/>
  <c r="J108" i="44"/>
  <c r="K108" i="44"/>
  <c r="L108" i="44"/>
  <c r="M108" i="44"/>
  <c r="N108" i="44"/>
  <c r="O108" i="44"/>
  <c r="P108" i="44"/>
  <c r="Q108" i="44"/>
  <c r="R108" i="44"/>
  <c r="S108" i="44"/>
  <c r="T108" i="44"/>
  <c r="U108" i="44"/>
  <c r="V108" i="44"/>
  <c r="X108" i="44"/>
  <c r="Y108" i="44"/>
  <c r="Z108" i="44"/>
  <c r="AC108" i="44"/>
  <c r="AD108" i="44"/>
  <c r="AE108" i="44"/>
  <c r="AH108" i="44"/>
  <c r="AI108" i="44"/>
  <c r="AJ108" i="44"/>
  <c r="AM108" i="44"/>
  <c r="AN108" i="44"/>
  <c r="AO108" i="44"/>
  <c r="AR108" i="44"/>
  <c r="AS108" i="44"/>
  <c r="AT108" i="44"/>
  <c r="E109" i="44"/>
  <c r="F109" i="44"/>
  <c r="G109" i="44"/>
  <c r="H109" i="44"/>
  <c r="I109" i="44"/>
  <c r="J109" i="44"/>
  <c r="K109" i="44"/>
  <c r="L109" i="44"/>
  <c r="M109" i="44"/>
  <c r="N109" i="44"/>
  <c r="O109" i="44"/>
  <c r="P109" i="44"/>
  <c r="Q109" i="44"/>
  <c r="R109" i="44"/>
  <c r="S109" i="44"/>
  <c r="T109" i="44"/>
  <c r="U109" i="44"/>
  <c r="V109" i="44"/>
  <c r="X109" i="44"/>
  <c r="Y109" i="44"/>
  <c r="Z109" i="44"/>
  <c r="AA109" i="44"/>
  <c r="AC109" i="44"/>
  <c r="AD109" i="44"/>
  <c r="AE109" i="44"/>
  <c r="AF109" i="44"/>
  <c r="AH109" i="44"/>
  <c r="AI109" i="44"/>
  <c r="AJ109" i="44"/>
  <c r="AK109" i="44"/>
  <c r="AM109" i="44"/>
  <c r="AN109" i="44"/>
  <c r="AO109" i="44"/>
  <c r="AP109" i="44"/>
  <c r="AR109" i="44"/>
  <c r="AS109" i="44"/>
  <c r="AT109" i="44"/>
  <c r="AU109" i="44"/>
  <c r="E110" i="44"/>
  <c r="F110" i="44"/>
  <c r="G110" i="44"/>
  <c r="H110" i="44"/>
  <c r="I110" i="44"/>
  <c r="J110" i="44"/>
  <c r="K110" i="44"/>
  <c r="L110" i="44"/>
  <c r="M110" i="44"/>
  <c r="N110" i="44"/>
  <c r="O110" i="44"/>
  <c r="P110" i="44"/>
  <c r="Q110" i="44"/>
  <c r="R110" i="44"/>
  <c r="S110" i="44"/>
  <c r="T110" i="44"/>
  <c r="U110" i="44"/>
  <c r="X110" i="44"/>
  <c r="Y110" i="44"/>
  <c r="Z110" i="44"/>
  <c r="AC110" i="44"/>
  <c r="AD110" i="44"/>
  <c r="AE110" i="44"/>
  <c r="AH110" i="44"/>
  <c r="AI110" i="44"/>
  <c r="AJ110" i="44"/>
  <c r="AM110" i="44"/>
  <c r="AN110" i="44"/>
  <c r="AO110" i="44"/>
  <c r="AR110" i="44"/>
  <c r="AS110" i="44"/>
  <c r="AT110" i="44"/>
  <c r="E111" i="44"/>
  <c r="F111" i="44"/>
  <c r="G111" i="44"/>
  <c r="H111" i="44"/>
  <c r="I111" i="44"/>
  <c r="J111" i="44"/>
  <c r="K111" i="44"/>
  <c r="L111" i="44"/>
  <c r="M111" i="44"/>
  <c r="N111" i="44"/>
  <c r="O111" i="44"/>
  <c r="P111" i="44"/>
  <c r="Q111" i="44"/>
  <c r="R111" i="44"/>
  <c r="S111" i="44"/>
  <c r="T111" i="44"/>
  <c r="U111" i="44"/>
  <c r="V111" i="44"/>
  <c r="X111" i="44"/>
  <c r="Y111" i="44"/>
  <c r="Z111" i="44"/>
  <c r="AC111" i="44"/>
  <c r="AD111" i="44"/>
  <c r="AE111" i="44"/>
  <c r="AH111" i="44"/>
  <c r="AI111" i="44"/>
  <c r="AJ111" i="44"/>
  <c r="AM111" i="44"/>
  <c r="AN111" i="44"/>
  <c r="AO111" i="44"/>
  <c r="AR111" i="44"/>
  <c r="AS111" i="44"/>
  <c r="AT111" i="44"/>
  <c r="E112" i="44"/>
  <c r="F112" i="44"/>
  <c r="G112" i="44"/>
  <c r="H112" i="44"/>
  <c r="I112" i="44"/>
  <c r="J112" i="44"/>
  <c r="K112" i="44"/>
  <c r="L112" i="44"/>
  <c r="M112" i="44"/>
  <c r="N112" i="44"/>
  <c r="O112" i="44"/>
  <c r="P112" i="44"/>
  <c r="Q112" i="44"/>
  <c r="R112" i="44"/>
  <c r="S112" i="44"/>
  <c r="T112" i="44"/>
  <c r="U112" i="44"/>
  <c r="X112" i="44"/>
  <c r="Y112" i="44"/>
  <c r="Z112" i="44"/>
  <c r="AC112" i="44"/>
  <c r="AD112" i="44"/>
  <c r="AE112" i="44"/>
  <c r="AH112" i="44"/>
  <c r="AI112" i="44"/>
  <c r="AJ112" i="44"/>
  <c r="AM112" i="44"/>
  <c r="AN112" i="44"/>
  <c r="AO112" i="44"/>
  <c r="AR112" i="44"/>
  <c r="AS112" i="44"/>
  <c r="AT112" i="44"/>
  <c r="E113" i="44"/>
  <c r="F113" i="44"/>
  <c r="G113" i="44"/>
  <c r="H113" i="44"/>
  <c r="I113" i="44"/>
  <c r="J113" i="44"/>
  <c r="K113" i="44"/>
  <c r="L113" i="44"/>
  <c r="M113" i="44"/>
  <c r="N113" i="44"/>
  <c r="O113" i="44"/>
  <c r="P113" i="44"/>
  <c r="Q113" i="44"/>
  <c r="R113" i="44"/>
  <c r="S113" i="44"/>
  <c r="T113" i="44"/>
  <c r="U113" i="44"/>
  <c r="V113" i="44"/>
  <c r="X113" i="44"/>
  <c r="Y113" i="44"/>
  <c r="Z113" i="44"/>
  <c r="AC113" i="44"/>
  <c r="AD113" i="44"/>
  <c r="AE113" i="44"/>
  <c r="AH113" i="44"/>
  <c r="AI113" i="44"/>
  <c r="AJ113" i="44"/>
  <c r="AM113" i="44"/>
  <c r="AN113" i="44"/>
  <c r="AO113" i="44"/>
  <c r="AR113" i="44"/>
  <c r="AS113" i="44"/>
  <c r="AT113" i="44"/>
  <c r="E114" i="44"/>
  <c r="F114" i="44"/>
  <c r="G114" i="44"/>
  <c r="H114" i="44"/>
  <c r="I114" i="44"/>
  <c r="J114" i="44"/>
  <c r="K114" i="44"/>
  <c r="L114" i="44"/>
  <c r="M114" i="44"/>
  <c r="N114" i="44"/>
  <c r="O114" i="44"/>
  <c r="P114" i="44"/>
  <c r="Q114" i="44"/>
  <c r="R114" i="44"/>
  <c r="S114" i="44"/>
  <c r="T114" i="44"/>
  <c r="U114" i="44"/>
  <c r="V114" i="44"/>
  <c r="W114" i="44"/>
  <c r="X114" i="44"/>
  <c r="Y114" i="44"/>
  <c r="Z114" i="44"/>
  <c r="AA114" i="44"/>
  <c r="AB114" i="44"/>
  <c r="AC114" i="44"/>
  <c r="AD114" i="44"/>
  <c r="AE114" i="44"/>
  <c r="AF114" i="44"/>
  <c r="AG114" i="44"/>
  <c r="AH114" i="44"/>
  <c r="AI114" i="44"/>
  <c r="AJ114" i="44"/>
  <c r="AK114" i="44"/>
  <c r="AL114" i="44"/>
  <c r="AM114" i="44"/>
  <c r="AN114" i="44"/>
  <c r="AO114" i="44"/>
  <c r="AP114" i="44"/>
  <c r="AQ114" i="44"/>
  <c r="AR114" i="44"/>
  <c r="AS114" i="44"/>
  <c r="AT114" i="44"/>
  <c r="AU114" i="44"/>
  <c r="AV114" i="44"/>
  <c r="E115" i="44"/>
  <c r="F115" i="44"/>
  <c r="G115" i="44"/>
  <c r="H115" i="44"/>
  <c r="I115" i="44"/>
  <c r="J115" i="44"/>
  <c r="K115" i="44"/>
  <c r="L115" i="44"/>
  <c r="M115" i="44"/>
  <c r="N115" i="44"/>
  <c r="O115" i="44"/>
  <c r="P115" i="44"/>
  <c r="Q115" i="44"/>
  <c r="R115" i="44"/>
  <c r="S115" i="44"/>
  <c r="T115" i="44"/>
  <c r="U115" i="44"/>
  <c r="X115" i="44"/>
  <c r="Y115" i="44"/>
  <c r="Z115" i="44"/>
  <c r="AC115" i="44"/>
  <c r="AD115" i="44"/>
  <c r="AE115" i="44"/>
  <c r="AH115" i="44"/>
  <c r="AI115" i="44"/>
  <c r="AJ115" i="44"/>
  <c r="AM115" i="44"/>
  <c r="AN115" i="44"/>
  <c r="AO115" i="44"/>
  <c r="AR115" i="44"/>
  <c r="AS115" i="44"/>
  <c r="AT115" i="44"/>
  <c r="E116" i="44"/>
  <c r="F116" i="44"/>
  <c r="G116" i="44"/>
  <c r="H116" i="44"/>
  <c r="I116" i="44"/>
  <c r="J116" i="44"/>
  <c r="K116" i="44"/>
  <c r="L116" i="44"/>
  <c r="M116" i="44"/>
  <c r="N116" i="44"/>
  <c r="O116" i="44"/>
  <c r="P116" i="44"/>
  <c r="Q116" i="44"/>
  <c r="R116" i="44"/>
  <c r="S116" i="44"/>
  <c r="T116" i="44"/>
  <c r="U116" i="44"/>
  <c r="V116" i="44"/>
  <c r="X116" i="44"/>
  <c r="Y116" i="44"/>
  <c r="Z116" i="44"/>
  <c r="AC116" i="44"/>
  <c r="AD116" i="44"/>
  <c r="AE116" i="44"/>
  <c r="AH116" i="44"/>
  <c r="AI116" i="44"/>
  <c r="AJ116" i="44"/>
  <c r="AM116" i="44"/>
  <c r="AN116" i="44"/>
  <c r="AO116" i="44"/>
  <c r="AR116" i="44"/>
  <c r="AS116" i="44"/>
  <c r="AT116" i="44"/>
  <c r="E117" i="44"/>
  <c r="F117" i="44"/>
  <c r="G117" i="44"/>
  <c r="H117" i="44"/>
  <c r="I117" i="44"/>
  <c r="J117" i="44"/>
  <c r="K117" i="44"/>
  <c r="L117" i="44"/>
  <c r="M117" i="44"/>
  <c r="N117" i="44"/>
  <c r="O117" i="44"/>
  <c r="P117" i="44"/>
  <c r="Q117" i="44"/>
  <c r="R117" i="44"/>
  <c r="S117" i="44"/>
  <c r="T117" i="44"/>
  <c r="U117" i="44"/>
  <c r="E118" i="44"/>
  <c r="F118" i="44"/>
  <c r="G118" i="44"/>
  <c r="H118" i="44"/>
  <c r="I118" i="44"/>
  <c r="J118" i="44"/>
  <c r="K118" i="44"/>
  <c r="L118" i="44"/>
  <c r="M118" i="44"/>
  <c r="N118" i="44"/>
  <c r="O118" i="44"/>
  <c r="P118" i="44"/>
  <c r="Q118" i="44"/>
  <c r="R118" i="44"/>
  <c r="S118" i="44"/>
  <c r="T118" i="44"/>
  <c r="U118" i="44"/>
  <c r="E119" i="44"/>
  <c r="F119" i="44"/>
  <c r="G119" i="44"/>
  <c r="H119" i="44"/>
  <c r="I119" i="44"/>
  <c r="J119" i="44"/>
  <c r="K119" i="44"/>
  <c r="L119" i="44"/>
  <c r="M119" i="44"/>
  <c r="N119" i="44"/>
  <c r="O119" i="44"/>
  <c r="P119" i="44"/>
  <c r="Q119" i="44"/>
  <c r="R119" i="44"/>
  <c r="S119" i="44"/>
  <c r="T119" i="44"/>
  <c r="U119" i="44"/>
  <c r="V119" i="44"/>
  <c r="E120" i="44"/>
  <c r="F120" i="44"/>
  <c r="G120" i="44"/>
  <c r="H120" i="44"/>
  <c r="I120" i="44"/>
  <c r="J120" i="44"/>
  <c r="K120" i="44"/>
  <c r="L120" i="44"/>
  <c r="M120" i="44"/>
  <c r="N120" i="44"/>
  <c r="O120" i="44"/>
  <c r="P120" i="44"/>
  <c r="Q120" i="44"/>
  <c r="R120" i="44"/>
  <c r="S120" i="44"/>
  <c r="T120" i="44"/>
  <c r="U120" i="44"/>
  <c r="E121" i="44"/>
  <c r="F121" i="44"/>
  <c r="G121" i="44"/>
  <c r="H121" i="44"/>
  <c r="I121" i="44"/>
  <c r="J121" i="44"/>
  <c r="K121" i="44"/>
  <c r="L121" i="44"/>
  <c r="M121" i="44"/>
  <c r="N121" i="44"/>
  <c r="O121" i="44"/>
  <c r="P121" i="44"/>
  <c r="Q121" i="44"/>
  <c r="R121" i="44"/>
  <c r="S121" i="44"/>
  <c r="T121" i="44"/>
  <c r="U121" i="44"/>
  <c r="D109" i="44"/>
  <c r="D110" i="44"/>
  <c r="D111" i="44"/>
  <c r="D112" i="44"/>
  <c r="D113" i="44"/>
  <c r="D114" i="44"/>
  <c r="D115" i="44"/>
  <c r="D116" i="44"/>
  <c r="D117" i="44"/>
  <c r="D118" i="44"/>
  <c r="D119" i="44"/>
  <c r="D120" i="44"/>
  <c r="D121" i="44"/>
  <c r="D108" i="44"/>
  <c r="E74" i="44"/>
  <c r="F74" i="44"/>
  <c r="G74" i="44"/>
  <c r="H74" i="44"/>
  <c r="I74" i="44"/>
  <c r="J74" i="44"/>
  <c r="K74" i="44"/>
  <c r="L74" i="44"/>
  <c r="M74" i="44"/>
  <c r="N74" i="44"/>
  <c r="O74" i="44"/>
  <c r="P74" i="44"/>
  <c r="Q74" i="44"/>
  <c r="R74" i="44"/>
  <c r="S74" i="44"/>
  <c r="T74" i="44"/>
  <c r="U74" i="44"/>
  <c r="E75" i="44"/>
  <c r="F75" i="44"/>
  <c r="G75" i="44"/>
  <c r="H75" i="44"/>
  <c r="I75" i="44"/>
  <c r="J75" i="44"/>
  <c r="K75" i="44"/>
  <c r="L75" i="44"/>
  <c r="M75" i="44"/>
  <c r="N75" i="44"/>
  <c r="O75" i="44"/>
  <c r="P75" i="44"/>
  <c r="Q75" i="44"/>
  <c r="R75" i="44"/>
  <c r="S75" i="44"/>
  <c r="T75" i="44"/>
  <c r="U75" i="44"/>
  <c r="V75" i="44"/>
  <c r="X75" i="44"/>
  <c r="Y75" i="44"/>
  <c r="Z75" i="44"/>
  <c r="AA75" i="44"/>
  <c r="AB75" i="44"/>
  <c r="AC75" i="44"/>
  <c r="AD75" i="44"/>
  <c r="AE75" i="44"/>
  <c r="AF75" i="44"/>
  <c r="AG75" i="44"/>
  <c r="AH75" i="44"/>
  <c r="AI75" i="44"/>
  <c r="AJ75" i="44"/>
  <c r="AK75" i="44"/>
  <c r="AL75" i="44"/>
  <c r="AM75" i="44"/>
  <c r="AN75" i="44"/>
  <c r="AO75" i="44"/>
  <c r="AP75" i="44"/>
  <c r="AQ75" i="44"/>
  <c r="AR75" i="44"/>
  <c r="AS75" i="44"/>
  <c r="AT75" i="44"/>
  <c r="AU75" i="44"/>
  <c r="AV75" i="44"/>
  <c r="E76" i="44"/>
  <c r="F76" i="44"/>
  <c r="G76" i="44"/>
  <c r="H76" i="44"/>
  <c r="I76" i="44"/>
  <c r="J76" i="44"/>
  <c r="K76" i="44"/>
  <c r="L76" i="44"/>
  <c r="M76" i="44"/>
  <c r="N76" i="44"/>
  <c r="O76" i="44"/>
  <c r="P76" i="44"/>
  <c r="Q76" i="44"/>
  <c r="R76" i="44"/>
  <c r="S76" i="44"/>
  <c r="T76" i="44"/>
  <c r="U76" i="44"/>
  <c r="W76" i="44"/>
  <c r="AB76" i="44"/>
  <c r="AG76" i="44"/>
  <c r="AL76" i="44"/>
  <c r="AQ76" i="44"/>
  <c r="AV76" i="44"/>
  <c r="E77" i="44"/>
  <c r="F77" i="44"/>
  <c r="G77" i="44"/>
  <c r="H77" i="44"/>
  <c r="I77" i="44"/>
  <c r="J77" i="44"/>
  <c r="K77" i="44"/>
  <c r="L77" i="44"/>
  <c r="M77" i="44"/>
  <c r="N77" i="44"/>
  <c r="O77" i="44"/>
  <c r="P77" i="44"/>
  <c r="Q77" i="44"/>
  <c r="R77" i="44"/>
  <c r="S77" i="44"/>
  <c r="T77" i="44"/>
  <c r="U77" i="44"/>
  <c r="W77" i="44"/>
  <c r="X77" i="44"/>
  <c r="Y77" i="44"/>
  <c r="Z77" i="44"/>
  <c r="AB77" i="44"/>
  <c r="AC77" i="44"/>
  <c r="AD77" i="44"/>
  <c r="AE77" i="44"/>
  <c r="AG77" i="44"/>
  <c r="AH77" i="44"/>
  <c r="AI77" i="44"/>
  <c r="AJ77" i="44"/>
  <c r="AL77" i="44"/>
  <c r="AM77" i="44"/>
  <c r="AN77" i="44"/>
  <c r="AO77" i="44"/>
  <c r="AQ77" i="44"/>
  <c r="AR77" i="44"/>
  <c r="AS77" i="44"/>
  <c r="AT77" i="44"/>
  <c r="AV77" i="44"/>
  <c r="E78" i="44"/>
  <c r="F78" i="44"/>
  <c r="G78" i="44"/>
  <c r="H78" i="44"/>
  <c r="I78" i="44"/>
  <c r="J78" i="44"/>
  <c r="K78" i="44"/>
  <c r="L78" i="44"/>
  <c r="M78" i="44"/>
  <c r="N78" i="44"/>
  <c r="O78" i="44"/>
  <c r="P78" i="44"/>
  <c r="Q78" i="44"/>
  <c r="R78" i="44"/>
  <c r="S78" i="44"/>
  <c r="T78" i="44"/>
  <c r="U78" i="44"/>
  <c r="E79" i="44"/>
  <c r="F79" i="44"/>
  <c r="G79" i="44"/>
  <c r="H79" i="44"/>
  <c r="I79" i="44"/>
  <c r="J79" i="44"/>
  <c r="K79" i="44"/>
  <c r="L79" i="44"/>
  <c r="M79" i="44"/>
  <c r="N79" i="44"/>
  <c r="O79" i="44"/>
  <c r="P79" i="44"/>
  <c r="Q79" i="44"/>
  <c r="R79" i="44"/>
  <c r="S79" i="44"/>
  <c r="T79" i="44"/>
  <c r="U79" i="44"/>
  <c r="AQ79" i="44"/>
  <c r="AV79" i="44"/>
  <c r="E80" i="44"/>
  <c r="F80" i="44"/>
  <c r="G80" i="44"/>
  <c r="H80" i="44"/>
  <c r="I80" i="44"/>
  <c r="J80" i="44"/>
  <c r="K80" i="44"/>
  <c r="L80" i="44"/>
  <c r="M80" i="44"/>
  <c r="N80" i="44"/>
  <c r="O80" i="44"/>
  <c r="P80" i="44"/>
  <c r="Q80" i="44"/>
  <c r="R80" i="44"/>
  <c r="S80" i="44"/>
  <c r="T80" i="44"/>
  <c r="U80" i="44"/>
  <c r="V80" i="44"/>
  <c r="W80" i="44"/>
  <c r="X80" i="44"/>
  <c r="Y80" i="44"/>
  <c r="Z80" i="44"/>
  <c r="AA80" i="44"/>
  <c r="AB80" i="44"/>
  <c r="AC80" i="44"/>
  <c r="AD80" i="44"/>
  <c r="AE80" i="44"/>
  <c r="AF80" i="44"/>
  <c r="AG80" i="44"/>
  <c r="AH80" i="44"/>
  <c r="AI80" i="44"/>
  <c r="AJ80" i="44"/>
  <c r="AK80" i="44"/>
  <c r="AL80" i="44"/>
  <c r="AM80" i="44"/>
  <c r="AN80" i="44"/>
  <c r="AO80" i="44"/>
  <c r="AP80" i="44"/>
  <c r="AQ80" i="44"/>
  <c r="AR80" i="44"/>
  <c r="AS80" i="44"/>
  <c r="AT80" i="44"/>
  <c r="AU80" i="44"/>
  <c r="AV80" i="44"/>
  <c r="E81" i="44"/>
  <c r="F81" i="44"/>
  <c r="G81" i="44"/>
  <c r="H81" i="44"/>
  <c r="I81" i="44"/>
  <c r="J81" i="44"/>
  <c r="K81" i="44"/>
  <c r="L81" i="44"/>
  <c r="M81" i="44"/>
  <c r="N81" i="44"/>
  <c r="O81" i="44"/>
  <c r="P81" i="44"/>
  <c r="Q81" i="44"/>
  <c r="R81" i="44"/>
  <c r="S81" i="44"/>
  <c r="T81" i="44"/>
  <c r="U81" i="44"/>
  <c r="V81" i="44"/>
  <c r="W81" i="44"/>
  <c r="X81" i="44"/>
  <c r="Y81" i="44"/>
  <c r="Z81" i="44"/>
  <c r="AA81" i="44"/>
  <c r="AB81" i="44"/>
  <c r="AC81" i="44"/>
  <c r="AD81" i="44"/>
  <c r="AE81" i="44"/>
  <c r="AF81" i="44"/>
  <c r="AG81" i="44"/>
  <c r="AH81" i="44"/>
  <c r="AI81" i="44"/>
  <c r="AJ81" i="44"/>
  <c r="AK81" i="44"/>
  <c r="AL81" i="44"/>
  <c r="AM81" i="44"/>
  <c r="AN81" i="44"/>
  <c r="AO81" i="44"/>
  <c r="AP81" i="44"/>
  <c r="AQ81" i="44"/>
  <c r="AR81" i="44"/>
  <c r="AS81" i="44"/>
  <c r="AT81" i="44"/>
  <c r="AU81" i="44"/>
  <c r="AV81" i="44"/>
  <c r="E82" i="44"/>
  <c r="F82" i="44"/>
  <c r="G82" i="44"/>
  <c r="H82" i="44"/>
  <c r="I82" i="44"/>
  <c r="J82" i="44"/>
  <c r="K82" i="44"/>
  <c r="L82" i="44"/>
  <c r="M82" i="44"/>
  <c r="N82" i="44"/>
  <c r="O82" i="44"/>
  <c r="P82" i="44"/>
  <c r="Q82" i="44"/>
  <c r="R82" i="44"/>
  <c r="S82" i="44"/>
  <c r="T82" i="44"/>
  <c r="U82" i="44"/>
  <c r="V82" i="44"/>
  <c r="X82" i="44"/>
  <c r="Y82" i="44"/>
  <c r="Z82" i="44"/>
  <c r="AA82" i="44"/>
  <c r="AC82" i="44"/>
  <c r="AD82" i="44"/>
  <c r="AE82" i="44"/>
  <c r="AF82" i="44"/>
  <c r="AH82" i="44"/>
  <c r="AI82" i="44"/>
  <c r="AJ82" i="44"/>
  <c r="AK82" i="44"/>
  <c r="AM82" i="44"/>
  <c r="AN82" i="44"/>
  <c r="AO82" i="44"/>
  <c r="AP82" i="44"/>
  <c r="AQ82" i="44"/>
  <c r="AR82" i="44"/>
  <c r="AS82" i="44"/>
  <c r="AT82" i="44"/>
  <c r="AU82" i="44"/>
  <c r="AV82" i="44"/>
  <c r="E83" i="44"/>
  <c r="F83" i="44"/>
  <c r="G83" i="44"/>
  <c r="H83" i="44"/>
  <c r="I83" i="44"/>
  <c r="J83" i="44"/>
  <c r="K83" i="44"/>
  <c r="L83" i="44"/>
  <c r="M83" i="44"/>
  <c r="N83" i="44"/>
  <c r="O83" i="44"/>
  <c r="P83" i="44"/>
  <c r="Q83" i="44"/>
  <c r="R83" i="44"/>
  <c r="S83" i="44"/>
  <c r="T83" i="44"/>
  <c r="U83" i="44"/>
  <c r="E84" i="44"/>
  <c r="F84" i="44"/>
  <c r="G84" i="44"/>
  <c r="H84" i="44"/>
  <c r="I84" i="44"/>
  <c r="J84" i="44"/>
  <c r="K84" i="44"/>
  <c r="L84" i="44"/>
  <c r="M84" i="44"/>
  <c r="N84" i="44"/>
  <c r="O84" i="44"/>
  <c r="P84" i="44"/>
  <c r="Q84" i="44"/>
  <c r="R84" i="44"/>
  <c r="S84" i="44"/>
  <c r="T84" i="44"/>
  <c r="U84" i="44"/>
  <c r="V84" i="44"/>
  <c r="X84" i="44"/>
  <c r="Y84" i="44"/>
  <c r="Z84" i="44"/>
  <c r="AA84" i="44"/>
  <c r="AB84" i="44"/>
  <c r="AC84" i="44"/>
  <c r="AD84" i="44"/>
  <c r="AE84" i="44"/>
  <c r="AF84" i="44"/>
  <c r="AG84" i="44"/>
  <c r="AH84" i="44"/>
  <c r="AI84" i="44"/>
  <c r="AJ84" i="44"/>
  <c r="AK84" i="44"/>
  <c r="AL84" i="44"/>
  <c r="AM84" i="44"/>
  <c r="AN84" i="44"/>
  <c r="AO84" i="44"/>
  <c r="AP84" i="44"/>
  <c r="AQ84" i="44"/>
  <c r="AR84" i="44"/>
  <c r="AS84" i="44"/>
  <c r="AT84" i="44"/>
  <c r="AU84" i="44"/>
  <c r="AV84" i="44"/>
  <c r="E85" i="44"/>
  <c r="F85" i="44"/>
  <c r="G85" i="44"/>
  <c r="H85" i="44"/>
  <c r="I85" i="44"/>
  <c r="J85" i="44"/>
  <c r="K85" i="44"/>
  <c r="L85" i="44"/>
  <c r="M85" i="44"/>
  <c r="N85" i="44"/>
  <c r="O85" i="44"/>
  <c r="P85" i="44"/>
  <c r="Q85" i="44"/>
  <c r="R85" i="44"/>
  <c r="S85" i="44"/>
  <c r="T85" i="44"/>
  <c r="U85" i="44"/>
  <c r="W85" i="44"/>
  <c r="AB85" i="44"/>
  <c r="AG85" i="44"/>
  <c r="AL85" i="44"/>
  <c r="AQ85" i="44"/>
  <c r="AV85" i="44"/>
  <c r="E86" i="44"/>
  <c r="F86" i="44"/>
  <c r="G86" i="44"/>
  <c r="H86" i="44"/>
  <c r="I86" i="44"/>
  <c r="J86" i="44"/>
  <c r="K86" i="44"/>
  <c r="L86" i="44"/>
  <c r="M86" i="44"/>
  <c r="N86" i="44"/>
  <c r="O86" i="44"/>
  <c r="P86" i="44"/>
  <c r="Q86" i="44"/>
  <c r="R86" i="44"/>
  <c r="S86" i="44"/>
  <c r="T86" i="44"/>
  <c r="U86" i="44"/>
  <c r="V86" i="44"/>
  <c r="W86" i="44"/>
  <c r="X86" i="44"/>
  <c r="Y86" i="44"/>
  <c r="Z86" i="44"/>
  <c r="AB86" i="44"/>
  <c r="AC86" i="44"/>
  <c r="AD86" i="44"/>
  <c r="AE86" i="44"/>
  <c r="AG86" i="44"/>
  <c r="AH86" i="44"/>
  <c r="AI86" i="44"/>
  <c r="AJ86" i="44"/>
  <c r="AL86" i="44"/>
  <c r="AM86" i="44"/>
  <c r="AN86" i="44"/>
  <c r="AO86" i="44"/>
  <c r="AQ86" i="44"/>
  <c r="AR86" i="44"/>
  <c r="AS86" i="44"/>
  <c r="AT86" i="44"/>
  <c r="AV86" i="44"/>
  <c r="E87" i="44"/>
  <c r="F87" i="44"/>
  <c r="G87" i="44"/>
  <c r="H87" i="44"/>
  <c r="I87" i="44"/>
  <c r="J87" i="44"/>
  <c r="K87" i="44"/>
  <c r="L87" i="44"/>
  <c r="M87" i="44"/>
  <c r="N87" i="44"/>
  <c r="O87" i="44"/>
  <c r="P87" i="44"/>
  <c r="Q87" i="44"/>
  <c r="R87" i="44"/>
  <c r="S87" i="44"/>
  <c r="T87" i="44"/>
  <c r="U87" i="44"/>
  <c r="E88" i="44"/>
  <c r="F88" i="44"/>
  <c r="G88" i="44"/>
  <c r="H88" i="44"/>
  <c r="I88" i="44"/>
  <c r="J88" i="44"/>
  <c r="K88" i="44"/>
  <c r="L88" i="44"/>
  <c r="M88" i="44"/>
  <c r="N88" i="44"/>
  <c r="O88" i="44"/>
  <c r="P88" i="44"/>
  <c r="Q88" i="44"/>
  <c r="R88" i="44"/>
  <c r="S88" i="44"/>
  <c r="T88" i="44"/>
  <c r="U88" i="44"/>
  <c r="V88" i="44"/>
  <c r="X88" i="44"/>
  <c r="Y88" i="44"/>
  <c r="Z88" i="44"/>
  <c r="AC88" i="44"/>
  <c r="AD88" i="44"/>
  <c r="AE88" i="44"/>
  <c r="AH88" i="44"/>
  <c r="AI88" i="44"/>
  <c r="AJ88" i="44"/>
  <c r="AM88" i="44"/>
  <c r="AN88" i="44"/>
  <c r="AO88" i="44"/>
  <c r="AR88" i="44"/>
  <c r="AS88" i="44"/>
  <c r="AT88" i="44"/>
  <c r="E89" i="44"/>
  <c r="F89" i="44"/>
  <c r="G89" i="44"/>
  <c r="H89" i="44"/>
  <c r="I89" i="44"/>
  <c r="J89" i="44"/>
  <c r="K89" i="44"/>
  <c r="L89" i="44"/>
  <c r="M89" i="44"/>
  <c r="N89" i="44"/>
  <c r="O89" i="44"/>
  <c r="P89" i="44"/>
  <c r="Q89" i="44"/>
  <c r="R89" i="44"/>
  <c r="S89" i="44"/>
  <c r="T89" i="44"/>
  <c r="U89" i="44"/>
  <c r="V89" i="44"/>
  <c r="W89" i="44"/>
  <c r="X89" i="44"/>
  <c r="Y89" i="44"/>
  <c r="Z89" i="44"/>
  <c r="AA89" i="44"/>
  <c r="AB89" i="44"/>
  <c r="AC89" i="44"/>
  <c r="AD89" i="44"/>
  <c r="AE89" i="44"/>
  <c r="AF89" i="44"/>
  <c r="AG89" i="44"/>
  <c r="AH89" i="44"/>
  <c r="AI89" i="44"/>
  <c r="AJ89" i="44"/>
  <c r="AK89" i="44"/>
  <c r="AL89" i="44"/>
  <c r="AM89" i="44"/>
  <c r="AN89" i="44"/>
  <c r="AO89" i="44"/>
  <c r="AP89" i="44"/>
  <c r="AQ89" i="44"/>
  <c r="AR89" i="44"/>
  <c r="AS89" i="44"/>
  <c r="AT89" i="44"/>
  <c r="AU89" i="44"/>
  <c r="AV89" i="44"/>
  <c r="E90" i="44"/>
  <c r="F90" i="44"/>
  <c r="G90" i="44"/>
  <c r="H90" i="44"/>
  <c r="I90" i="44"/>
  <c r="J90" i="44"/>
  <c r="K90" i="44"/>
  <c r="L90" i="44"/>
  <c r="M90" i="44"/>
  <c r="N90" i="44"/>
  <c r="O90" i="44"/>
  <c r="P90" i="44"/>
  <c r="Q90" i="44"/>
  <c r="R90" i="44"/>
  <c r="S90" i="44"/>
  <c r="T90" i="44"/>
  <c r="U90" i="44"/>
  <c r="E91" i="44"/>
  <c r="F91" i="44"/>
  <c r="G91" i="44"/>
  <c r="H91" i="44"/>
  <c r="I91" i="44"/>
  <c r="J91" i="44"/>
  <c r="K91" i="44"/>
  <c r="L91" i="44"/>
  <c r="M91" i="44"/>
  <c r="N91" i="44"/>
  <c r="O91" i="44"/>
  <c r="P91" i="44"/>
  <c r="Q91" i="44"/>
  <c r="R91" i="44"/>
  <c r="S91" i="44"/>
  <c r="T91" i="44"/>
  <c r="U91" i="44"/>
  <c r="X91" i="44"/>
  <c r="Y91" i="44"/>
  <c r="Z91" i="44"/>
  <c r="AA91" i="44"/>
  <c r="AB91" i="44"/>
  <c r="AC91" i="44"/>
  <c r="AD91" i="44"/>
  <c r="AE91" i="44"/>
  <c r="AF91" i="44"/>
  <c r="AG91" i="44"/>
  <c r="AH91" i="44"/>
  <c r="AI91" i="44"/>
  <c r="AJ91" i="44"/>
  <c r="AK91" i="44"/>
  <c r="AL91" i="44"/>
  <c r="AM91" i="44"/>
  <c r="AN91" i="44"/>
  <c r="AO91" i="44"/>
  <c r="AP91" i="44"/>
  <c r="AQ91" i="44"/>
  <c r="AR91" i="44"/>
  <c r="AS91" i="44"/>
  <c r="AT91" i="44"/>
  <c r="AU91" i="44"/>
  <c r="AV91" i="44"/>
  <c r="E92" i="44"/>
  <c r="F92" i="44"/>
  <c r="G92" i="44"/>
  <c r="H92" i="44"/>
  <c r="I92" i="44"/>
  <c r="J92" i="44"/>
  <c r="K92" i="44"/>
  <c r="L92" i="44"/>
  <c r="M92" i="44"/>
  <c r="N92" i="44"/>
  <c r="O92" i="44"/>
  <c r="P92" i="44"/>
  <c r="Q92" i="44"/>
  <c r="R92" i="44"/>
  <c r="S92" i="44"/>
  <c r="T92" i="44"/>
  <c r="U92" i="44"/>
  <c r="E93" i="44"/>
  <c r="F93" i="44"/>
  <c r="G93" i="44"/>
  <c r="H93" i="44"/>
  <c r="I93" i="44"/>
  <c r="J93" i="44"/>
  <c r="K93" i="44"/>
  <c r="L93" i="44"/>
  <c r="M93" i="44"/>
  <c r="N93" i="44"/>
  <c r="O93" i="44"/>
  <c r="P93" i="44"/>
  <c r="Q93" i="44"/>
  <c r="R93" i="44"/>
  <c r="S93" i="44"/>
  <c r="T93" i="44"/>
  <c r="U93" i="44"/>
  <c r="E94" i="44"/>
  <c r="F94" i="44"/>
  <c r="G94" i="44"/>
  <c r="H94" i="44"/>
  <c r="I94" i="44"/>
  <c r="J94" i="44"/>
  <c r="K94" i="44"/>
  <c r="L94" i="44"/>
  <c r="M94" i="44"/>
  <c r="N94" i="44"/>
  <c r="O94" i="44"/>
  <c r="P94" i="44"/>
  <c r="Q94" i="44"/>
  <c r="R94" i="44"/>
  <c r="S94" i="44"/>
  <c r="T94" i="44"/>
  <c r="U94" i="44"/>
  <c r="V94" i="44"/>
  <c r="X94" i="44"/>
  <c r="Y94" i="44"/>
  <c r="Z94" i="44"/>
  <c r="AC94" i="44"/>
  <c r="AD94" i="44"/>
  <c r="AE94" i="44"/>
  <c r="AH94" i="44"/>
  <c r="AI94" i="44"/>
  <c r="AJ94" i="44"/>
  <c r="AM94" i="44"/>
  <c r="AN94" i="44"/>
  <c r="AO94" i="44"/>
  <c r="AR94" i="44"/>
  <c r="AS94" i="44"/>
  <c r="AT94" i="44"/>
  <c r="E95" i="44"/>
  <c r="F95" i="44"/>
  <c r="G95" i="44"/>
  <c r="H95" i="44"/>
  <c r="I95" i="44"/>
  <c r="J95" i="44"/>
  <c r="K95" i="44"/>
  <c r="L95" i="44"/>
  <c r="M95" i="44"/>
  <c r="N95" i="44"/>
  <c r="O95" i="44"/>
  <c r="P95" i="44"/>
  <c r="Q95" i="44"/>
  <c r="R95" i="44"/>
  <c r="S95" i="44"/>
  <c r="T95" i="44"/>
  <c r="U95" i="44"/>
  <c r="E96" i="44"/>
  <c r="F96" i="44"/>
  <c r="G96" i="44"/>
  <c r="H96" i="44"/>
  <c r="I96" i="44"/>
  <c r="J96" i="44"/>
  <c r="K96" i="44"/>
  <c r="L96" i="44"/>
  <c r="M96" i="44"/>
  <c r="N96" i="44"/>
  <c r="O96" i="44"/>
  <c r="P96" i="44"/>
  <c r="Q96" i="44"/>
  <c r="R96" i="44"/>
  <c r="S96" i="44"/>
  <c r="T96" i="44"/>
  <c r="U96" i="44"/>
  <c r="V96" i="44"/>
  <c r="X96" i="44"/>
  <c r="Y96" i="44"/>
  <c r="Z96" i="44"/>
  <c r="AC96" i="44"/>
  <c r="AD96" i="44"/>
  <c r="AE96" i="44"/>
  <c r="AH96" i="44"/>
  <c r="AI96" i="44"/>
  <c r="AJ96" i="44"/>
  <c r="AM96" i="44"/>
  <c r="AN96" i="44"/>
  <c r="AO96" i="44"/>
  <c r="AR96" i="44"/>
  <c r="AS96" i="44"/>
  <c r="AT96" i="44"/>
  <c r="E97" i="44"/>
  <c r="F97" i="44"/>
  <c r="G97" i="44"/>
  <c r="H97" i="44"/>
  <c r="I97" i="44"/>
  <c r="J97" i="44"/>
  <c r="K97" i="44"/>
  <c r="L97" i="44"/>
  <c r="M97" i="44"/>
  <c r="N97" i="44"/>
  <c r="O97" i="44"/>
  <c r="P97" i="44"/>
  <c r="Q97" i="44"/>
  <c r="R97" i="44"/>
  <c r="S97" i="44"/>
  <c r="T97" i="44"/>
  <c r="U97" i="44"/>
  <c r="E98" i="44"/>
  <c r="F98" i="44"/>
  <c r="G98" i="44"/>
  <c r="H98" i="44"/>
  <c r="I98" i="44"/>
  <c r="J98" i="44"/>
  <c r="K98" i="44"/>
  <c r="L98" i="44"/>
  <c r="M98" i="44"/>
  <c r="N98" i="44"/>
  <c r="O98" i="44"/>
  <c r="P98" i="44"/>
  <c r="Q98" i="44"/>
  <c r="R98" i="44"/>
  <c r="S98" i="44"/>
  <c r="T98" i="44"/>
  <c r="U98" i="44"/>
  <c r="V98" i="44"/>
  <c r="X98" i="44"/>
  <c r="Y98" i="44"/>
  <c r="Z98" i="44"/>
  <c r="AC98" i="44"/>
  <c r="AD98" i="44"/>
  <c r="AE98" i="44"/>
  <c r="AH98" i="44"/>
  <c r="AI98" i="44"/>
  <c r="AJ98" i="44"/>
  <c r="AM98" i="44"/>
  <c r="AN98" i="44"/>
  <c r="AO98" i="44"/>
  <c r="AR98" i="44"/>
  <c r="AS98" i="44"/>
  <c r="AT98" i="44"/>
  <c r="E99" i="44"/>
  <c r="F99" i="44"/>
  <c r="G99" i="44"/>
  <c r="H99" i="44"/>
  <c r="I99" i="44"/>
  <c r="J99" i="44"/>
  <c r="K99" i="44"/>
  <c r="L99" i="44"/>
  <c r="M99" i="44"/>
  <c r="N99" i="44"/>
  <c r="O99" i="44"/>
  <c r="P99" i="44"/>
  <c r="Q99" i="44"/>
  <c r="R99" i="44"/>
  <c r="S99" i="44"/>
  <c r="T99" i="44"/>
  <c r="U99" i="44"/>
  <c r="E100" i="44"/>
  <c r="F100" i="44"/>
  <c r="G100" i="44"/>
  <c r="H100" i="44"/>
  <c r="I100" i="44"/>
  <c r="J100" i="44"/>
  <c r="K100" i="44"/>
  <c r="L100" i="44"/>
  <c r="M100" i="44"/>
  <c r="N100" i="44"/>
  <c r="O100" i="44"/>
  <c r="P100" i="44"/>
  <c r="Q100" i="44"/>
  <c r="R100" i="44"/>
  <c r="S100" i="44"/>
  <c r="T100" i="44"/>
  <c r="U100" i="44"/>
  <c r="E101" i="44"/>
  <c r="F101" i="44"/>
  <c r="G101" i="44"/>
  <c r="H101" i="44"/>
  <c r="I101" i="44"/>
  <c r="J101" i="44"/>
  <c r="K101" i="44"/>
  <c r="L101" i="44"/>
  <c r="M101" i="44"/>
  <c r="N101" i="44"/>
  <c r="O101" i="44"/>
  <c r="P101" i="44"/>
  <c r="Q101" i="44"/>
  <c r="R101" i="44"/>
  <c r="S101" i="44"/>
  <c r="T101" i="44"/>
  <c r="U101" i="44"/>
  <c r="V101" i="44"/>
  <c r="X101" i="44"/>
  <c r="Y101" i="44"/>
  <c r="Z101" i="44"/>
  <c r="AC101" i="44"/>
  <c r="AD101" i="44"/>
  <c r="AE101" i="44"/>
  <c r="AH101" i="44"/>
  <c r="AI101" i="44"/>
  <c r="AJ101" i="44"/>
  <c r="AM101" i="44"/>
  <c r="AN101" i="44"/>
  <c r="AO101" i="44"/>
  <c r="AR101" i="44"/>
  <c r="AS101" i="44"/>
  <c r="AT101" i="44"/>
  <c r="E102" i="44"/>
  <c r="F102" i="44"/>
  <c r="G102" i="44"/>
  <c r="H102" i="44"/>
  <c r="I102" i="44"/>
  <c r="J102" i="44"/>
  <c r="K102" i="44"/>
  <c r="L102" i="44"/>
  <c r="M102" i="44"/>
  <c r="N102" i="44"/>
  <c r="O102" i="44"/>
  <c r="P102" i="44"/>
  <c r="Q102" i="44"/>
  <c r="R102" i="44"/>
  <c r="S102" i="44"/>
  <c r="T102" i="44"/>
  <c r="U102" i="44"/>
  <c r="E103" i="44"/>
  <c r="F103" i="44"/>
  <c r="G103" i="44"/>
  <c r="H103" i="44"/>
  <c r="I103" i="44"/>
  <c r="J103" i="44"/>
  <c r="K103" i="44"/>
  <c r="L103" i="44"/>
  <c r="M103" i="44"/>
  <c r="N103" i="44"/>
  <c r="O103" i="44"/>
  <c r="P103" i="44"/>
  <c r="Q103" i="44"/>
  <c r="R103" i="44"/>
  <c r="S103" i="44"/>
  <c r="T103" i="44"/>
  <c r="U103" i="44"/>
  <c r="E104" i="44"/>
  <c r="F104" i="44"/>
  <c r="G104" i="44"/>
  <c r="H104" i="44"/>
  <c r="I104" i="44"/>
  <c r="J104" i="44"/>
  <c r="K104" i="44"/>
  <c r="L104" i="44"/>
  <c r="M104" i="44"/>
  <c r="N104" i="44"/>
  <c r="O104" i="44"/>
  <c r="P104" i="44"/>
  <c r="Q104" i="44"/>
  <c r="R104" i="44"/>
  <c r="S104" i="44"/>
  <c r="T104" i="44"/>
  <c r="U104" i="44"/>
  <c r="V104" i="44"/>
  <c r="X104" i="44"/>
  <c r="Y104" i="44"/>
  <c r="Z104" i="44"/>
  <c r="AA104" i="44"/>
  <c r="AB104" i="44"/>
  <c r="AC104" i="44"/>
  <c r="AD104" i="44"/>
  <c r="AE104" i="44"/>
  <c r="AF104" i="44"/>
  <c r="AG104" i="44"/>
  <c r="AH104" i="44"/>
  <c r="AI104" i="44"/>
  <c r="AJ104" i="44"/>
  <c r="AK104" i="44"/>
  <c r="AL104" i="44"/>
  <c r="AM104" i="44"/>
  <c r="AN104" i="44"/>
  <c r="AO104" i="44"/>
  <c r="AP104" i="44"/>
  <c r="AQ104" i="44"/>
  <c r="AR104" i="44"/>
  <c r="AS104" i="44"/>
  <c r="AT104" i="44"/>
  <c r="AU104" i="44"/>
  <c r="AV104" i="44"/>
  <c r="E105" i="44"/>
  <c r="F105" i="44"/>
  <c r="G105" i="44"/>
  <c r="H105" i="44"/>
  <c r="I105" i="44"/>
  <c r="J105" i="44"/>
  <c r="K105" i="44"/>
  <c r="L105" i="44"/>
  <c r="M105" i="44"/>
  <c r="N105" i="44"/>
  <c r="O105" i="44"/>
  <c r="P105" i="44"/>
  <c r="Q105" i="44"/>
  <c r="R105" i="44"/>
  <c r="S105" i="44"/>
  <c r="T105" i="44"/>
  <c r="U105" i="44"/>
  <c r="E106" i="44"/>
  <c r="F106" i="44"/>
  <c r="G106" i="44"/>
  <c r="H106" i="44"/>
  <c r="I106" i="44"/>
  <c r="J106" i="44"/>
  <c r="K106" i="44"/>
  <c r="L106" i="44"/>
  <c r="M106" i="44"/>
  <c r="N106" i="44"/>
  <c r="O106" i="44"/>
  <c r="P106" i="44"/>
  <c r="Q106" i="44"/>
  <c r="R106" i="44"/>
  <c r="S106" i="44"/>
  <c r="T106" i="44"/>
  <c r="U106" i="44"/>
  <c r="D75" i="44"/>
  <c r="D76" i="44"/>
  <c r="D77" i="44"/>
  <c r="D78" i="44"/>
  <c r="D79" i="44"/>
  <c r="D80" i="44"/>
  <c r="D81" i="44"/>
  <c r="D82" i="44"/>
  <c r="D83" i="44"/>
  <c r="D84" i="44"/>
  <c r="D85" i="44"/>
  <c r="D86" i="44"/>
  <c r="D87" i="44"/>
  <c r="D88" i="44"/>
  <c r="D89" i="44"/>
  <c r="D90" i="44"/>
  <c r="D91" i="44"/>
  <c r="D92" i="44"/>
  <c r="D93" i="44"/>
  <c r="D94" i="44"/>
  <c r="D95" i="44"/>
  <c r="D96" i="44"/>
  <c r="D97" i="44"/>
  <c r="D98" i="44"/>
  <c r="D99" i="44"/>
  <c r="D100" i="44"/>
  <c r="D101" i="44"/>
  <c r="D102" i="44"/>
  <c r="D103" i="44"/>
  <c r="D104" i="44"/>
  <c r="D105" i="44"/>
  <c r="D106" i="44"/>
  <c r="D74" i="44"/>
  <c r="E41" i="44"/>
  <c r="F41" i="44"/>
  <c r="G41" i="44"/>
  <c r="H41" i="44"/>
  <c r="I41" i="44"/>
  <c r="J41" i="44"/>
  <c r="K41" i="44"/>
  <c r="L41" i="44"/>
  <c r="M41" i="44"/>
  <c r="N41" i="44"/>
  <c r="O41" i="44"/>
  <c r="P41" i="44"/>
  <c r="Q41" i="44"/>
  <c r="R41" i="44"/>
  <c r="S41" i="44"/>
  <c r="T41" i="44"/>
  <c r="U41" i="44"/>
  <c r="E42" i="44"/>
  <c r="F42" i="44"/>
  <c r="G42" i="44"/>
  <c r="H42" i="44"/>
  <c r="I42" i="44"/>
  <c r="J42" i="44"/>
  <c r="K42" i="44"/>
  <c r="L42" i="44"/>
  <c r="M42" i="44"/>
  <c r="N42" i="44"/>
  <c r="O42" i="44"/>
  <c r="P42" i="44"/>
  <c r="Q42" i="44"/>
  <c r="R42" i="44"/>
  <c r="S42" i="44"/>
  <c r="T42" i="44"/>
  <c r="U42" i="44"/>
  <c r="V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E43" i="44"/>
  <c r="F43" i="44"/>
  <c r="G43" i="44"/>
  <c r="H43" i="44"/>
  <c r="I43" i="44"/>
  <c r="J43" i="44"/>
  <c r="K43" i="44"/>
  <c r="L43" i="44"/>
  <c r="M43" i="44"/>
  <c r="N43" i="44"/>
  <c r="O43" i="44"/>
  <c r="P43" i="44"/>
  <c r="Q43" i="44"/>
  <c r="R43" i="44"/>
  <c r="S43" i="44"/>
  <c r="T43" i="44"/>
  <c r="U43" i="44"/>
  <c r="W43" i="44"/>
  <c r="AB43" i="44"/>
  <c r="AG43" i="44"/>
  <c r="AL43" i="44"/>
  <c r="AQ43" i="44"/>
  <c r="AV43" i="44"/>
  <c r="E44" i="44"/>
  <c r="F44" i="44"/>
  <c r="G44" i="44"/>
  <c r="H44" i="44"/>
  <c r="I44" i="44"/>
  <c r="J44" i="44"/>
  <c r="K44" i="44"/>
  <c r="L44" i="44"/>
  <c r="M44" i="44"/>
  <c r="N44" i="44"/>
  <c r="O44" i="44"/>
  <c r="P44" i="44"/>
  <c r="Q44" i="44"/>
  <c r="R44" i="44"/>
  <c r="S44" i="44"/>
  <c r="T44" i="44"/>
  <c r="U44" i="44"/>
  <c r="V44" i="44"/>
  <c r="W44" i="44"/>
  <c r="X44" i="44"/>
  <c r="Y44" i="44"/>
  <c r="Z44" i="44"/>
  <c r="AB44" i="44"/>
  <c r="AC44" i="44"/>
  <c r="AD44" i="44"/>
  <c r="AE44" i="44"/>
  <c r="AG44" i="44"/>
  <c r="AH44" i="44"/>
  <c r="AI44" i="44"/>
  <c r="AJ44" i="44"/>
  <c r="AL44" i="44"/>
  <c r="AM44" i="44"/>
  <c r="AN44" i="44"/>
  <c r="AO44" i="44"/>
  <c r="AQ44" i="44"/>
  <c r="AR44" i="44"/>
  <c r="AS44" i="44"/>
  <c r="AT44" i="44"/>
  <c r="AV44" i="44"/>
  <c r="E45" i="44"/>
  <c r="F45" i="44"/>
  <c r="G45" i="44"/>
  <c r="H45" i="44"/>
  <c r="I45" i="44"/>
  <c r="J45" i="44"/>
  <c r="K45" i="44"/>
  <c r="L45" i="44"/>
  <c r="M45" i="44"/>
  <c r="N45" i="44"/>
  <c r="O45" i="44"/>
  <c r="P45" i="44"/>
  <c r="Q45" i="44"/>
  <c r="R45" i="44"/>
  <c r="S45" i="44"/>
  <c r="T45" i="44"/>
  <c r="U45" i="44"/>
  <c r="E46" i="44"/>
  <c r="F46" i="44"/>
  <c r="G46" i="44"/>
  <c r="H46" i="44"/>
  <c r="I46" i="44"/>
  <c r="J46" i="44"/>
  <c r="K46" i="44"/>
  <c r="L46" i="44"/>
  <c r="M46" i="44"/>
  <c r="N46" i="44"/>
  <c r="O46" i="44"/>
  <c r="P46" i="44"/>
  <c r="Q46" i="44"/>
  <c r="R46" i="44"/>
  <c r="S46" i="44"/>
  <c r="T46" i="44"/>
  <c r="U46" i="44"/>
  <c r="E47" i="44"/>
  <c r="F47" i="44"/>
  <c r="G47" i="44"/>
  <c r="H47" i="44"/>
  <c r="I47" i="44"/>
  <c r="J47" i="44"/>
  <c r="K47" i="44"/>
  <c r="L47" i="44"/>
  <c r="M47" i="44"/>
  <c r="N47" i="44"/>
  <c r="O47" i="44"/>
  <c r="P47" i="44"/>
  <c r="Q47" i="44"/>
  <c r="R47" i="44"/>
  <c r="S47" i="44"/>
  <c r="T47" i="44"/>
  <c r="U47" i="44"/>
  <c r="V47" i="44"/>
  <c r="W47" i="44"/>
  <c r="X47" i="44"/>
  <c r="Y47" i="44"/>
  <c r="Z47" i="44"/>
  <c r="AA47" i="44"/>
  <c r="AC47" i="44"/>
  <c r="AD47" i="44"/>
  <c r="AE47" i="44"/>
  <c r="AF47" i="44"/>
  <c r="AG47" i="44"/>
  <c r="AH47" i="44"/>
  <c r="AI47" i="44"/>
  <c r="AJ47" i="44"/>
  <c r="AK47" i="44"/>
  <c r="AL47" i="44"/>
  <c r="AM47" i="44"/>
  <c r="AN47" i="44"/>
  <c r="AO47" i="44"/>
  <c r="AP47" i="44"/>
  <c r="AQ47" i="44"/>
  <c r="AR47" i="44"/>
  <c r="AS47" i="44"/>
  <c r="AT47" i="44"/>
  <c r="AU47" i="44"/>
  <c r="AV47" i="44"/>
  <c r="E48" i="44"/>
  <c r="F48" i="44"/>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E49" i="44"/>
  <c r="F49" i="44"/>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E50" i="44"/>
  <c r="F50" i="44"/>
  <c r="G50" i="44"/>
  <c r="H50" i="44"/>
  <c r="I50" i="44"/>
  <c r="J50" i="44"/>
  <c r="K50" i="44"/>
  <c r="L50" i="44"/>
  <c r="M50" i="44"/>
  <c r="N50" i="44"/>
  <c r="O50" i="44"/>
  <c r="P50" i="44"/>
  <c r="Q50" i="44"/>
  <c r="R50" i="44"/>
  <c r="S50" i="44"/>
  <c r="T50" i="44"/>
  <c r="U50" i="44"/>
  <c r="E51" i="44"/>
  <c r="F51" i="44"/>
  <c r="G51" i="44"/>
  <c r="H51" i="44"/>
  <c r="I51" i="44"/>
  <c r="J51" i="44"/>
  <c r="K51" i="44"/>
  <c r="L51" i="44"/>
  <c r="M51" i="44"/>
  <c r="N51" i="44"/>
  <c r="O51" i="44"/>
  <c r="P51" i="44"/>
  <c r="Q51" i="44"/>
  <c r="R51" i="44"/>
  <c r="S51" i="44"/>
  <c r="T51" i="44"/>
  <c r="U51" i="44"/>
  <c r="V51" i="44"/>
  <c r="X51" i="44"/>
  <c r="Y51" i="44"/>
  <c r="Z51" i="44"/>
  <c r="AA51" i="44"/>
  <c r="AB51" i="44"/>
  <c r="AC51" i="44"/>
  <c r="AD51" i="44"/>
  <c r="AE51" i="44"/>
  <c r="AF51" i="44"/>
  <c r="AG51" i="44"/>
  <c r="AH51" i="44"/>
  <c r="AI51" i="44"/>
  <c r="AJ51" i="44"/>
  <c r="AK51" i="44"/>
  <c r="AL51" i="44"/>
  <c r="AM51" i="44"/>
  <c r="AN51" i="44"/>
  <c r="AO51" i="44"/>
  <c r="AP51" i="44"/>
  <c r="AQ51" i="44"/>
  <c r="AR51" i="44"/>
  <c r="AS51" i="44"/>
  <c r="AT51" i="44"/>
  <c r="AU51" i="44"/>
  <c r="AV51" i="44"/>
  <c r="E52" i="44"/>
  <c r="F52" i="44"/>
  <c r="G52" i="44"/>
  <c r="H52" i="44"/>
  <c r="I52" i="44"/>
  <c r="J52" i="44"/>
  <c r="K52" i="44"/>
  <c r="L52" i="44"/>
  <c r="M52" i="44"/>
  <c r="N52" i="44"/>
  <c r="O52" i="44"/>
  <c r="P52" i="44"/>
  <c r="Q52" i="44"/>
  <c r="R52" i="44"/>
  <c r="S52" i="44"/>
  <c r="T52" i="44"/>
  <c r="U52" i="44"/>
  <c r="W52" i="44"/>
  <c r="AB52" i="44"/>
  <c r="AG52" i="44"/>
  <c r="AL52" i="44"/>
  <c r="AQ52" i="44"/>
  <c r="AV52" i="44"/>
  <c r="E53" i="44"/>
  <c r="F53" i="44"/>
  <c r="G53" i="44"/>
  <c r="H53" i="44"/>
  <c r="I53" i="44"/>
  <c r="J53" i="44"/>
  <c r="K53" i="44"/>
  <c r="L53" i="44"/>
  <c r="M53" i="44"/>
  <c r="N53" i="44"/>
  <c r="O53" i="44"/>
  <c r="P53" i="44"/>
  <c r="Q53" i="44"/>
  <c r="R53" i="44"/>
  <c r="S53" i="44"/>
  <c r="T53" i="44"/>
  <c r="U53" i="44"/>
  <c r="V53" i="44"/>
  <c r="W53" i="44"/>
  <c r="X53" i="44"/>
  <c r="Y53" i="44"/>
  <c r="Z53" i="44"/>
  <c r="AB53" i="44"/>
  <c r="AC53" i="44"/>
  <c r="AD53" i="44"/>
  <c r="AE53" i="44"/>
  <c r="AG53" i="44"/>
  <c r="AH53" i="44"/>
  <c r="AI53" i="44"/>
  <c r="AJ53" i="44"/>
  <c r="AL53" i="44"/>
  <c r="AM53" i="44"/>
  <c r="AN53" i="44"/>
  <c r="AO53" i="44"/>
  <c r="AQ53" i="44"/>
  <c r="AR53" i="44"/>
  <c r="AS53" i="44"/>
  <c r="AT53" i="44"/>
  <c r="AV53" i="44"/>
  <c r="E54" i="44"/>
  <c r="F54" i="44"/>
  <c r="G54" i="44"/>
  <c r="H54" i="44"/>
  <c r="I54" i="44"/>
  <c r="J54" i="44"/>
  <c r="K54" i="44"/>
  <c r="L54" i="44"/>
  <c r="M54" i="44"/>
  <c r="N54" i="44"/>
  <c r="O54" i="44"/>
  <c r="P54" i="44"/>
  <c r="Q54" i="44"/>
  <c r="R54" i="44"/>
  <c r="S54" i="44"/>
  <c r="T54" i="44"/>
  <c r="U54" i="44"/>
  <c r="E55" i="44"/>
  <c r="F55" i="44"/>
  <c r="G55" i="44"/>
  <c r="H55" i="44"/>
  <c r="I55" i="44"/>
  <c r="J55" i="44"/>
  <c r="K55" i="44"/>
  <c r="L55" i="44"/>
  <c r="M55" i="44"/>
  <c r="N55" i="44"/>
  <c r="O55" i="44"/>
  <c r="P55" i="44"/>
  <c r="Q55" i="44"/>
  <c r="R55" i="44"/>
  <c r="S55" i="44"/>
  <c r="T55" i="44"/>
  <c r="U55" i="44"/>
  <c r="V55" i="44"/>
  <c r="X55" i="44"/>
  <c r="Y55" i="44"/>
  <c r="Z55" i="44"/>
  <c r="AC55" i="44"/>
  <c r="AD55" i="44"/>
  <c r="AE55" i="44"/>
  <c r="AH55" i="44"/>
  <c r="AI55" i="44"/>
  <c r="AJ55" i="44"/>
  <c r="AM55" i="44"/>
  <c r="AN55" i="44"/>
  <c r="AO55" i="44"/>
  <c r="AR55" i="44"/>
  <c r="AS55" i="44"/>
  <c r="AT55" i="44"/>
  <c r="E56" i="44"/>
  <c r="F56" i="44"/>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E57" i="44"/>
  <c r="F57" i="44"/>
  <c r="G57" i="44"/>
  <c r="H57" i="44"/>
  <c r="I57" i="44"/>
  <c r="J57" i="44"/>
  <c r="K57" i="44"/>
  <c r="L57" i="44"/>
  <c r="M57" i="44"/>
  <c r="N57" i="44"/>
  <c r="O57" i="44"/>
  <c r="P57" i="44"/>
  <c r="Q57" i="44"/>
  <c r="R57" i="44"/>
  <c r="S57" i="44"/>
  <c r="T57" i="44"/>
  <c r="U57" i="44"/>
  <c r="E58" i="44"/>
  <c r="F58" i="44"/>
  <c r="G58" i="44"/>
  <c r="H58" i="44"/>
  <c r="I58" i="44"/>
  <c r="J58" i="44"/>
  <c r="K58" i="44"/>
  <c r="L58" i="44"/>
  <c r="M58" i="44"/>
  <c r="N58" i="44"/>
  <c r="O58" i="44"/>
  <c r="P58" i="44"/>
  <c r="Q58" i="44"/>
  <c r="R58" i="44"/>
  <c r="S58" i="44"/>
  <c r="T58" i="44"/>
  <c r="U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E59" i="44"/>
  <c r="F59" i="44"/>
  <c r="G59" i="44"/>
  <c r="H59" i="44"/>
  <c r="I59" i="44"/>
  <c r="J59" i="44"/>
  <c r="K59" i="44"/>
  <c r="L59" i="44"/>
  <c r="M59" i="44"/>
  <c r="N59" i="44"/>
  <c r="O59" i="44"/>
  <c r="P59" i="44"/>
  <c r="Q59" i="44"/>
  <c r="R59" i="44"/>
  <c r="S59" i="44"/>
  <c r="T59" i="44"/>
  <c r="U59" i="44"/>
  <c r="E60" i="44"/>
  <c r="F60" i="44"/>
  <c r="G60" i="44"/>
  <c r="H60" i="44"/>
  <c r="I60" i="44"/>
  <c r="J60" i="44"/>
  <c r="K60" i="44"/>
  <c r="L60" i="44"/>
  <c r="M60" i="44"/>
  <c r="N60" i="44"/>
  <c r="O60" i="44"/>
  <c r="P60" i="44"/>
  <c r="Q60" i="44"/>
  <c r="R60" i="44"/>
  <c r="S60" i="44"/>
  <c r="T60" i="44"/>
  <c r="U60" i="44"/>
  <c r="E61" i="44"/>
  <c r="F61" i="44"/>
  <c r="G61" i="44"/>
  <c r="H61" i="44"/>
  <c r="I61" i="44"/>
  <c r="J61" i="44"/>
  <c r="K61" i="44"/>
  <c r="L61" i="44"/>
  <c r="M61" i="44"/>
  <c r="N61" i="44"/>
  <c r="O61" i="44"/>
  <c r="P61" i="44"/>
  <c r="Q61" i="44"/>
  <c r="R61" i="44"/>
  <c r="S61" i="44"/>
  <c r="T61" i="44"/>
  <c r="U61" i="44"/>
  <c r="V61" i="44"/>
  <c r="X61" i="44"/>
  <c r="Y61" i="44"/>
  <c r="Z61" i="44"/>
  <c r="E62" i="44"/>
  <c r="F62" i="44"/>
  <c r="G62" i="44"/>
  <c r="H62" i="44"/>
  <c r="I62" i="44"/>
  <c r="J62" i="44"/>
  <c r="K62" i="44"/>
  <c r="L62" i="44"/>
  <c r="M62" i="44"/>
  <c r="N62" i="44"/>
  <c r="O62" i="44"/>
  <c r="P62" i="44"/>
  <c r="Q62" i="44"/>
  <c r="R62" i="44"/>
  <c r="S62" i="44"/>
  <c r="T62" i="44"/>
  <c r="U62" i="44"/>
  <c r="E63" i="44"/>
  <c r="F63" i="44"/>
  <c r="G63" i="44"/>
  <c r="H63" i="44"/>
  <c r="I63" i="44"/>
  <c r="J63" i="44"/>
  <c r="K63" i="44"/>
  <c r="L63" i="44"/>
  <c r="M63" i="44"/>
  <c r="N63" i="44"/>
  <c r="O63" i="44"/>
  <c r="P63" i="44"/>
  <c r="Q63" i="44"/>
  <c r="R63" i="44"/>
  <c r="S63" i="44"/>
  <c r="T63" i="44"/>
  <c r="U63" i="44"/>
  <c r="V63" i="44"/>
  <c r="X63" i="44"/>
  <c r="Y63" i="44"/>
  <c r="Z63" i="44"/>
  <c r="AD63" i="44"/>
  <c r="AE63" i="44"/>
  <c r="AI63" i="44"/>
  <c r="AJ63" i="44"/>
  <c r="AN63" i="44"/>
  <c r="AO63" i="44"/>
  <c r="AS63" i="44"/>
  <c r="AT63" i="44"/>
  <c r="E64" i="44"/>
  <c r="F64" i="44"/>
  <c r="G64" i="44"/>
  <c r="H64" i="44"/>
  <c r="I64" i="44"/>
  <c r="J64" i="44"/>
  <c r="K64" i="44"/>
  <c r="L64" i="44"/>
  <c r="M64" i="44"/>
  <c r="N64" i="44"/>
  <c r="O64" i="44"/>
  <c r="P64" i="44"/>
  <c r="Q64" i="44"/>
  <c r="R64" i="44"/>
  <c r="S64" i="44"/>
  <c r="T64" i="44"/>
  <c r="U64" i="44"/>
  <c r="E65" i="44"/>
  <c r="F65" i="44"/>
  <c r="G65" i="44"/>
  <c r="H65" i="44"/>
  <c r="I65" i="44"/>
  <c r="J65" i="44"/>
  <c r="K65" i="44"/>
  <c r="L65" i="44"/>
  <c r="M65" i="44"/>
  <c r="N65" i="44"/>
  <c r="O65" i="44"/>
  <c r="P65" i="44"/>
  <c r="Q65" i="44"/>
  <c r="R65" i="44"/>
  <c r="S65" i="44"/>
  <c r="T65" i="44"/>
  <c r="U65" i="44"/>
  <c r="V65" i="44"/>
  <c r="X65" i="44"/>
  <c r="Y65" i="44"/>
  <c r="Z65" i="44"/>
  <c r="AC65" i="44"/>
  <c r="AD65" i="44"/>
  <c r="AE65" i="44"/>
  <c r="AH65" i="44"/>
  <c r="AI65" i="44"/>
  <c r="AJ65" i="44"/>
  <c r="AM65" i="44"/>
  <c r="AN65" i="44"/>
  <c r="AO65" i="44"/>
  <c r="AR65" i="44"/>
  <c r="AS65" i="44"/>
  <c r="AT65" i="44"/>
  <c r="E66" i="44"/>
  <c r="F66" i="44"/>
  <c r="G66" i="44"/>
  <c r="H66" i="44"/>
  <c r="I66" i="44"/>
  <c r="J66" i="44"/>
  <c r="K66" i="44"/>
  <c r="L66" i="44"/>
  <c r="M66" i="44"/>
  <c r="N66" i="44"/>
  <c r="O66" i="44"/>
  <c r="P66" i="44"/>
  <c r="Q66" i="44"/>
  <c r="R66" i="44"/>
  <c r="S66" i="44"/>
  <c r="T66" i="44"/>
  <c r="U66" i="44"/>
  <c r="E67" i="44"/>
  <c r="F67" i="44"/>
  <c r="G67" i="44"/>
  <c r="H67" i="44"/>
  <c r="I67" i="44"/>
  <c r="J67" i="44"/>
  <c r="K67" i="44"/>
  <c r="L67" i="44"/>
  <c r="M67" i="44"/>
  <c r="N67" i="44"/>
  <c r="O67" i="44"/>
  <c r="P67" i="44"/>
  <c r="Q67" i="44"/>
  <c r="R67" i="44"/>
  <c r="S67" i="44"/>
  <c r="T67" i="44"/>
  <c r="U67" i="44"/>
  <c r="E68" i="44"/>
  <c r="F68" i="44"/>
  <c r="G68" i="44"/>
  <c r="H68" i="44"/>
  <c r="I68" i="44"/>
  <c r="J68" i="44"/>
  <c r="K68" i="44"/>
  <c r="L68" i="44"/>
  <c r="M68" i="44"/>
  <c r="N68" i="44"/>
  <c r="O68" i="44"/>
  <c r="P68" i="44"/>
  <c r="Q68" i="44"/>
  <c r="R68" i="44"/>
  <c r="S68" i="44"/>
  <c r="T68" i="44"/>
  <c r="U68" i="44"/>
  <c r="V68" i="44"/>
  <c r="X68" i="44"/>
  <c r="Y68" i="44"/>
  <c r="Z68" i="44"/>
  <c r="AC68" i="44"/>
  <c r="AD68" i="44"/>
  <c r="AE68" i="44"/>
  <c r="AH68" i="44"/>
  <c r="AI68" i="44"/>
  <c r="AJ68" i="44"/>
  <c r="AM68" i="44"/>
  <c r="AN68" i="44"/>
  <c r="AO68" i="44"/>
  <c r="AR68" i="44"/>
  <c r="AS68" i="44"/>
  <c r="AT68" i="44"/>
  <c r="E69" i="44"/>
  <c r="F69" i="44"/>
  <c r="G69" i="44"/>
  <c r="H69" i="44"/>
  <c r="I69" i="44"/>
  <c r="J69" i="44"/>
  <c r="K69" i="44"/>
  <c r="L69" i="44"/>
  <c r="M69" i="44"/>
  <c r="N69" i="44"/>
  <c r="O69" i="44"/>
  <c r="P69" i="44"/>
  <c r="Q69" i="44"/>
  <c r="R69" i="44"/>
  <c r="S69" i="44"/>
  <c r="T69" i="44"/>
  <c r="U69" i="44"/>
  <c r="V69" i="44"/>
  <c r="E70" i="44"/>
  <c r="F70" i="44"/>
  <c r="G70" i="44"/>
  <c r="H70" i="44"/>
  <c r="I70" i="44"/>
  <c r="J70" i="44"/>
  <c r="K70" i="44"/>
  <c r="L70" i="44"/>
  <c r="M70" i="44"/>
  <c r="N70" i="44"/>
  <c r="O70" i="44"/>
  <c r="P70" i="44"/>
  <c r="Q70" i="44"/>
  <c r="R70" i="44"/>
  <c r="S70" i="44"/>
  <c r="T70" i="44"/>
  <c r="U70" i="44"/>
  <c r="E71" i="44"/>
  <c r="F71" i="44"/>
  <c r="G71" i="44"/>
  <c r="H71" i="44"/>
  <c r="I71" i="44"/>
  <c r="J71" i="44"/>
  <c r="K71" i="44"/>
  <c r="L71" i="44"/>
  <c r="M71" i="44"/>
  <c r="N71" i="44"/>
  <c r="O71" i="44"/>
  <c r="P71" i="44"/>
  <c r="Q71" i="44"/>
  <c r="R71" i="44"/>
  <c r="S71" i="44"/>
  <c r="T71" i="44"/>
  <c r="U71" i="44"/>
  <c r="E72" i="44"/>
  <c r="F72" i="44"/>
  <c r="G72" i="44"/>
  <c r="H72" i="44"/>
  <c r="I72" i="44"/>
  <c r="J72" i="44"/>
  <c r="K72" i="44"/>
  <c r="L72" i="44"/>
  <c r="M72" i="44"/>
  <c r="N72" i="44"/>
  <c r="O72" i="44"/>
  <c r="P72" i="44"/>
  <c r="Q72" i="44"/>
  <c r="R72" i="44"/>
  <c r="S72" i="44"/>
  <c r="T72" i="44"/>
  <c r="U72" i="44"/>
  <c r="D42" i="44"/>
  <c r="D43" i="44"/>
  <c r="D44" i="44"/>
  <c r="D45" i="44"/>
  <c r="D46" i="44"/>
  <c r="D47" i="44"/>
  <c r="D48" i="44"/>
  <c r="D49" i="44"/>
  <c r="D50" i="44"/>
  <c r="D51" i="44"/>
  <c r="D52" i="44"/>
  <c r="D53" i="44"/>
  <c r="D54" i="44"/>
  <c r="D55" i="44"/>
  <c r="D56" i="44"/>
  <c r="D57" i="44"/>
  <c r="D58" i="44"/>
  <c r="D59" i="44"/>
  <c r="D60" i="44"/>
  <c r="D61" i="44"/>
  <c r="D62" i="44"/>
  <c r="D63" i="44"/>
  <c r="D64" i="44"/>
  <c r="D65" i="44"/>
  <c r="D66" i="44"/>
  <c r="D67" i="44"/>
  <c r="D68" i="44"/>
  <c r="D69" i="44"/>
  <c r="D70" i="44"/>
  <c r="D71" i="44"/>
  <c r="D72" i="44"/>
  <c r="D41" i="44"/>
  <c r="E5" i="44"/>
  <c r="F5" i="44"/>
  <c r="G5" i="44"/>
  <c r="H5" i="44"/>
  <c r="I5" i="44"/>
  <c r="J5" i="44"/>
  <c r="K5" i="44"/>
  <c r="L5" i="44"/>
  <c r="M5" i="44"/>
  <c r="N5" i="44"/>
  <c r="O5" i="44"/>
  <c r="P5" i="44"/>
  <c r="Q5" i="44"/>
  <c r="R5" i="44"/>
  <c r="S5" i="44"/>
  <c r="T5" i="44"/>
  <c r="U5" i="44"/>
  <c r="V5" i="44"/>
  <c r="E6" i="44"/>
  <c r="F6" i="44"/>
  <c r="G6" i="44"/>
  <c r="H6" i="44"/>
  <c r="I6" i="44"/>
  <c r="J6" i="44"/>
  <c r="K6" i="44"/>
  <c r="L6" i="44"/>
  <c r="M6" i="44"/>
  <c r="N6" i="44"/>
  <c r="O6" i="44"/>
  <c r="P6" i="44"/>
  <c r="Q6" i="44"/>
  <c r="R6" i="44"/>
  <c r="S6" i="44"/>
  <c r="T6" i="44"/>
  <c r="U6" i="44"/>
  <c r="V6" i="44"/>
  <c r="E7" i="44"/>
  <c r="F7" i="44"/>
  <c r="G7" i="44"/>
  <c r="H7" i="44"/>
  <c r="I7" i="44"/>
  <c r="J7" i="44"/>
  <c r="K7" i="44"/>
  <c r="L7" i="44"/>
  <c r="M7" i="44"/>
  <c r="N7" i="44"/>
  <c r="O7" i="44"/>
  <c r="P7" i="44"/>
  <c r="Q7" i="44"/>
  <c r="R7" i="44"/>
  <c r="S7" i="44"/>
  <c r="T7" i="44"/>
  <c r="U7" i="44"/>
  <c r="V7" i="44"/>
  <c r="X7" i="44"/>
  <c r="Y7" i="44"/>
  <c r="Z7" i="44"/>
  <c r="AC7" i="44"/>
  <c r="AD7" i="44"/>
  <c r="AE7" i="44"/>
  <c r="AH7" i="44"/>
  <c r="AI7" i="44"/>
  <c r="AJ7" i="44"/>
  <c r="AM7" i="44"/>
  <c r="AN7" i="44"/>
  <c r="AO7" i="44"/>
  <c r="AR7" i="44"/>
  <c r="AS7" i="44"/>
  <c r="AT7" i="44"/>
  <c r="E8" i="44"/>
  <c r="F8" i="44"/>
  <c r="G8" i="44"/>
  <c r="H8" i="44"/>
  <c r="I8" i="44"/>
  <c r="J8" i="44"/>
  <c r="K8" i="44"/>
  <c r="L8" i="44"/>
  <c r="M8" i="44"/>
  <c r="N8" i="44"/>
  <c r="O8" i="44"/>
  <c r="P8" i="44"/>
  <c r="Q8" i="44"/>
  <c r="R8" i="44"/>
  <c r="S8" i="44"/>
  <c r="T8" i="44"/>
  <c r="U8" i="44"/>
  <c r="E9" i="44"/>
  <c r="F9" i="44"/>
  <c r="G9" i="44"/>
  <c r="H9" i="44"/>
  <c r="I9" i="44"/>
  <c r="J9" i="44"/>
  <c r="K9" i="44"/>
  <c r="L9" i="44"/>
  <c r="M9" i="44"/>
  <c r="N9" i="44"/>
  <c r="O9" i="44"/>
  <c r="P9" i="44"/>
  <c r="Q9" i="44"/>
  <c r="R9" i="44"/>
  <c r="S9" i="44"/>
  <c r="T9" i="44"/>
  <c r="U9" i="44"/>
  <c r="V9" i="44"/>
  <c r="E10" i="44"/>
  <c r="F10" i="44"/>
  <c r="G10" i="44"/>
  <c r="H10" i="44"/>
  <c r="I10" i="44"/>
  <c r="J10" i="44"/>
  <c r="K10" i="44"/>
  <c r="L10" i="44"/>
  <c r="M10" i="44"/>
  <c r="N10" i="44"/>
  <c r="O10" i="44"/>
  <c r="P10" i="44"/>
  <c r="Q10" i="44"/>
  <c r="R10" i="44"/>
  <c r="S10" i="44"/>
  <c r="T10" i="44"/>
  <c r="U10" i="44"/>
  <c r="V10" i="44"/>
  <c r="E11" i="44"/>
  <c r="F11" i="44"/>
  <c r="G11" i="44"/>
  <c r="H11" i="44"/>
  <c r="I11" i="44"/>
  <c r="J11" i="44"/>
  <c r="K11" i="44"/>
  <c r="L11" i="44"/>
  <c r="M11" i="44"/>
  <c r="N11" i="44"/>
  <c r="O11" i="44"/>
  <c r="P11" i="44"/>
  <c r="Q11" i="44"/>
  <c r="R11" i="44"/>
  <c r="S11" i="44"/>
  <c r="T11" i="44"/>
  <c r="U11" i="44"/>
  <c r="V11" i="44"/>
  <c r="E12" i="44"/>
  <c r="F12" i="44"/>
  <c r="G12" i="44"/>
  <c r="H12" i="44"/>
  <c r="I12" i="44"/>
  <c r="J12" i="44"/>
  <c r="K12" i="44"/>
  <c r="L12" i="44"/>
  <c r="M12" i="44"/>
  <c r="N12" i="44"/>
  <c r="O12" i="44"/>
  <c r="P12" i="44"/>
  <c r="Q12" i="44"/>
  <c r="R12" i="44"/>
  <c r="S12" i="44"/>
  <c r="T12" i="44"/>
  <c r="U12" i="44"/>
  <c r="V12" i="44"/>
  <c r="E13" i="44"/>
  <c r="F13" i="44"/>
  <c r="G13" i="44"/>
  <c r="H13" i="44"/>
  <c r="I13" i="44"/>
  <c r="J13" i="44"/>
  <c r="K13" i="44"/>
  <c r="L13" i="44"/>
  <c r="M13" i="44"/>
  <c r="N13" i="44"/>
  <c r="O13" i="44"/>
  <c r="P13" i="44"/>
  <c r="Q13" i="44"/>
  <c r="R13" i="44"/>
  <c r="S13" i="44"/>
  <c r="T13" i="44"/>
  <c r="U13" i="44"/>
  <c r="V13" i="44"/>
  <c r="E14" i="44"/>
  <c r="F14" i="44"/>
  <c r="G14" i="44"/>
  <c r="H14" i="44"/>
  <c r="I14" i="44"/>
  <c r="J14" i="44"/>
  <c r="K14" i="44"/>
  <c r="L14" i="44"/>
  <c r="M14" i="44"/>
  <c r="N14" i="44"/>
  <c r="O14" i="44"/>
  <c r="P14" i="44"/>
  <c r="Q14" i="44"/>
  <c r="R14" i="44"/>
  <c r="S14" i="44"/>
  <c r="T14" i="44"/>
  <c r="U14" i="44"/>
  <c r="V14" i="44"/>
  <c r="E15" i="44"/>
  <c r="F15" i="44"/>
  <c r="G15" i="44"/>
  <c r="H15" i="44"/>
  <c r="I15" i="44"/>
  <c r="J15" i="44"/>
  <c r="K15" i="44"/>
  <c r="L15" i="44"/>
  <c r="M15" i="44"/>
  <c r="N15" i="44"/>
  <c r="O15" i="44"/>
  <c r="P15" i="44"/>
  <c r="Q15" i="44"/>
  <c r="R15" i="44"/>
  <c r="S15" i="44"/>
  <c r="T15" i="44"/>
  <c r="U15" i="44"/>
  <c r="E16" i="44"/>
  <c r="F16" i="44"/>
  <c r="G16" i="44"/>
  <c r="H16" i="44"/>
  <c r="I16" i="44"/>
  <c r="J16" i="44"/>
  <c r="K16" i="44"/>
  <c r="L16" i="44"/>
  <c r="M16" i="44"/>
  <c r="N16" i="44"/>
  <c r="O16" i="44"/>
  <c r="P16" i="44"/>
  <c r="Q16" i="44"/>
  <c r="R16" i="44"/>
  <c r="S16" i="44"/>
  <c r="T16" i="44"/>
  <c r="U16" i="44"/>
  <c r="V16" i="44"/>
  <c r="E17" i="44"/>
  <c r="F17" i="44"/>
  <c r="G17" i="44"/>
  <c r="H17" i="44"/>
  <c r="I17" i="44"/>
  <c r="J17" i="44"/>
  <c r="K17" i="44"/>
  <c r="L17" i="44"/>
  <c r="M17" i="44"/>
  <c r="N17" i="44"/>
  <c r="O17" i="44"/>
  <c r="P17" i="44"/>
  <c r="Q17" i="44"/>
  <c r="R17" i="44"/>
  <c r="S17" i="44"/>
  <c r="T17" i="44"/>
  <c r="U17" i="44"/>
  <c r="E18" i="44"/>
  <c r="F18" i="44"/>
  <c r="G18" i="44"/>
  <c r="H18" i="44"/>
  <c r="I18" i="44"/>
  <c r="J18" i="44"/>
  <c r="K18" i="44"/>
  <c r="L18" i="44"/>
  <c r="M18" i="44"/>
  <c r="N18" i="44"/>
  <c r="O18" i="44"/>
  <c r="P18" i="44"/>
  <c r="Q18" i="44"/>
  <c r="R18" i="44"/>
  <c r="S18" i="44"/>
  <c r="T18" i="44"/>
  <c r="U18" i="44"/>
  <c r="E19" i="44"/>
  <c r="F19" i="44"/>
  <c r="G19" i="44"/>
  <c r="H19" i="44"/>
  <c r="I19" i="44"/>
  <c r="J19" i="44"/>
  <c r="K19" i="44"/>
  <c r="L19" i="44"/>
  <c r="M19" i="44"/>
  <c r="N19" i="44"/>
  <c r="O19" i="44"/>
  <c r="P19" i="44"/>
  <c r="Q19" i="44"/>
  <c r="R19" i="44"/>
  <c r="S19" i="44"/>
  <c r="T19" i="44"/>
  <c r="U19" i="44"/>
  <c r="E20" i="44"/>
  <c r="F20" i="44"/>
  <c r="G20" i="44"/>
  <c r="H20" i="44"/>
  <c r="I20" i="44"/>
  <c r="J20" i="44"/>
  <c r="K20" i="44"/>
  <c r="L20" i="44"/>
  <c r="M20" i="44"/>
  <c r="N20" i="44"/>
  <c r="O20" i="44"/>
  <c r="P20" i="44"/>
  <c r="Q20" i="44"/>
  <c r="R20" i="44"/>
  <c r="S20" i="44"/>
  <c r="T20" i="44"/>
  <c r="U20" i="44"/>
  <c r="V20" i="44"/>
  <c r="W20" i="44"/>
  <c r="X20" i="44"/>
  <c r="Y20" i="44"/>
  <c r="Z20" i="44"/>
  <c r="AA20" i="44"/>
  <c r="AB20" i="44"/>
  <c r="AC20" i="44"/>
  <c r="AD20" i="44"/>
  <c r="AE20" i="44"/>
  <c r="AF20" i="44"/>
  <c r="AG20" i="44"/>
  <c r="AH20" i="44"/>
  <c r="AI20" i="44"/>
  <c r="AJ20" i="44"/>
  <c r="AK20" i="44"/>
  <c r="AL20" i="44"/>
  <c r="AM20" i="44"/>
  <c r="AN20" i="44"/>
  <c r="AO20" i="44"/>
  <c r="AP20" i="44"/>
  <c r="AQ20" i="44"/>
  <c r="AR20" i="44"/>
  <c r="AS20" i="44"/>
  <c r="AT20" i="44"/>
  <c r="AU20" i="44"/>
  <c r="AV20" i="44"/>
  <c r="E21" i="44"/>
  <c r="F21" i="44"/>
  <c r="G21" i="44"/>
  <c r="H21" i="44"/>
  <c r="I21" i="44"/>
  <c r="J21" i="44"/>
  <c r="K21" i="44"/>
  <c r="L21" i="44"/>
  <c r="M21" i="44"/>
  <c r="N21" i="44"/>
  <c r="O21" i="44"/>
  <c r="P21" i="44"/>
  <c r="Q21" i="44"/>
  <c r="R21" i="44"/>
  <c r="S21" i="44"/>
  <c r="T21" i="44"/>
  <c r="U21" i="44"/>
  <c r="V21" i="44"/>
  <c r="E22" i="44"/>
  <c r="F22" i="44"/>
  <c r="G22" i="44"/>
  <c r="H22" i="44"/>
  <c r="I22" i="44"/>
  <c r="J22" i="44"/>
  <c r="K22" i="44"/>
  <c r="L22" i="44"/>
  <c r="M22" i="44"/>
  <c r="N22" i="44"/>
  <c r="O22" i="44"/>
  <c r="P22" i="44"/>
  <c r="Q22" i="44"/>
  <c r="R22" i="44"/>
  <c r="S22" i="44"/>
  <c r="T22" i="44"/>
  <c r="U22" i="44"/>
  <c r="V22" i="44"/>
  <c r="E23" i="44"/>
  <c r="F23" i="44"/>
  <c r="G23" i="44"/>
  <c r="H23" i="44"/>
  <c r="I23" i="44"/>
  <c r="J23" i="44"/>
  <c r="K23" i="44"/>
  <c r="L23" i="44"/>
  <c r="M23" i="44"/>
  <c r="N23" i="44"/>
  <c r="O23" i="44"/>
  <c r="P23" i="44"/>
  <c r="Q23" i="44"/>
  <c r="R23" i="44"/>
  <c r="S23" i="44"/>
  <c r="T23" i="44"/>
  <c r="U23" i="44"/>
  <c r="E24" i="44"/>
  <c r="F24" i="44"/>
  <c r="G24" i="44"/>
  <c r="H24" i="44"/>
  <c r="I24" i="44"/>
  <c r="J24" i="44"/>
  <c r="K24" i="44"/>
  <c r="L24" i="44"/>
  <c r="M24" i="44"/>
  <c r="N24" i="44"/>
  <c r="O24" i="44"/>
  <c r="P24" i="44"/>
  <c r="Q24" i="44"/>
  <c r="R24" i="44"/>
  <c r="S24" i="44"/>
  <c r="T24" i="44"/>
  <c r="U24" i="44"/>
  <c r="E25" i="44"/>
  <c r="F25" i="44"/>
  <c r="G25" i="44"/>
  <c r="H25" i="44"/>
  <c r="I25" i="44"/>
  <c r="J25" i="44"/>
  <c r="K25" i="44"/>
  <c r="L25" i="44"/>
  <c r="M25" i="44"/>
  <c r="N25" i="44"/>
  <c r="O25" i="44"/>
  <c r="P25" i="44"/>
  <c r="Q25" i="44"/>
  <c r="R25" i="44"/>
  <c r="S25" i="44"/>
  <c r="T25" i="44"/>
  <c r="U25" i="44"/>
  <c r="E26" i="44"/>
  <c r="F26" i="44"/>
  <c r="G26" i="44"/>
  <c r="H26" i="44"/>
  <c r="I26" i="44"/>
  <c r="J26" i="44"/>
  <c r="K26" i="44"/>
  <c r="L26" i="44"/>
  <c r="M26" i="44"/>
  <c r="N26" i="44"/>
  <c r="O26" i="44"/>
  <c r="P26" i="44"/>
  <c r="Q26" i="44"/>
  <c r="R26" i="44"/>
  <c r="S26" i="44"/>
  <c r="T26" i="44"/>
  <c r="U26" i="44"/>
  <c r="V26" i="44"/>
  <c r="E27" i="44"/>
  <c r="F27" i="44"/>
  <c r="G27" i="44"/>
  <c r="H27" i="44"/>
  <c r="I27" i="44"/>
  <c r="J27" i="44"/>
  <c r="K27" i="44"/>
  <c r="L27" i="44"/>
  <c r="M27" i="44"/>
  <c r="N27" i="44"/>
  <c r="O27" i="44"/>
  <c r="P27" i="44"/>
  <c r="Q27" i="44"/>
  <c r="R27" i="44"/>
  <c r="S27" i="44"/>
  <c r="T27" i="44"/>
  <c r="U27" i="44"/>
  <c r="E28" i="44"/>
  <c r="F28" i="44"/>
  <c r="G28" i="44"/>
  <c r="H28" i="44"/>
  <c r="I28" i="44"/>
  <c r="J28" i="44"/>
  <c r="K28" i="44"/>
  <c r="L28" i="44"/>
  <c r="M28" i="44"/>
  <c r="N28" i="44"/>
  <c r="O28" i="44"/>
  <c r="P28" i="44"/>
  <c r="Q28" i="44"/>
  <c r="R28" i="44"/>
  <c r="S28" i="44"/>
  <c r="T28" i="44"/>
  <c r="U28" i="44"/>
  <c r="E29" i="44"/>
  <c r="F29" i="44"/>
  <c r="G29" i="44"/>
  <c r="H29" i="44"/>
  <c r="I29" i="44"/>
  <c r="J29" i="44"/>
  <c r="K29" i="44"/>
  <c r="L29" i="44"/>
  <c r="M29" i="44"/>
  <c r="N29" i="44"/>
  <c r="O29" i="44"/>
  <c r="P29" i="44"/>
  <c r="Q29" i="44"/>
  <c r="R29" i="44"/>
  <c r="S29" i="44"/>
  <c r="T29" i="44"/>
  <c r="U29" i="44"/>
  <c r="E30" i="44"/>
  <c r="F30" i="44"/>
  <c r="G30" i="44"/>
  <c r="H30" i="44"/>
  <c r="I30" i="44"/>
  <c r="J30" i="44"/>
  <c r="K30" i="44"/>
  <c r="L30" i="44"/>
  <c r="M30" i="44"/>
  <c r="N30" i="44"/>
  <c r="O30" i="44"/>
  <c r="P30" i="44"/>
  <c r="Q30" i="44"/>
  <c r="R30" i="44"/>
  <c r="S30" i="44"/>
  <c r="T30" i="44"/>
  <c r="U30" i="44"/>
  <c r="E31" i="44"/>
  <c r="F31" i="44"/>
  <c r="G31" i="44"/>
  <c r="H31" i="44"/>
  <c r="I31" i="44"/>
  <c r="J31" i="44"/>
  <c r="K31" i="44"/>
  <c r="L31" i="44"/>
  <c r="M31" i="44"/>
  <c r="N31" i="44"/>
  <c r="O31" i="44"/>
  <c r="P31" i="44"/>
  <c r="Q31" i="44"/>
  <c r="R31" i="44"/>
  <c r="S31" i="44"/>
  <c r="T31" i="44"/>
  <c r="U31" i="44"/>
  <c r="V31" i="44"/>
  <c r="E32" i="44"/>
  <c r="F32" i="44"/>
  <c r="G32" i="44"/>
  <c r="H32" i="44"/>
  <c r="I32" i="44"/>
  <c r="J32" i="44"/>
  <c r="K32" i="44"/>
  <c r="L32" i="44"/>
  <c r="M32" i="44"/>
  <c r="N32" i="44"/>
  <c r="O32" i="44"/>
  <c r="P32" i="44"/>
  <c r="Q32" i="44"/>
  <c r="R32" i="44"/>
  <c r="S32" i="44"/>
  <c r="T32" i="44"/>
  <c r="U32" i="44"/>
  <c r="E33" i="44"/>
  <c r="F33" i="44"/>
  <c r="G33" i="44"/>
  <c r="H33" i="44"/>
  <c r="I33" i="44"/>
  <c r="J33" i="44"/>
  <c r="K33" i="44"/>
  <c r="L33" i="44"/>
  <c r="M33" i="44"/>
  <c r="N33" i="44"/>
  <c r="O33" i="44"/>
  <c r="P33" i="44"/>
  <c r="Q33" i="44"/>
  <c r="R33" i="44"/>
  <c r="S33" i="44"/>
  <c r="T33" i="44"/>
  <c r="U33" i="44"/>
  <c r="E34" i="44"/>
  <c r="F34" i="44"/>
  <c r="G34" i="44"/>
  <c r="H34" i="44"/>
  <c r="I34" i="44"/>
  <c r="J34" i="44"/>
  <c r="K34" i="44"/>
  <c r="L34" i="44"/>
  <c r="M34" i="44"/>
  <c r="N34" i="44"/>
  <c r="O34" i="44"/>
  <c r="P34" i="44"/>
  <c r="Q34" i="44"/>
  <c r="R34" i="44"/>
  <c r="S34" i="44"/>
  <c r="T34" i="44"/>
  <c r="U34" i="44"/>
  <c r="E35" i="44"/>
  <c r="F35" i="44"/>
  <c r="G35" i="44"/>
  <c r="H35" i="44"/>
  <c r="I35" i="44"/>
  <c r="J35" i="44"/>
  <c r="K35" i="44"/>
  <c r="L35" i="44"/>
  <c r="M35" i="44"/>
  <c r="N35" i="44"/>
  <c r="O35" i="44"/>
  <c r="P35" i="44"/>
  <c r="Q35" i="44"/>
  <c r="R35" i="44"/>
  <c r="S35" i="44"/>
  <c r="T35" i="44"/>
  <c r="U35" i="44"/>
  <c r="V35" i="44"/>
  <c r="E36" i="44"/>
  <c r="F36" i="44"/>
  <c r="G36" i="44"/>
  <c r="H36" i="44"/>
  <c r="I36" i="44"/>
  <c r="J36" i="44"/>
  <c r="K36" i="44"/>
  <c r="L36" i="44"/>
  <c r="M36" i="44"/>
  <c r="N36" i="44"/>
  <c r="O36" i="44"/>
  <c r="P36" i="44"/>
  <c r="Q36" i="44"/>
  <c r="R36" i="44"/>
  <c r="S36" i="44"/>
  <c r="T36" i="44"/>
  <c r="U36" i="44"/>
  <c r="V36" i="44"/>
  <c r="X36" i="44"/>
  <c r="Y36" i="44"/>
  <c r="Z36" i="44"/>
  <c r="AA36" i="44"/>
  <c r="AC36" i="44"/>
  <c r="AD36" i="44"/>
  <c r="AE36" i="44"/>
  <c r="AF36" i="44"/>
  <c r="AH36" i="44"/>
  <c r="AI36" i="44"/>
  <c r="AJ36" i="44"/>
  <c r="AK36" i="44"/>
  <c r="AM36" i="44"/>
  <c r="AN36" i="44"/>
  <c r="AO36" i="44"/>
  <c r="AP36" i="44"/>
  <c r="AR36" i="44"/>
  <c r="AS36" i="44"/>
  <c r="AT36" i="44"/>
  <c r="AU36" i="44"/>
  <c r="E37" i="44"/>
  <c r="F37" i="44"/>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D6" i="44"/>
  <c r="D7" i="44"/>
  <c r="D8" i="44"/>
  <c r="D9" i="44"/>
  <c r="D10" i="44"/>
  <c r="D11" i="44"/>
  <c r="D12" i="44"/>
  <c r="D13" i="44"/>
  <c r="D14" i="44"/>
  <c r="D15" i="44"/>
  <c r="D16" i="44"/>
  <c r="D17" i="44"/>
  <c r="D18" i="44"/>
  <c r="D19" i="44"/>
  <c r="D20" i="44"/>
  <c r="D21" i="44"/>
  <c r="D22" i="44"/>
  <c r="D23" i="44"/>
  <c r="D24" i="44"/>
  <c r="D25" i="44"/>
  <c r="D26" i="44"/>
  <c r="D27" i="44"/>
  <c r="D28" i="44"/>
  <c r="D29" i="44"/>
  <c r="D30" i="44"/>
  <c r="D31" i="44"/>
  <c r="D32" i="44"/>
  <c r="D33" i="44"/>
  <c r="D34" i="44"/>
  <c r="D35" i="44"/>
  <c r="D36" i="44"/>
  <c r="D37" i="44"/>
  <c r="D5" i="44"/>
  <c r="AN44" i="48" l="1"/>
  <c r="AI44" i="53"/>
  <c r="AR44" i="48"/>
  <c r="AR44" i="53" s="1"/>
  <c r="AM44" i="53"/>
  <c r="AF44" i="53"/>
  <c r="AE136" i="48"/>
  <c r="AP143" i="48"/>
  <c r="AT182" i="48"/>
  <c r="AF102" i="48"/>
  <c r="AG102" i="48" s="1"/>
  <c r="AE14" i="48"/>
  <c r="AH119" i="48"/>
  <c r="AF16" i="48"/>
  <c r="AF9" i="50" s="1"/>
  <c r="AF10" i="50" s="1"/>
  <c r="AG10" i="50" s="1"/>
  <c r="AF120" i="48"/>
  <c r="AF121" i="48" s="1"/>
  <c r="AD56" i="49"/>
  <c r="AH58" i="50"/>
  <c r="AI58" i="50" s="1"/>
  <c r="AG58" i="50"/>
  <c r="AE172" i="48"/>
  <c r="AE28" i="48" s="1"/>
  <c r="AE18" i="48"/>
  <c r="AM163" i="48"/>
  <c r="AK117" i="48"/>
  <c r="AK118" i="48" s="1"/>
  <c r="AK129" i="48"/>
  <c r="AL129" i="48" s="1"/>
  <c r="Y6" i="48"/>
  <c r="Y134" i="48" s="1"/>
  <c r="AI69" i="48"/>
  <c r="X41" i="48"/>
  <c r="X43" i="48" s="1"/>
  <c r="X45" i="48" s="1"/>
  <c r="X45" i="53" s="1"/>
  <c r="W41" i="48"/>
  <c r="V57" i="48"/>
  <c r="AB57" i="48" s="1"/>
  <c r="AH165" i="48"/>
  <c r="AF168" i="48"/>
  <c r="AF170" i="48" s="1"/>
  <c r="AL117" i="48"/>
  <c r="AL118" i="48" s="1"/>
  <c r="AS183" i="48"/>
  <c r="AQ111" i="48"/>
  <c r="AV115" i="48"/>
  <c r="AV116" i="48" s="1"/>
  <c r="AR182" i="48"/>
  <c r="AR183" i="48"/>
  <c r="AN55" i="49"/>
  <c r="AB83" i="48"/>
  <c r="AA85" i="48"/>
  <c r="AA87" i="48" s="1"/>
  <c r="AC83" i="48"/>
  <c r="AG9" i="50"/>
  <c r="AE17" i="50"/>
  <c r="AF10" i="49"/>
  <c r="AH13" i="49"/>
  <c r="AG13" i="49"/>
  <c r="AG16" i="48"/>
  <c r="AV112" i="48"/>
  <c r="AV113" i="48" s="1"/>
  <c r="AG119" i="48"/>
  <c r="AG120" i="48" s="1"/>
  <c r="AG121" i="48" s="1"/>
  <c r="AO143" i="48"/>
  <c r="AE19" i="50"/>
  <c r="AF27" i="49"/>
  <c r="AE16" i="49"/>
  <c r="AE8" i="50" s="1"/>
  <c r="AD47" i="50"/>
  <c r="AD29" i="50"/>
  <c r="AD63" i="49"/>
  <c r="AE28" i="49"/>
  <c r="AE22" i="48"/>
  <c r="AU180" i="48"/>
  <c r="AV110" i="48"/>
  <c r="AJ77" i="48"/>
  <c r="AF35" i="48"/>
  <c r="M41" i="50"/>
  <c r="I41" i="50"/>
  <c r="H53" i="49"/>
  <c r="H43" i="49"/>
  <c r="W74" i="48"/>
  <c r="AB139" i="48" s="1"/>
  <c r="X76" i="48"/>
  <c r="X78" i="48" s="1"/>
  <c r="X74" i="48"/>
  <c r="V90" i="48"/>
  <c r="AB90" i="48" s="1"/>
  <c r="AA20" i="50"/>
  <c r="AB20" i="50" s="1"/>
  <c r="AC25" i="49"/>
  <c r="AB25" i="49"/>
  <c r="AM54" i="49"/>
  <c r="AE21" i="50"/>
  <c r="AF23" i="49"/>
  <c r="X134" i="48"/>
  <c r="Z52" i="48"/>
  <c r="Z54" i="48" s="1"/>
  <c r="AA50" i="48"/>
  <c r="V76" i="48"/>
  <c r="V77" i="48" s="1"/>
  <c r="AA77" i="48" s="1"/>
  <c r="AA167" i="41"/>
  <c r="AA167" i="44" s="1"/>
  <c r="Z167" i="44"/>
  <c r="V48" i="42"/>
  <c r="V48" i="45" s="1"/>
  <c r="U136" i="44"/>
  <c r="T136" i="44"/>
  <c r="S136" i="44"/>
  <c r="Q136" i="44"/>
  <c r="P136" i="44"/>
  <c r="O136" i="44"/>
  <c r="N136" i="44"/>
  <c r="L136" i="44"/>
  <c r="K136" i="44"/>
  <c r="J136" i="44"/>
  <c r="I136" i="44"/>
  <c r="F136" i="44"/>
  <c r="E136" i="44"/>
  <c r="D136" i="44"/>
  <c r="U135" i="44"/>
  <c r="T135" i="44"/>
  <c r="S135" i="44"/>
  <c r="Q135" i="44"/>
  <c r="P135" i="44"/>
  <c r="O135" i="44"/>
  <c r="N135" i="44"/>
  <c r="L135" i="44"/>
  <c r="K135" i="44"/>
  <c r="J135" i="44"/>
  <c r="I135" i="44"/>
  <c r="F135" i="44"/>
  <c r="E135" i="44"/>
  <c r="D135" i="44"/>
  <c r="U134" i="44"/>
  <c r="T134" i="44"/>
  <c r="S134" i="44"/>
  <c r="Q134" i="44"/>
  <c r="P134" i="44"/>
  <c r="O134" i="44"/>
  <c r="N134" i="44"/>
  <c r="L134" i="44"/>
  <c r="K134" i="44"/>
  <c r="J134" i="44"/>
  <c r="I134" i="44"/>
  <c r="F134" i="44"/>
  <c r="E134" i="44"/>
  <c r="D134" i="44"/>
  <c r="U133" i="44"/>
  <c r="T133" i="44"/>
  <c r="S133" i="44"/>
  <c r="Q133" i="44"/>
  <c r="P133" i="44"/>
  <c r="O133" i="44"/>
  <c r="N133" i="44"/>
  <c r="L133" i="44"/>
  <c r="K133" i="44"/>
  <c r="J133" i="44"/>
  <c r="I133" i="44"/>
  <c r="F133" i="44"/>
  <c r="E133" i="44"/>
  <c r="D133" i="44"/>
  <c r="V187" i="44"/>
  <c r="Q187" i="44"/>
  <c r="Z186" i="44"/>
  <c r="U186" i="44"/>
  <c r="T186" i="44"/>
  <c r="S186" i="44"/>
  <c r="Q186" i="44"/>
  <c r="U185" i="44"/>
  <c r="U181" i="44"/>
  <c r="T181" i="44"/>
  <c r="V176" i="44"/>
  <c r="U176" i="44"/>
  <c r="G136" i="44"/>
  <c r="G135" i="44"/>
  <c r="G134" i="44"/>
  <c r="G133" i="44"/>
  <c r="AL63" i="43"/>
  <c r="AL62" i="43"/>
  <c r="S57" i="43"/>
  <c r="N57" i="43"/>
  <c r="I57" i="43"/>
  <c r="D57" i="43"/>
  <c r="AI56" i="43"/>
  <c r="AI56" i="46" s="1"/>
  <c r="AD56" i="43"/>
  <c r="Y56" i="43"/>
  <c r="Y56" i="46" s="1"/>
  <c r="S54" i="43"/>
  <c r="N54" i="43"/>
  <c r="I54" i="43"/>
  <c r="E54" i="43"/>
  <c r="D54" i="43"/>
  <c r="T47" i="43"/>
  <c r="Q47" i="43"/>
  <c r="P47" i="43"/>
  <c r="O47" i="43"/>
  <c r="G47" i="43"/>
  <c r="F47" i="43"/>
  <c r="D47" i="43"/>
  <c r="H40" i="43"/>
  <c r="AV38" i="43"/>
  <c r="AQ38" i="43"/>
  <c r="AL38" i="43"/>
  <c r="AG38" i="43"/>
  <c r="AB38" i="43"/>
  <c r="U38" i="43"/>
  <c r="W38" i="43" s="1"/>
  <c r="W38" i="46" s="1"/>
  <c r="T38" i="43"/>
  <c r="O38" i="43"/>
  <c r="P38" i="43" s="1"/>
  <c r="L38" i="43"/>
  <c r="K38" i="43"/>
  <c r="J38" i="43"/>
  <c r="M38" i="43" s="1"/>
  <c r="F38" i="43"/>
  <c r="G38" i="43" s="1"/>
  <c r="E38" i="43"/>
  <c r="D38" i="43"/>
  <c r="S37" i="43"/>
  <c r="D37" i="43"/>
  <c r="AV36" i="43"/>
  <c r="AQ36" i="43"/>
  <c r="AL36" i="43"/>
  <c r="AG36" i="43"/>
  <c r="AB36" i="43"/>
  <c r="U36" i="43"/>
  <c r="T36" i="43"/>
  <c r="O36" i="43"/>
  <c r="P36" i="43" s="1"/>
  <c r="Q36" i="43" s="1"/>
  <c r="M36" i="43"/>
  <c r="L36" i="43"/>
  <c r="K36" i="43"/>
  <c r="J36" i="43"/>
  <c r="H36" i="43"/>
  <c r="G36" i="43"/>
  <c r="E36" i="43"/>
  <c r="F36" i="43" s="1"/>
  <c r="T35" i="43"/>
  <c r="R35" i="43"/>
  <c r="P35" i="43"/>
  <c r="Q35" i="43" s="1"/>
  <c r="O35" i="43"/>
  <c r="J35" i="43"/>
  <c r="F35" i="43"/>
  <c r="E35" i="43"/>
  <c r="AU34" i="43"/>
  <c r="AT34" i="43"/>
  <c r="AS34" i="43"/>
  <c r="AR34" i="43"/>
  <c r="AP34" i="43"/>
  <c r="AO34" i="43"/>
  <c r="AN34" i="43"/>
  <c r="AM34" i="43"/>
  <c r="AQ34" i="43" s="1"/>
  <c r="AJ34" i="43"/>
  <c r="AJ34" i="46" s="1"/>
  <c r="AI34" i="43"/>
  <c r="AI34" i="46" s="1"/>
  <c r="AH34" i="43"/>
  <c r="AH34" i="46" s="1"/>
  <c r="AF34" i="43"/>
  <c r="AF34" i="46" s="1"/>
  <c r="AE34" i="43"/>
  <c r="AE34" i="46" s="1"/>
  <c r="AD34" i="43"/>
  <c r="AC34" i="43"/>
  <c r="AA34" i="43"/>
  <c r="Z34" i="43"/>
  <c r="Y34" i="43"/>
  <c r="AB34" i="43" s="1"/>
  <c r="X34" i="43"/>
  <c r="T34" i="43"/>
  <c r="T57" i="43" s="1"/>
  <c r="Q34" i="43"/>
  <c r="P34" i="43"/>
  <c r="O34" i="43"/>
  <c r="J34" i="43"/>
  <c r="F34" i="43"/>
  <c r="E34" i="43"/>
  <c r="E57" i="43" s="1"/>
  <c r="U33" i="43"/>
  <c r="T33" i="43"/>
  <c r="O33" i="43"/>
  <c r="P33" i="43" s="1"/>
  <c r="Q33" i="43" s="1"/>
  <c r="Q57" i="43" s="1"/>
  <c r="L33" i="43"/>
  <c r="K33" i="43"/>
  <c r="J33" i="43"/>
  <c r="H33" i="43"/>
  <c r="G33" i="43"/>
  <c r="F33" i="43"/>
  <c r="E33" i="43"/>
  <c r="AV32" i="43"/>
  <c r="AQ32" i="43"/>
  <c r="AL32" i="43"/>
  <c r="AG32" i="43"/>
  <c r="AB32" i="43"/>
  <c r="W32" i="43"/>
  <c r="W32" i="46" s="1"/>
  <c r="T32" i="43"/>
  <c r="U32" i="43" s="1"/>
  <c r="P32" i="43"/>
  <c r="O32" i="43"/>
  <c r="M32" i="43"/>
  <c r="L32" i="43"/>
  <c r="K32" i="43"/>
  <c r="J32" i="43"/>
  <c r="G32" i="43"/>
  <c r="F32" i="43"/>
  <c r="E32" i="43"/>
  <c r="AV31" i="43"/>
  <c r="AQ31" i="43"/>
  <c r="AL31" i="43"/>
  <c r="AG31" i="43"/>
  <c r="AB31" i="43"/>
  <c r="U31" i="43"/>
  <c r="W31" i="43" s="1"/>
  <c r="W31" i="46" s="1"/>
  <c r="T31" i="43"/>
  <c r="R31" i="43"/>
  <c r="Q31" i="43"/>
  <c r="P31" i="43"/>
  <c r="O31" i="43"/>
  <c r="I31" i="43"/>
  <c r="H31" i="43"/>
  <c r="G31" i="43"/>
  <c r="AV30" i="43"/>
  <c r="AQ30" i="43"/>
  <c r="AL30" i="43"/>
  <c r="AG30" i="43"/>
  <c r="AB30" i="43"/>
  <c r="W30" i="43"/>
  <c r="W30" i="46" s="1"/>
  <c r="U30" i="43"/>
  <c r="O30" i="43"/>
  <c r="P30" i="43" s="1"/>
  <c r="Q30" i="43" s="1"/>
  <c r="N30" i="43"/>
  <c r="L30" i="43"/>
  <c r="J30" i="43"/>
  <c r="G30" i="43"/>
  <c r="F30" i="43"/>
  <c r="U29" i="43"/>
  <c r="T29" i="43"/>
  <c r="O29" i="43"/>
  <c r="M29" i="43"/>
  <c r="K29" i="43"/>
  <c r="L29" i="43" s="1"/>
  <c r="J29" i="43"/>
  <c r="E29" i="43"/>
  <c r="N27" i="43"/>
  <c r="I27" i="43"/>
  <c r="U26" i="43"/>
  <c r="T26" i="43"/>
  <c r="R26" i="43"/>
  <c r="Q26" i="43"/>
  <c r="P26" i="43"/>
  <c r="O26" i="43"/>
  <c r="K26" i="43"/>
  <c r="J26" i="43"/>
  <c r="E26" i="43"/>
  <c r="F26" i="43" s="1"/>
  <c r="T25" i="43"/>
  <c r="P25" i="43"/>
  <c r="O25" i="43"/>
  <c r="J25" i="43"/>
  <c r="K25" i="43" s="1"/>
  <c r="L25" i="43" s="1"/>
  <c r="E25" i="43"/>
  <c r="U24" i="43"/>
  <c r="T24" i="43"/>
  <c r="T27" i="43" s="1"/>
  <c r="S24" i="43"/>
  <c r="S27" i="43" s="1"/>
  <c r="O24" i="43"/>
  <c r="N24" i="43"/>
  <c r="J24" i="43"/>
  <c r="I24" i="43"/>
  <c r="E24" i="43"/>
  <c r="D24" i="43"/>
  <c r="D27" i="43" s="1"/>
  <c r="D22" i="43"/>
  <c r="W21" i="43"/>
  <c r="W21" i="46" s="1"/>
  <c r="T21" i="43"/>
  <c r="U21" i="43" s="1"/>
  <c r="S21" i="43"/>
  <c r="O21" i="43"/>
  <c r="P21" i="43" s="1"/>
  <c r="Q21" i="43" s="1"/>
  <c r="N21" i="43"/>
  <c r="R21" i="43" s="1"/>
  <c r="J21" i="43"/>
  <c r="K21" i="43" s="1"/>
  <c r="L21" i="43" s="1"/>
  <c r="I21" i="43"/>
  <c r="F21" i="43"/>
  <c r="G21" i="43" s="1"/>
  <c r="E21" i="43"/>
  <c r="U20" i="43"/>
  <c r="T20" i="43"/>
  <c r="Q20" i="43"/>
  <c r="R20" i="43" s="1"/>
  <c r="O20" i="43"/>
  <c r="P20" i="43" s="1"/>
  <c r="K20" i="43"/>
  <c r="L20" i="43" s="1"/>
  <c r="M20" i="43" s="1"/>
  <c r="J20" i="43"/>
  <c r="G20" i="43"/>
  <c r="H20" i="43" s="1"/>
  <c r="F20" i="43"/>
  <c r="U19" i="43"/>
  <c r="T19" i="43"/>
  <c r="R19" i="43"/>
  <c r="Q19" i="43"/>
  <c r="P19" i="43"/>
  <c r="O19" i="43"/>
  <c r="L19" i="43"/>
  <c r="K19" i="43"/>
  <c r="J19" i="43"/>
  <c r="E19" i="43"/>
  <c r="T18" i="43"/>
  <c r="U18" i="43" s="1"/>
  <c r="O18" i="43"/>
  <c r="P18" i="43" s="1"/>
  <c r="Q18" i="43" s="1"/>
  <c r="M18" i="43"/>
  <c r="L18" i="43"/>
  <c r="J18" i="43"/>
  <c r="K18" i="43" s="1"/>
  <c r="E18" i="43"/>
  <c r="F18" i="43" s="1"/>
  <c r="G18" i="43" s="1"/>
  <c r="U17" i="43"/>
  <c r="T17" i="43"/>
  <c r="S17" i="43"/>
  <c r="P17" i="43"/>
  <c r="Q17" i="43" s="1"/>
  <c r="O17" i="43"/>
  <c r="K17" i="43"/>
  <c r="L17" i="43" s="1"/>
  <c r="J17" i="43"/>
  <c r="F17" i="43"/>
  <c r="E17" i="43"/>
  <c r="T16" i="43"/>
  <c r="U16" i="43" s="1"/>
  <c r="Q16" i="43"/>
  <c r="R16" i="43" s="1"/>
  <c r="P16" i="43"/>
  <c r="O16" i="43"/>
  <c r="L16" i="43"/>
  <c r="M16" i="43" s="1"/>
  <c r="K16" i="43"/>
  <c r="J16" i="43"/>
  <c r="F16" i="43"/>
  <c r="G16" i="43" s="1"/>
  <c r="E16" i="43"/>
  <c r="U15" i="43"/>
  <c r="T15" i="43"/>
  <c r="O15" i="43"/>
  <c r="M15" i="43"/>
  <c r="K15" i="43"/>
  <c r="L15" i="43" s="1"/>
  <c r="J15" i="43"/>
  <c r="G15" i="43"/>
  <c r="E15" i="43"/>
  <c r="F15" i="43" s="1"/>
  <c r="H15" i="43" s="1"/>
  <c r="AV13" i="43"/>
  <c r="AQ13" i="43"/>
  <c r="AL13" i="43"/>
  <c r="AG13" i="43"/>
  <c r="AB13" i="43"/>
  <c r="U13" i="43"/>
  <c r="T13" i="43"/>
  <c r="W13" i="43" s="1"/>
  <c r="W13" i="46" s="1"/>
  <c r="P13" i="43"/>
  <c r="O13" i="43"/>
  <c r="N13" i="43"/>
  <c r="N22" i="43" s="1"/>
  <c r="J13" i="43"/>
  <c r="I13" i="43"/>
  <c r="E13" i="43"/>
  <c r="U12" i="43"/>
  <c r="T12" i="43"/>
  <c r="Q12" i="43"/>
  <c r="P12" i="43"/>
  <c r="O12" i="43"/>
  <c r="J12" i="43"/>
  <c r="F12" i="43"/>
  <c r="E12" i="43"/>
  <c r="AV11" i="43"/>
  <c r="AQ11" i="43"/>
  <c r="AL11" i="43"/>
  <c r="AG11" i="43"/>
  <c r="AB11" i="43"/>
  <c r="U11" i="43"/>
  <c r="W11" i="43" s="1"/>
  <c r="W11" i="46" s="1"/>
  <c r="T11" i="43"/>
  <c r="Q11" i="43"/>
  <c r="R11" i="43" s="1"/>
  <c r="O11" i="43"/>
  <c r="P11" i="43" s="1"/>
  <c r="K11" i="43"/>
  <c r="L11" i="43" s="1"/>
  <c r="M11" i="43" s="1"/>
  <c r="J11" i="43"/>
  <c r="G11" i="43"/>
  <c r="H11" i="43" s="1"/>
  <c r="F11" i="43"/>
  <c r="E11" i="43"/>
  <c r="T10" i="43"/>
  <c r="O10" i="43"/>
  <c r="L10" i="43"/>
  <c r="J10" i="43"/>
  <c r="K10" i="43" s="1"/>
  <c r="E10" i="43"/>
  <c r="U9" i="43"/>
  <c r="T9" i="43"/>
  <c r="P9" i="43"/>
  <c r="Q9" i="43" s="1"/>
  <c r="O9" i="43"/>
  <c r="K9" i="43"/>
  <c r="L9" i="43" s="1"/>
  <c r="J9" i="43"/>
  <c r="J54" i="43" s="1"/>
  <c r="H9" i="43"/>
  <c r="E9" i="43"/>
  <c r="F9" i="43" s="1"/>
  <c r="G9" i="43" s="1"/>
  <c r="T8" i="43"/>
  <c r="O8" i="43"/>
  <c r="J8" i="43"/>
  <c r="G8" i="43"/>
  <c r="H8" i="43" s="1"/>
  <c r="F8" i="43"/>
  <c r="E8" i="43"/>
  <c r="T7" i="43"/>
  <c r="R7" i="43"/>
  <c r="Q7" i="43"/>
  <c r="P7" i="43"/>
  <c r="O7" i="43"/>
  <c r="L7" i="43"/>
  <c r="K7" i="43"/>
  <c r="J7" i="43"/>
  <c r="G7" i="43"/>
  <c r="F7" i="43"/>
  <c r="E7" i="43"/>
  <c r="L6" i="43"/>
  <c r="AV66" i="42"/>
  <c r="W66" i="42"/>
  <c r="AB66" i="42" s="1"/>
  <c r="AG66" i="42" s="1"/>
  <c r="AL66" i="42" s="1"/>
  <c r="AQ66" i="42" s="1"/>
  <c r="T63" i="42"/>
  <c r="S63" i="42"/>
  <c r="Q63" i="42"/>
  <c r="P63" i="42"/>
  <c r="O63" i="42"/>
  <c r="G63" i="42"/>
  <c r="F63" i="42"/>
  <c r="D63" i="42"/>
  <c r="Q62" i="42"/>
  <c r="D62" i="42"/>
  <c r="AF61" i="42"/>
  <c r="AF61" i="45" s="1"/>
  <c r="AU60" i="42"/>
  <c r="AR60" i="42" s="1"/>
  <c r="AT60" i="42"/>
  <c r="AS60" i="42"/>
  <c r="AP60" i="42"/>
  <c r="AO60" i="42"/>
  <c r="AN60" i="42"/>
  <c r="AM60" i="42"/>
  <c r="AK60" i="42"/>
  <c r="AJ60" i="42"/>
  <c r="AI60" i="42"/>
  <c r="AH60" i="42"/>
  <c r="AF60" i="42"/>
  <c r="AE60" i="42"/>
  <c r="AD60" i="42"/>
  <c r="AC60" i="42"/>
  <c r="AA60" i="42"/>
  <c r="Z60" i="42"/>
  <c r="Y60" i="42"/>
  <c r="X60" i="42"/>
  <c r="AD59" i="42"/>
  <c r="S56" i="42"/>
  <c r="Q56" i="42"/>
  <c r="O56" i="42"/>
  <c r="N56" i="42"/>
  <c r="L56" i="42"/>
  <c r="J56" i="42"/>
  <c r="I56" i="42"/>
  <c r="F56" i="42"/>
  <c r="E56" i="42"/>
  <c r="U55" i="42"/>
  <c r="T55" i="42"/>
  <c r="S55" i="42"/>
  <c r="Q55" i="42"/>
  <c r="P55" i="42"/>
  <c r="O55" i="42"/>
  <c r="N55" i="42"/>
  <c r="L55" i="42"/>
  <c r="K55" i="42"/>
  <c r="J55" i="42"/>
  <c r="I55" i="42"/>
  <c r="G55" i="42"/>
  <c r="F55" i="42"/>
  <c r="E55" i="42"/>
  <c r="D55" i="42"/>
  <c r="U54" i="42"/>
  <c r="T54" i="42"/>
  <c r="S54" i="42"/>
  <c r="Q54" i="42"/>
  <c r="P54" i="42"/>
  <c r="O54" i="42"/>
  <c r="N54" i="42"/>
  <c r="L54" i="42"/>
  <c r="K54" i="42"/>
  <c r="J54" i="42"/>
  <c r="I54" i="42"/>
  <c r="G54" i="42"/>
  <c r="F54" i="42"/>
  <c r="E54" i="42"/>
  <c r="D54" i="42"/>
  <c r="U52" i="42"/>
  <c r="U52" i="45" s="1"/>
  <c r="T52" i="42"/>
  <c r="T52" i="45" s="1"/>
  <c r="S52" i="42"/>
  <c r="S52" i="45" s="1"/>
  <c r="I52" i="42"/>
  <c r="I52" i="45" s="1"/>
  <c r="G52" i="42"/>
  <c r="G52" i="45" s="1"/>
  <c r="F52" i="42"/>
  <c r="F52" i="45" s="1"/>
  <c r="E52" i="42"/>
  <c r="E52" i="45" s="1"/>
  <c r="D52" i="42"/>
  <c r="D52" i="45" s="1"/>
  <c r="Z51" i="42"/>
  <c r="Z52" i="42" s="1"/>
  <c r="Z52" i="45" s="1"/>
  <c r="Y51" i="42"/>
  <c r="X51" i="42"/>
  <c r="X52" i="42" s="1"/>
  <c r="X52" i="45" s="1"/>
  <c r="S50" i="42"/>
  <c r="S50" i="45" s="1"/>
  <c r="K50" i="42"/>
  <c r="K50" i="45" s="1"/>
  <c r="J50" i="42"/>
  <c r="J50" i="45" s="1"/>
  <c r="I50" i="42"/>
  <c r="I50" i="45" s="1"/>
  <c r="G50" i="42"/>
  <c r="G50" i="45" s="1"/>
  <c r="F50" i="42"/>
  <c r="F50" i="45" s="1"/>
  <c r="Z49" i="42"/>
  <c r="Z49" i="45" s="1"/>
  <c r="Y49" i="42"/>
  <c r="X49" i="42"/>
  <c r="AA49" i="42"/>
  <c r="AF49" i="42" s="1"/>
  <c r="U48" i="42"/>
  <c r="U48" i="45" s="1"/>
  <c r="T48" i="42"/>
  <c r="T48" i="45" s="1"/>
  <c r="S48" i="42"/>
  <c r="S48" i="45" s="1"/>
  <c r="K48" i="42"/>
  <c r="K48" i="45" s="1"/>
  <c r="J48" i="42"/>
  <c r="J48" i="45" s="1"/>
  <c r="I48" i="42"/>
  <c r="I48" i="45" s="1"/>
  <c r="G48" i="42"/>
  <c r="G48" i="45" s="1"/>
  <c r="F48" i="42"/>
  <c r="F48" i="45" s="1"/>
  <c r="D48" i="42"/>
  <c r="D48" i="45" s="1"/>
  <c r="AA47" i="42"/>
  <c r="AA47" i="45" s="1"/>
  <c r="Z47" i="42"/>
  <c r="Y47" i="42"/>
  <c r="Y47" i="45" s="1"/>
  <c r="X47" i="45"/>
  <c r="AU46" i="42"/>
  <c r="AT46" i="42"/>
  <c r="AS46" i="42"/>
  <c r="AR46" i="42"/>
  <c r="AP46" i="42"/>
  <c r="AO46" i="42"/>
  <c r="AN46" i="42"/>
  <c r="AM46" i="42"/>
  <c r="AK46" i="42"/>
  <c r="AJ46" i="42"/>
  <c r="AI46" i="42"/>
  <c r="AH46" i="42"/>
  <c r="AF46" i="42"/>
  <c r="AE46" i="42"/>
  <c r="AD46" i="42"/>
  <c r="AC46" i="42"/>
  <c r="AA46" i="42"/>
  <c r="Z46" i="42"/>
  <c r="Y46" i="42"/>
  <c r="X46" i="42"/>
  <c r="U46" i="42"/>
  <c r="U50" i="42" s="1"/>
  <c r="U50" i="45" s="1"/>
  <c r="T46" i="42"/>
  <c r="T50" i="42" s="1"/>
  <c r="T50" i="45" s="1"/>
  <c r="S46" i="42"/>
  <c r="Q46" i="42"/>
  <c r="P46" i="42"/>
  <c r="O46" i="42"/>
  <c r="N46" i="42"/>
  <c r="L46" i="42"/>
  <c r="K46" i="42"/>
  <c r="K52" i="42" s="1"/>
  <c r="K52" i="45" s="1"/>
  <c r="J46" i="42"/>
  <c r="J52" i="42" s="1"/>
  <c r="J52" i="45" s="1"/>
  <c r="I46" i="42"/>
  <c r="G46" i="42"/>
  <c r="F46" i="42"/>
  <c r="E46" i="42"/>
  <c r="D46" i="42"/>
  <c r="D50" i="42" s="1"/>
  <c r="D50" i="45" s="1"/>
  <c r="U41" i="42"/>
  <c r="O41" i="42"/>
  <c r="O62" i="42" s="1"/>
  <c r="L41" i="42"/>
  <c r="I41" i="42"/>
  <c r="R40" i="42"/>
  <c r="M40" i="42"/>
  <c r="H40" i="42"/>
  <c r="W39" i="42"/>
  <c r="W39" i="45" s="1"/>
  <c r="X39" i="42"/>
  <c r="R39" i="42"/>
  <c r="M39" i="42"/>
  <c r="H39" i="42"/>
  <c r="R38" i="42"/>
  <c r="M38" i="42"/>
  <c r="H38" i="42"/>
  <c r="U37" i="42"/>
  <c r="T37" i="42"/>
  <c r="T41" i="42" s="1"/>
  <c r="S37" i="42"/>
  <c r="S41" i="42" s="1"/>
  <c r="S42" i="42" s="1"/>
  <c r="Q37" i="42"/>
  <c r="Q41" i="42" s="1"/>
  <c r="P37" i="42"/>
  <c r="P41" i="42" s="1"/>
  <c r="O37" i="42"/>
  <c r="N37" i="42"/>
  <c r="N41" i="42" s="1"/>
  <c r="M37" i="42"/>
  <c r="L37" i="42"/>
  <c r="K37" i="42"/>
  <c r="K41" i="42" s="1"/>
  <c r="J37" i="42"/>
  <c r="J41" i="42" s="1"/>
  <c r="I37" i="42"/>
  <c r="H37" i="42"/>
  <c r="H41" i="42" s="1"/>
  <c r="G37" i="42"/>
  <c r="G41" i="42" s="1"/>
  <c r="F37" i="42"/>
  <c r="F41" i="42" s="1"/>
  <c r="E37" i="42"/>
  <c r="E41" i="42" s="1"/>
  <c r="D37" i="42"/>
  <c r="D41" i="42" s="1"/>
  <c r="Q35" i="42"/>
  <c r="P35" i="42"/>
  <c r="O35" i="42"/>
  <c r="O42" i="42" s="1"/>
  <c r="G35" i="42"/>
  <c r="Y34" i="42"/>
  <c r="Y34" i="45" s="1"/>
  <c r="X34" i="42"/>
  <c r="X34" i="45" s="1"/>
  <c r="W34" i="42"/>
  <c r="W34" i="45" s="1"/>
  <c r="R34" i="42"/>
  <c r="M34" i="42"/>
  <c r="H34" i="42"/>
  <c r="Y33" i="42"/>
  <c r="X33" i="42"/>
  <c r="X33" i="45" s="1"/>
  <c r="W33" i="42"/>
  <c r="W33" i="45" s="1"/>
  <c r="R33" i="42"/>
  <c r="M33" i="42"/>
  <c r="H33" i="42"/>
  <c r="W32" i="42"/>
  <c r="W32" i="45" s="1"/>
  <c r="X32" i="42"/>
  <c r="R32" i="42"/>
  <c r="M32" i="42"/>
  <c r="H32" i="42"/>
  <c r="X31" i="42"/>
  <c r="W31" i="42"/>
  <c r="W31" i="45" s="1"/>
  <c r="R31" i="42"/>
  <c r="R67" i="42" s="1"/>
  <c r="M31" i="42"/>
  <c r="H31" i="42"/>
  <c r="U30" i="42"/>
  <c r="U35" i="42" s="1"/>
  <c r="T30" i="42"/>
  <c r="T35" i="42" s="1"/>
  <c r="S30" i="42"/>
  <c r="S35" i="42" s="1"/>
  <c r="Q30" i="42"/>
  <c r="P30" i="42"/>
  <c r="O30" i="42"/>
  <c r="I30" i="42"/>
  <c r="I35" i="42" s="1"/>
  <c r="G30" i="42"/>
  <c r="F30" i="42"/>
  <c r="F35" i="42" s="1"/>
  <c r="D30" i="42"/>
  <c r="D35" i="42" s="1"/>
  <c r="AV29" i="42"/>
  <c r="AQ29" i="42"/>
  <c r="AL29" i="42"/>
  <c r="AG29" i="42"/>
  <c r="AB29" i="42"/>
  <c r="W29" i="42"/>
  <c r="R29" i="42"/>
  <c r="M29" i="42"/>
  <c r="H29" i="42"/>
  <c r="X28" i="42"/>
  <c r="X28" i="45" s="1"/>
  <c r="W28" i="42"/>
  <c r="W28" i="45" s="1"/>
  <c r="V63" i="42"/>
  <c r="V63" i="45" s="1"/>
  <c r="U28" i="42"/>
  <c r="U47" i="43" s="1"/>
  <c r="S28" i="42"/>
  <c r="S47" i="43" s="1"/>
  <c r="R28" i="42"/>
  <c r="N28" i="42"/>
  <c r="O145" i="41" s="1"/>
  <c r="L28" i="42"/>
  <c r="L63" i="42" s="1"/>
  <c r="K28" i="42"/>
  <c r="K63" i="42" s="1"/>
  <c r="J28" i="42"/>
  <c r="I28" i="42"/>
  <c r="H28" i="42"/>
  <c r="H47" i="43" s="1"/>
  <c r="E28" i="42"/>
  <c r="X27" i="42"/>
  <c r="X27" i="45" s="1"/>
  <c r="R27" i="42"/>
  <c r="M27" i="42"/>
  <c r="H27" i="42"/>
  <c r="R26" i="42"/>
  <c r="R30" i="42" s="1"/>
  <c r="R35" i="42" s="1"/>
  <c r="M26" i="42"/>
  <c r="H26" i="42"/>
  <c r="T25" i="42"/>
  <c r="U25" i="42" s="1"/>
  <c r="V25" i="42" s="1"/>
  <c r="R25" i="42"/>
  <c r="M25" i="42"/>
  <c r="H25" i="42"/>
  <c r="Y24" i="42"/>
  <c r="X24" i="42"/>
  <c r="X24" i="45" s="1"/>
  <c r="W24" i="42"/>
  <c r="W24" i="45" s="1"/>
  <c r="R24" i="42"/>
  <c r="M24" i="42"/>
  <c r="H24" i="42"/>
  <c r="X23" i="42"/>
  <c r="X23" i="45" s="1"/>
  <c r="W23" i="42"/>
  <c r="W23" i="45" s="1"/>
  <c r="R23" i="42"/>
  <c r="M23" i="42"/>
  <c r="H23" i="42"/>
  <c r="R22" i="42"/>
  <c r="M22" i="42"/>
  <c r="H22" i="42"/>
  <c r="X19" i="42"/>
  <c r="W19" i="42"/>
  <c r="W19" i="45" s="1"/>
  <c r="R19" i="42"/>
  <c r="M19" i="42"/>
  <c r="H19" i="42"/>
  <c r="W18" i="42"/>
  <c r="W18" i="45" s="1"/>
  <c r="X18" i="42"/>
  <c r="X18" i="45" s="1"/>
  <c r="R18" i="42"/>
  <c r="M18" i="42"/>
  <c r="H18" i="42"/>
  <c r="R17" i="42"/>
  <c r="M17" i="42"/>
  <c r="H17" i="42"/>
  <c r="R16" i="42"/>
  <c r="M16" i="42"/>
  <c r="H16" i="42"/>
  <c r="H55" i="42" s="1"/>
  <c r="R15" i="42"/>
  <c r="M15" i="42"/>
  <c r="H15" i="42"/>
  <c r="R14" i="42"/>
  <c r="M14" i="42"/>
  <c r="H14" i="42"/>
  <c r="W13" i="42"/>
  <c r="W13" i="45" s="1"/>
  <c r="R13" i="42"/>
  <c r="M13" i="42"/>
  <c r="H13" i="42"/>
  <c r="R12" i="42"/>
  <c r="M12" i="42"/>
  <c r="H12" i="42"/>
  <c r="R10" i="42"/>
  <c r="M10" i="42"/>
  <c r="H10" i="42"/>
  <c r="R9" i="42"/>
  <c r="M9" i="42"/>
  <c r="H9" i="42"/>
  <c r="R8" i="42"/>
  <c r="M8" i="42"/>
  <c r="H8" i="42"/>
  <c r="R7" i="42"/>
  <c r="M7" i="42"/>
  <c r="H7" i="42"/>
  <c r="T186" i="41"/>
  <c r="N173" i="41"/>
  <c r="K173" i="41"/>
  <c r="I173" i="41"/>
  <c r="U172" i="41"/>
  <c r="U173" i="41" s="1"/>
  <c r="X173" i="41" s="1"/>
  <c r="T172" i="41"/>
  <c r="Q172" i="41"/>
  <c r="P172" i="41"/>
  <c r="O172" i="41"/>
  <c r="N172" i="41"/>
  <c r="K172" i="41"/>
  <c r="T171" i="41"/>
  <c r="Q171" i="41"/>
  <c r="F171" i="41"/>
  <c r="E171" i="41"/>
  <c r="S170" i="41"/>
  <c r="S173" i="41" s="1"/>
  <c r="K170" i="41"/>
  <c r="J170" i="41"/>
  <c r="J173" i="41" s="1"/>
  <c r="I170" i="41"/>
  <c r="F170" i="41"/>
  <c r="F173" i="41" s="1"/>
  <c r="V168" i="41"/>
  <c r="U168" i="41"/>
  <c r="U170" i="41" s="1"/>
  <c r="T168" i="41"/>
  <c r="T170" i="41" s="1"/>
  <c r="T173" i="41" s="1"/>
  <c r="S168" i="41"/>
  <c r="Q168" i="41"/>
  <c r="Q170" i="41" s="1"/>
  <c r="P168" i="41"/>
  <c r="P170" i="41" s="1"/>
  <c r="P173" i="41" s="1"/>
  <c r="O168" i="41"/>
  <c r="O170" i="41" s="1"/>
  <c r="N168" i="41"/>
  <c r="N170" i="41" s="1"/>
  <c r="L168" i="41"/>
  <c r="L170" i="41" s="1"/>
  <c r="L173" i="41" s="1"/>
  <c r="K168" i="41"/>
  <c r="J168" i="41"/>
  <c r="I168" i="41"/>
  <c r="G168" i="41"/>
  <c r="G170" i="41" s="1"/>
  <c r="G173" i="41" s="1"/>
  <c r="F168" i="41"/>
  <c r="E168" i="41"/>
  <c r="E170" i="41" s="1"/>
  <c r="E173" i="41" s="1"/>
  <c r="AR167" i="41"/>
  <c r="AM167" i="41"/>
  <c r="AH167" i="41"/>
  <c r="AC167" i="41"/>
  <c r="AC167" i="44" s="1"/>
  <c r="H167" i="41"/>
  <c r="AR166" i="41"/>
  <c r="AM166" i="41"/>
  <c r="AH166" i="41"/>
  <c r="AC166" i="41"/>
  <c r="X166" i="41"/>
  <c r="H166" i="41"/>
  <c r="X165" i="41"/>
  <c r="S165" i="41"/>
  <c r="G165" i="41"/>
  <c r="D165" i="41"/>
  <c r="H165" i="41" s="1"/>
  <c r="AR164" i="41"/>
  <c r="AM164" i="41"/>
  <c r="AH164" i="41"/>
  <c r="AC164" i="41"/>
  <c r="X164" i="41"/>
  <c r="H164" i="41"/>
  <c r="D164" i="41"/>
  <c r="K163" i="41"/>
  <c r="G163" i="41"/>
  <c r="H163" i="41" s="1"/>
  <c r="H168" i="41" s="1"/>
  <c r="D163" i="41"/>
  <c r="F161" i="41"/>
  <c r="E161" i="41"/>
  <c r="E158" i="41"/>
  <c r="E151" i="41" s="1"/>
  <c r="D158" i="41"/>
  <c r="D157" i="41"/>
  <c r="AD155" i="41"/>
  <c r="AD155" i="44" s="1"/>
  <c r="AC155" i="41"/>
  <c r="AC155" i="44" s="1"/>
  <c r="AA155" i="41"/>
  <c r="Z155" i="41"/>
  <c r="Y155" i="41"/>
  <c r="X155" i="41"/>
  <c r="V155" i="41"/>
  <c r="U155" i="41"/>
  <c r="Q155" i="41"/>
  <c r="Q151" i="41" s="1"/>
  <c r="P155" i="41"/>
  <c r="P151" i="41" s="1"/>
  <c r="O155" i="41"/>
  <c r="O152" i="41" s="1"/>
  <c r="N155" i="41"/>
  <c r="M155" i="41"/>
  <c r="L155" i="41"/>
  <c r="L151" i="41" s="1"/>
  <c r="K155" i="41"/>
  <c r="J155" i="41"/>
  <c r="I155" i="41"/>
  <c r="H155" i="41"/>
  <c r="G155" i="41"/>
  <c r="F155" i="41"/>
  <c r="E155" i="41"/>
  <c r="E152" i="41" s="1"/>
  <c r="AV154" i="41"/>
  <c r="AQ154" i="41"/>
  <c r="AK154" i="41"/>
  <c r="AK154" i="44" s="1"/>
  <c r="AG154" i="41"/>
  <c r="AG154" i="44" s="1"/>
  <c r="AB154" i="41"/>
  <c r="V154" i="41"/>
  <c r="T154" i="41"/>
  <c r="S154" i="41"/>
  <c r="W154" i="41" s="1"/>
  <c r="R154" i="41"/>
  <c r="M154" i="41"/>
  <c r="H154" i="41"/>
  <c r="F154" i="41"/>
  <c r="V153" i="41"/>
  <c r="U152" i="41"/>
  <c r="T152" i="41"/>
  <c r="S152" i="41"/>
  <c r="P152" i="41"/>
  <c r="N152" i="41"/>
  <c r="K152" i="41"/>
  <c r="J152" i="41"/>
  <c r="I152" i="41"/>
  <c r="G152" i="41"/>
  <c r="F152" i="41"/>
  <c r="U151" i="41"/>
  <c r="T151" i="41"/>
  <c r="S151" i="41"/>
  <c r="O151" i="41"/>
  <c r="N151" i="41"/>
  <c r="K151" i="41"/>
  <c r="J151" i="41"/>
  <c r="I151" i="41"/>
  <c r="G151" i="41"/>
  <c r="F151" i="41"/>
  <c r="U145" i="41"/>
  <c r="T145" i="41"/>
  <c r="S145" i="41"/>
  <c r="Q145" i="41"/>
  <c r="P145" i="41"/>
  <c r="N145" i="41"/>
  <c r="J145" i="41"/>
  <c r="I145" i="41"/>
  <c r="F145" i="41"/>
  <c r="E145" i="41"/>
  <c r="AE143" i="41"/>
  <c r="AC143" i="41"/>
  <c r="AD143" i="41" s="1"/>
  <c r="U136" i="41"/>
  <c r="T136" i="41"/>
  <c r="S136" i="41"/>
  <c r="Q136" i="41"/>
  <c r="P136" i="41"/>
  <c r="O136" i="41"/>
  <c r="N136" i="41"/>
  <c r="L136" i="41"/>
  <c r="K136" i="41"/>
  <c r="J136" i="41"/>
  <c r="I136" i="41"/>
  <c r="F136" i="41"/>
  <c r="E136" i="41"/>
  <c r="D136" i="41"/>
  <c r="U135" i="41"/>
  <c r="T135" i="41"/>
  <c r="S135" i="41"/>
  <c r="Q135" i="41"/>
  <c r="P135" i="41"/>
  <c r="O135" i="41"/>
  <c r="N135" i="41"/>
  <c r="L135" i="41"/>
  <c r="K135" i="41"/>
  <c r="J135" i="41"/>
  <c r="I135" i="41"/>
  <c r="F135" i="41"/>
  <c r="E135" i="41"/>
  <c r="D135" i="41"/>
  <c r="U134" i="41"/>
  <c r="T134" i="41"/>
  <c r="S134" i="41"/>
  <c r="Q134" i="41"/>
  <c r="P134" i="41"/>
  <c r="O134" i="41"/>
  <c r="N134" i="41"/>
  <c r="L134" i="41"/>
  <c r="K134" i="41"/>
  <c r="J134" i="41"/>
  <c r="I134" i="41"/>
  <c r="F134" i="41"/>
  <c r="E134" i="41"/>
  <c r="D134" i="41"/>
  <c r="U133" i="41"/>
  <c r="T133" i="41"/>
  <c r="S133" i="41"/>
  <c r="Q133" i="41"/>
  <c r="P133" i="41"/>
  <c r="O133" i="41"/>
  <c r="N133" i="41"/>
  <c r="L133" i="41"/>
  <c r="K133" i="41"/>
  <c r="J133" i="41"/>
  <c r="I133" i="41"/>
  <c r="F133" i="41"/>
  <c r="E133" i="41"/>
  <c r="D133" i="41"/>
  <c r="U131" i="41"/>
  <c r="T131" i="41"/>
  <c r="S131" i="41"/>
  <c r="O131" i="41"/>
  <c r="L131" i="41"/>
  <c r="J131" i="41"/>
  <c r="I131" i="41"/>
  <c r="F131" i="41"/>
  <c r="E131" i="41"/>
  <c r="D131" i="41"/>
  <c r="U130" i="41"/>
  <c r="T130" i="41"/>
  <c r="S130" i="41"/>
  <c r="Q130" i="41"/>
  <c r="Q131" i="41" s="1"/>
  <c r="P130" i="41"/>
  <c r="P131" i="41" s="1"/>
  <c r="O130" i="41"/>
  <c r="N130" i="41"/>
  <c r="N131" i="41" s="1"/>
  <c r="L130" i="41"/>
  <c r="K130" i="41"/>
  <c r="K131" i="41" s="1"/>
  <c r="J130" i="41"/>
  <c r="I130" i="41"/>
  <c r="G130" i="41"/>
  <c r="G131" i="41" s="1"/>
  <c r="F130" i="41"/>
  <c r="E130" i="41"/>
  <c r="D130" i="41"/>
  <c r="R129" i="41"/>
  <c r="M129" i="41"/>
  <c r="AV128" i="41"/>
  <c r="AQ128" i="41"/>
  <c r="AL128" i="41"/>
  <c r="AG128" i="41"/>
  <c r="AB128" i="41"/>
  <c r="W128" i="41"/>
  <c r="W128" i="44" s="1"/>
  <c r="R128" i="41"/>
  <c r="M128" i="41"/>
  <c r="R127" i="41"/>
  <c r="M127" i="41"/>
  <c r="AV126" i="41"/>
  <c r="AQ126" i="41"/>
  <c r="AL126" i="41"/>
  <c r="AG126" i="41"/>
  <c r="AB126" i="41"/>
  <c r="W126" i="41"/>
  <c r="W126" i="44" s="1"/>
  <c r="R126" i="41"/>
  <c r="M126" i="41"/>
  <c r="G126" i="41"/>
  <c r="AV125" i="41"/>
  <c r="AQ125" i="41"/>
  <c r="AL125" i="41"/>
  <c r="AG125" i="41"/>
  <c r="AB125" i="41"/>
  <c r="W125" i="41"/>
  <c r="W125" i="44" s="1"/>
  <c r="R125" i="41"/>
  <c r="R130" i="41" s="1"/>
  <c r="M125" i="41"/>
  <c r="U124" i="41"/>
  <c r="T124" i="41"/>
  <c r="S124" i="41"/>
  <c r="R124" i="41"/>
  <c r="Q124" i="41"/>
  <c r="P124" i="41"/>
  <c r="O124" i="41"/>
  <c r="N124" i="41"/>
  <c r="L124" i="41"/>
  <c r="K124" i="41"/>
  <c r="J124" i="41"/>
  <c r="I124" i="41"/>
  <c r="AM123" i="41"/>
  <c r="AJ123" i="41"/>
  <c r="AH123" i="41"/>
  <c r="AF123" i="41"/>
  <c r="AF123" i="44" s="1"/>
  <c r="AC123" i="41"/>
  <c r="AA123" i="41"/>
  <c r="AA123" i="44" s="1"/>
  <c r="Z123" i="41"/>
  <c r="AE123" i="41" s="1"/>
  <c r="Y123" i="41"/>
  <c r="X123" i="41"/>
  <c r="W123" i="41"/>
  <c r="W123" i="44" s="1"/>
  <c r="R123" i="41"/>
  <c r="M123" i="41"/>
  <c r="H123" i="41"/>
  <c r="S121" i="41"/>
  <c r="Q121" i="41"/>
  <c r="P121" i="41"/>
  <c r="U120" i="41"/>
  <c r="U121" i="41" s="1"/>
  <c r="T120" i="41"/>
  <c r="T121" i="41" s="1"/>
  <c r="S120" i="41"/>
  <c r="P120" i="41"/>
  <c r="O120" i="41"/>
  <c r="O121" i="41" s="1"/>
  <c r="N120" i="41"/>
  <c r="N121" i="41" s="1"/>
  <c r="L120" i="41"/>
  <c r="L121" i="41" s="1"/>
  <c r="E120" i="41"/>
  <c r="E121" i="41" s="1"/>
  <c r="D120" i="41"/>
  <c r="D121" i="41" s="1"/>
  <c r="Y119" i="41"/>
  <c r="Y119" i="44" s="1"/>
  <c r="X119" i="41"/>
  <c r="X119" i="44" s="1"/>
  <c r="W119" i="41"/>
  <c r="W119" i="44" s="1"/>
  <c r="R119" i="41"/>
  <c r="M119" i="41"/>
  <c r="H119" i="41"/>
  <c r="U118" i="41"/>
  <c r="T118" i="41"/>
  <c r="S118" i="41"/>
  <c r="Q118" i="41"/>
  <c r="Q120" i="41" s="1"/>
  <c r="P118" i="41"/>
  <c r="O118" i="41"/>
  <c r="N118" i="41"/>
  <c r="L118" i="41"/>
  <c r="K118" i="41"/>
  <c r="K120" i="41" s="1"/>
  <c r="K121" i="41" s="1"/>
  <c r="J118" i="41"/>
  <c r="J120" i="41" s="1"/>
  <c r="J121" i="41" s="1"/>
  <c r="I118" i="41"/>
  <c r="I120" i="41" s="1"/>
  <c r="I121" i="41" s="1"/>
  <c r="H118" i="41"/>
  <c r="G118" i="41"/>
  <c r="G120" i="41" s="1"/>
  <c r="G121" i="41" s="1"/>
  <c r="F118" i="41"/>
  <c r="F120" i="41" s="1"/>
  <c r="F121" i="41" s="1"/>
  <c r="E118" i="41"/>
  <c r="D118" i="41"/>
  <c r="X117" i="41"/>
  <c r="V117" i="41"/>
  <c r="V117" i="44" s="1"/>
  <c r="R117" i="41"/>
  <c r="R118" i="41" s="1"/>
  <c r="M117" i="41"/>
  <c r="H117" i="41"/>
  <c r="U116" i="41"/>
  <c r="T116" i="41"/>
  <c r="T187" i="41" s="1"/>
  <c r="S116" i="41"/>
  <c r="R116" i="41"/>
  <c r="Q116" i="41"/>
  <c r="Q187" i="41" s="1"/>
  <c r="P116" i="41"/>
  <c r="O116" i="41"/>
  <c r="N116" i="41"/>
  <c r="M116" i="41"/>
  <c r="L116" i="41"/>
  <c r="K116" i="41"/>
  <c r="J116" i="41"/>
  <c r="I116" i="41"/>
  <c r="G116" i="41"/>
  <c r="F116" i="41"/>
  <c r="E116" i="41"/>
  <c r="D116" i="41"/>
  <c r="R115" i="41"/>
  <c r="M115" i="41"/>
  <c r="H115" i="41"/>
  <c r="AV114" i="41"/>
  <c r="AQ114" i="41"/>
  <c r="AL114" i="41"/>
  <c r="AG114" i="41"/>
  <c r="AB114" i="41"/>
  <c r="W114" i="41"/>
  <c r="R114" i="41"/>
  <c r="M114" i="41"/>
  <c r="H114" i="41"/>
  <c r="Z113" i="41"/>
  <c r="Y113" i="41"/>
  <c r="X113" i="41"/>
  <c r="V186" i="41"/>
  <c r="U113" i="41"/>
  <c r="U186" i="41" s="1"/>
  <c r="T113" i="41"/>
  <c r="S113" i="41"/>
  <c r="S186" i="41" s="1"/>
  <c r="R113" i="41"/>
  <c r="Q113" i="41"/>
  <c r="Q186" i="41" s="1"/>
  <c r="P113" i="41"/>
  <c r="O113" i="41"/>
  <c r="N113" i="41"/>
  <c r="M113" i="41"/>
  <c r="L113" i="41"/>
  <c r="K113" i="41"/>
  <c r="J113" i="41"/>
  <c r="I113" i="41"/>
  <c r="G113" i="41"/>
  <c r="F113" i="41"/>
  <c r="E113" i="41"/>
  <c r="D113" i="41"/>
  <c r="X112" i="41"/>
  <c r="R112" i="41"/>
  <c r="M112" i="41"/>
  <c r="H112" i="41"/>
  <c r="X111" i="41"/>
  <c r="U111" i="41"/>
  <c r="T111" i="41"/>
  <c r="S111" i="41"/>
  <c r="R111" i="41"/>
  <c r="Q111" i="41"/>
  <c r="P111" i="41"/>
  <c r="O111" i="41"/>
  <c r="N111" i="41"/>
  <c r="L111" i="41"/>
  <c r="K111" i="41"/>
  <c r="J111" i="41"/>
  <c r="I111" i="41"/>
  <c r="G111" i="41"/>
  <c r="F111" i="41"/>
  <c r="E111" i="41"/>
  <c r="D111" i="41"/>
  <c r="R110" i="41"/>
  <c r="M110" i="41"/>
  <c r="H110" i="41"/>
  <c r="U109" i="41"/>
  <c r="T109" i="41"/>
  <c r="S109" i="41"/>
  <c r="R109" i="41"/>
  <c r="Q109" i="41"/>
  <c r="P109" i="41"/>
  <c r="O109" i="41"/>
  <c r="N109" i="41"/>
  <c r="L109" i="41"/>
  <c r="K109" i="41"/>
  <c r="J109" i="41"/>
  <c r="I109" i="41"/>
  <c r="AD108" i="41"/>
  <c r="Z108" i="41"/>
  <c r="Y108" i="41"/>
  <c r="X108" i="41"/>
  <c r="AC108" i="41" s="1"/>
  <c r="W108" i="41"/>
  <c r="W108" i="44" s="1"/>
  <c r="R108" i="41"/>
  <c r="M108" i="41"/>
  <c r="H108" i="41"/>
  <c r="N106" i="41"/>
  <c r="O105" i="41"/>
  <c r="O106" i="41" s="1"/>
  <c r="N105" i="41"/>
  <c r="L105" i="41"/>
  <c r="L106" i="41" s="1"/>
  <c r="K105" i="41"/>
  <c r="K106" i="41" s="1"/>
  <c r="J105" i="41"/>
  <c r="J106" i="41" s="1"/>
  <c r="E105" i="41"/>
  <c r="E106" i="41" s="1"/>
  <c r="AV104" i="41"/>
  <c r="AQ104" i="41"/>
  <c r="AL104" i="41"/>
  <c r="AG104" i="41"/>
  <c r="AB104" i="41"/>
  <c r="W104" i="41"/>
  <c r="W104" i="44" s="1"/>
  <c r="R104" i="41"/>
  <c r="M104" i="41"/>
  <c r="H104" i="41"/>
  <c r="U103" i="41"/>
  <c r="T103" i="41"/>
  <c r="S103" i="41"/>
  <c r="R103" i="41"/>
  <c r="Q103" i="41"/>
  <c r="P103" i="41"/>
  <c r="O103" i="41"/>
  <c r="N103" i="41"/>
  <c r="L103" i="41"/>
  <c r="K103" i="41"/>
  <c r="J103" i="41"/>
  <c r="I103" i="41"/>
  <c r="G103" i="41"/>
  <c r="F103" i="41"/>
  <c r="E103" i="41"/>
  <c r="D103" i="41"/>
  <c r="X102" i="41"/>
  <c r="X102" i="44" s="1"/>
  <c r="V102" i="41"/>
  <c r="R102" i="41"/>
  <c r="M102" i="41"/>
  <c r="H102" i="41"/>
  <c r="AA101" i="41"/>
  <c r="AA101" i="44" s="1"/>
  <c r="X101" i="41"/>
  <c r="S101" i="41"/>
  <c r="O101" i="41"/>
  <c r="N101" i="41"/>
  <c r="L101" i="41"/>
  <c r="K101" i="41"/>
  <c r="J101" i="41"/>
  <c r="R100" i="41"/>
  <c r="M100" i="41"/>
  <c r="H100" i="41"/>
  <c r="R99" i="41"/>
  <c r="M99" i="41"/>
  <c r="H99" i="41"/>
  <c r="H103" i="41" s="1"/>
  <c r="X98" i="41"/>
  <c r="U98" i="41"/>
  <c r="S98" i="41"/>
  <c r="P98" i="41"/>
  <c r="O98" i="41"/>
  <c r="L98" i="41"/>
  <c r="K98" i="41"/>
  <c r="E98" i="41"/>
  <c r="R97" i="41"/>
  <c r="M97" i="41"/>
  <c r="H97" i="41"/>
  <c r="Z96" i="41"/>
  <c r="U96" i="41"/>
  <c r="T96" i="41"/>
  <c r="S96" i="41"/>
  <c r="R96" i="41"/>
  <c r="Q96" i="41"/>
  <c r="P96" i="41"/>
  <c r="O96" i="41"/>
  <c r="N96" i="41"/>
  <c r="L96" i="41"/>
  <c r="K96" i="41"/>
  <c r="J96" i="41"/>
  <c r="I96" i="41"/>
  <c r="G96" i="41"/>
  <c r="F96" i="41"/>
  <c r="E96" i="41"/>
  <c r="D96" i="41"/>
  <c r="R95" i="41"/>
  <c r="M95" i="41"/>
  <c r="H95" i="41"/>
  <c r="S94" i="41"/>
  <c r="O94" i="41"/>
  <c r="N94" i="41"/>
  <c r="L94" i="41"/>
  <c r="K94" i="41"/>
  <c r="J94" i="41"/>
  <c r="I94" i="41"/>
  <c r="R93" i="41"/>
  <c r="M93" i="41"/>
  <c r="H93" i="41"/>
  <c r="U92" i="41"/>
  <c r="T92" i="41"/>
  <c r="S92" i="41"/>
  <c r="S105" i="41" s="1"/>
  <c r="S106" i="41" s="1"/>
  <c r="Q92" i="41"/>
  <c r="Q101" i="41" s="1"/>
  <c r="P92" i="41"/>
  <c r="O92" i="41"/>
  <c r="N92" i="41"/>
  <c r="N98" i="41" s="1"/>
  <c r="S182" i="41" s="1"/>
  <c r="L92" i="41"/>
  <c r="K92" i="41"/>
  <c r="J92" i="41"/>
  <c r="J98" i="41" s="1"/>
  <c r="I92" i="41"/>
  <c r="G92" i="41"/>
  <c r="F92" i="41"/>
  <c r="E92" i="41"/>
  <c r="D92" i="41"/>
  <c r="AU91" i="41"/>
  <c r="AT91" i="41"/>
  <c r="AS91" i="41"/>
  <c r="AR91" i="41"/>
  <c r="AP91" i="41"/>
  <c r="AO91" i="41"/>
  <c r="AN91" i="41"/>
  <c r="AM91" i="41"/>
  <c r="AL91" i="41"/>
  <c r="AK91" i="41"/>
  <c r="AJ91" i="41"/>
  <c r="AI91" i="41"/>
  <c r="AH91" i="41"/>
  <c r="AG91" i="41"/>
  <c r="AF91" i="41"/>
  <c r="AE91" i="41"/>
  <c r="AD91" i="41"/>
  <c r="AC91" i="41"/>
  <c r="AA91" i="41"/>
  <c r="Z91" i="41"/>
  <c r="Y91" i="41"/>
  <c r="X91" i="41"/>
  <c r="V91" i="41"/>
  <c r="V91" i="44" s="1"/>
  <c r="U91" i="41"/>
  <c r="T91" i="41"/>
  <c r="S91" i="41"/>
  <c r="Q91" i="41"/>
  <c r="P91" i="41"/>
  <c r="O91" i="41"/>
  <c r="N91" i="41"/>
  <c r="G91" i="41"/>
  <c r="E91" i="41"/>
  <c r="O90" i="41"/>
  <c r="N90" i="41"/>
  <c r="L90" i="41"/>
  <c r="K90" i="41"/>
  <c r="J90" i="41"/>
  <c r="I90" i="41"/>
  <c r="G90" i="41"/>
  <c r="F90" i="41"/>
  <c r="E90" i="41"/>
  <c r="D90" i="41"/>
  <c r="U89" i="41"/>
  <c r="T89" i="41"/>
  <c r="S89" i="41"/>
  <c r="Q89" i="41"/>
  <c r="P89" i="41"/>
  <c r="O89" i="41"/>
  <c r="N89" i="41"/>
  <c r="L89" i="41"/>
  <c r="K89" i="41"/>
  <c r="J89" i="41"/>
  <c r="I89" i="41"/>
  <c r="AO88" i="41"/>
  <c r="AT88" i="41" s="1"/>
  <c r="AJ88" i="41"/>
  <c r="AI88" i="41"/>
  <c r="AE88" i="41"/>
  <c r="Z88" i="41"/>
  <c r="Y88" i="41"/>
  <c r="AD88" i="41" s="1"/>
  <c r="X88" i="41"/>
  <c r="AC88" i="41" s="1"/>
  <c r="W88" i="41"/>
  <c r="W88" i="44" s="1"/>
  <c r="R88" i="41"/>
  <c r="M88" i="41"/>
  <c r="H88" i="41"/>
  <c r="R87" i="41"/>
  <c r="M87" i="41"/>
  <c r="H87" i="41"/>
  <c r="AD86" i="41"/>
  <c r="AI86" i="41" s="1"/>
  <c r="AN86" i="41" s="1"/>
  <c r="AS86" i="41" s="1"/>
  <c r="AC86" i="41"/>
  <c r="AH86" i="41" s="1"/>
  <c r="AM86" i="41" s="1"/>
  <c r="AR86" i="41" s="1"/>
  <c r="N86" i="41"/>
  <c r="L86" i="41"/>
  <c r="J86" i="41"/>
  <c r="F86" i="41"/>
  <c r="D86" i="41"/>
  <c r="S85" i="41"/>
  <c r="S86" i="41" s="1"/>
  <c r="X86" i="41" s="1"/>
  <c r="N85" i="41"/>
  <c r="L85" i="41"/>
  <c r="K85" i="41"/>
  <c r="K86" i="41" s="1"/>
  <c r="J85" i="41"/>
  <c r="I85" i="41"/>
  <c r="I86" i="41" s="1"/>
  <c r="G85" i="41"/>
  <c r="G86" i="41" s="1"/>
  <c r="F85" i="41"/>
  <c r="E85" i="41"/>
  <c r="E86" i="41" s="1"/>
  <c r="D85" i="41"/>
  <c r="AV84" i="41"/>
  <c r="AV91" i="41" s="1"/>
  <c r="AQ84" i="41"/>
  <c r="AL84" i="41"/>
  <c r="AG84" i="41"/>
  <c r="AB84" i="41"/>
  <c r="AB91" i="41" s="1"/>
  <c r="W84" i="41"/>
  <c r="W84" i="44" s="1"/>
  <c r="R84" i="41"/>
  <c r="K84" i="41"/>
  <c r="J84" i="41"/>
  <c r="I84" i="41"/>
  <c r="H84" i="41"/>
  <c r="G84" i="41"/>
  <c r="F84" i="41"/>
  <c r="F91" i="41" s="1"/>
  <c r="E84" i="41"/>
  <c r="D84" i="41"/>
  <c r="U83" i="41"/>
  <c r="S83" i="41"/>
  <c r="T83" i="41" s="1"/>
  <c r="T85" i="41" s="1"/>
  <c r="T86" i="41" s="1"/>
  <c r="Y86" i="41" s="1"/>
  <c r="R83" i="41"/>
  <c r="O83" i="41"/>
  <c r="M83" i="41"/>
  <c r="H83" i="41"/>
  <c r="U79" i="41"/>
  <c r="T79" i="41"/>
  <c r="S79" i="41"/>
  <c r="Q79" i="41"/>
  <c r="P79" i="41"/>
  <c r="O79" i="41"/>
  <c r="N79" i="41"/>
  <c r="L79" i="41"/>
  <c r="K79" i="41"/>
  <c r="J79" i="41"/>
  <c r="I79" i="41"/>
  <c r="R78" i="41"/>
  <c r="M78" i="41"/>
  <c r="H78" i="41"/>
  <c r="L77" i="41"/>
  <c r="K77" i="41"/>
  <c r="J77" i="41"/>
  <c r="I77" i="41"/>
  <c r="F77" i="41"/>
  <c r="E77" i="41"/>
  <c r="Q76" i="41"/>
  <c r="Q77" i="41" s="1"/>
  <c r="P76" i="41"/>
  <c r="P77" i="41" s="1"/>
  <c r="O76" i="41"/>
  <c r="O77" i="41" s="1"/>
  <c r="N76" i="41"/>
  <c r="N77" i="41" s="1"/>
  <c r="L76" i="41"/>
  <c r="K76" i="41"/>
  <c r="J76" i="41"/>
  <c r="I76" i="41"/>
  <c r="G76" i="41"/>
  <c r="G77" i="41" s="1"/>
  <c r="F76" i="41"/>
  <c r="E76" i="41"/>
  <c r="AV75" i="41"/>
  <c r="AQ75" i="41"/>
  <c r="AL75" i="41"/>
  <c r="AG75" i="41"/>
  <c r="AB75" i="41"/>
  <c r="W75" i="41"/>
  <c r="W75" i="44" s="1"/>
  <c r="R75" i="41"/>
  <c r="R91" i="41" s="1"/>
  <c r="L75" i="41"/>
  <c r="L91" i="41" s="1"/>
  <c r="K75" i="41"/>
  <c r="M75" i="41" s="1"/>
  <c r="J75" i="41"/>
  <c r="I75" i="41"/>
  <c r="I91" i="41" s="1"/>
  <c r="G75" i="41"/>
  <c r="F75" i="41"/>
  <c r="E75" i="41"/>
  <c r="D75" i="41"/>
  <c r="Q74" i="41"/>
  <c r="P74" i="41"/>
  <c r="O74" i="41"/>
  <c r="M74" i="41"/>
  <c r="H74" i="41"/>
  <c r="K72" i="41"/>
  <c r="S71" i="41"/>
  <c r="K71" i="41"/>
  <c r="G71" i="41"/>
  <c r="U70" i="41"/>
  <c r="T70" i="41"/>
  <c r="S70" i="41"/>
  <c r="Q70" i="41"/>
  <c r="P70" i="41"/>
  <c r="O70" i="41"/>
  <c r="N70" i="41"/>
  <c r="L70" i="41"/>
  <c r="K70" i="41"/>
  <c r="J70" i="41"/>
  <c r="I70" i="41"/>
  <c r="H70" i="41"/>
  <c r="G70" i="41"/>
  <c r="F70" i="41"/>
  <c r="E70" i="41"/>
  <c r="D70" i="41"/>
  <c r="X69" i="41"/>
  <c r="X69" i="44" s="1"/>
  <c r="W69" i="41"/>
  <c r="W69" i="44" s="1"/>
  <c r="T68" i="41"/>
  <c r="AA65" i="41"/>
  <c r="AA65" i="44" s="1"/>
  <c r="AA177" i="44" s="1"/>
  <c r="Q65" i="41"/>
  <c r="P65" i="41"/>
  <c r="E65" i="41"/>
  <c r="Z63" i="41"/>
  <c r="Y63" i="41"/>
  <c r="U63" i="41"/>
  <c r="U176" i="41" s="1"/>
  <c r="T63" i="41"/>
  <c r="S63" i="41"/>
  <c r="Q63" i="41"/>
  <c r="P63" i="41"/>
  <c r="O63" i="41"/>
  <c r="N63" i="41"/>
  <c r="L63" i="41"/>
  <c r="K63" i="41"/>
  <c r="J63" i="41"/>
  <c r="I63" i="41"/>
  <c r="G63" i="41"/>
  <c r="F63" i="41"/>
  <c r="E63" i="41"/>
  <c r="D63" i="41"/>
  <c r="S61" i="41"/>
  <c r="P61" i="41"/>
  <c r="O61" i="41"/>
  <c r="K61" i="41"/>
  <c r="I61" i="41"/>
  <c r="G61" i="41"/>
  <c r="U59" i="41"/>
  <c r="U71" i="41" s="1"/>
  <c r="T59" i="41"/>
  <c r="T71" i="41" s="1"/>
  <c r="S59" i="41"/>
  <c r="S68" i="41" s="1"/>
  <c r="Q59" i="41"/>
  <c r="Q68" i="41" s="1"/>
  <c r="P59" i="41"/>
  <c r="P68" i="41" s="1"/>
  <c r="O59" i="41"/>
  <c r="N59" i="41"/>
  <c r="L59" i="41"/>
  <c r="L68" i="41" s="1"/>
  <c r="K59" i="41"/>
  <c r="J59" i="41"/>
  <c r="I59" i="41"/>
  <c r="I71" i="41" s="1"/>
  <c r="I72" i="41" s="1"/>
  <c r="G59" i="41"/>
  <c r="G68" i="41" s="1"/>
  <c r="F59" i="41"/>
  <c r="E59" i="41"/>
  <c r="E68" i="41" s="1"/>
  <c r="D59" i="41"/>
  <c r="AV58" i="41"/>
  <c r="AU58" i="41"/>
  <c r="AT58" i="41"/>
  <c r="AS58" i="41"/>
  <c r="AR58" i="41"/>
  <c r="AP58" i="41"/>
  <c r="AO58" i="41"/>
  <c r="AN58" i="41"/>
  <c r="AM58" i="41"/>
  <c r="AK58" i="41"/>
  <c r="AJ58" i="41"/>
  <c r="AI58" i="41"/>
  <c r="AH58" i="41"/>
  <c r="AF58" i="41"/>
  <c r="AE58" i="41"/>
  <c r="AD58" i="41"/>
  <c r="AC58" i="41"/>
  <c r="AA58" i="41"/>
  <c r="Z58" i="41"/>
  <c r="Y58" i="41"/>
  <c r="X58" i="41"/>
  <c r="V58" i="41"/>
  <c r="V58" i="44" s="1"/>
  <c r="U58" i="41"/>
  <c r="T58" i="41"/>
  <c r="S58" i="41"/>
  <c r="Q58" i="41"/>
  <c r="P58" i="41"/>
  <c r="O58" i="41"/>
  <c r="N58" i="41"/>
  <c r="I58" i="41"/>
  <c r="E58" i="41"/>
  <c r="N57" i="41"/>
  <c r="L57" i="41"/>
  <c r="K57" i="41"/>
  <c r="J57" i="41"/>
  <c r="I57" i="41"/>
  <c r="G57" i="41"/>
  <c r="F57" i="41"/>
  <c r="E57" i="41"/>
  <c r="D57" i="41"/>
  <c r="U56" i="41"/>
  <c r="T56" i="41"/>
  <c r="S56" i="41"/>
  <c r="Q56" i="41"/>
  <c r="P56" i="41"/>
  <c r="O56" i="41"/>
  <c r="N56" i="41"/>
  <c r="L56" i="41"/>
  <c r="K56" i="41"/>
  <c r="J56" i="41"/>
  <c r="I56" i="41"/>
  <c r="AC55" i="41"/>
  <c r="AA55" i="41"/>
  <c r="AA55" i="44" s="1"/>
  <c r="Z55" i="41"/>
  <c r="Y55" i="41"/>
  <c r="X55" i="41"/>
  <c r="W55" i="41"/>
  <c r="W55" i="44" s="1"/>
  <c r="O53" i="41"/>
  <c r="J53" i="41"/>
  <c r="G53" i="41"/>
  <c r="F53" i="41"/>
  <c r="D53" i="41"/>
  <c r="O52" i="41"/>
  <c r="N52" i="41"/>
  <c r="N53" i="41" s="1"/>
  <c r="L52" i="41"/>
  <c r="L53" i="41" s="1"/>
  <c r="K52" i="41"/>
  <c r="K53" i="41" s="1"/>
  <c r="J52" i="41"/>
  <c r="I52" i="41"/>
  <c r="I53" i="41" s="1"/>
  <c r="G52" i="41"/>
  <c r="F52" i="41"/>
  <c r="E52" i="41"/>
  <c r="E53" i="41" s="1"/>
  <c r="D52" i="41"/>
  <c r="AV51" i="41"/>
  <c r="AQ51" i="41"/>
  <c r="AQ58" i="41" s="1"/>
  <c r="AL51" i="41"/>
  <c r="AL58" i="41" s="1"/>
  <c r="AG51" i="41"/>
  <c r="AB51" i="41"/>
  <c r="AB58" i="41" s="1"/>
  <c r="W51" i="41"/>
  <c r="W51" i="44" s="1"/>
  <c r="K51" i="41"/>
  <c r="K58" i="41" s="1"/>
  <c r="J51" i="41"/>
  <c r="J58" i="41" s="1"/>
  <c r="I51" i="41"/>
  <c r="G51" i="41"/>
  <c r="F51" i="41"/>
  <c r="E51" i="41"/>
  <c r="D51" i="41"/>
  <c r="D58" i="41" s="1"/>
  <c r="S50" i="41"/>
  <c r="P50" i="41"/>
  <c r="O50" i="41"/>
  <c r="U46" i="41"/>
  <c r="T46" i="41"/>
  <c r="S46" i="41"/>
  <c r="Q46" i="41"/>
  <c r="P46" i="41"/>
  <c r="O46" i="41"/>
  <c r="N46" i="41"/>
  <c r="L46" i="41"/>
  <c r="K46" i="41"/>
  <c r="J46" i="41"/>
  <c r="I46" i="41"/>
  <c r="R45" i="41"/>
  <c r="H45" i="41"/>
  <c r="I44" i="41"/>
  <c r="G44" i="41"/>
  <c r="F44" i="41"/>
  <c r="N43" i="41"/>
  <c r="N44" i="41" s="1"/>
  <c r="L43" i="41"/>
  <c r="L44" i="41" s="1"/>
  <c r="K43" i="41"/>
  <c r="K44" i="41" s="1"/>
  <c r="J43" i="41"/>
  <c r="J44" i="41" s="1"/>
  <c r="I43" i="41"/>
  <c r="G43" i="41"/>
  <c r="F43" i="41"/>
  <c r="E43" i="41"/>
  <c r="E44" i="41" s="1"/>
  <c r="AV42" i="41"/>
  <c r="AQ42" i="41"/>
  <c r="AL42" i="41"/>
  <c r="AG42" i="41"/>
  <c r="AG58" i="41" s="1"/>
  <c r="AB42" i="41"/>
  <c r="W42" i="41"/>
  <c r="W42" i="44" s="1"/>
  <c r="L42" i="41"/>
  <c r="L58" i="41" s="1"/>
  <c r="K42" i="41"/>
  <c r="J42" i="41"/>
  <c r="I42" i="41"/>
  <c r="G42" i="41"/>
  <c r="G58" i="41" s="1"/>
  <c r="F42" i="41"/>
  <c r="E42" i="41"/>
  <c r="D42" i="41"/>
  <c r="O41" i="41"/>
  <c r="Q37" i="41"/>
  <c r="L37" i="41"/>
  <c r="G37" i="41"/>
  <c r="R35" i="41"/>
  <c r="M35" i="41"/>
  <c r="L35" i="41"/>
  <c r="N35" i="41" s="1"/>
  <c r="H35" i="41"/>
  <c r="X31" i="41"/>
  <c r="U28" i="41"/>
  <c r="T28" i="41"/>
  <c r="S28" i="41"/>
  <c r="Q28" i="41"/>
  <c r="P28" i="41"/>
  <c r="O28" i="41"/>
  <c r="N28" i="41"/>
  <c r="R28" i="41" s="1"/>
  <c r="L28" i="41"/>
  <c r="K28" i="41"/>
  <c r="J28" i="41"/>
  <c r="M28" i="41" s="1"/>
  <c r="I28" i="41"/>
  <c r="G28" i="41"/>
  <c r="F28" i="41"/>
  <c r="H28" i="41" s="1"/>
  <c r="E28" i="41"/>
  <c r="D28" i="41"/>
  <c r="X26" i="41"/>
  <c r="X26" i="44" s="1"/>
  <c r="T26" i="41"/>
  <c r="R26" i="41"/>
  <c r="M26" i="41"/>
  <c r="G26" i="41"/>
  <c r="R24" i="41"/>
  <c r="M24" i="41"/>
  <c r="G24" i="41"/>
  <c r="X22" i="41"/>
  <c r="X22" i="44" s="1"/>
  <c r="W22" i="41"/>
  <c r="W22" i="44" s="1"/>
  <c r="R22" i="41"/>
  <c r="M22" i="41"/>
  <c r="G22" i="41"/>
  <c r="G145" i="41" s="1"/>
  <c r="R21" i="41"/>
  <c r="M21" i="41"/>
  <c r="G21" i="41"/>
  <c r="AV20" i="41"/>
  <c r="AQ20" i="41"/>
  <c r="AL20" i="41"/>
  <c r="AG20" i="41"/>
  <c r="AB20" i="41"/>
  <c r="W20" i="41"/>
  <c r="R20" i="41"/>
  <c r="M20" i="41"/>
  <c r="G20" i="41"/>
  <c r="U18" i="41"/>
  <c r="T18" i="41"/>
  <c r="S18" i="41"/>
  <c r="Q18" i="41"/>
  <c r="P18" i="41"/>
  <c r="O18" i="41"/>
  <c r="N18" i="41"/>
  <c r="R18" i="41" s="1"/>
  <c r="L18" i="41"/>
  <c r="K18" i="41"/>
  <c r="J18" i="41"/>
  <c r="I18" i="41"/>
  <c r="M18" i="41" s="1"/>
  <c r="G18" i="41"/>
  <c r="F18" i="41"/>
  <c r="E18" i="41"/>
  <c r="U17" i="41"/>
  <c r="F17" i="41"/>
  <c r="E17" i="41"/>
  <c r="Y16" i="41"/>
  <c r="X16" i="41"/>
  <c r="W16" i="41"/>
  <c r="W16" i="44" s="1"/>
  <c r="R16" i="41"/>
  <c r="M16" i="41"/>
  <c r="G16" i="41"/>
  <c r="G136" i="41" s="1"/>
  <c r="U15" i="41"/>
  <c r="T15" i="41"/>
  <c r="S15" i="41"/>
  <c r="Q15" i="41"/>
  <c r="P15" i="41"/>
  <c r="O15" i="41"/>
  <c r="N15" i="41"/>
  <c r="L15" i="41"/>
  <c r="K15" i="41"/>
  <c r="J15" i="41"/>
  <c r="I15" i="41"/>
  <c r="H15" i="41"/>
  <c r="F15" i="41"/>
  <c r="E15" i="41"/>
  <c r="D15" i="41"/>
  <c r="W14" i="41"/>
  <c r="W14" i="44" s="1"/>
  <c r="R14" i="41"/>
  <c r="M14" i="41"/>
  <c r="G14" i="41"/>
  <c r="R13" i="41"/>
  <c r="M13" i="41"/>
  <c r="G13" i="41"/>
  <c r="R12" i="41"/>
  <c r="M12" i="41"/>
  <c r="G12" i="41"/>
  <c r="R11" i="41"/>
  <c r="M11" i="41"/>
  <c r="G11" i="41"/>
  <c r="R10" i="41"/>
  <c r="M10" i="41"/>
  <c r="G10" i="41"/>
  <c r="R9" i="41"/>
  <c r="R15" i="41" s="1"/>
  <c r="M9" i="41"/>
  <c r="G9" i="41"/>
  <c r="G15" i="41" s="1"/>
  <c r="U8" i="41"/>
  <c r="T8" i="41"/>
  <c r="S8" i="41"/>
  <c r="R8" i="41"/>
  <c r="Q8" i="41"/>
  <c r="P8" i="41"/>
  <c r="O8" i="41"/>
  <c r="N8" i="41"/>
  <c r="L8" i="41"/>
  <c r="K8" i="41"/>
  <c r="J8" i="41"/>
  <c r="J17" i="41" s="1"/>
  <c r="I8" i="41"/>
  <c r="H8" i="41"/>
  <c r="H17" i="41" s="1"/>
  <c r="F8" i="41"/>
  <c r="E8" i="41"/>
  <c r="D8" i="41"/>
  <c r="AC7" i="41"/>
  <c r="Z7" i="41"/>
  <c r="X7" i="41"/>
  <c r="W7" i="41"/>
  <c r="W7" i="44" s="1"/>
  <c r="R7" i="41"/>
  <c r="M7" i="41"/>
  <c r="G7" i="41"/>
  <c r="G135" i="41" s="1"/>
  <c r="R6" i="41"/>
  <c r="M6" i="41"/>
  <c r="G6" i="41"/>
  <c r="G134" i="41" s="1"/>
  <c r="R5" i="41"/>
  <c r="M5" i="41"/>
  <c r="G5" i="41"/>
  <c r="G133" i="41" s="1"/>
  <c r="AF63" i="36"/>
  <c r="AF61" i="36"/>
  <c r="AC63" i="36"/>
  <c r="AC61" i="36"/>
  <c r="AD68" i="36"/>
  <c r="AC68" i="36"/>
  <c r="AL62" i="39"/>
  <c r="V117" i="36"/>
  <c r="X117" i="36" s="1"/>
  <c r="Y117" i="36" s="1"/>
  <c r="V129" i="36"/>
  <c r="V102" i="36"/>
  <c r="AO44" i="48" l="1"/>
  <c r="AJ44" i="53"/>
  <c r="AS44" i="48"/>
  <c r="AS44" i="53" s="1"/>
  <c r="AN44" i="53"/>
  <c r="X46" i="48"/>
  <c r="X46" i="53" s="1"/>
  <c r="X5" i="48"/>
  <c r="X5" i="53" s="1"/>
  <c r="X62" i="48"/>
  <c r="X62" i="53" s="1"/>
  <c r="X59" i="48"/>
  <c r="X59" i="53" s="1"/>
  <c r="AP55" i="49"/>
  <c r="AS55" i="49" s="1"/>
  <c r="AC85" i="48"/>
  <c r="AC87" i="48" s="1"/>
  <c r="AD83" i="48"/>
  <c r="AO55" i="49"/>
  <c r="AC20" i="50"/>
  <c r="AD25" i="49"/>
  <c r="AE56" i="49"/>
  <c r="AA52" i="48"/>
  <c r="AA54" i="48" s="1"/>
  <c r="AC50" i="48"/>
  <c r="AB50" i="48"/>
  <c r="Y74" i="48"/>
  <c r="Y76" i="48"/>
  <c r="Y78" i="48" s="1"/>
  <c r="X90" i="48"/>
  <c r="Z134" i="48"/>
  <c r="Z6" i="48"/>
  <c r="X79" i="48"/>
  <c r="X95" i="48"/>
  <c r="X92" i="48"/>
  <c r="AR143" i="48"/>
  <c r="AV111" i="48"/>
  <c r="AF172" i="48"/>
  <c r="AF28" i="48" s="1"/>
  <c r="AF18" i="48"/>
  <c r="AF136" i="48"/>
  <c r="AH102" i="48"/>
  <c r="AF14" i="48"/>
  <c r="AG14" i="48" s="1"/>
  <c r="AH35" i="48"/>
  <c r="AG35" i="48"/>
  <c r="AB87" i="48"/>
  <c r="AI165" i="48"/>
  <c r="AH168" i="48"/>
  <c r="AH170" i="48" s="1"/>
  <c r="AI119" i="48"/>
  <c r="AH16" i="48"/>
  <c r="AH120" i="48"/>
  <c r="AH121" i="48" s="1"/>
  <c r="AF77" i="48"/>
  <c r="AM129" i="48"/>
  <c r="AN163" i="48"/>
  <c r="AM117" i="48"/>
  <c r="AN54" i="49"/>
  <c r="AF21" i="50"/>
  <c r="AG21" i="50" s="1"/>
  <c r="AH23" i="49"/>
  <c r="AG23" i="49"/>
  <c r="AI13" i="49"/>
  <c r="AG18" i="48"/>
  <c r="AF19" i="50"/>
  <c r="AG19" i="50" s="1"/>
  <c r="AH27" i="49"/>
  <c r="AG27" i="49"/>
  <c r="AF16" i="49"/>
  <c r="J40" i="50"/>
  <c r="J41" i="50" s="1"/>
  <c r="I6" i="49"/>
  <c r="AG22" i="48"/>
  <c r="Y41" i="48"/>
  <c r="Y43" i="48"/>
  <c r="Y45" i="48" s="1"/>
  <c r="Y45" i="53" s="1"/>
  <c r="X57" i="48"/>
  <c r="AG28" i="48"/>
  <c r="AR55" i="49"/>
  <c r="AS143" i="48"/>
  <c r="AT143" i="48" s="1"/>
  <c r="R40" i="50"/>
  <c r="N40" i="50"/>
  <c r="AE47" i="50"/>
  <c r="AE29" i="50"/>
  <c r="AE63" i="49"/>
  <c r="AF28" i="49"/>
  <c r="AF22" i="48"/>
  <c r="AF17" i="50"/>
  <c r="AG17" i="50" s="1"/>
  <c r="AH10" i="49"/>
  <c r="AG10" i="49"/>
  <c r="AJ69" i="48"/>
  <c r="AC51" i="42"/>
  <c r="AC51" i="45" s="1"/>
  <c r="X51" i="45"/>
  <c r="AD51" i="42"/>
  <c r="Y51" i="45"/>
  <c r="AE51" i="42"/>
  <c r="Z51" i="45"/>
  <c r="Z50" i="42"/>
  <c r="Z50" i="45" s="1"/>
  <c r="X50" i="42"/>
  <c r="X50" i="45" s="1"/>
  <c r="AC49" i="42"/>
  <c r="X49" i="45"/>
  <c r="AD49" i="42"/>
  <c r="AD50" i="42" s="1"/>
  <c r="AD50" i="45" s="1"/>
  <c r="Y49" i="45"/>
  <c r="AE49" i="42"/>
  <c r="AE50" i="42" s="1"/>
  <c r="AE50" i="45" s="1"/>
  <c r="X48" i="42"/>
  <c r="X48" i="45" s="1"/>
  <c r="Z48" i="42"/>
  <c r="Z48" i="45" s="1"/>
  <c r="Z47" i="45"/>
  <c r="AC47" i="42"/>
  <c r="AD47" i="42"/>
  <c r="AD47" i="45" s="1"/>
  <c r="AE47" i="42"/>
  <c r="AE56" i="43"/>
  <c r="AD56" i="46"/>
  <c r="AA163" i="44"/>
  <c r="Z163" i="44"/>
  <c r="Z56" i="43"/>
  <c r="Y173" i="41"/>
  <c r="X173" i="44"/>
  <c r="X168" i="41"/>
  <c r="X165" i="44"/>
  <c r="Y165" i="41"/>
  <c r="Y165" i="44" s="1"/>
  <c r="V170" i="41"/>
  <c r="V168" i="44"/>
  <c r="W117" i="41"/>
  <c r="W117" i="44" s="1"/>
  <c r="Y117" i="41"/>
  <c r="X117" i="44"/>
  <c r="W102" i="41"/>
  <c r="W102" i="44" s="1"/>
  <c r="V102" i="44"/>
  <c r="X30" i="41"/>
  <c r="V30" i="44"/>
  <c r="X145" i="44"/>
  <c r="Y9" i="43"/>
  <c r="Y16" i="44"/>
  <c r="X9" i="43"/>
  <c r="X9" i="46" s="1"/>
  <c r="X16" i="44"/>
  <c r="W112" i="41"/>
  <c r="V112" i="44"/>
  <c r="W115" i="41"/>
  <c r="V115" i="44"/>
  <c r="W58" i="41"/>
  <c r="W58" i="44" s="1"/>
  <c r="AA50" i="42"/>
  <c r="AA50" i="45" s="1"/>
  <c r="AA49" i="45"/>
  <c r="AK49" i="42"/>
  <c r="AF49" i="45"/>
  <c r="Y39" i="42"/>
  <c r="X39" i="45"/>
  <c r="Z34" i="42"/>
  <c r="Z33" i="42"/>
  <c r="Y33" i="45"/>
  <c r="Y32" i="42"/>
  <c r="X32" i="45"/>
  <c r="Y31" i="42"/>
  <c r="Y31" i="45" s="1"/>
  <c r="X31" i="45"/>
  <c r="Y28" i="42"/>
  <c r="Y63" i="42" s="1"/>
  <c r="Y63" i="45" s="1"/>
  <c r="W67" i="42"/>
  <c r="W67" i="45" s="1"/>
  <c r="Z24" i="42"/>
  <c r="Y24" i="45"/>
  <c r="Y19" i="42"/>
  <c r="X19" i="45"/>
  <c r="Y18" i="42"/>
  <c r="Y31" i="41"/>
  <c r="X31" i="44"/>
  <c r="V10" i="46"/>
  <c r="V9" i="46"/>
  <c r="F137" i="44"/>
  <c r="T137" i="44"/>
  <c r="Q175" i="44"/>
  <c r="S175" i="44"/>
  <c r="T175" i="44"/>
  <c r="V135" i="44"/>
  <c r="Q176" i="44"/>
  <c r="V136" i="44"/>
  <c r="X135" i="44"/>
  <c r="S176" i="44"/>
  <c r="Y135" i="44"/>
  <c r="T176" i="44"/>
  <c r="Z135" i="44"/>
  <c r="S181" i="44"/>
  <c r="Q185" i="44"/>
  <c r="S187" i="44"/>
  <c r="Q181" i="44"/>
  <c r="S185" i="44"/>
  <c r="T187" i="44"/>
  <c r="T185" i="44"/>
  <c r="U187" i="44"/>
  <c r="H141" i="41"/>
  <c r="H23" i="41"/>
  <c r="U72" i="41"/>
  <c r="J141" i="41"/>
  <c r="J19" i="41"/>
  <c r="J23" i="41"/>
  <c r="S56" i="43"/>
  <c r="S53" i="43"/>
  <c r="S140" i="41"/>
  <c r="S17" i="41"/>
  <c r="Y135" i="41"/>
  <c r="AD55" i="41"/>
  <c r="AB55" i="41"/>
  <c r="AB55" i="44" s="1"/>
  <c r="T53" i="43"/>
  <c r="T140" i="41"/>
  <c r="T17" i="41"/>
  <c r="D56" i="43"/>
  <c r="D53" i="43"/>
  <c r="D17" i="41"/>
  <c r="Q176" i="41"/>
  <c r="G8" i="41"/>
  <c r="G17" i="41" s="1"/>
  <c r="G137" i="41" s="1"/>
  <c r="E141" i="41"/>
  <c r="E23" i="41"/>
  <c r="E19" i="41"/>
  <c r="Y69" i="41"/>
  <c r="Y69" i="44" s="1"/>
  <c r="F141" i="41"/>
  <c r="F23" i="41"/>
  <c r="F19" i="41"/>
  <c r="I56" i="43"/>
  <c r="I53" i="43"/>
  <c r="I140" i="41"/>
  <c r="I17" i="41"/>
  <c r="Y26" i="41"/>
  <c r="K140" i="41"/>
  <c r="K17" i="41"/>
  <c r="K137" i="41" s="1"/>
  <c r="Y96" i="41"/>
  <c r="T181" i="41"/>
  <c r="R17" i="41"/>
  <c r="F58" i="41"/>
  <c r="H51" i="41"/>
  <c r="H58" i="41" s="1"/>
  <c r="J56" i="43"/>
  <c r="J140" i="41"/>
  <c r="L17" i="41"/>
  <c r="P43" i="41"/>
  <c r="P44" i="41" s="1"/>
  <c r="P41" i="41"/>
  <c r="O43" i="41"/>
  <c r="O44" i="41" s="1"/>
  <c r="Z135" i="41"/>
  <c r="AE55" i="41"/>
  <c r="U65" i="41"/>
  <c r="U61" i="41"/>
  <c r="U68" i="41"/>
  <c r="M8" i="41"/>
  <c r="Y7" i="41"/>
  <c r="N56" i="43"/>
  <c r="N53" i="43"/>
  <c r="N140" i="41"/>
  <c r="N17" i="41"/>
  <c r="M15" i="41"/>
  <c r="O140" i="41"/>
  <c r="O17" i="41"/>
  <c r="U141" i="41"/>
  <c r="U23" i="41"/>
  <c r="U19" i="41"/>
  <c r="T50" i="41"/>
  <c r="S52" i="41"/>
  <c r="S53" i="41" s="1"/>
  <c r="X53" i="41" s="1"/>
  <c r="AC53" i="41" s="1"/>
  <c r="AH53" i="41" s="1"/>
  <c r="AM53" i="41" s="1"/>
  <c r="AR53" i="41" s="1"/>
  <c r="P17" i="41"/>
  <c r="P140" i="41"/>
  <c r="Q140" i="41"/>
  <c r="Q17" i="41"/>
  <c r="D71" i="41"/>
  <c r="D68" i="41"/>
  <c r="H59" i="41"/>
  <c r="D65" i="41"/>
  <c r="J91" i="41"/>
  <c r="M84" i="41"/>
  <c r="M91" i="41" s="1"/>
  <c r="D105" i="41"/>
  <c r="D94" i="41"/>
  <c r="D101" i="41"/>
  <c r="D98" i="41"/>
  <c r="H120" i="41"/>
  <c r="H121" i="41" s="1"/>
  <c r="H111" i="41"/>
  <c r="U140" i="41"/>
  <c r="AN88" i="41"/>
  <c r="Y186" i="41"/>
  <c r="Y112" i="41"/>
  <c r="AD113" i="41"/>
  <c r="AF55" i="41"/>
  <c r="AF55" i="44" s="1"/>
  <c r="F71" i="41"/>
  <c r="F68" i="41"/>
  <c r="F65" i="41"/>
  <c r="F94" i="41"/>
  <c r="F105" i="41"/>
  <c r="F106" i="41" s="1"/>
  <c r="F101" i="41"/>
  <c r="F98" i="41"/>
  <c r="R120" i="41"/>
  <c r="R121" i="41" s="1"/>
  <c r="X10" i="43"/>
  <c r="X10" i="46" s="1"/>
  <c r="H42" i="41"/>
  <c r="G105" i="41"/>
  <c r="G106" i="41" s="1"/>
  <c r="G98" i="41"/>
  <c r="G101" i="41"/>
  <c r="G94" i="41"/>
  <c r="AA183" i="41"/>
  <c r="AF101" i="41"/>
  <c r="AF101" i="44" s="1"/>
  <c r="AA108" i="41"/>
  <c r="AA108" i="44" s="1"/>
  <c r="X176" i="41"/>
  <c r="AC63" i="41"/>
  <c r="AC63" i="44" s="1"/>
  <c r="V83" i="41"/>
  <c r="V83" i="44" s="1"/>
  <c r="U85" i="41"/>
  <c r="U86" i="41" s="1"/>
  <c r="Z86" i="41" s="1"/>
  <c r="AE86" i="41" s="1"/>
  <c r="AJ86" i="41" s="1"/>
  <c r="AO86" i="41" s="1"/>
  <c r="AT86" i="41" s="1"/>
  <c r="H92" i="41"/>
  <c r="H98" i="41" s="1"/>
  <c r="Z98" i="41"/>
  <c r="U182" i="41"/>
  <c r="W109" i="41"/>
  <c r="W109" i="44" s="1"/>
  <c r="W26" i="41"/>
  <c r="W26" i="44" s="1"/>
  <c r="J71" i="41"/>
  <c r="J68" i="41"/>
  <c r="J61" i="41"/>
  <c r="Y176" i="41"/>
  <c r="AD63" i="41"/>
  <c r="Y68" i="41"/>
  <c r="H113" i="41"/>
  <c r="D61" i="41"/>
  <c r="Z176" i="41"/>
  <c r="AE63" i="41"/>
  <c r="L71" i="41"/>
  <c r="L65" i="41"/>
  <c r="Q177" i="41" s="1"/>
  <c r="L61" i="41"/>
  <c r="F61" i="41"/>
  <c r="V178" i="41"/>
  <c r="AA68" i="41"/>
  <c r="AA68" i="44" s="1"/>
  <c r="N68" i="41"/>
  <c r="N65" i="41"/>
  <c r="N61" i="41"/>
  <c r="J65" i="41"/>
  <c r="O68" i="41"/>
  <c r="T178" i="41" s="1"/>
  <c r="O71" i="41"/>
  <c r="O65" i="41"/>
  <c r="G72" i="41"/>
  <c r="M96" i="41"/>
  <c r="M103" i="41"/>
  <c r="M130" i="41"/>
  <c r="V177" i="41"/>
  <c r="AO123" i="41"/>
  <c r="O57" i="41"/>
  <c r="S178" i="41"/>
  <c r="X68" i="41"/>
  <c r="N71" i="41"/>
  <c r="P57" i="41"/>
  <c r="S175" i="41"/>
  <c r="AA177" i="41"/>
  <c r="AF65" i="41"/>
  <c r="AF65" i="44" s="1"/>
  <c r="T185" i="41"/>
  <c r="Y111" i="41"/>
  <c r="S65" i="41"/>
  <c r="I101" i="41"/>
  <c r="I105" i="41"/>
  <c r="M92" i="41"/>
  <c r="I98" i="41"/>
  <c r="AC98" i="41"/>
  <c r="X182" i="41"/>
  <c r="AH108" i="41"/>
  <c r="P52" i="41"/>
  <c r="P53" i="41" s="1"/>
  <c r="AC135" i="41"/>
  <c r="Q178" i="41"/>
  <c r="T65" i="41"/>
  <c r="P71" i="41"/>
  <c r="V183" i="41"/>
  <c r="Q52" i="41"/>
  <c r="Q53" i="41" s="1"/>
  <c r="AA53" i="41" s="1"/>
  <c r="Q71" i="41"/>
  <c r="AE108" i="41"/>
  <c r="AB108" i="41"/>
  <c r="AB108" i="44" s="1"/>
  <c r="AK123" i="41"/>
  <c r="AK123" i="44" s="1"/>
  <c r="I137" i="41"/>
  <c r="Y168" i="41"/>
  <c r="Z165" i="41"/>
  <c r="Z165" i="44" s="1"/>
  <c r="T137" i="41"/>
  <c r="T72" i="41"/>
  <c r="S137" i="41"/>
  <c r="S72" i="41"/>
  <c r="X183" i="41"/>
  <c r="AC101" i="41"/>
  <c r="AI108" i="41"/>
  <c r="X15" i="42"/>
  <c r="W15" i="42"/>
  <c r="W15" i="45" s="1"/>
  <c r="Q181" i="41"/>
  <c r="Y102" i="41"/>
  <c r="AH55" i="41"/>
  <c r="Q61" i="41"/>
  <c r="P105" i="41"/>
  <c r="P94" i="41"/>
  <c r="R92" i="41"/>
  <c r="P101" i="41"/>
  <c r="S185" i="41"/>
  <c r="X186" i="41"/>
  <c r="AC113" i="41"/>
  <c r="AR123" i="41"/>
  <c r="X129" i="41"/>
  <c r="X129" i="44" s="1"/>
  <c r="W129" i="41"/>
  <c r="W129" i="44" s="1"/>
  <c r="V33" i="46"/>
  <c r="T61" i="41"/>
  <c r="S176" i="41"/>
  <c r="W91" i="41"/>
  <c r="W91" i="44" s="1"/>
  <c r="U185" i="41"/>
  <c r="Z111" i="41"/>
  <c r="Z186" i="41"/>
  <c r="AE113" i="41"/>
  <c r="Z112" i="41"/>
  <c r="S187" i="41"/>
  <c r="X116" i="41"/>
  <c r="W35" i="41"/>
  <c r="W35" i="44" s="1"/>
  <c r="T176" i="41"/>
  <c r="G65" i="41"/>
  <c r="I68" i="41"/>
  <c r="AH88" i="41"/>
  <c r="T105" i="41"/>
  <c r="T94" i="41"/>
  <c r="T101" i="41"/>
  <c r="T98" i="41"/>
  <c r="V185" i="41"/>
  <c r="AA111" i="41"/>
  <c r="AA111" i="44" s="1"/>
  <c r="V110" i="44"/>
  <c r="AA113" i="41"/>
  <c r="AA113" i="44" s="1"/>
  <c r="X35" i="41"/>
  <c r="X35" i="44" s="1"/>
  <c r="V135" i="41"/>
  <c r="I65" i="41"/>
  <c r="S74" i="41"/>
  <c r="S76" i="41" s="1"/>
  <c r="S77" i="41" s="1"/>
  <c r="X77" i="41" s="1"/>
  <c r="R74" i="41"/>
  <c r="H75" i="41"/>
  <c r="H91" i="41" s="1"/>
  <c r="D91" i="41"/>
  <c r="U101" i="41"/>
  <c r="U94" i="41"/>
  <c r="U105" i="41"/>
  <c r="U106" i="41" s="1"/>
  <c r="H96" i="41"/>
  <c r="R101" i="41"/>
  <c r="X185" i="41"/>
  <c r="X110" i="41"/>
  <c r="AC111" i="41"/>
  <c r="U187" i="41"/>
  <c r="Z116" i="41"/>
  <c r="V187" i="41"/>
  <c r="AA116" i="41"/>
  <c r="AA116" i="44" s="1"/>
  <c r="X135" i="41"/>
  <c r="K68" i="41"/>
  <c r="K65" i="41"/>
  <c r="E61" i="41"/>
  <c r="E71" i="41"/>
  <c r="P83" i="41"/>
  <c r="O85" i="41"/>
  <c r="O86" i="41" s="1"/>
  <c r="AQ91" i="41"/>
  <c r="AA88" i="41"/>
  <c r="Q90" i="41"/>
  <c r="E101" i="41"/>
  <c r="E94" i="41"/>
  <c r="M120" i="41"/>
  <c r="M121" i="41" s="1"/>
  <c r="M109" i="41"/>
  <c r="M111" i="41"/>
  <c r="M118" i="41"/>
  <c r="Y116" i="41"/>
  <c r="S181" i="41"/>
  <c r="X96" i="41"/>
  <c r="Q105" i="41"/>
  <c r="Q106" i="41" s="1"/>
  <c r="M131" i="41"/>
  <c r="R131" i="41"/>
  <c r="Q94" i="41"/>
  <c r="X136" i="41"/>
  <c r="Z119" i="41"/>
  <c r="Z119" i="44" s="1"/>
  <c r="Y136" i="41"/>
  <c r="W124" i="41"/>
  <c r="W124" i="44" s="1"/>
  <c r="H42" i="42"/>
  <c r="I42" i="42"/>
  <c r="I62" i="42"/>
  <c r="Z181" i="41"/>
  <c r="AD123" i="41"/>
  <c r="AB123" i="41"/>
  <c r="AB123" i="44" s="1"/>
  <c r="K91" i="41"/>
  <c r="Q183" i="41"/>
  <c r="Q98" i="41"/>
  <c r="H116" i="41"/>
  <c r="M124" i="41"/>
  <c r="M98" i="41"/>
  <c r="AG123" i="41"/>
  <c r="AG123" i="44" s="1"/>
  <c r="AE96" i="41"/>
  <c r="R98" i="41"/>
  <c r="S183" i="41"/>
  <c r="Q185" i="41"/>
  <c r="U181" i="41"/>
  <c r="L152" i="41"/>
  <c r="W19" i="43"/>
  <c r="W19" i="46" s="1"/>
  <c r="W27" i="42"/>
  <c r="W27" i="45" s="1"/>
  <c r="T62" i="42"/>
  <c r="T42" i="42"/>
  <c r="Y27" i="42"/>
  <c r="Y27" i="45" s="1"/>
  <c r="X19" i="43"/>
  <c r="X19" i="46" s="1"/>
  <c r="H54" i="42"/>
  <c r="T22" i="43"/>
  <c r="U7" i="43"/>
  <c r="T56" i="42"/>
  <c r="R9" i="43"/>
  <c r="Q53" i="43"/>
  <c r="S180" i="41"/>
  <c r="AF143" i="41"/>
  <c r="Q152" i="41"/>
  <c r="X13" i="42"/>
  <c r="X13" i="45" s="1"/>
  <c r="F62" i="42"/>
  <c r="F42" i="42"/>
  <c r="V136" i="41"/>
  <c r="D168" i="41"/>
  <c r="D170" i="41" s="1"/>
  <c r="W17" i="43"/>
  <c r="W17" i="46" s="1"/>
  <c r="X10" i="42"/>
  <c r="X10" i="45" s="1"/>
  <c r="W10" i="42"/>
  <c r="W10" i="45" s="1"/>
  <c r="G42" i="42"/>
  <c r="G62" i="42"/>
  <c r="L52" i="42"/>
  <c r="L52" i="45" s="1"/>
  <c r="L48" i="42"/>
  <c r="L48" i="45" s="1"/>
  <c r="L50" i="42"/>
  <c r="L50" i="45" s="1"/>
  <c r="AF50" i="42"/>
  <c r="AF50" i="45" s="1"/>
  <c r="N52" i="42"/>
  <c r="N52" i="45" s="1"/>
  <c r="N48" i="42"/>
  <c r="N48" i="45" s="1"/>
  <c r="N50" i="42"/>
  <c r="N50" i="45" s="1"/>
  <c r="AF47" i="42"/>
  <c r="AA48" i="42"/>
  <c r="AA48" i="45" s="1"/>
  <c r="F13" i="43"/>
  <c r="G13" i="43" s="1"/>
  <c r="E22" i="43"/>
  <c r="H17" i="43"/>
  <c r="G17" i="43"/>
  <c r="E47" i="43"/>
  <c r="E63" i="42"/>
  <c r="E30" i="42"/>
  <c r="E35" i="42" s="1"/>
  <c r="E42" i="42" s="1"/>
  <c r="O52" i="42"/>
  <c r="O52" i="45" s="1"/>
  <c r="O48" i="42"/>
  <c r="O48" i="45" s="1"/>
  <c r="O50" i="42"/>
  <c r="O50" i="45" s="1"/>
  <c r="J42" i="42"/>
  <c r="P48" i="42"/>
  <c r="P48" i="45" s="1"/>
  <c r="P52" i="42"/>
  <c r="P52" i="45" s="1"/>
  <c r="AD48" i="42"/>
  <c r="AD48" i="45" s="1"/>
  <c r="AI47" i="42"/>
  <c r="P50" i="42"/>
  <c r="P50" i="45" s="1"/>
  <c r="X94" i="41"/>
  <c r="R155" i="41"/>
  <c r="Q48" i="42"/>
  <c r="Q48" i="45" s="1"/>
  <c r="Q50" i="42"/>
  <c r="Q50" i="45" s="1"/>
  <c r="Q52" i="42"/>
  <c r="Q52" i="45" s="1"/>
  <c r="AK50" i="42"/>
  <c r="AK50" i="45" s="1"/>
  <c r="O173" i="41"/>
  <c r="J47" i="43"/>
  <c r="J63" i="42"/>
  <c r="J30" i="42"/>
  <c r="J35" i="42" s="1"/>
  <c r="AH47" i="42"/>
  <c r="K47" i="43"/>
  <c r="K62" i="42"/>
  <c r="K30" i="42"/>
  <c r="K35" i="42" s="1"/>
  <c r="K42" i="42" s="1"/>
  <c r="K145" i="41"/>
  <c r="L47" i="43"/>
  <c r="L30" i="42"/>
  <c r="L35" i="42" s="1"/>
  <c r="L42" i="42" s="1"/>
  <c r="L62" i="42"/>
  <c r="M28" i="42"/>
  <c r="L145" i="41"/>
  <c r="E62" i="42"/>
  <c r="AK34" i="43"/>
  <c r="AK34" i="46" s="1"/>
  <c r="AJ61" i="42"/>
  <c r="AJ61" i="45" s="1"/>
  <c r="AL154" i="41"/>
  <c r="AL154" i="44" s="1"/>
  <c r="W155" i="41"/>
  <c r="N62" i="42"/>
  <c r="N63" i="42"/>
  <c r="N30" i="42"/>
  <c r="N35" i="42" s="1"/>
  <c r="N47" i="43"/>
  <c r="AA51" i="42"/>
  <c r="AA51" i="45" s="1"/>
  <c r="J62" i="42"/>
  <c r="X55" i="42"/>
  <c r="Y55" i="42"/>
  <c r="Y55" i="45" s="1"/>
  <c r="U53" i="43"/>
  <c r="X53" i="43" s="1"/>
  <c r="G56" i="42"/>
  <c r="R8" i="43"/>
  <c r="P8" i="43"/>
  <c r="Q8" i="43" s="1"/>
  <c r="K13" i="43"/>
  <c r="L13" i="43" s="1"/>
  <c r="J22" i="43"/>
  <c r="J55" i="43" s="1"/>
  <c r="J148" i="41" s="1"/>
  <c r="P15" i="43"/>
  <c r="Q15" i="43" s="1"/>
  <c r="K24" i="43"/>
  <c r="J27" i="43"/>
  <c r="AB155" i="41"/>
  <c r="Q173" i="41"/>
  <c r="W20" i="43"/>
  <c r="W20" i="46" s="1"/>
  <c r="X25" i="42"/>
  <c r="W25" i="42"/>
  <c r="D42" i="42"/>
  <c r="AH51" i="42"/>
  <c r="AC52" i="42"/>
  <c r="AC52" i="45" s="1"/>
  <c r="U10" i="43"/>
  <c r="U54" i="43" s="1"/>
  <c r="T54" i="43"/>
  <c r="O53" i="43"/>
  <c r="K56" i="42"/>
  <c r="M7" i="43"/>
  <c r="W9" i="43"/>
  <c r="W9" i="46" s="1"/>
  <c r="T56" i="43"/>
  <c r="U25" i="43"/>
  <c r="U56" i="43" s="1"/>
  <c r="H30" i="42"/>
  <c r="H35" i="42" s="1"/>
  <c r="O22" i="43"/>
  <c r="O55" i="43" s="1"/>
  <c r="O148" i="41" s="1"/>
  <c r="U8" i="43"/>
  <c r="F53" i="43"/>
  <c r="G12" i="43"/>
  <c r="H12" i="43" s="1"/>
  <c r="H53" i="43" s="1"/>
  <c r="Q13" i="43"/>
  <c r="R13" i="43"/>
  <c r="H18" i="43"/>
  <c r="X21" i="43"/>
  <c r="X21" i="46" s="1"/>
  <c r="P62" i="42"/>
  <c r="P42" i="42"/>
  <c r="AJ51" i="42"/>
  <c r="P56" i="42"/>
  <c r="U37" i="43"/>
  <c r="W29" i="43"/>
  <c r="W29" i="46" s="1"/>
  <c r="Y23" i="42"/>
  <c r="Y23" i="45" s="1"/>
  <c r="X40" i="42"/>
  <c r="W40" i="42"/>
  <c r="W40" i="45" s="1"/>
  <c r="U42" i="42"/>
  <c r="M21" i="43"/>
  <c r="I22" i="43"/>
  <c r="I55" i="43" s="1"/>
  <c r="I148" i="41" s="1"/>
  <c r="M9" i="43"/>
  <c r="F57" i="43"/>
  <c r="G34" i="43"/>
  <c r="G57" i="43" s="1"/>
  <c r="X26" i="42"/>
  <c r="W26" i="42"/>
  <c r="W26" i="45" s="1"/>
  <c r="Q42" i="42"/>
  <c r="W63" i="42"/>
  <c r="W63" i="45" s="1"/>
  <c r="R37" i="42"/>
  <c r="R41" i="42" s="1"/>
  <c r="R42" i="42" s="1"/>
  <c r="E50" i="42"/>
  <c r="E50" i="45" s="1"/>
  <c r="E48" i="42"/>
  <c r="E48" i="45" s="1"/>
  <c r="Y50" i="42"/>
  <c r="Y50" i="45" s="1"/>
  <c r="Y52" i="42"/>
  <c r="Y52" i="45" s="1"/>
  <c r="Y48" i="42"/>
  <c r="Y48" i="45" s="1"/>
  <c r="X29" i="43"/>
  <c r="X29" i="46" s="1"/>
  <c r="X47" i="43"/>
  <c r="X47" i="46" s="1"/>
  <c r="X63" i="42"/>
  <c r="X63" i="45" s="1"/>
  <c r="F19" i="43"/>
  <c r="G19" i="43" s="1"/>
  <c r="H19" i="43"/>
  <c r="H21" i="43"/>
  <c r="R47" i="43"/>
  <c r="S62" i="42"/>
  <c r="U63" i="42"/>
  <c r="F10" i="43"/>
  <c r="R18" i="43"/>
  <c r="E56" i="43"/>
  <c r="G26" i="43"/>
  <c r="H26" i="43" s="1"/>
  <c r="AG34" i="43"/>
  <c r="AG34" i="46" s="1"/>
  <c r="G35" i="43"/>
  <c r="H35" i="43" s="1"/>
  <c r="W36" i="43"/>
  <c r="W36" i="46" s="1"/>
  <c r="M41" i="42"/>
  <c r="U62" i="42"/>
  <c r="M8" i="43"/>
  <c r="L54" i="43"/>
  <c r="O27" i="43"/>
  <c r="L56" i="43"/>
  <c r="M25" i="43"/>
  <c r="M56" i="43" s="1"/>
  <c r="Q38" i="43"/>
  <c r="R38" i="43"/>
  <c r="V47" i="43"/>
  <c r="V47" i="46" s="1"/>
  <c r="N42" i="42"/>
  <c r="AD52" i="42"/>
  <c r="AD52" i="45" s="1"/>
  <c r="X54" i="42"/>
  <c r="X54" i="45" s="1"/>
  <c r="K8" i="43"/>
  <c r="L8" i="43" s="1"/>
  <c r="M10" i="43"/>
  <c r="M54" i="43" s="1"/>
  <c r="P24" i="43"/>
  <c r="O56" i="43"/>
  <c r="E37" i="43"/>
  <c r="F29" i="43"/>
  <c r="R33" i="43"/>
  <c r="W47" i="43"/>
  <c r="W47" i="46" s="1"/>
  <c r="O54" i="43"/>
  <c r="Q25" i="43"/>
  <c r="P56" i="43"/>
  <c r="L26" i="43"/>
  <c r="M26" i="43" s="1"/>
  <c r="I47" i="43"/>
  <c r="I63" i="42"/>
  <c r="R12" i="43"/>
  <c r="R53" i="43" s="1"/>
  <c r="P53" i="43"/>
  <c r="E53" i="43"/>
  <c r="R17" i="43"/>
  <c r="K56" i="43"/>
  <c r="K35" i="43"/>
  <c r="L35" i="43" s="1"/>
  <c r="S22" i="43"/>
  <c r="S55" i="43" s="1"/>
  <c r="S148" i="41" s="1"/>
  <c r="D39" i="43"/>
  <c r="D41" i="43" s="1"/>
  <c r="K34" i="43"/>
  <c r="F24" i="43"/>
  <c r="E27" i="43"/>
  <c r="P29" i="43"/>
  <c r="R34" i="43"/>
  <c r="H7" i="43"/>
  <c r="K54" i="43"/>
  <c r="K12" i="43"/>
  <c r="J53" i="43"/>
  <c r="M19" i="43"/>
  <c r="I37" i="43"/>
  <c r="J31" i="43"/>
  <c r="K31" i="43" s="1"/>
  <c r="H32" i="43"/>
  <c r="P57" i="43"/>
  <c r="T37" i="43"/>
  <c r="T39" i="43" s="1"/>
  <c r="H30" i="43"/>
  <c r="U35" i="43"/>
  <c r="J57" i="43"/>
  <c r="M30" i="43"/>
  <c r="U34" i="43"/>
  <c r="U57" i="43" s="1"/>
  <c r="W34" i="43"/>
  <c r="W34" i="46" s="1"/>
  <c r="O57" i="43"/>
  <c r="N37" i="43"/>
  <c r="N39" i="43" s="1"/>
  <c r="R30" i="43"/>
  <c r="M33" i="43"/>
  <c r="AV34" i="43"/>
  <c r="O37" i="43"/>
  <c r="Q32" i="43"/>
  <c r="R32" i="43" s="1"/>
  <c r="AJ56" i="43"/>
  <c r="AJ56" i="46" s="1"/>
  <c r="H16" i="43"/>
  <c r="M17" i="43"/>
  <c r="R36" i="43"/>
  <c r="S39" i="43"/>
  <c r="H38" i="43"/>
  <c r="H34" i="43"/>
  <c r="H57" i="43" s="1"/>
  <c r="P10" i="43"/>
  <c r="F25" i="43"/>
  <c r="AF61" i="38"/>
  <c r="AF35" i="36"/>
  <c r="AA35" i="36"/>
  <c r="V35" i="36"/>
  <c r="AU51" i="38"/>
  <c r="AT51" i="38"/>
  <c r="AS51" i="38"/>
  <c r="AR51" i="38"/>
  <c r="AU49" i="38"/>
  <c r="AT49" i="38"/>
  <c r="AS49" i="38"/>
  <c r="AR49" i="38"/>
  <c r="AU47" i="38"/>
  <c r="AT47" i="38"/>
  <c r="AS47" i="38"/>
  <c r="AR47" i="38"/>
  <c r="AP51" i="38"/>
  <c r="AO51" i="38"/>
  <c r="AN51" i="38"/>
  <c r="AM51" i="38"/>
  <c r="AP49" i="38"/>
  <c r="AO49" i="38"/>
  <c r="AN49" i="38"/>
  <c r="AM49" i="38"/>
  <c r="AP47" i="38"/>
  <c r="AO47" i="38"/>
  <c r="AN47" i="38"/>
  <c r="AM47" i="38"/>
  <c r="AK51" i="38"/>
  <c r="AJ51" i="38"/>
  <c r="AI51" i="38"/>
  <c r="AH51" i="38"/>
  <c r="AK49" i="38"/>
  <c r="AJ49" i="38"/>
  <c r="AI49" i="38"/>
  <c r="AH49" i="38"/>
  <c r="AK47" i="38"/>
  <c r="AJ47" i="38"/>
  <c r="AI47" i="38"/>
  <c r="AH47" i="38"/>
  <c r="AF51" i="38"/>
  <c r="AE51" i="38"/>
  <c r="AD51" i="38"/>
  <c r="AC51" i="38"/>
  <c r="AF49" i="38"/>
  <c r="AE49" i="38"/>
  <c r="AD49" i="38"/>
  <c r="AC49" i="38"/>
  <c r="AF47" i="38"/>
  <c r="AE47" i="38"/>
  <c r="AD47" i="38"/>
  <c r="AC47" i="38"/>
  <c r="AA51" i="38"/>
  <c r="Z51" i="38"/>
  <c r="Y51" i="38"/>
  <c r="X51" i="38"/>
  <c r="AA49" i="38"/>
  <c r="Z49" i="38"/>
  <c r="Y49" i="38"/>
  <c r="X49" i="38"/>
  <c r="AA47" i="38"/>
  <c r="Z47" i="38"/>
  <c r="Y47" i="38"/>
  <c r="X47" i="38"/>
  <c r="V51" i="38"/>
  <c r="V49" i="38"/>
  <c r="V47" i="38"/>
  <c r="AF68" i="36"/>
  <c r="AL63" i="39"/>
  <c r="G37" i="36"/>
  <c r="L37" i="36"/>
  <c r="Q37" i="36"/>
  <c r="D57" i="39"/>
  <c r="AA63" i="36"/>
  <c r="Z63" i="36"/>
  <c r="V144" i="36"/>
  <c r="X144" i="36" s="1"/>
  <c r="Y144" i="36" s="1"/>
  <c r="Z144" i="36" s="1"/>
  <c r="AA144" i="36" s="1"/>
  <c r="AC144" i="36" s="1"/>
  <c r="AD144" i="36" s="1"/>
  <c r="AE144" i="36" s="1"/>
  <c r="AF144" i="36" s="1"/>
  <c r="AH144" i="36" s="1"/>
  <c r="AI144" i="36" s="1"/>
  <c r="AJ144" i="36" s="1"/>
  <c r="AK144" i="36" s="1"/>
  <c r="AM144" i="36" s="1"/>
  <c r="AN144" i="36" s="1"/>
  <c r="AO144" i="36" s="1"/>
  <c r="AP144" i="36" s="1"/>
  <c r="AR144" i="36" s="1"/>
  <c r="AS144" i="36" s="1"/>
  <c r="AT144" i="36" s="1"/>
  <c r="AU144" i="36" s="1"/>
  <c r="V145" i="36"/>
  <c r="X145" i="36" s="1"/>
  <c r="Y145" i="36" s="1"/>
  <c r="Z145" i="36" s="1"/>
  <c r="AA145" i="36" s="1"/>
  <c r="AC145" i="36" s="1"/>
  <c r="AD145" i="36" s="1"/>
  <c r="AE145" i="36" s="1"/>
  <c r="AF145" i="36" s="1"/>
  <c r="AH145" i="36" s="1"/>
  <c r="AI145" i="36" s="1"/>
  <c r="AJ145" i="36" s="1"/>
  <c r="AK145" i="36" s="1"/>
  <c r="AM145" i="36" s="1"/>
  <c r="AN145" i="36" s="1"/>
  <c r="AO145" i="36" s="1"/>
  <c r="AP145" i="36" s="1"/>
  <c r="AR145" i="36" s="1"/>
  <c r="AS145" i="36" s="1"/>
  <c r="AT145" i="36" s="1"/>
  <c r="AU145" i="36" s="1"/>
  <c r="AV66" i="38"/>
  <c r="AQ66" i="38"/>
  <c r="AL66" i="38"/>
  <c r="AG66" i="38"/>
  <c r="AB66" i="38"/>
  <c r="W66" i="38"/>
  <c r="W67" i="38"/>
  <c r="M67" i="38"/>
  <c r="R67" i="38"/>
  <c r="AP44" i="48" l="1"/>
  <c r="AK44" i="53"/>
  <c r="AT44" i="48"/>
  <c r="AT44" i="53" s="1"/>
  <c r="AO44" i="53"/>
  <c r="AC153" i="48"/>
  <c r="AD153" i="48" s="1"/>
  <c r="AE153" i="48" s="1"/>
  <c r="AA6" i="48"/>
  <c r="AA134" i="48" s="1"/>
  <c r="AJ13" i="49"/>
  <c r="AB6" i="48"/>
  <c r="AU143" i="48"/>
  <c r="AI102" i="48"/>
  <c r="AH14" i="48"/>
  <c r="AD85" i="48"/>
  <c r="AD87" i="48" s="1"/>
  <c r="AE83" i="48"/>
  <c r="AK69" i="48"/>
  <c r="AL69" i="48" s="1"/>
  <c r="AF56" i="49"/>
  <c r="X64" i="48"/>
  <c r="X64" i="53" s="1"/>
  <c r="X60" i="48"/>
  <c r="X60" i="53" s="1"/>
  <c r="X67" i="48"/>
  <c r="X67" i="53" s="1"/>
  <c r="Y46" i="48"/>
  <c r="Y46" i="53" s="1"/>
  <c r="Y5" i="48"/>
  <c r="Y62" i="48"/>
  <c r="Y62" i="53" s="1"/>
  <c r="Y59" i="48"/>
  <c r="Y59" i="53" s="1"/>
  <c r="AH21" i="50"/>
  <c r="AI23" i="49"/>
  <c r="AD20" i="50"/>
  <c r="AE25" i="49"/>
  <c r="X10" i="48"/>
  <c r="X10" i="53" s="1"/>
  <c r="N41" i="50"/>
  <c r="R41" i="50"/>
  <c r="Z41" i="48"/>
  <c r="Z43" i="48"/>
  <c r="Z45" i="48" s="1"/>
  <c r="Z45" i="53" s="1"/>
  <c r="Y57" i="48"/>
  <c r="X8" i="48"/>
  <c r="X8" i="53" s="1"/>
  <c r="AI35" i="48"/>
  <c r="AH17" i="50"/>
  <c r="AI10" i="49"/>
  <c r="AH9" i="50"/>
  <c r="AK77" i="48"/>
  <c r="I46" i="50"/>
  <c r="I48" i="50" s="1"/>
  <c r="I11" i="49"/>
  <c r="I20" i="49" s="1"/>
  <c r="I144" i="48"/>
  <c r="K40" i="50"/>
  <c r="K41" i="50" s="1"/>
  <c r="J6" i="49"/>
  <c r="AH136" i="48"/>
  <c r="Y79" i="48"/>
  <c r="Y95" i="48"/>
  <c r="Y92" i="48"/>
  <c r="X133" i="48"/>
  <c r="X133" i="53" s="1"/>
  <c r="AF29" i="50"/>
  <c r="AF47" i="50"/>
  <c r="AF63" i="49"/>
  <c r="AH28" i="49"/>
  <c r="AG28" i="49"/>
  <c r="AH22" i="48"/>
  <c r="AI136" i="48"/>
  <c r="AJ119" i="48"/>
  <c r="AI16" i="48"/>
  <c r="AI9" i="50" s="1"/>
  <c r="AI10" i="50" s="1"/>
  <c r="AI120" i="48"/>
  <c r="AI121" i="48" s="1"/>
  <c r="Z74" i="48"/>
  <c r="Z76" i="48"/>
  <c r="Z78" i="48" s="1"/>
  <c r="Y90" i="48"/>
  <c r="AF8" i="50"/>
  <c r="AG8" i="50" s="1"/>
  <c r="AG16" i="49"/>
  <c r="AH172" i="48"/>
  <c r="AH28" i="48" s="1"/>
  <c r="AH18" i="48"/>
  <c r="AO54" i="49"/>
  <c r="AR54" i="49" s="1"/>
  <c r="AM118" i="48"/>
  <c r="AJ165" i="48"/>
  <c r="AI168" i="48"/>
  <c r="AI170" i="48" s="1"/>
  <c r="AT55" i="49"/>
  <c r="AH56" i="49"/>
  <c r="AH19" i="50"/>
  <c r="AI27" i="49"/>
  <c r="AH16" i="49"/>
  <c r="AH8" i="50" s="1"/>
  <c r="AO163" i="48"/>
  <c r="AN117" i="48"/>
  <c r="AN118" i="48" s="1"/>
  <c r="AN129" i="48"/>
  <c r="AP54" i="49"/>
  <c r="X93" i="48"/>
  <c r="X100" i="48"/>
  <c r="X97" i="48"/>
  <c r="AD50" i="48"/>
  <c r="AC52" i="48"/>
  <c r="AC54" i="48" s="1"/>
  <c r="AB54" i="48"/>
  <c r="AE52" i="42"/>
  <c r="AE52" i="45" s="1"/>
  <c r="AE51" i="45"/>
  <c r="AO51" i="42"/>
  <c r="AJ51" i="45"/>
  <c r="AM51" i="42"/>
  <c r="AH51" i="45"/>
  <c r="AI51" i="42"/>
  <c r="AD51" i="45"/>
  <c r="AE49" i="45"/>
  <c r="AJ49" i="42"/>
  <c r="AD49" i="45"/>
  <c r="AI49" i="42"/>
  <c r="AC50" i="42"/>
  <c r="AC50" i="45" s="1"/>
  <c r="AC49" i="45"/>
  <c r="AH49" i="42"/>
  <c r="AN47" i="42"/>
  <c r="AN47" i="45" s="1"/>
  <c r="AI47" i="45"/>
  <c r="AJ47" i="42"/>
  <c r="AE47" i="45"/>
  <c r="AE48" i="42"/>
  <c r="AE48" i="45" s="1"/>
  <c r="AM47" i="42"/>
  <c r="AM47" i="45" s="1"/>
  <c r="AH47" i="45"/>
  <c r="AC48" i="42"/>
  <c r="AC48" i="45" s="1"/>
  <c r="AC47" i="45"/>
  <c r="AF56" i="43"/>
  <c r="AF56" i="46" s="1"/>
  <c r="AE56" i="46"/>
  <c r="AL34" i="43"/>
  <c r="AL34" i="46" s="1"/>
  <c r="AC163" i="41"/>
  <c r="AC163" i="44" s="1"/>
  <c r="AA56" i="43"/>
  <c r="AA56" i="46" s="1"/>
  <c r="Z56" i="46"/>
  <c r="Z173" i="41"/>
  <c r="Y173" i="44"/>
  <c r="Y170" i="41"/>
  <c r="Y170" i="44" s="1"/>
  <c r="Y168" i="44"/>
  <c r="X170" i="41"/>
  <c r="X168" i="44"/>
  <c r="Z102" i="41"/>
  <c r="Y102" i="44"/>
  <c r="V170" i="44"/>
  <c r="V18" i="41"/>
  <c r="Z117" i="41"/>
  <c r="Y117" i="44"/>
  <c r="Y30" i="41"/>
  <c r="X30" i="44"/>
  <c r="Y145" i="44"/>
  <c r="Y22" i="41"/>
  <c r="Y22" i="44" s="1"/>
  <c r="Y10" i="43"/>
  <c r="Y10" i="46" s="1"/>
  <c r="Y9" i="46"/>
  <c r="W116" i="41"/>
  <c r="W116" i="44" s="1"/>
  <c r="W115" i="44"/>
  <c r="W112" i="44"/>
  <c r="W113" i="41"/>
  <c r="W113" i="44" s="1"/>
  <c r="AB88" i="41"/>
  <c r="AB88" i="44" s="1"/>
  <c r="AA88" i="44"/>
  <c r="AF53" i="41"/>
  <c r="AA53" i="44"/>
  <c r="Z55" i="42"/>
  <c r="Z55" i="45" s="1"/>
  <c r="X55" i="45"/>
  <c r="AK47" i="42"/>
  <c r="AF47" i="45"/>
  <c r="AP49" i="42"/>
  <c r="AK49" i="45"/>
  <c r="Y40" i="42"/>
  <c r="X40" i="45"/>
  <c r="Y39" i="45"/>
  <c r="Z39" i="42"/>
  <c r="AA34" i="42"/>
  <c r="Z34" i="45"/>
  <c r="AA33" i="42"/>
  <c r="Z33" i="45"/>
  <c r="Z32" i="42"/>
  <c r="Y32" i="45"/>
  <c r="Z31" i="42"/>
  <c r="Y29" i="43"/>
  <c r="Y29" i="46" s="1"/>
  <c r="Y28" i="45"/>
  <c r="Z22" i="41"/>
  <c r="Z22" i="44" s="1"/>
  <c r="Y47" i="43"/>
  <c r="Y47" i="46" s="1"/>
  <c r="Z28" i="42"/>
  <c r="Z28" i="45" s="1"/>
  <c r="Y26" i="42"/>
  <c r="X26" i="45"/>
  <c r="AA24" i="42"/>
  <c r="Z24" i="45"/>
  <c r="Y19" i="45"/>
  <c r="Z19" i="42"/>
  <c r="Z18" i="42"/>
  <c r="Y18" i="45"/>
  <c r="Y15" i="42"/>
  <c r="X15" i="45"/>
  <c r="Y53" i="43"/>
  <c r="X53" i="46"/>
  <c r="Z31" i="41"/>
  <c r="Y31" i="44"/>
  <c r="Z26" i="41"/>
  <c r="Y26" i="44"/>
  <c r="V57" i="43"/>
  <c r="V57" i="46" s="1"/>
  <c r="W33" i="43"/>
  <c r="W33" i="46" s="1"/>
  <c r="V186" i="44"/>
  <c r="T182" i="44"/>
  <c r="S180" i="44"/>
  <c r="X175" i="44"/>
  <c r="Q137" i="44"/>
  <c r="X187" i="44"/>
  <c r="T183" i="44"/>
  <c r="X186" i="44"/>
  <c r="T180" i="44"/>
  <c r="D137" i="44"/>
  <c r="X181" i="44"/>
  <c r="O137" i="44"/>
  <c r="Y175" i="44"/>
  <c r="V185" i="44"/>
  <c r="T178" i="44"/>
  <c r="I137" i="44"/>
  <c r="Z181" i="44"/>
  <c r="Y187" i="44"/>
  <c r="S177" i="44"/>
  <c r="E137" i="44"/>
  <c r="Q182" i="44"/>
  <c r="X176" i="44"/>
  <c r="Y181" i="44"/>
  <c r="Q183" i="44"/>
  <c r="U175" i="44"/>
  <c r="X185" i="44"/>
  <c r="Q180" i="44"/>
  <c r="J137" i="44"/>
  <c r="AF177" i="44"/>
  <c r="V181" i="44"/>
  <c r="P137" i="44"/>
  <c r="G137" i="44"/>
  <c r="V175" i="44"/>
  <c r="S183" i="44"/>
  <c r="AA187" i="44"/>
  <c r="U178" i="44"/>
  <c r="K137" i="44"/>
  <c r="AE186" i="44"/>
  <c r="T177" i="44"/>
  <c r="Q178" i="44"/>
  <c r="U137" i="44"/>
  <c r="Z185" i="44"/>
  <c r="U177" i="44"/>
  <c r="Y176" i="44"/>
  <c r="L137" i="44"/>
  <c r="U180" i="44"/>
  <c r="Z187" i="44"/>
  <c r="Y186" i="44"/>
  <c r="S182" i="44"/>
  <c r="Z176" i="44"/>
  <c r="AD135" i="44"/>
  <c r="S178" i="44"/>
  <c r="N137" i="44"/>
  <c r="U182" i="44"/>
  <c r="S137" i="44"/>
  <c r="Y185" i="44"/>
  <c r="AE135" i="44"/>
  <c r="V177" i="44"/>
  <c r="Q177" i="44"/>
  <c r="U183" i="44"/>
  <c r="AC77" i="41"/>
  <c r="F27" i="43"/>
  <c r="G24" i="43"/>
  <c r="H13" i="43"/>
  <c r="X83" i="41"/>
  <c r="X83" i="44" s="1"/>
  <c r="W83" i="41"/>
  <c r="W83" i="44" s="1"/>
  <c r="V85" i="41"/>
  <c r="V85" i="44" s="1"/>
  <c r="X20" i="43"/>
  <c r="Y25" i="42"/>
  <c r="AM48" i="42"/>
  <c r="AM48" i="45" s="1"/>
  <c r="AH48" i="42"/>
  <c r="AH48" i="45" s="1"/>
  <c r="AF113" i="41"/>
  <c r="AF113" i="44" s="1"/>
  <c r="AA186" i="41"/>
  <c r="AA112" i="41"/>
  <c r="Y129" i="41"/>
  <c r="Y14" i="41" s="1"/>
  <c r="Y14" i="44" s="1"/>
  <c r="X14" i="41"/>
  <c r="X14" i="44" s="1"/>
  <c r="AC176" i="41"/>
  <c r="AH63" i="41"/>
  <c r="AH63" i="44" s="1"/>
  <c r="Q141" i="41"/>
  <c r="Q23" i="41"/>
  <c r="Q19" i="41"/>
  <c r="L140" i="41"/>
  <c r="V176" i="41"/>
  <c r="AA63" i="44"/>
  <c r="AA176" i="44" s="1"/>
  <c r="S141" i="41"/>
  <c r="S23" i="41"/>
  <c r="S19" i="41"/>
  <c r="Y16" i="42"/>
  <c r="Y16" i="45" s="1"/>
  <c r="AD176" i="41"/>
  <c r="AI63" i="41"/>
  <c r="P54" i="43"/>
  <c r="R10" i="43"/>
  <c r="R54" i="43" s="1"/>
  <c r="Q10" i="43"/>
  <c r="K37" i="43"/>
  <c r="L31" i="43"/>
  <c r="Q180" i="41"/>
  <c r="M31" i="43"/>
  <c r="E40" i="43"/>
  <c r="D6" i="42"/>
  <c r="Y21" i="43"/>
  <c r="Y21" i="46" s="1"/>
  <c r="Z23" i="42"/>
  <c r="Z23" i="45" s="1"/>
  <c r="AI48" i="42"/>
  <c r="AI48" i="45" s="1"/>
  <c r="AA185" i="41"/>
  <c r="AF111" i="41"/>
  <c r="AF111" i="44" s="1"/>
  <c r="AA110" i="41"/>
  <c r="AA110" i="44" s="1"/>
  <c r="AP123" i="41"/>
  <c r="AP123" i="44" s="1"/>
  <c r="N137" i="41"/>
  <c r="N72" i="41"/>
  <c r="AI143" i="41"/>
  <c r="AJ143" i="41" s="1"/>
  <c r="AH143" i="41"/>
  <c r="Z47" i="43"/>
  <c r="Z47" i="46" s="1"/>
  <c r="AA28" i="42"/>
  <c r="AA28" i="45" s="1"/>
  <c r="Y178" i="41"/>
  <c r="AD68" i="41"/>
  <c r="I39" i="43"/>
  <c r="Y54" i="42"/>
  <c r="Y54" i="45" s="1"/>
  <c r="M22" i="43"/>
  <c r="W8" i="43"/>
  <c r="W8" i="46" s="1"/>
  <c r="W16" i="42"/>
  <c r="W16" i="45" s="1"/>
  <c r="X180" i="41"/>
  <c r="AC94" i="41"/>
  <c r="AH52" i="42"/>
  <c r="AH52" i="45" s="1"/>
  <c r="D173" i="41"/>
  <c r="D18" i="41"/>
  <c r="H18" i="41" s="1"/>
  <c r="H19" i="41" s="1"/>
  <c r="AC112" i="41"/>
  <c r="AC186" i="41"/>
  <c r="AH113" i="41"/>
  <c r="AM108" i="41"/>
  <c r="X178" i="41"/>
  <c r="AC68" i="41"/>
  <c r="O137" i="41"/>
  <c r="O72" i="41"/>
  <c r="I141" i="41"/>
  <c r="I23" i="41"/>
  <c r="I19" i="41"/>
  <c r="M42" i="42"/>
  <c r="AE181" i="41"/>
  <c r="AJ96" i="41"/>
  <c r="Q85" i="41"/>
  <c r="Q86" i="41" s="1"/>
  <c r="AA86" i="41" s="1"/>
  <c r="P90" i="41"/>
  <c r="P85" i="41"/>
  <c r="P86" i="41" s="1"/>
  <c r="AE186" i="41"/>
  <c r="AJ113" i="41"/>
  <c r="AE112" i="41"/>
  <c r="AN108" i="41"/>
  <c r="AB109" i="41"/>
  <c r="AB109" i="44" s="1"/>
  <c r="L137" i="41"/>
  <c r="L72" i="41"/>
  <c r="AF108" i="41"/>
  <c r="AF108" i="44" s="1"/>
  <c r="P141" i="41"/>
  <c r="P23" i="41"/>
  <c r="P19" i="41"/>
  <c r="M140" i="41"/>
  <c r="M17" i="41"/>
  <c r="D141" i="41"/>
  <c r="D23" i="41"/>
  <c r="D19" i="41"/>
  <c r="AA178" i="41"/>
  <c r="AF68" i="41"/>
  <c r="AF68" i="44" s="1"/>
  <c r="Q182" i="41"/>
  <c r="AS88" i="41"/>
  <c r="K57" i="43"/>
  <c r="L34" i="43"/>
  <c r="L57" i="43" s="1"/>
  <c r="N55" i="43"/>
  <c r="N148" i="41" s="1"/>
  <c r="K22" i="43"/>
  <c r="L24" i="43"/>
  <c r="K27" i="43"/>
  <c r="X16" i="42"/>
  <c r="M47" i="43"/>
  <c r="M67" i="42"/>
  <c r="AS47" i="42"/>
  <c r="AN48" i="42"/>
  <c r="AN48" i="45" s="1"/>
  <c r="U22" i="43"/>
  <c r="U56" i="42"/>
  <c r="AB124" i="41"/>
  <c r="AB124" i="44" s="1"/>
  <c r="AC96" i="41"/>
  <c r="X181" i="41"/>
  <c r="E72" i="41"/>
  <c r="E137" i="41"/>
  <c r="U180" i="41"/>
  <c r="Z94" i="41"/>
  <c r="T182" i="41"/>
  <c r="Y98" i="41"/>
  <c r="AC182" i="41"/>
  <c r="AH98" i="41"/>
  <c r="J137" i="41"/>
  <c r="J72" i="41"/>
  <c r="AF183" i="41"/>
  <c r="AK101" i="41"/>
  <c r="AK101" i="44" s="1"/>
  <c r="U178" i="41"/>
  <c r="Z68" i="41"/>
  <c r="J143" i="41"/>
  <c r="J25" i="41"/>
  <c r="J27" i="41" s="1"/>
  <c r="L141" i="41"/>
  <c r="L23" i="41"/>
  <c r="L25" i="41" s="1"/>
  <c r="L27" i="41" s="1"/>
  <c r="L19" i="41"/>
  <c r="M30" i="42"/>
  <c r="M35" i="42" s="1"/>
  <c r="U27" i="43"/>
  <c r="R15" i="43"/>
  <c r="AI123" i="41"/>
  <c r="U183" i="41"/>
  <c r="Z101" i="41"/>
  <c r="T183" i="41"/>
  <c r="Y101" i="41"/>
  <c r="AC183" i="41"/>
  <c r="AH101" i="41"/>
  <c r="AJ108" i="41"/>
  <c r="T52" i="41"/>
  <c r="T53" i="41" s="1"/>
  <c r="Y53" i="41" s="1"/>
  <c r="AD53" i="41" s="1"/>
  <c r="AI53" i="41" s="1"/>
  <c r="AN53" i="41" s="1"/>
  <c r="AS53" i="41" s="1"/>
  <c r="U50" i="41"/>
  <c r="U175" i="41"/>
  <c r="R141" i="41"/>
  <c r="R23" i="41"/>
  <c r="R19" i="41"/>
  <c r="J142" i="41"/>
  <c r="J29" i="41"/>
  <c r="J34" i="41" s="1"/>
  <c r="G141" i="41"/>
  <c r="G23" i="41"/>
  <c r="G19" i="41"/>
  <c r="G53" i="43"/>
  <c r="AA55" i="42"/>
  <c r="AA55" i="45" s="1"/>
  <c r="M35" i="43"/>
  <c r="K53" i="43"/>
  <c r="L12" i="43"/>
  <c r="M12" i="43"/>
  <c r="M53" i="43" s="1"/>
  <c r="M34" i="43"/>
  <c r="M57" i="43" s="1"/>
  <c r="W10" i="43"/>
  <c r="W10" i="46" s="1"/>
  <c r="T55" i="43"/>
  <c r="T148" i="41" s="1"/>
  <c r="H94" i="41"/>
  <c r="T180" i="41"/>
  <c r="Y94" i="41"/>
  <c r="Z185" i="41"/>
  <c r="AE111" i="41"/>
  <c r="Z110" i="41"/>
  <c r="R94" i="41"/>
  <c r="R82" i="41"/>
  <c r="M101" i="41"/>
  <c r="M94" i="41"/>
  <c r="AT123" i="41"/>
  <c r="H105" i="41"/>
  <c r="H106" i="41" s="1"/>
  <c r="D106" i="41"/>
  <c r="U177" i="41"/>
  <c r="Z65" i="41"/>
  <c r="R140" i="41"/>
  <c r="F142" i="41"/>
  <c r="F29" i="41"/>
  <c r="F34" i="41" s="1"/>
  <c r="T141" i="41"/>
  <c r="T23" i="41"/>
  <c r="T19" i="41"/>
  <c r="Z136" i="41"/>
  <c r="AA119" i="41"/>
  <c r="Z16" i="41"/>
  <c r="Z16" i="44" s="1"/>
  <c r="AF88" i="41"/>
  <c r="AF88" i="44" s="1"/>
  <c r="AA7" i="41"/>
  <c r="AB7" i="41" s="1"/>
  <c r="AB7" i="44" s="1"/>
  <c r="Q56" i="43"/>
  <c r="R25" i="43"/>
  <c r="R56" i="43" s="1"/>
  <c r="U39" i="43"/>
  <c r="P22" i="43"/>
  <c r="P55" i="43" s="1"/>
  <c r="P148" i="41" s="1"/>
  <c r="AF51" i="42"/>
  <c r="AF51" i="45" s="1"/>
  <c r="AA52" i="42"/>
  <c r="AA52" i="45" s="1"/>
  <c r="AJ52" i="42"/>
  <c r="AJ52" i="45" s="1"/>
  <c r="AF48" i="42"/>
  <c r="AF48" i="45" s="1"/>
  <c r="Y187" i="41"/>
  <c r="Y115" i="41"/>
  <c r="AD116" i="41"/>
  <c r="T106" i="41"/>
  <c r="Q137" i="41"/>
  <c r="Q72" i="41"/>
  <c r="I106" i="41"/>
  <c r="M105" i="41"/>
  <c r="M106" i="41" s="1"/>
  <c r="F143" i="41"/>
  <c r="F25" i="41"/>
  <c r="F27" i="41" s="1"/>
  <c r="X33" i="43"/>
  <c r="AC33" i="43"/>
  <c r="AC33" i="46" s="1"/>
  <c r="Y35" i="41"/>
  <c r="Y35" i="44" s="1"/>
  <c r="V181" i="41"/>
  <c r="AA96" i="41"/>
  <c r="AA96" i="44" s="1"/>
  <c r="X175" i="41"/>
  <c r="AC61" i="41"/>
  <c r="AC61" i="44" s="1"/>
  <c r="AM52" i="42"/>
  <c r="AM52" i="45" s="1"/>
  <c r="W110" i="41"/>
  <c r="W110" i="44" s="1"/>
  <c r="V118" i="41"/>
  <c r="J37" i="43"/>
  <c r="J39" i="43" s="1"/>
  <c r="H56" i="42"/>
  <c r="AG124" i="41"/>
  <c r="AG124" i="44" s="1"/>
  <c r="H101" i="41"/>
  <c r="P106" i="41"/>
  <c r="R105" i="41"/>
  <c r="R106" i="41" s="1"/>
  <c r="AE176" i="41"/>
  <c r="AJ63" i="41"/>
  <c r="U142" i="41"/>
  <c r="U29" i="41"/>
  <c r="U34" i="41" s="1"/>
  <c r="AJ55" i="41"/>
  <c r="AE7" i="41"/>
  <c r="AE135" i="41" s="1"/>
  <c r="Y181" i="41"/>
  <c r="AD96" i="41"/>
  <c r="U137" i="41"/>
  <c r="Z168" i="41"/>
  <c r="AA165" i="41"/>
  <c r="AA165" i="44" s="1"/>
  <c r="X17" i="43"/>
  <c r="X17" i="46" s="1"/>
  <c r="Y10" i="42"/>
  <c r="Y10" i="45" s="1"/>
  <c r="O39" i="43"/>
  <c r="F37" i="43"/>
  <c r="G29" i="43"/>
  <c r="G10" i="43"/>
  <c r="F54" i="43"/>
  <c r="F22" i="43"/>
  <c r="M13" i="43"/>
  <c r="AM88" i="41"/>
  <c r="W90" i="41"/>
  <c r="W90" i="44" s="1"/>
  <c r="Q175" i="41"/>
  <c r="S177" i="41"/>
  <c r="X65" i="41"/>
  <c r="F137" i="41"/>
  <c r="F72" i="41"/>
  <c r="U143" i="41"/>
  <c r="U25" i="41"/>
  <c r="U27" i="41" s="1"/>
  <c r="Z69" i="41"/>
  <c r="Z69" i="44" s="1"/>
  <c r="AC185" i="41"/>
  <c r="AC110" i="41"/>
  <c r="AH111" i="41"/>
  <c r="N141" i="41"/>
  <c r="N23" i="41"/>
  <c r="N19" i="41"/>
  <c r="X187" i="41"/>
  <c r="X115" i="41"/>
  <c r="AC116" i="41"/>
  <c r="AK56" i="43"/>
  <c r="R57" i="43"/>
  <c r="E39" i="43"/>
  <c r="AK48" i="42"/>
  <c r="AK48" i="45" s="1"/>
  <c r="AA187" i="41"/>
  <c r="AF116" i="41"/>
  <c r="AF116" i="44" s="1"/>
  <c r="AA115" i="41"/>
  <c r="AA115" i="44" s="1"/>
  <c r="Y185" i="41"/>
  <c r="Y110" i="41"/>
  <c r="AD111" i="41"/>
  <c r="Z182" i="41"/>
  <c r="AE98" i="41"/>
  <c r="AK55" i="41"/>
  <c r="AK55" i="44" s="1"/>
  <c r="H143" i="41"/>
  <c r="H25" i="41"/>
  <c r="H27" i="41" s="1"/>
  <c r="Q24" i="43"/>
  <c r="Q27" i="43" s="1"/>
  <c r="P27" i="43"/>
  <c r="Y19" i="43"/>
  <c r="Y19" i="46" s="1"/>
  <c r="Z27" i="42"/>
  <c r="Y13" i="42"/>
  <c r="Y13" i="45" s="1"/>
  <c r="T175" i="41"/>
  <c r="AM55" i="41"/>
  <c r="AH7" i="41"/>
  <c r="P137" i="41"/>
  <c r="P72" i="41"/>
  <c r="O141" i="41"/>
  <c r="O23" i="41"/>
  <c r="O19" i="41"/>
  <c r="K141" i="41"/>
  <c r="K19" i="41"/>
  <c r="K23" i="41"/>
  <c r="E142" i="41"/>
  <c r="E29" i="41"/>
  <c r="E34" i="41" s="1"/>
  <c r="P37" i="43"/>
  <c r="P39" i="43" s="1"/>
  <c r="Q29" i="43"/>
  <c r="Q37" i="43" s="1"/>
  <c r="S90" i="41"/>
  <c r="T74" i="41"/>
  <c r="AD186" i="41"/>
  <c r="AD112" i="41"/>
  <c r="AI113" i="41"/>
  <c r="F56" i="43"/>
  <c r="G25" i="43"/>
  <c r="G56" i="43" s="1"/>
  <c r="Z187" i="41"/>
  <c r="AE116" i="41"/>
  <c r="Z115" i="41"/>
  <c r="T177" i="41"/>
  <c r="Y65" i="41"/>
  <c r="AF177" i="41"/>
  <c r="AK65" i="41"/>
  <c r="AK65" i="44" s="1"/>
  <c r="D72" i="41"/>
  <c r="D137" i="41"/>
  <c r="H71" i="41"/>
  <c r="H72" i="41" s="1"/>
  <c r="Q41" i="41"/>
  <c r="E143" i="41"/>
  <c r="E25" i="41"/>
  <c r="E27" i="41" s="1"/>
  <c r="AD135" i="41"/>
  <c r="AI55" i="41"/>
  <c r="AG55" i="41"/>
  <c r="AG55" i="44" s="1"/>
  <c r="AD7" i="41"/>
  <c r="AK154" i="36"/>
  <c r="AJ61" i="38" s="1"/>
  <c r="AH34" i="39"/>
  <c r="V68" i="36"/>
  <c r="AA68" i="36" s="1"/>
  <c r="AK68" i="36" s="1"/>
  <c r="V63" i="36"/>
  <c r="V176" i="36" s="1"/>
  <c r="V61" i="36"/>
  <c r="V175" i="36" s="1"/>
  <c r="V69" i="36"/>
  <c r="X69" i="36" s="1"/>
  <c r="Y69" i="36" s="1"/>
  <c r="Y176" i="36"/>
  <c r="Y63" i="36"/>
  <c r="X63" i="36"/>
  <c r="AJ68" i="36"/>
  <c r="AI68" i="36"/>
  <c r="AI178" i="36" s="1"/>
  <c r="AH68" i="36"/>
  <c r="AM68" i="36" s="1"/>
  <c r="AR68" i="36" s="1"/>
  <c r="AH65" i="36"/>
  <c r="AI65" i="36"/>
  <c r="AJ65" i="36"/>
  <c r="AK65" i="36"/>
  <c r="AK177" i="36"/>
  <c r="AO65" i="36"/>
  <c r="AT65" i="36" s="1"/>
  <c r="AN65" i="36"/>
  <c r="AS65" i="36" s="1"/>
  <c r="AH177" i="36"/>
  <c r="AI63" i="36"/>
  <c r="AH63" i="36"/>
  <c r="AM63" i="36" s="1"/>
  <c r="AR63" i="36" s="1"/>
  <c r="AJ61" i="36"/>
  <c r="AO61" i="36" s="1"/>
  <c r="AT61" i="36" s="1"/>
  <c r="AI61" i="36"/>
  <c r="AI175" i="36" s="1"/>
  <c r="AH61" i="36"/>
  <c r="AE68" i="36"/>
  <c r="AD178" i="36"/>
  <c r="AE63" i="36"/>
  <c r="AE176" i="36" s="1"/>
  <c r="AD63" i="36"/>
  <c r="AD176" i="36" s="1"/>
  <c r="AC176" i="36"/>
  <c r="AE61" i="36"/>
  <c r="AD61" i="36"/>
  <c r="AC175" i="36"/>
  <c r="AO68" i="36"/>
  <c r="AT68" i="36" s="1"/>
  <c r="AF65" i="36"/>
  <c r="AF177" i="36" s="1"/>
  <c r="AE65" i="36"/>
  <c r="AE177" i="36" s="1"/>
  <c r="AD65" i="36"/>
  <c r="AD177" i="36" s="1"/>
  <c r="AC65" i="36"/>
  <c r="AC177" i="36" s="1"/>
  <c r="AD175" i="36"/>
  <c r="AE175" i="36"/>
  <c r="AC178" i="36"/>
  <c r="AE178" i="36"/>
  <c r="Z68" i="36"/>
  <c r="Z178" i="36" s="1"/>
  <c r="Y68" i="36"/>
  <c r="Y178" i="36" s="1"/>
  <c r="Y61" i="36"/>
  <c r="Y175" i="36" s="1"/>
  <c r="X61" i="36"/>
  <c r="X175" i="36" s="1"/>
  <c r="X176" i="36"/>
  <c r="X68" i="36"/>
  <c r="X178" i="36" s="1"/>
  <c r="Z61" i="36"/>
  <c r="Z175" i="36" s="1"/>
  <c r="X65" i="36"/>
  <c r="AA65" i="36"/>
  <c r="Z65" i="36"/>
  <c r="Y65" i="36"/>
  <c r="Z176" i="36"/>
  <c r="V177" i="36"/>
  <c r="X177" i="36"/>
  <c r="Y177" i="36"/>
  <c r="Z177" i="36"/>
  <c r="AA177" i="36"/>
  <c r="Q176" i="36"/>
  <c r="S176" i="36"/>
  <c r="T176" i="36"/>
  <c r="Q177" i="36"/>
  <c r="S177" i="36"/>
  <c r="T177" i="36"/>
  <c r="Q178" i="36"/>
  <c r="S178" i="36"/>
  <c r="T178" i="36"/>
  <c r="U178" i="36"/>
  <c r="U176" i="36"/>
  <c r="U177" i="36"/>
  <c r="U175" i="36"/>
  <c r="Q175" i="36"/>
  <c r="S175" i="36"/>
  <c r="T175" i="36"/>
  <c r="AD56" i="39"/>
  <c r="AE56" i="39" s="1"/>
  <c r="AF56" i="39" s="1"/>
  <c r="Y56" i="39"/>
  <c r="Z56" i="39" s="1"/>
  <c r="AA56" i="39" s="1"/>
  <c r="R45" i="36"/>
  <c r="U54" i="39"/>
  <c r="T54" i="39"/>
  <c r="S54" i="39"/>
  <c r="R54" i="39"/>
  <c r="Q54" i="39"/>
  <c r="P54" i="39"/>
  <c r="O54" i="39"/>
  <c r="N54" i="39"/>
  <c r="M54" i="39"/>
  <c r="L54" i="39"/>
  <c r="K54" i="39"/>
  <c r="J54" i="39"/>
  <c r="I54" i="39"/>
  <c r="H54" i="39"/>
  <c r="G54" i="39"/>
  <c r="F54" i="39"/>
  <c r="E54" i="39"/>
  <c r="AU34" i="39"/>
  <c r="AT34" i="39"/>
  <c r="AS34" i="39"/>
  <c r="AR34" i="39"/>
  <c r="AP34" i="39"/>
  <c r="AO34" i="39"/>
  <c r="AN34" i="39"/>
  <c r="AM34" i="39"/>
  <c r="AD34" i="39"/>
  <c r="AC34" i="39"/>
  <c r="AA34" i="39"/>
  <c r="Z34" i="39"/>
  <c r="Y34" i="39"/>
  <c r="X34" i="39"/>
  <c r="Y8" i="48" l="1"/>
  <c r="Y8" i="53" s="1"/>
  <c r="Y5" i="53"/>
  <c r="AU44" i="48"/>
  <c r="AU44" i="53" s="1"/>
  <c r="AP44" i="53"/>
  <c r="AS54" i="49"/>
  <c r="X11" i="48"/>
  <c r="X11" i="53" s="1"/>
  <c r="Y93" i="48"/>
  <c r="Y97" i="48"/>
  <c r="Y100" i="48"/>
  <c r="W40" i="50"/>
  <c r="S40" i="50"/>
  <c r="AG29" i="50"/>
  <c r="X103" i="48"/>
  <c r="X105" i="48" s="1"/>
  <c r="AH10" i="50"/>
  <c r="O40" i="50"/>
  <c r="O41" i="50" s="1"/>
  <c r="N6" i="49"/>
  <c r="AE50" i="48"/>
  <c r="AD52" i="48"/>
  <c r="AD54" i="48" s="1"/>
  <c r="Z79" i="48"/>
  <c r="Z95" i="48"/>
  <c r="Z92" i="48"/>
  <c r="AI56" i="49"/>
  <c r="AA41" i="48"/>
  <c r="AA43" i="48"/>
  <c r="AA45" i="48" s="1"/>
  <c r="AA45" i="53" s="1"/>
  <c r="Z57" i="48"/>
  <c r="AA74" i="48"/>
  <c r="AA76" i="48" s="1"/>
  <c r="AA78" i="48" s="1"/>
  <c r="Z90" i="48"/>
  <c r="AI17" i="50"/>
  <c r="AJ10" i="49"/>
  <c r="AK13" i="49"/>
  <c r="J46" i="50"/>
  <c r="J48" i="50" s="1"/>
  <c r="J11" i="49"/>
  <c r="J20" i="49" s="1"/>
  <c r="J144" i="48"/>
  <c r="AE20" i="50"/>
  <c r="AF25" i="49"/>
  <c r="AM69" i="48"/>
  <c r="L40" i="50"/>
  <c r="L41" i="50" s="1"/>
  <c r="L6" i="49" s="1"/>
  <c r="K6" i="49"/>
  <c r="AJ35" i="48"/>
  <c r="Z46" i="48"/>
  <c r="Z46" i="53" s="1"/>
  <c r="Z5" i="48"/>
  <c r="Z62" i="48"/>
  <c r="Z62" i="53" s="1"/>
  <c r="Z59" i="48"/>
  <c r="Z59" i="53" s="1"/>
  <c r="AI172" i="48"/>
  <c r="AI28" i="48" s="1"/>
  <c r="AI18" i="48"/>
  <c r="AK119" i="48"/>
  <c r="AJ136" i="48"/>
  <c r="AJ16" i="48"/>
  <c r="AJ120" i="48"/>
  <c r="AJ121" i="48" s="1"/>
  <c r="AL119" i="48"/>
  <c r="AL120" i="48" s="1"/>
  <c r="AL121" i="48" s="1"/>
  <c r="AI21" i="50"/>
  <c r="AJ23" i="49"/>
  <c r="AE85" i="48"/>
  <c r="AE87" i="48" s="1"/>
  <c r="AF83" i="48"/>
  <c r="AJ102" i="48"/>
  <c r="AI14" i="48"/>
  <c r="AK165" i="48"/>
  <c r="AJ168" i="48"/>
  <c r="AJ170" i="48" s="1"/>
  <c r="X25" i="50"/>
  <c r="X25" i="55" s="1"/>
  <c r="X12" i="50"/>
  <c r="X12" i="55" s="1"/>
  <c r="X8" i="49"/>
  <c r="X140" i="48"/>
  <c r="X140" i="53" s="1"/>
  <c r="Y64" i="48"/>
  <c r="Y60" i="48"/>
  <c r="Y60" i="53" s="1"/>
  <c r="Y67" i="48"/>
  <c r="Y67" i="53" s="1"/>
  <c r="AO129" i="48"/>
  <c r="AP163" i="48"/>
  <c r="AO117" i="48"/>
  <c r="AO118" i="48" s="1"/>
  <c r="AG47" i="50"/>
  <c r="AG67" i="49"/>
  <c r="Y10" i="48"/>
  <c r="Y10" i="53" s="1"/>
  <c r="AU55" i="49"/>
  <c r="AT54" i="49"/>
  <c r="AU54" i="49" s="1"/>
  <c r="AH47" i="50"/>
  <c r="AH29" i="50"/>
  <c r="AH63" i="49"/>
  <c r="AI28" i="49"/>
  <c r="AI22" i="48"/>
  <c r="I53" i="49"/>
  <c r="I43" i="49"/>
  <c r="Y25" i="50"/>
  <c r="Y25" i="55" s="1"/>
  <c r="Y12" i="50"/>
  <c r="Y12" i="55" s="1"/>
  <c r="Y8" i="49"/>
  <c r="Y140" i="48"/>
  <c r="Y140" i="53" s="1"/>
  <c r="X13" i="48"/>
  <c r="X13" i="53" s="1"/>
  <c r="AJ56" i="49"/>
  <c r="AE155" i="48"/>
  <c r="AF153" i="48"/>
  <c r="AF155" i="48" s="1"/>
  <c r="X70" i="48"/>
  <c r="X9" i="48"/>
  <c r="X9" i="53" s="1"/>
  <c r="AC6" i="48"/>
  <c r="AI19" i="50"/>
  <c r="AJ27" i="49"/>
  <c r="AI16" i="49"/>
  <c r="AI8" i="50" s="1"/>
  <c r="Y133" i="48"/>
  <c r="Y133" i="53" s="1"/>
  <c r="AN51" i="42"/>
  <c r="AI51" i="45"/>
  <c r="AI52" i="42"/>
  <c r="AI52" i="45" s="1"/>
  <c r="AR51" i="42"/>
  <c r="AM51" i="45"/>
  <c r="AT51" i="42"/>
  <c r="AO51" i="45"/>
  <c r="AO52" i="42"/>
  <c r="AO52" i="45" s="1"/>
  <c r="AM49" i="42"/>
  <c r="AH49" i="45"/>
  <c r="AH50" i="42"/>
  <c r="AH50" i="45" s="1"/>
  <c r="AN49" i="42"/>
  <c r="AI49" i="45"/>
  <c r="AI50" i="42"/>
  <c r="AI50" i="45" s="1"/>
  <c r="AO49" i="42"/>
  <c r="AJ49" i="45"/>
  <c r="AJ50" i="42"/>
  <c r="AJ50" i="45" s="1"/>
  <c r="AR47" i="42"/>
  <c r="AR48" i="42" s="1"/>
  <c r="AR48" i="45" s="1"/>
  <c r="AS48" i="42"/>
  <c r="AS48" i="45" s="1"/>
  <c r="AS47" i="45"/>
  <c r="AO47" i="42"/>
  <c r="AJ47" i="45"/>
  <c r="AJ48" i="42"/>
  <c r="AJ48" i="45" s="1"/>
  <c r="X33" i="46"/>
  <c r="X38" i="42"/>
  <c r="AD163" i="41"/>
  <c r="AD163" i="44" s="1"/>
  <c r="AM56" i="43"/>
  <c r="AM56" i="46" s="1"/>
  <c r="AK56" i="46"/>
  <c r="AA173" i="41"/>
  <c r="Z173" i="44"/>
  <c r="Y18" i="41"/>
  <c r="Y18" i="44" s="1"/>
  <c r="X170" i="44"/>
  <c r="X18" i="41"/>
  <c r="X18" i="44" s="1"/>
  <c r="X172" i="41"/>
  <c r="Z170" i="41"/>
  <c r="Z170" i="44" s="1"/>
  <c r="Z168" i="44"/>
  <c r="Y172" i="41"/>
  <c r="V28" i="41"/>
  <c r="V172" i="44"/>
  <c r="AA117" i="41"/>
  <c r="AB117" i="41" s="1"/>
  <c r="AB117" i="44" s="1"/>
  <c r="Z117" i="44"/>
  <c r="V18" i="44"/>
  <c r="W18" i="41"/>
  <c r="W18" i="44" s="1"/>
  <c r="AA102" i="41"/>
  <c r="AB102" i="41" s="1"/>
  <c r="AB102" i="44" s="1"/>
  <c r="Z102" i="44"/>
  <c r="Z30" i="41"/>
  <c r="Y30" i="44"/>
  <c r="Z145" i="44"/>
  <c r="Z129" i="41"/>
  <c r="Y129" i="44"/>
  <c r="AB119" i="41"/>
  <c r="AB119" i="44" s="1"/>
  <c r="AA119" i="44"/>
  <c r="AB112" i="41"/>
  <c r="AA112" i="44"/>
  <c r="V120" i="41"/>
  <c r="V118" i="44"/>
  <c r="AF86" i="41"/>
  <c r="AA86" i="44"/>
  <c r="AA135" i="41"/>
  <c r="AA7" i="44"/>
  <c r="AA135" i="44" s="1"/>
  <c r="AK53" i="41"/>
  <c r="AF53" i="44"/>
  <c r="AC55" i="42"/>
  <c r="AC55" i="45" s="1"/>
  <c r="AU49" i="42"/>
  <c r="AP49" i="45"/>
  <c r="AP50" i="42"/>
  <c r="AP50" i="45" s="1"/>
  <c r="AP47" i="42"/>
  <c r="AK47" i="45"/>
  <c r="Z40" i="42"/>
  <c r="Y40" i="45"/>
  <c r="Z39" i="45"/>
  <c r="AA39" i="42"/>
  <c r="AA34" i="45"/>
  <c r="AC34" i="42"/>
  <c r="AB34" i="42"/>
  <c r="AB34" i="45" s="1"/>
  <c r="AA33" i="45"/>
  <c r="AC33" i="42"/>
  <c r="AB33" i="42"/>
  <c r="AB33" i="45" s="1"/>
  <c r="AA32" i="42"/>
  <c r="Z32" i="45"/>
  <c r="Z31" i="45"/>
  <c r="AA31" i="42"/>
  <c r="AA22" i="41"/>
  <c r="AB22" i="41" s="1"/>
  <c r="AB22" i="44" s="1"/>
  <c r="Z63" i="42"/>
  <c r="Z63" i="45" s="1"/>
  <c r="Z29" i="43"/>
  <c r="Z29" i="46" s="1"/>
  <c r="X8" i="43"/>
  <c r="X8" i="46" s="1"/>
  <c r="X16" i="45"/>
  <c r="Z16" i="42"/>
  <c r="Z27" i="45"/>
  <c r="Z26" i="42"/>
  <c r="Y26" i="45"/>
  <c r="AA24" i="45"/>
  <c r="AC24" i="42"/>
  <c r="AB24" i="42"/>
  <c r="AB24" i="45" s="1"/>
  <c r="AA19" i="42"/>
  <c r="Z19" i="45"/>
  <c r="AA18" i="42"/>
  <c r="Z18" i="45"/>
  <c r="Z15" i="42"/>
  <c r="Y15" i="45"/>
  <c r="Z53" i="43"/>
  <c r="Y53" i="46"/>
  <c r="W57" i="43"/>
  <c r="W57" i="46" s="1"/>
  <c r="AA31" i="41"/>
  <c r="Z31" i="44"/>
  <c r="AA26" i="41"/>
  <c r="Z26" i="44"/>
  <c r="AE185" i="44"/>
  <c r="V178" i="44"/>
  <c r="AC176" i="44"/>
  <c r="AD187" i="44"/>
  <c r="AC175" i="44"/>
  <c r="Y177" i="44"/>
  <c r="AF187" i="44"/>
  <c r="AC185" i="44"/>
  <c r="AC187" i="44"/>
  <c r="AJ135" i="44"/>
  <c r="AD186" i="44"/>
  <c r="AA175" i="44"/>
  <c r="Z175" i="44"/>
  <c r="X136" i="44"/>
  <c r="V182" i="44"/>
  <c r="X180" i="44"/>
  <c r="AE181" i="44"/>
  <c r="AC181" i="44"/>
  <c r="Y183" i="44"/>
  <c r="X178" i="44"/>
  <c r="AE187" i="44"/>
  <c r="AD176" i="44"/>
  <c r="AH135" i="44"/>
  <c r="Y182" i="44"/>
  <c r="AD185" i="44"/>
  <c r="AJ186" i="44"/>
  <c r="AD181" i="44"/>
  <c r="X177" i="44"/>
  <c r="AA185" i="44"/>
  <c r="AI135" i="44"/>
  <c r="Z180" i="44"/>
  <c r="Z177" i="44"/>
  <c r="AA186" i="44"/>
  <c r="AC135" i="44"/>
  <c r="Y180" i="44"/>
  <c r="Z183" i="44"/>
  <c r="V183" i="44"/>
  <c r="Y178" i="44"/>
  <c r="AE176" i="44"/>
  <c r="Z178" i="44"/>
  <c r="AK177" i="44"/>
  <c r="X183" i="44"/>
  <c r="AC186" i="44"/>
  <c r="X182" i="44"/>
  <c r="Z182" i="44"/>
  <c r="AA181" i="44"/>
  <c r="V180" i="44"/>
  <c r="H32" i="41"/>
  <c r="H33" i="41"/>
  <c r="H36" i="41" s="1"/>
  <c r="Y180" i="41"/>
  <c r="AD94" i="41"/>
  <c r="G25" i="41"/>
  <c r="G27" i="41" s="1"/>
  <c r="G143" i="41"/>
  <c r="L33" i="41"/>
  <c r="L32" i="41"/>
  <c r="Z180" i="41"/>
  <c r="AE94" i="41"/>
  <c r="V182" i="41"/>
  <c r="AA98" i="41"/>
  <c r="AA98" i="44" s="1"/>
  <c r="G27" i="43"/>
  <c r="AI135" i="41"/>
  <c r="AN55" i="41"/>
  <c r="AI7" i="41"/>
  <c r="E32" i="41"/>
  <c r="E33" i="41"/>
  <c r="AC57" i="43"/>
  <c r="AC57" i="46" s="1"/>
  <c r="AK51" i="42"/>
  <c r="AK51" i="45" s="1"/>
  <c r="AF52" i="42"/>
  <c r="AF52" i="45" s="1"/>
  <c r="AH183" i="41"/>
  <c r="AM101" i="41"/>
  <c r="Z54" i="42"/>
  <c r="Z54" i="45" s="1"/>
  <c r="Z21" i="43"/>
  <c r="Z21" i="46" s="1"/>
  <c r="AA23" i="42"/>
  <c r="AA23" i="45" s="1"/>
  <c r="Y8" i="43"/>
  <c r="Y8" i="46" s="1"/>
  <c r="AF187" i="41"/>
  <c r="AF115" i="41"/>
  <c r="AF115" i="44" s="1"/>
  <c r="AK116" i="41"/>
  <c r="AK116" i="44" s="1"/>
  <c r="AO108" i="41"/>
  <c r="AH176" i="41"/>
  <c r="AM63" i="41"/>
  <c r="AM63" i="44" s="1"/>
  <c r="AA69" i="41"/>
  <c r="AD181" i="41"/>
  <c r="AI96" i="41"/>
  <c r="X57" i="43"/>
  <c r="J32" i="41"/>
  <c r="J33" i="41"/>
  <c r="J146" i="41" s="1"/>
  <c r="L27" i="43"/>
  <c r="M24" i="43"/>
  <c r="M27" i="43" s="1"/>
  <c r="AA54" i="42"/>
  <c r="AA54" i="45" s="1"/>
  <c r="H24" i="43"/>
  <c r="Y182" i="41"/>
  <c r="AD98" i="41"/>
  <c r="AF7" i="41"/>
  <c r="AG7" i="41" s="1"/>
  <c r="AG7" i="44" s="1"/>
  <c r="U33" i="41"/>
  <c r="U32" i="41"/>
  <c r="F32" i="41"/>
  <c r="F33" i="41"/>
  <c r="Z177" i="41"/>
  <c r="AE65" i="41"/>
  <c r="Y183" i="41"/>
  <c r="AD101" i="41"/>
  <c r="K55" i="43"/>
  <c r="K148" i="41" s="1"/>
  <c r="D46" i="43"/>
  <c r="D48" i="43" s="1"/>
  <c r="D11" i="42"/>
  <c r="D20" i="42" s="1"/>
  <c r="J147" i="41"/>
  <c r="Z178" i="41"/>
  <c r="AE68" i="41"/>
  <c r="AH186" i="41"/>
  <c r="AM113" i="41"/>
  <c r="AH112" i="41"/>
  <c r="E41" i="43"/>
  <c r="R29" i="43"/>
  <c r="R37" i="43" s="1"/>
  <c r="T143" i="41"/>
  <c r="T25" i="41"/>
  <c r="T27" i="41" s="1"/>
  <c r="AI176" i="41"/>
  <c r="AN63" i="41"/>
  <c r="S41" i="41"/>
  <c r="Q57" i="41"/>
  <c r="W57" i="41" s="1"/>
  <c r="W57" i="44" s="1"/>
  <c r="AH135" i="41"/>
  <c r="Z183" i="41"/>
  <c r="AE101" i="41"/>
  <c r="AF178" i="41"/>
  <c r="AK68" i="41"/>
  <c r="AK68" i="44" s="1"/>
  <c r="AK143" i="41"/>
  <c r="M37" i="43"/>
  <c r="M39" i="43" s="1"/>
  <c r="S142" i="41"/>
  <c r="S29" i="41"/>
  <c r="S34" i="41" s="1"/>
  <c r="S147" i="41" s="1"/>
  <c r="R24" i="43"/>
  <c r="R27" i="43" s="1"/>
  <c r="Q43" i="41"/>
  <c r="Q44" i="41" s="1"/>
  <c r="AI186" i="41"/>
  <c r="AN113" i="41"/>
  <c r="AI112" i="41"/>
  <c r="K142" i="41"/>
  <c r="K29" i="41"/>
  <c r="K34" i="41" s="1"/>
  <c r="K147" i="41" s="1"/>
  <c r="Y175" i="41"/>
  <c r="AD61" i="41"/>
  <c r="AD61" i="44" s="1"/>
  <c r="AD175" i="44" s="1"/>
  <c r="R65" i="42"/>
  <c r="R64" i="42" s="1"/>
  <c r="R142" i="41"/>
  <c r="R29" i="41"/>
  <c r="AC181" i="41"/>
  <c r="AH96" i="41"/>
  <c r="AS108" i="41"/>
  <c r="I142" i="41"/>
  <c r="I29" i="41"/>
  <c r="I34" i="41" s="1"/>
  <c r="V180" i="41"/>
  <c r="AA94" i="41"/>
  <c r="AA94" i="44" s="1"/>
  <c r="S143" i="41"/>
  <c r="S25" i="41"/>
  <c r="S27" i="41" s="1"/>
  <c r="AE182" i="41"/>
  <c r="AJ98" i="41"/>
  <c r="X177" i="41"/>
  <c r="AC65" i="41"/>
  <c r="G54" i="43"/>
  <c r="G22" i="43"/>
  <c r="H10" i="43"/>
  <c r="AO55" i="41"/>
  <c r="AJ7" i="41"/>
  <c r="W111" i="41"/>
  <c r="W111" i="44" s="1"/>
  <c r="W118" i="41"/>
  <c r="AK88" i="41"/>
  <c r="AK88" i="44" s="1"/>
  <c r="AG88" i="41"/>
  <c r="AG88" i="44" s="1"/>
  <c r="R25" i="41"/>
  <c r="R27" i="41" s="1"/>
  <c r="R143" i="41"/>
  <c r="AN123" i="41"/>
  <c r="AL123" i="41"/>
  <c r="AL123" i="44" s="1"/>
  <c r="AK183" i="41"/>
  <c r="AP101" i="41"/>
  <c r="AP101" i="44" s="1"/>
  <c r="D142" i="41"/>
  <c r="D29" i="41"/>
  <c r="D34" i="41" s="1"/>
  <c r="I143" i="41"/>
  <c r="I25" i="41"/>
  <c r="I27" i="41" s="1"/>
  <c r="H142" i="41"/>
  <c r="H29" i="41"/>
  <c r="H34" i="41" s="1"/>
  <c r="AK177" i="41"/>
  <c r="AP65" i="41"/>
  <c r="O142" i="41"/>
  <c r="O29" i="41"/>
  <c r="O34" i="41" s="1"/>
  <c r="O147" i="41" s="1"/>
  <c r="AC187" i="41"/>
  <c r="AC115" i="41"/>
  <c r="AH116" i="41"/>
  <c r="G37" i="43"/>
  <c r="G39" i="43" s="1"/>
  <c r="H29" i="43"/>
  <c r="H37" i="43" s="1"/>
  <c r="U147" i="41"/>
  <c r="D143" i="41"/>
  <c r="D25" i="41"/>
  <c r="D27" i="41" s="1"/>
  <c r="AJ186" i="41"/>
  <c r="AO113" i="41"/>
  <c r="AJ112" i="41"/>
  <c r="AD178" i="41"/>
  <c r="AI68" i="41"/>
  <c r="AU123" i="41"/>
  <c r="AU123" i="44" s="1"/>
  <c r="L37" i="43"/>
  <c r="L39" i="43" s="1"/>
  <c r="Y20" i="43"/>
  <c r="Z25" i="42"/>
  <c r="AH185" i="41"/>
  <c r="AM111" i="41"/>
  <c r="AH110" i="41"/>
  <c r="AK108" i="41"/>
  <c r="AG108" i="41"/>
  <c r="AG108" i="44" s="1"/>
  <c r="Z13" i="42"/>
  <c r="Z13" i="45" s="1"/>
  <c r="F39" i="43"/>
  <c r="AC175" i="41"/>
  <c r="AH61" i="41"/>
  <c r="AH61" i="44" s="1"/>
  <c r="Z175" i="41"/>
  <c r="AE61" i="41"/>
  <c r="AE61" i="44" s="1"/>
  <c r="K39" i="43"/>
  <c r="AA176" i="41"/>
  <c r="AF63" i="41"/>
  <c r="AF63" i="44" s="1"/>
  <c r="AF176" i="44" s="1"/>
  <c r="X56" i="42"/>
  <c r="X56" i="45" s="1"/>
  <c r="G142" i="41"/>
  <c r="G29" i="41"/>
  <c r="G34" i="41" s="1"/>
  <c r="AR108" i="41"/>
  <c r="AR55" i="41"/>
  <c r="AM7" i="41"/>
  <c r="AM135" i="41" s="1"/>
  <c r="H25" i="43"/>
  <c r="H56" i="43" s="1"/>
  <c r="U74" i="41"/>
  <c r="T90" i="41"/>
  <c r="V175" i="41"/>
  <c r="AA61" i="44"/>
  <c r="Y177" i="41"/>
  <c r="AD65" i="41"/>
  <c r="T76" i="41"/>
  <c r="T77" i="41" s="1"/>
  <c r="Y77" i="41" s="1"/>
  <c r="AD185" i="41"/>
  <c r="AI111" i="41"/>
  <c r="AD110" i="41"/>
  <c r="AJ176" i="41"/>
  <c r="AO63" i="41"/>
  <c r="Z9" i="43"/>
  <c r="Z9" i="46" s="1"/>
  <c r="L53" i="43"/>
  <c r="L22" i="43"/>
  <c r="U55" i="43"/>
  <c r="U148" i="41" s="1"/>
  <c r="M141" i="41"/>
  <c r="M23" i="41"/>
  <c r="M19" i="41"/>
  <c r="AC180" i="41"/>
  <c r="AH94" i="41"/>
  <c r="AF186" i="41"/>
  <c r="AK113" i="41"/>
  <c r="AK113" i="44" s="1"/>
  <c r="AF112" i="41"/>
  <c r="V87" i="44"/>
  <c r="AH77" i="41"/>
  <c r="L142" i="41"/>
  <c r="L29" i="41"/>
  <c r="L34" i="41" s="1"/>
  <c r="L147" i="41" s="1"/>
  <c r="O143" i="41"/>
  <c r="O25" i="41"/>
  <c r="O27" i="41" s="1"/>
  <c r="AB115" i="41"/>
  <c r="Z19" i="43"/>
  <c r="Z19" i="46" s="1"/>
  <c r="AA27" i="42"/>
  <c r="Y118" i="41"/>
  <c r="N142" i="41"/>
  <c r="N29" i="41"/>
  <c r="N34" i="41" s="1"/>
  <c r="AD187" i="41"/>
  <c r="AI116" i="41"/>
  <c r="AD115" i="41"/>
  <c r="AA136" i="41"/>
  <c r="AC119" i="41"/>
  <c r="AC119" i="44" s="1"/>
  <c r="AA16" i="41"/>
  <c r="AF185" i="41"/>
  <c r="AK111" i="41"/>
  <c r="AK111" i="44" s="1"/>
  <c r="AF110" i="41"/>
  <c r="AF110" i="44" s="1"/>
  <c r="Q54" i="43"/>
  <c r="Q22" i="43"/>
  <c r="Q55" i="43" s="1"/>
  <c r="Q148" i="41" s="1"/>
  <c r="X118" i="41"/>
  <c r="AE185" i="41"/>
  <c r="AJ111" i="41"/>
  <c r="AE110" i="41"/>
  <c r="Y33" i="43"/>
  <c r="Y33" i="46" s="1"/>
  <c r="AD33" i="43"/>
  <c r="Z35" i="41"/>
  <c r="Z35" i="44" s="1"/>
  <c r="AP55" i="41"/>
  <c r="AP55" i="44" s="1"/>
  <c r="N143" i="41"/>
  <c r="N25" i="41"/>
  <c r="N27" i="41" s="1"/>
  <c r="Y17" i="43"/>
  <c r="Y17" i="46" s="1"/>
  <c r="Z10" i="42"/>
  <c r="Z10" i="45" s="1"/>
  <c r="AA181" i="41"/>
  <c r="AF96" i="41"/>
  <c r="AF96" i="44" s="1"/>
  <c r="U52" i="41"/>
  <c r="U53" i="41" s="1"/>
  <c r="Z53" i="41" s="1"/>
  <c r="AE53" i="41" s="1"/>
  <c r="AJ53" i="41" s="1"/>
  <c r="AO53" i="41" s="1"/>
  <c r="AT53" i="41" s="1"/>
  <c r="V50" i="41"/>
  <c r="V50" i="44" s="1"/>
  <c r="AH182" i="41"/>
  <c r="AM98" i="41"/>
  <c r="P142" i="41"/>
  <c r="P29" i="41"/>
  <c r="P34" i="41" s="1"/>
  <c r="AC178" i="41"/>
  <c r="AH68" i="41"/>
  <c r="AC28" i="42"/>
  <c r="AC28" i="45" s="1"/>
  <c r="AB28" i="42"/>
  <c r="AB28" i="45" s="1"/>
  <c r="Q142" i="41"/>
  <c r="Q29" i="41"/>
  <c r="Q34" i="41" s="1"/>
  <c r="AB110" i="41"/>
  <c r="AB110" i="44" s="1"/>
  <c r="R22" i="43"/>
  <c r="R55" i="43" s="1"/>
  <c r="R148" i="41" s="1"/>
  <c r="AC165" i="41"/>
  <c r="AC165" i="44" s="1"/>
  <c r="AA168" i="41"/>
  <c r="AL55" i="41"/>
  <c r="AL55" i="44" s="1"/>
  <c r="K143" i="41"/>
  <c r="K25" i="41"/>
  <c r="K27" i="41" s="1"/>
  <c r="AE187" i="41"/>
  <c r="AJ116" i="41"/>
  <c r="AE115" i="41"/>
  <c r="AR88" i="41"/>
  <c r="T29" i="41"/>
  <c r="T34" i="41" s="1"/>
  <c r="T142" i="41"/>
  <c r="Z118" i="41"/>
  <c r="P143" i="41"/>
  <c r="P25" i="41"/>
  <c r="P27" i="41" s="1"/>
  <c r="AJ181" i="41"/>
  <c r="AO96" i="41"/>
  <c r="Q143" i="41"/>
  <c r="Q25" i="41"/>
  <c r="Q27" i="41" s="1"/>
  <c r="X85" i="41"/>
  <c r="Y83" i="41"/>
  <c r="Y83" i="44" s="1"/>
  <c r="AE34" i="39"/>
  <c r="AF34" i="39"/>
  <c r="AJ63" i="36"/>
  <c r="AO63" i="36" s="1"/>
  <c r="AT63" i="36" s="1"/>
  <c r="AA61" i="36"/>
  <c r="AK61" i="36" s="1"/>
  <c r="AP61" i="36" s="1"/>
  <c r="AU61" i="36" s="1"/>
  <c r="AH178" i="36"/>
  <c r="AP65" i="36"/>
  <c r="AU65" i="36" s="1"/>
  <c r="AI177" i="36"/>
  <c r="AJ177" i="36"/>
  <c r="AM65" i="36"/>
  <c r="AR65" i="36" s="1"/>
  <c r="AH176" i="36"/>
  <c r="AF178" i="36"/>
  <c r="AK178" i="36"/>
  <c r="AA178" i="36"/>
  <c r="AJ178" i="36"/>
  <c r="AN68" i="36"/>
  <c r="AS68" i="36" s="1"/>
  <c r="AN61" i="36"/>
  <c r="AS61" i="36" s="1"/>
  <c r="AJ175" i="36"/>
  <c r="V178" i="36"/>
  <c r="E57" i="39"/>
  <c r="F57" i="39"/>
  <c r="G57" i="39"/>
  <c r="H57" i="39"/>
  <c r="I57" i="39"/>
  <c r="J57" i="39"/>
  <c r="K57" i="39"/>
  <c r="L57" i="39"/>
  <c r="M57" i="39"/>
  <c r="N57" i="39"/>
  <c r="O57" i="39"/>
  <c r="P57" i="39"/>
  <c r="Q57" i="39"/>
  <c r="R57" i="39"/>
  <c r="S57" i="39"/>
  <c r="T57" i="39"/>
  <c r="U57" i="39"/>
  <c r="Y15" i="50" l="1"/>
  <c r="Y15" i="55" s="1"/>
  <c r="Y8" i="54"/>
  <c r="Y11" i="48"/>
  <c r="Y11" i="53" s="1"/>
  <c r="Y64" i="53"/>
  <c r="AB45" i="48"/>
  <c r="Z8" i="48"/>
  <c r="Z8" i="53" s="1"/>
  <c r="Z5" i="53"/>
  <c r="X71" i="48"/>
  <c r="X71" i="53" s="1"/>
  <c r="X70" i="53"/>
  <c r="AB46" i="48"/>
  <c r="AB46" i="53" s="1"/>
  <c r="AB45" i="53"/>
  <c r="X15" i="50"/>
  <c r="X15" i="55" s="1"/>
  <c r="X8" i="54"/>
  <c r="AG20" i="50"/>
  <c r="AA79" i="48"/>
  <c r="AA95" i="48"/>
  <c r="AA92" i="48"/>
  <c r="AB78" i="48"/>
  <c r="AB79" i="48" s="1"/>
  <c r="AB92" i="48"/>
  <c r="AB82" i="48" s="1"/>
  <c r="AB95" i="48"/>
  <c r="AB96" i="48" s="1"/>
  <c r="Z12" i="50"/>
  <c r="Z12" i="55" s="1"/>
  <c r="Z25" i="50"/>
  <c r="Z25" i="55" s="1"/>
  <c r="Z8" i="49"/>
  <c r="Z140" i="48"/>
  <c r="Z140" i="53" s="1"/>
  <c r="AF85" i="48"/>
  <c r="AF87" i="48" s="1"/>
  <c r="AH83" i="48"/>
  <c r="AG83" i="48"/>
  <c r="Y13" i="48"/>
  <c r="Y13" i="53" s="1"/>
  <c r="Z10" i="48"/>
  <c r="Z10" i="53" s="1"/>
  <c r="S41" i="50"/>
  <c r="W41" i="50"/>
  <c r="Y9" i="48"/>
  <c r="Y9" i="53" s="1"/>
  <c r="Z133" i="48"/>
  <c r="Z133" i="53" s="1"/>
  <c r="AK35" i="48"/>
  <c r="AG87" i="48"/>
  <c r="AJ21" i="50"/>
  <c r="AK23" i="49"/>
  <c r="AJ17" i="50"/>
  <c r="AK10" i="49"/>
  <c r="K46" i="50"/>
  <c r="K48" i="50" s="1"/>
  <c r="K11" i="49"/>
  <c r="K20" i="49" s="1"/>
  <c r="K144" i="48"/>
  <c r="AD6" i="48"/>
  <c r="AD134" i="48" s="1"/>
  <c r="AM13" i="49"/>
  <c r="AL13" i="49"/>
  <c r="X35" i="50"/>
  <c r="X35" i="55" s="1"/>
  <c r="AL35" i="48"/>
  <c r="L46" i="50"/>
  <c r="L48" i="50" s="1"/>
  <c r="L11" i="49"/>
  <c r="L20" i="49" s="1"/>
  <c r="M6" i="49"/>
  <c r="L144" i="48"/>
  <c r="AK102" i="48"/>
  <c r="AJ14" i="48"/>
  <c r="AC134" i="48"/>
  <c r="X14" i="49"/>
  <c r="X14" i="54" s="1"/>
  <c r="AF50" i="48"/>
  <c r="AE52" i="48"/>
  <c r="AE54" i="48" s="1"/>
  <c r="X22" i="49"/>
  <c r="X22" i="54" s="1"/>
  <c r="X9" i="49"/>
  <c r="X15" i="48"/>
  <c r="AN69" i="48"/>
  <c r="AB74" i="48"/>
  <c r="AG139" i="48" s="1"/>
  <c r="AC74" i="48"/>
  <c r="AA90" i="48"/>
  <c r="AG90" i="48" s="1"/>
  <c r="N46" i="50"/>
  <c r="N48" i="50" s="1"/>
  <c r="N144" i="48"/>
  <c r="N11" i="49"/>
  <c r="N20" i="49" s="1"/>
  <c r="AJ19" i="50"/>
  <c r="AK27" i="49"/>
  <c r="AJ16" i="49"/>
  <c r="AJ8" i="50" s="1"/>
  <c r="AJ9" i="50"/>
  <c r="AL16" i="48"/>
  <c r="P40" i="50"/>
  <c r="P41" i="50" s="1"/>
  <c r="O6" i="49"/>
  <c r="AF20" i="50"/>
  <c r="AH25" i="49"/>
  <c r="AG25" i="49"/>
  <c r="Z100" i="48"/>
  <c r="Z93" i="48"/>
  <c r="Z97" i="48"/>
  <c r="AI47" i="50"/>
  <c r="AI29" i="50"/>
  <c r="AI63" i="49"/>
  <c r="AJ28" i="49"/>
  <c r="AJ22" i="48"/>
  <c r="AM119" i="48"/>
  <c r="AK16" i="48"/>
  <c r="AK9" i="50" s="1"/>
  <c r="AK10" i="50" s="1"/>
  <c r="AK120" i="48"/>
  <c r="AK121" i="48" s="1"/>
  <c r="AA46" i="48"/>
  <c r="AA46" i="53" s="1"/>
  <c r="AA5" i="48"/>
  <c r="AA62" i="48"/>
  <c r="AA59" i="48"/>
  <c r="AA59" i="53" s="1"/>
  <c r="AE31" i="48"/>
  <c r="AF31" i="48" s="1"/>
  <c r="AG155" i="48"/>
  <c r="AE30" i="48"/>
  <c r="AR163" i="48"/>
  <c r="AP117" i="48"/>
  <c r="AP129" i="48"/>
  <c r="AB41" i="48"/>
  <c r="AC43" i="48"/>
  <c r="AC45" i="48" s="1"/>
  <c r="AC45" i="53" s="1"/>
  <c r="AC41" i="48"/>
  <c r="AA57" i="48"/>
  <c r="AG57" i="48" s="1"/>
  <c r="X106" i="48"/>
  <c r="AL102" i="48"/>
  <c r="AQ129" i="48"/>
  <c r="AJ172" i="48"/>
  <c r="AJ28" i="48" s="1"/>
  <c r="AJ18" i="48"/>
  <c r="AM165" i="48"/>
  <c r="AK168" i="48"/>
  <c r="AK170" i="48" s="1"/>
  <c r="Z64" i="48"/>
  <c r="Z67" i="48"/>
  <c r="Z67" i="53" s="1"/>
  <c r="Z60" i="48"/>
  <c r="Z60" i="53" s="1"/>
  <c r="AB59" i="48"/>
  <c r="J53" i="49"/>
  <c r="J43" i="49"/>
  <c r="AK56" i="49"/>
  <c r="AR47" i="45"/>
  <c r="AT52" i="42"/>
  <c r="AT52" i="45" s="1"/>
  <c r="AT51" i="45"/>
  <c r="AR52" i="42"/>
  <c r="AR52" i="45" s="1"/>
  <c r="AR51" i="45"/>
  <c r="AS51" i="42"/>
  <c r="AN51" i="45"/>
  <c r="AN52" i="42"/>
  <c r="AN52" i="45" s="1"/>
  <c r="AM49" i="45"/>
  <c r="AR49" i="42"/>
  <c r="AM50" i="42"/>
  <c r="AM50" i="45" s="1"/>
  <c r="AT49" i="42"/>
  <c r="AO49" i="45"/>
  <c r="AO50" i="42"/>
  <c r="AO50" i="45" s="1"/>
  <c r="AN49" i="45"/>
  <c r="AN50" i="42"/>
  <c r="AN50" i="45" s="1"/>
  <c r="AS49" i="42"/>
  <c r="AT47" i="42"/>
  <c r="AO47" i="45"/>
  <c r="AO48" i="42"/>
  <c r="AO48" i="45" s="1"/>
  <c r="AE163" i="41"/>
  <c r="AE163" i="44" s="1"/>
  <c r="AA118" i="41"/>
  <c r="AA120" i="41" s="1"/>
  <c r="Z18" i="41"/>
  <c r="Z18" i="44" s="1"/>
  <c r="AN56" i="43"/>
  <c r="AN56" i="46" s="1"/>
  <c r="AC173" i="41"/>
  <c r="AA173" i="44"/>
  <c r="AA170" i="41"/>
  <c r="AA170" i="44" s="1"/>
  <c r="AA168" i="44"/>
  <c r="Y28" i="41"/>
  <c r="Y28" i="44" s="1"/>
  <c r="Y172" i="44"/>
  <c r="X28" i="41"/>
  <c r="X28" i="44" s="1"/>
  <c r="X172" i="44"/>
  <c r="Z172" i="41"/>
  <c r="Z120" i="41"/>
  <c r="Z121" i="41" s="1"/>
  <c r="Z121" i="44" s="1"/>
  <c r="Z118" i="44"/>
  <c r="Y120" i="41"/>
  <c r="Y121" i="41" s="1"/>
  <c r="Y121" i="44" s="1"/>
  <c r="Y118" i="44"/>
  <c r="X120" i="41"/>
  <c r="X121" i="41" s="1"/>
  <c r="X121" i="44" s="1"/>
  <c r="X118" i="44"/>
  <c r="AA117" i="44"/>
  <c r="AC117" i="41"/>
  <c r="AC118" i="41" s="1"/>
  <c r="AA102" i="44"/>
  <c r="AC102" i="41"/>
  <c r="W28" i="41"/>
  <c r="W28" i="44" s="1"/>
  <c r="V28" i="44"/>
  <c r="AA30" i="41"/>
  <c r="Z30" i="44"/>
  <c r="AC145" i="41"/>
  <c r="AC22" i="41" s="1"/>
  <c r="AC22" i="44" s="1"/>
  <c r="AA145" i="44"/>
  <c r="AA129" i="41"/>
  <c r="AB129" i="41" s="1"/>
  <c r="AB129" i="44" s="1"/>
  <c r="Z129" i="44"/>
  <c r="Z14" i="41"/>
  <c r="Z14" i="44" s="1"/>
  <c r="AA9" i="43"/>
  <c r="AA16" i="44"/>
  <c r="AB113" i="41"/>
  <c r="AB113" i="44" s="1"/>
  <c r="AB112" i="44"/>
  <c r="AG112" i="41"/>
  <c r="AF112" i="44"/>
  <c r="W120" i="41"/>
  <c r="W118" i="44"/>
  <c r="AB116" i="41"/>
  <c r="AB116" i="44" s="1"/>
  <c r="AB115" i="44"/>
  <c r="AL108" i="41"/>
  <c r="AL108" i="44" s="1"/>
  <c r="AK108" i="44"/>
  <c r="V121" i="41"/>
  <c r="V121" i="44" s="1"/>
  <c r="V120" i="44"/>
  <c r="AK7" i="41"/>
  <c r="AK7" i="44" s="1"/>
  <c r="AK86" i="41"/>
  <c r="AF86" i="44"/>
  <c r="AB69" i="41"/>
  <c r="AB69" i="44" s="1"/>
  <c r="AA69" i="44"/>
  <c r="AU65" i="41"/>
  <c r="AU65" i="44" s="1"/>
  <c r="AP65" i="44"/>
  <c r="AF135" i="41"/>
  <c r="AF7" i="44"/>
  <c r="AF135" i="44" s="1"/>
  <c r="AQ55" i="41"/>
  <c r="AQ55" i="44" s="1"/>
  <c r="AP53" i="41"/>
  <c r="AK53" i="44"/>
  <c r="X87" i="41"/>
  <c r="X87" i="44" s="1"/>
  <c r="X85" i="44"/>
  <c r="AE55" i="42"/>
  <c r="AE55" i="45" s="1"/>
  <c r="AD55" i="42"/>
  <c r="AD55" i="45" s="1"/>
  <c r="AU47" i="42"/>
  <c r="AP47" i="45"/>
  <c r="AP48" i="42"/>
  <c r="AP48" i="45" s="1"/>
  <c r="AU49" i="45"/>
  <c r="AU50" i="42"/>
  <c r="AU50" i="45" s="1"/>
  <c r="AA40" i="42"/>
  <c r="Z40" i="45"/>
  <c r="AB39" i="42"/>
  <c r="AB39" i="45" s="1"/>
  <c r="AA39" i="45"/>
  <c r="AC39" i="42"/>
  <c r="AD34" i="42"/>
  <c r="AC34" i="45"/>
  <c r="AD33" i="42"/>
  <c r="AC33" i="45"/>
  <c r="AA32" i="45"/>
  <c r="AC32" i="42"/>
  <c r="AB32" i="42"/>
  <c r="AB32" i="45" s="1"/>
  <c r="AC31" i="42"/>
  <c r="AA31" i="45"/>
  <c r="AB31" i="42"/>
  <c r="AB31" i="45" s="1"/>
  <c r="AA63" i="42"/>
  <c r="AA63" i="45" s="1"/>
  <c r="AA47" i="43"/>
  <c r="AA47" i="46" s="1"/>
  <c r="AA22" i="44"/>
  <c r="AA29" i="43"/>
  <c r="AA29" i="46" s="1"/>
  <c r="AA16" i="42"/>
  <c r="AA16" i="45" s="1"/>
  <c r="AA27" i="45"/>
  <c r="Z8" i="43"/>
  <c r="Z8" i="46" s="1"/>
  <c r="Z16" i="45"/>
  <c r="AA26" i="42"/>
  <c r="Z26" i="45"/>
  <c r="AD24" i="42"/>
  <c r="AC24" i="45"/>
  <c r="AA19" i="45"/>
  <c r="AC19" i="42"/>
  <c r="AB19" i="42"/>
  <c r="AB19" i="45" s="1"/>
  <c r="AA18" i="45"/>
  <c r="AC18" i="42"/>
  <c r="AB18" i="42"/>
  <c r="AB18" i="45" s="1"/>
  <c r="AA15" i="42"/>
  <c r="Z15" i="45"/>
  <c r="AA53" i="43"/>
  <c r="Z53" i="46"/>
  <c r="AC31" i="41"/>
  <c r="AA31" i="44"/>
  <c r="AC26" i="41"/>
  <c r="AA26" i="44"/>
  <c r="AB26" i="41"/>
  <c r="AB26" i="44" s="1"/>
  <c r="X58" i="43"/>
  <c r="X58" i="46" s="1"/>
  <c r="X57" i="46"/>
  <c r="AD57" i="43"/>
  <c r="AD57" i="46" s="1"/>
  <c r="AD33" i="46"/>
  <c r="AD177" i="44"/>
  <c r="AC178" i="44"/>
  <c r="AJ185" i="44"/>
  <c r="AJ176" i="44"/>
  <c r="AN135" i="44"/>
  <c r="AF185" i="44"/>
  <c r="AA183" i="44"/>
  <c r="AF186" i="44"/>
  <c r="AA182" i="44"/>
  <c r="AI186" i="44"/>
  <c r="AI187" i="44"/>
  <c r="AO186" i="44"/>
  <c r="AD180" i="44"/>
  <c r="AC177" i="44"/>
  <c r="AA180" i="44"/>
  <c r="AD178" i="44"/>
  <c r="AJ181" i="44"/>
  <c r="AH176" i="44"/>
  <c r="AI181" i="44"/>
  <c r="AE175" i="44"/>
  <c r="AC180" i="44"/>
  <c r="Y136" i="44"/>
  <c r="AH175" i="44"/>
  <c r="AF181" i="44"/>
  <c r="AC182" i="44"/>
  <c r="AO135" i="44"/>
  <c r="AE180" i="44"/>
  <c r="AI176" i="44"/>
  <c r="AJ187" i="44"/>
  <c r="AD183" i="44"/>
  <c r="AH185" i="44"/>
  <c r="AE178" i="44"/>
  <c r="AD182" i="44"/>
  <c r="AH186" i="44"/>
  <c r="AC183" i="44"/>
  <c r="AE177" i="44"/>
  <c r="AI185" i="44"/>
  <c r="AE183" i="44"/>
  <c r="AK187" i="44"/>
  <c r="AA178" i="44"/>
  <c r="AE182" i="44"/>
  <c r="AH181" i="44"/>
  <c r="AH187" i="44"/>
  <c r="W87" i="41"/>
  <c r="W87" i="44" s="1"/>
  <c r="AS55" i="41"/>
  <c r="AN7" i="41"/>
  <c r="AN135" i="41" s="1"/>
  <c r="M30" i="41"/>
  <c r="I32" i="41"/>
  <c r="I33" i="41"/>
  <c r="AJ187" i="41"/>
  <c r="AJ115" i="41"/>
  <c r="AO116" i="41"/>
  <c r="AT63" i="41"/>
  <c r="AR7" i="41"/>
  <c r="AE175" i="41"/>
  <c r="AJ61" i="41"/>
  <c r="AJ61" i="44" s="1"/>
  <c r="AH187" i="41"/>
  <c r="AH115" i="41"/>
  <c r="AM116" i="41"/>
  <c r="AO135" i="41"/>
  <c r="AT55" i="41"/>
  <c r="AO7" i="41"/>
  <c r="AG110" i="41"/>
  <c r="AG110" i="44" s="1"/>
  <c r="AG115" i="41"/>
  <c r="AR63" i="41"/>
  <c r="AR63" i="44" s="1"/>
  <c r="AM183" i="41"/>
  <c r="AR101" i="41"/>
  <c r="Z20" i="43"/>
  <c r="AA25" i="42"/>
  <c r="P32" i="41"/>
  <c r="P33" i="41"/>
  <c r="P146" i="41" s="1"/>
  <c r="AI185" i="41"/>
  <c r="AI110" i="41"/>
  <c r="AN111" i="41"/>
  <c r="AJ135" i="41"/>
  <c r="I147" i="41"/>
  <c r="AN186" i="41"/>
  <c r="AN112" i="41"/>
  <c r="AS113" i="41"/>
  <c r="AK178" i="41"/>
  <c r="AP68" i="41"/>
  <c r="AP68" i="44" s="1"/>
  <c r="T33" i="41"/>
  <c r="T32" i="41"/>
  <c r="D53" i="42"/>
  <c r="D43" i="42"/>
  <c r="AA182" i="41"/>
  <c r="AF98" i="41"/>
  <c r="AF98" i="44" s="1"/>
  <c r="AF181" i="41"/>
  <c r="AK96" i="41"/>
  <c r="AK96" i="44" s="1"/>
  <c r="AP183" i="41"/>
  <c r="AU101" i="41"/>
  <c r="AU101" i="44" s="1"/>
  <c r="H54" i="43"/>
  <c r="H22" i="43"/>
  <c r="M55" i="43" s="1"/>
  <c r="M148" i="41" s="1"/>
  <c r="AE178" i="41"/>
  <c r="AJ68" i="41"/>
  <c r="AB29" i="43"/>
  <c r="AB29" i="46" s="1"/>
  <c r="AI178" i="41"/>
  <c r="AN68" i="41"/>
  <c r="AA44" i="41"/>
  <c r="AA44" i="44" s="1"/>
  <c r="R39" i="43"/>
  <c r="AM143" i="41"/>
  <c r="V127" i="44"/>
  <c r="V99" i="44"/>
  <c r="V66" i="44"/>
  <c r="W7" i="43"/>
  <c r="W7" i="46" s="1"/>
  <c r="AO181" i="41"/>
  <c r="AT96" i="41"/>
  <c r="N32" i="41"/>
  <c r="R30" i="41"/>
  <c r="N33" i="41"/>
  <c r="N146" i="41" s="1"/>
  <c r="R31" i="41"/>
  <c r="AD177" i="41"/>
  <c r="AI65" i="41"/>
  <c r="AL124" i="41"/>
  <c r="AL124" i="44" s="1"/>
  <c r="AT108" i="41"/>
  <c r="AP51" i="42"/>
  <c r="AP51" i="45" s="1"/>
  <c r="AK52" i="42"/>
  <c r="AK52" i="45" s="1"/>
  <c r="Q33" i="41"/>
  <c r="Q146" i="41" s="1"/>
  <c r="Q32" i="41"/>
  <c r="K32" i="41"/>
  <c r="K33" i="41"/>
  <c r="K146" i="41" s="1"/>
  <c r="AK185" i="41"/>
  <c r="AP111" i="41"/>
  <c r="AP111" i="44" s="1"/>
  <c r="AK110" i="41"/>
  <c r="AK110" i="44" s="1"/>
  <c r="AD165" i="41"/>
  <c r="AD165" i="44" s="1"/>
  <c r="AC168" i="41"/>
  <c r="M142" i="41"/>
  <c r="M29" i="41"/>
  <c r="M65" i="42"/>
  <c r="M64" i="42" s="1"/>
  <c r="AA13" i="42"/>
  <c r="AA13" i="45" s="1"/>
  <c r="AS123" i="41"/>
  <c r="AQ123" i="41"/>
  <c r="AQ123" i="44" s="1"/>
  <c r="AC177" i="41"/>
  <c r="AH65" i="41"/>
  <c r="AH181" i="41"/>
  <c r="AM96" i="41"/>
  <c r="AD182" i="41"/>
  <c r="AI98" i="41"/>
  <c r="AE180" i="41"/>
  <c r="AJ94" i="41"/>
  <c r="Z10" i="43"/>
  <c r="AB9" i="43"/>
  <c r="AB9" i="46" s="1"/>
  <c r="P147" i="41"/>
  <c r="AU55" i="41"/>
  <c r="AU55" i="44" s="1"/>
  <c r="AD119" i="41"/>
  <c r="AC136" i="41"/>
  <c r="AC16" i="41"/>
  <c r="AC16" i="44" s="1"/>
  <c r="M25" i="41"/>
  <c r="M27" i="41" s="1"/>
  <c r="M143" i="41"/>
  <c r="AA175" i="41"/>
  <c r="AF61" i="41"/>
  <c r="AF61" i="44" s="1"/>
  <c r="AF175" i="44" s="1"/>
  <c r="AO186" i="41"/>
  <c r="AO112" i="41"/>
  <c r="AT113" i="41"/>
  <c r="AE183" i="41"/>
  <c r="AJ101" i="41"/>
  <c r="AK187" i="41"/>
  <c r="AK115" i="41"/>
  <c r="AK115" i="44" s="1"/>
  <c r="AP116" i="41"/>
  <c r="AP116" i="44" s="1"/>
  <c r="AA180" i="41"/>
  <c r="AF94" i="41"/>
  <c r="AF94" i="44" s="1"/>
  <c r="AB27" i="42"/>
  <c r="AB27" i="45" s="1"/>
  <c r="AA19" i="43"/>
  <c r="AC27" i="42"/>
  <c r="AC27" i="45" s="1"/>
  <c r="AG109" i="41"/>
  <c r="AG109" i="44" s="1"/>
  <c r="AJ182" i="41"/>
  <c r="AO98" i="41"/>
  <c r="F40" i="43"/>
  <c r="F41" i="43" s="1"/>
  <c r="E6" i="42"/>
  <c r="Q39" i="43"/>
  <c r="AI181" i="41"/>
  <c r="AN96" i="41"/>
  <c r="AS63" i="41"/>
  <c r="AH180" i="41"/>
  <c r="AM94" i="41"/>
  <c r="O32" i="41"/>
  <c r="O33" i="41"/>
  <c r="O146" i="41" s="1"/>
  <c r="T147" i="41"/>
  <c r="AM182" i="41"/>
  <c r="AR98" i="41"/>
  <c r="D33" i="41"/>
  <c r="D32" i="41"/>
  <c r="R33" i="41"/>
  <c r="R32" i="41"/>
  <c r="R34" i="41"/>
  <c r="AN143" i="41"/>
  <c r="AD183" i="41"/>
  <c r="AI101" i="41"/>
  <c r="H27" i="43"/>
  <c r="H39" i="43" s="1"/>
  <c r="H41" i="43" s="1"/>
  <c r="AC54" i="42"/>
  <c r="AC54" i="45" s="1"/>
  <c r="AD180" i="41"/>
  <c r="AI94" i="41"/>
  <c r="AD28" i="42"/>
  <c r="AD28" i="45" s="1"/>
  <c r="AD77" i="41"/>
  <c r="Q147" i="41"/>
  <c r="AE33" i="43"/>
  <c r="Z33" i="43"/>
  <c r="Z33" i="46" s="1"/>
  <c r="AA35" i="41"/>
  <c r="AI187" i="41"/>
  <c r="AN116" i="41"/>
  <c r="AI115" i="41"/>
  <c r="L55" i="43"/>
  <c r="L148" i="41" s="1"/>
  <c r="AF176" i="41"/>
  <c r="AK63" i="41"/>
  <c r="AK63" i="44" s="1"/>
  <c r="AK176" i="44" s="1"/>
  <c r="AP108" i="41"/>
  <c r="AP108" i="44" s="1"/>
  <c r="Y56" i="42"/>
  <c r="Y56" i="45" s="1"/>
  <c r="AK186" i="41"/>
  <c r="AK112" i="41"/>
  <c r="AK112" i="44" s="1"/>
  <c r="AP113" i="41"/>
  <c r="AP113" i="44" s="1"/>
  <c r="AH175" i="41"/>
  <c r="AM61" i="41"/>
  <c r="AM61" i="44" s="1"/>
  <c r="AB118" i="41"/>
  <c r="AB111" i="41"/>
  <c r="AB111" i="44" s="1"/>
  <c r="V52" i="41"/>
  <c r="X50" i="41"/>
  <c r="X50" i="44" s="1"/>
  <c r="W50" i="41"/>
  <c r="W50" i="44" s="1"/>
  <c r="V74" i="41"/>
  <c r="U90" i="41"/>
  <c r="AL110" i="41"/>
  <c r="AL110" i="44" s="1"/>
  <c r="AP88" i="41"/>
  <c r="AP88" i="44" s="1"/>
  <c r="AL88" i="41"/>
  <c r="AL88" i="44" s="1"/>
  <c r="T41" i="41"/>
  <c r="S57" i="41"/>
  <c r="AL112" i="41"/>
  <c r="AO143" i="41"/>
  <c r="AC69" i="41"/>
  <c r="AC69" i="44" s="1"/>
  <c r="AJ185" i="41"/>
  <c r="AJ110" i="41"/>
  <c r="AO111" i="41"/>
  <c r="Z17" i="43"/>
  <c r="Z17" i="46" s="1"/>
  <c r="AA10" i="42"/>
  <c r="AA10" i="45" s="1"/>
  <c r="AM68" i="41"/>
  <c r="AH178" i="41"/>
  <c r="Y85" i="41"/>
  <c r="Z83" i="41"/>
  <c r="Z83" i="44" s="1"/>
  <c r="Y57" i="43"/>
  <c r="N147" i="41"/>
  <c r="AM77" i="41"/>
  <c r="AB16" i="41"/>
  <c r="AB16" i="44" s="1"/>
  <c r="U76" i="41"/>
  <c r="U77" i="41" s="1"/>
  <c r="Z77" i="41" s="1"/>
  <c r="AM185" i="41"/>
  <c r="AM110" i="41"/>
  <c r="AR111" i="41"/>
  <c r="S33" i="41"/>
  <c r="S146" i="41" s="1"/>
  <c r="S32" i="41"/>
  <c r="AD175" i="41"/>
  <c r="AI61" i="41"/>
  <c r="AI61" i="44" s="1"/>
  <c r="AI175" i="44" s="1"/>
  <c r="S43" i="41"/>
  <c r="S44" i="41" s="1"/>
  <c r="X44" i="41" s="1"/>
  <c r="AM186" i="41"/>
  <c r="AR113" i="41"/>
  <c r="AM112" i="41"/>
  <c r="AE177" i="41"/>
  <c r="AJ65" i="41"/>
  <c r="AA21" i="43"/>
  <c r="AC23" i="42"/>
  <c r="AC23" i="45" s="1"/>
  <c r="AB23" i="42"/>
  <c r="AB23" i="45" s="1"/>
  <c r="G32" i="41"/>
  <c r="G33" i="41"/>
  <c r="L146" i="41" s="1"/>
  <c r="AI34" i="39"/>
  <c r="AJ176" i="36"/>
  <c r="AA175" i="36"/>
  <c r="AF175" i="36"/>
  <c r="AF176" i="36"/>
  <c r="AK63" i="36"/>
  <c r="AA176" i="36"/>
  <c r="AK175" i="36"/>
  <c r="AP68" i="36"/>
  <c r="AU68" i="36" s="1"/>
  <c r="AI176" i="36"/>
  <c r="AN63" i="36"/>
  <c r="AS63" i="36" s="1"/>
  <c r="AH175" i="36"/>
  <c r="AM61" i="36"/>
  <c r="AR61" i="36" s="1"/>
  <c r="V16" i="38"/>
  <c r="V27" i="38"/>
  <c r="X72" i="48" l="1"/>
  <c r="X72" i="53" s="1"/>
  <c r="AA10" i="48"/>
  <c r="AA62" i="53"/>
  <c r="Z11" i="48"/>
  <c r="Z11" i="53" s="1"/>
  <c r="Z64" i="53"/>
  <c r="AA8" i="48"/>
  <c r="AA8" i="53" s="1"/>
  <c r="AA5" i="53"/>
  <c r="Z15" i="50"/>
  <c r="Z15" i="55" s="1"/>
  <c r="Z8" i="54"/>
  <c r="X16" i="50"/>
  <c r="X16" i="55" s="1"/>
  <c r="X9" i="54"/>
  <c r="AB47" i="48"/>
  <c r="AB47" i="53" s="1"/>
  <c r="AB59" i="53"/>
  <c r="X17" i="48"/>
  <c r="X17" i="53" s="1"/>
  <c r="X15" i="53"/>
  <c r="AJ47" i="50"/>
  <c r="AJ63" i="49"/>
  <c r="AJ29" i="50"/>
  <c r="AK28" i="49"/>
  <c r="AK22" i="48"/>
  <c r="AL22" i="48" s="1"/>
  <c r="M46" i="50"/>
  <c r="M48" i="50" s="1"/>
  <c r="M11" i="49"/>
  <c r="M20" i="49" s="1"/>
  <c r="M43" i="49" s="1"/>
  <c r="Z13" i="48"/>
  <c r="Z13" i="53" s="1"/>
  <c r="AB67" i="48"/>
  <c r="AH153" i="48"/>
  <c r="AK17" i="50"/>
  <c r="AL17" i="50" s="1"/>
  <c r="AM10" i="49"/>
  <c r="AL10" i="49"/>
  <c r="AB62" i="48"/>
  <c r="Y22" i="49"/>
  <c r="Y22" i="54" s="1"/>
  <c r="Y9" i="49"/>
  <c r="Z9" i="48"/>
  <c r="Z9" i="53" s="1"/>
  <c r="AA64" i="48"/>
  <c r="AA64" i="53" s="1"/>
  <c r="AA67" i="48"/>
  <c r="AA67" i="53" s="1"/>
  <c r="AA60" i="48"/>
  <c r="AA60" i="53" s="1"/>
  <c r="Y35" i="50"/>
  <c r="Y35" i="55" s="1"/>
  <c r="X37" i="50"/>
  <c r="X37" i="55" s="1"/>
  <c r="AM56" i="49"/>
  <c r="AB40" i="50"/>
  <c r="X40" i="50"/>
  <c r="T40" i="50"/>
  <c r="T41" i="50" s="1"/>
  <c r="S6" i="49"/>
  <c r="AK19" i="50"/>
  <c r="AL19" i="50" s="1"/>
  <c r="AL27" i="49"/>
  <c r="AM27" i="49"/>
  <c r="AK16" i="49"/>
  <c r="X18" i="50"/>
  <c r="X18" i="55" s="1"/>
  <c r="X30" i="49"/>
  <c r="X37" i="49"/>
  <c r="X37" i="54" s="1"/>
  <c r="AK21" i="50"/>
  <c r="AL21" i="50" s="1"/>
  <c r="AM23" i="49"/>
  <c r="AL23" i="49"/>
  <c r="AK172" i="48"/>
  <c r="AK28" i="48" s="1"/>
  <c r="AL28" i="48" s="1"/>
  <c r="AK18" i="48"/>
  <c r="AL18" i="48" s="1"/>
  <c r="AE6" i="48"/>
  <c r="AG54" i="48"/>
  <c r="AP118" i="48"/>
  <c r="AQ117" i="48"/>
  <c r="AQ118" i="48" s="1"/>
  <c r="AF30" i="48"/>
  <c r="AJ33" i="50"/>
  <c r="X19" i="48"/>
  <c r="X19" i="53" s="1"/>
  <c r="AA12" i="50"/>
  <c r="AA25" i="50"/>
  <c r="AA8" i="49"/>
  <c r="AA8" i="54" s="1"/>
  <c r="AA140" i="48"/>
  <c r="AA140" i="53" s="1"/>
  <c r="AN165" i="48"/>
  <c r="AM168" i="48"/>
  <c r="AM170" i="48" s="1"/>
  <c r="AD41" i="48"/>
  <c r="AC57" i="48"/>
  <c r="AB64" i="48"/>
  <c r="AB5" i="48"/>
  <c r="AH85" i="48"/>
  <c r="AH87" i="48" s="1"/>
  <c r="AI83" i="48"/>
  <c r="AA100" i="48"/>
  <c r="AB100" i="48" s="1"/>
  <c r="AB101" i="48" s="1"/>
  <c r="AA97" i="48"/>
  <c r="AB97" i="48" s="1"/>
  <c r="AB98" i="48" s="1"/>
  <c r="AA93" i="48"/>
  <c r="AC46" i="48"/>
  <c r="AC46" i="53" s="1"/>
  <c r="AC5" i="48"/>
  <c r="AC5" i="53" s="1"/>
  <c r="AC62" i="48"/>
  <c r="AC62" i="53" s="1"/>
  <c r="AC59" i="48"/>
  <c r="AC59" i="53" s="1"/>
  <c r="AA133" i="48"/>
  <c r="AA133" i="53" s="1"/>
  <c r="N53" i="49"/>
  <c r="N43" i="49"/>
  <c r="AH50" i="48"/>
  <c r="AG50" i="48"/>
  <c r="AF52" i="48"/>
  <c r="AF54" i="48" s="1"/>
  <c r="AN13" i="49"/>
  <c r="AS163" i="48"/>
  <c r="AR117" i="48"/>
  <c r="AR129" i="48"/>
  <c r="L53" i="49"/>
  <c r="L43" i="49"/>
  <c r="AH20" i="50"/>
  <c r="AI25" i="49"/>
  <c r="Y7" i="50"/>
  <c r="K53" i="49"/>
  <c r="K43" i="49"/>
  <c r="O46" i="50"/>
  <c r="O48" i="50" s="1"/>
  <c r="O144" i="48"/>
  <c r="O11" i="49"/>
  <c r="O20" i="49" s="1"/>
  <c r="AM136" i="48"/>
  <c r="AN119" i="48"/>
  <c r="AM16" i="48"/>
  <c r="AM120" i="48"/>
  <c r="AM121" i="48" s="1"/>
  <c r="AO69" i="48"/>
  <c r="Q40" i="50"/>
  <c r="Q41" i="50" s="1"/>
  <c r="Q6" i="49" s="1"/>
  <c r="P6" i="49"/>
  <c r="AJ10" i="50"/>
  <c r="AL10" i="50" s="1"/>
  <c r="AL9" i="50"/>
  <c r="AB93" i="48"/>
  <c r="AK136" i="48"/>
  <c r="AD74" i="48"/>
  <c r="AC90" i="48"/>
  <c r="AM35" i="48"/>
  <c r="X137" i="48"/>
  <c r="X137" i="53" s="1"/>
  <c r="AC76" i="48"/>
  <c r="AC78" i="48" s="1"/>
  <c r="AM102" i="48"/>
  <c r="AK14" i="48"/>
  <c r="AL14" i="48" s="1"/>
  <c r="AS51" i="45"/>
  <c r="AS52" i="42"/>
  <c r="AS52" i="45" s="1"/>
  <c r="AS49" i="45"/>
  <c r="AS50" i="42"/>
  <c r="AS50" i="45" s="1"/>
  <c r="AT50" i="42"/>
  <c r="AT50" i="45" s="1"/>
  <c r="AT49" i="45"/>
  <c r="AR49" i="45"/>
  <c r="AR50" i="42"/>
  <c r="AR50" i="45" s="1"/>
  <c r="AT48" i="42"/>
  <c r="AT48" i="45" s="1"/>
  <c r="AT47" i="45"/>
  <c r="AA118" i="44"/>
  <c r="X120" i="44"/>
  <c r="AF163" i="41"/>
  <c r="AF163" i="44" s="1"/>
  <c r="Y120" i="44"/>
  <c r="AO56" i="43"/>
  <c r="AP56" i="43"/>
  <c r="AP56" i="46" s="1"/>
  <c r="AO56" i="46"/>
  <c r="AD173" i="41"/>
  <c r="AC173" i="44"/>
  <c r="Z28" i="41"/>
  <c r="Z28" i="44" s="1"/>
  <c r="Z172" i="44"/>
  <c r="AA18" i="41"/>
  <c r="AA172" i="41"/>
  <c r="AC170" i="41"/>
  <c r="AC170" i="44" s="1"/>
  <c r="AC168" i="44"/>
  <c r="Z120" i="44"/>
  <c r="AC117" i="44"/>
  <c r="AD117" i="41"/>
  <c r="AC102" i="44"/>
  <c r="AD102" i="41"/>
  <c r="AC120" i="41"/>
  <c r="AC120" i="44" s="1"/>
  <c r="AC118" i="44"/>
  <c r="AA30" i="44"/>
  <c r="AC30" i="41"/>
  <c r="AD145" i="41"/>
  <c r="AD22" i="41" s="1"/>
  <c r="AD22" i="44" s="1"/>
  <c r="AC145" i="44"/>
  <c r="AC129" i="41"/>
  <c r="AC14" i="41" s="1"/>
  <c r="AC14" i="44" s="1"/>
  <c r="AA129" i="44"/>
  <c r="AA14" i="41"/>
  <c r="AK135" i="41"/>
  <c r="AB10" i="43"/>
  <c r="AB10" i="46" s="1"/>
  <c r="Z10" i="46"/>
  <c r="AA10" i="43"/>
  <c r="AA10" i="46" s="1"/>
  <c r="AA9" i="46"/>
  <c r="AD119" i="44"/>
  <c r="AG116" i="41"/>
  <c r="AG116" i="44" s="1"/>
  <c r="AG115" i="44"/>
  <c r="AA121" i="41"/>
  <c r="AA121" i="44" s="1"/>
  <c r="AA120" i="44"/>
  <c r="W121" i="41"/>
  <c r="W121" i="44" s="1"/>
  <c r="W120" i="44"/>
  <c r="AL113" i="41"/>
  <c r="AL113" i="44" s="1"/>
  <c r="AL112" i="44"/>
  <c r="AG113" i="41"/>
  <c r="AG113" i="44" s="1"/>
  <c r="AG112" i="44"/>
  <c r="AB120" i="41"/>
  <c r="AB118" i="44"/>
  <c r="AL109" i="41"/>
  <c r="AL109" i="44" s="1"/>
  <c r="AL7" i="41"/>
  <c r="AL7" i="44" s="1"/>
  <c r="AP86" i="41"/>
  <c r="AK86" i="44"/>
  <c r="AV55" i="41"/>
  <c r="AV55" i="44" s="1"/>
  <c r="AU53" i="41"/>
  <c r="AU53" i="44" s="1"/>
  <c r="AP53" i="44"/>
  <c r="Y87" i="41"/>
  <c r="Y87" i="44" s="1"/>
  <c r="Y85" i="44"/>
  <c r="V76" i="41"/>
  <c r="V74" i="44"/>
  <c r="V54" i="44"/>
  <c r="V134" i="44" s="1"/>
  <c r="V52" i="44"/>
  <c r="AF55" i="42"/>
  <c r="AU48" i="42"/>
  <c r="AU48" i="45" s="1"/>
  <c r="AU47" i="45"/>
  <c r="AA40" i="45"/>
  <c r="AC40" i="42"/>
  <c r="AB40" i="42"/>
  <c r="AB40" i="45" s="1"/>
  <c r="AD39" i="42"/>
  <c r="AC39" i="45"/>
  <c r="AE34" i="42"/>
  <c r="AD34" i="45"/>
  <c r="AA8" i="43"/>
  <c r="AA8" i="46" s="1"/>
  <c r="AE33" i="42"/>
  <c r="AD33" i="45"/>
  <c r="AB16" i="42"/>
  <c r="AB16" i="45" s="1"/>
  <c r="AD32" i="42"/>
  <c r="AC32" i="45"/>
  <c r="AC29" i="43"/>
  <c r="AC29" i="46" s="1"/>
  <c r="AC63" i="42"/>
  <c r="AC63" i="45" s="1"/>
  <c r="AC47" i="43"/>
  <c r="AC47" i="46" s="1"/>
  <c r="AD31" i="42"/>
  <c r="AC31" i="45"/>
  <c r="AB67" i="42"/>
  <c r="AB67" i="45" s="1"/>
  <c r="AB47" i="43"/>
  <c r="AB47" i="46" s="1"/>
  <c r="AB19" i="43"/>
  <c r="AB19" i="46" s="1"/>
  <c r="AA19" i="46"/>
  <c r="AA26" i="45"/>
  <c r="AC26" i="42"/>
  <c r="AB26" i="42"/>
  <c r="AB26" i="45" s="1"/>
  <c r="AE24" i="42"/>
  <c r="AD24" i="45"/>
  <c r="AB21" i="43"/>
  <c r="AB21" i="46" s="1"/>
  <c r="AA21" i="46"/>
  <c r="AD19" i="42"/>
  <c r="AC19" i="45"/>
  <c r="AD18" i="42"/>
  <c r="AC18" i="45"/>
  <c r="AA15" i="45"/>
  <c r="AB15" i="42"/>
  <c r="AB15" i="45" s="1"/>
  <c r="AC15" i="42"/>
  <c r="AC53" i="43"/>
  <c r="AA53" i="46"/>
  <c r="AD31" i="41"/>
  <c r="AD31" i="44" s="1"/>
  <c r="AC31" i="44"/>
  <c r="AC26" i="44"/>
  <c r="AD26" i="41"/>
  <c r="AE57" i="43"/>
  <c r="AE57" i="46" s="1"/>
  <c r="AE33" i="46"/>
  <c r="Y58" i="43"/>
  <c r="Y58" i="46" s="1"/>
  <c r="Y57" i="46"/>
  <c r="AB35" i="41"/>
  <c r="AB35" i="44" s="1"/>
  <c r="AA35" i="44"/>
  <c r="AN185" i="44"/>
  <c r="AP187" i="44"/>
  <c r="AK181" i="44"/>
  <c r="AI180" i="44"/>
  <c r="AN186" i="44"/>
  <c r="AF183" i="44"/>
  <c r="AK185" i="44"/>
  <c r="AJ177" i="44"/>
  <c r="AM185" i="44"/>
  <c r="AN181" i="44"/>
  <c r="AK135" i="44"/>
  <c r="AI177" i="44"/>
  <c r="AF180" i="44"/>
  <c r="AF182" i="44"/>
  <c r="AH183" i="44"/>
  <c r="AS135" i="44"/>
  <c r="AT135" i="44"/>
  <c r="AH178" i="44"/>
  <c r="Z136" i="44"/>
  <c r="AO181" i="44"/>
  <c r="AO185" i="44"/>
  <c r="AM187" i="44"/>
  <c r="AJ182" i="44"/>
  <c r="AM186" i="44"/>
  <c r="AA136" i="44"/>
  <c r="AT186" i="44"/>
  <c r="AJ183" i="44"/>
  <c r="AJ178" i="44"/>
  <c r="AO187" i="44"/>
  <c r="AJ180" i="44"/>
  <c r="AI183" i="44"/>
  <c r="AF178" i="44"/>
  <c r="AH180" i="44"/>
  <c r="AK186" i="44"/>
  <c r="AN187" i="44"/>
  <c r="AI182" i="44"/>
  <c r="AI178" i="44"/>
  <c r="AM181" i="44"/>
  <c r="AH182" i="44"/>
  <c r="AJ175" i="44"/>
  <c r="AM135" i="44"/>
  <c r="AH177" i="44"/>
  <c r="I40" i="43"/>
  <c r="M40" i="43"/>
  <c r="AR61" i="41"/>
  <c r="AR61" i="44" s="1"/>
  <c r="AI180" i="41"/>
  <c r="AN94" i="41"/>
  <c r="E46" i="43"/>
  <c r="E48" i="43" s="1"/>
  <c r="E11" i="42"/>
  <c r="E20" i="42" s="1"/>
  <c r="E144" i="41"/>
  <c r="M32" i="41"/>
  <c r="AF182" i="41"/>
  <c r="AK98" i="41"/>
  <c r="AK98" i="44" s="1"/>
  <c r="AL111" i="41"/>
  <c r="AL111" i="44" s="1"/>
  <c r="AN187" i="41"/>
  <c r="AN115" i="41"/>
  <c r="AS116" i="41"/>
  <c r="G40" i="43"/>
  <c r="G41" i="43" s="1"/>
  <c r="G6" i="42" s="1"/>
  <c r="F6" i="42"/>
  <c r="AI182" i="41"/>
  <c r="AN98" i="41"/>
  <c r="AI175" i="41"/>
  <c r="AN61" i="41"/>
  <c r="AN61" i="44" s="1"/>
  <c r="AC9" i="43"/>
  <c r="AC9" i="46" s="1"/>
  <c r="W12" i="41"/>
  <c r="W12" i="44" s="1"/>
  <c r="W66" i="41"/>
  <c r="W66" i="44" s="1"/>
  <c r="AU88" i="41"/>
  <c r="AU88" i="44" s="1"/>
  <c r="AQ88" i="41"/>
  <c r="AQ88" i="44" s="1"/>
  <c r="AR182" i="41"/>
  <c r="AT181" i="41"/>
  <c r="Z57" i="43"/>
  <c r="AI177" i="41"/>
  <c r="AN65" i="41"/>
  <c r="AS65" i="41" s="1"/>
  <c r="W127" i="41"/>
  <c r="V130" i="41"/>
  <c r="AJ178" i="41"/>
  <c r="AO68" i="41"/>
  <c r="AJ175" i="41"/>
  <c r="AO61" i="41"/>
  <c r="AO61" i="44" s="1"/>
  <c r="U41" i="41"/>
  <c r="T57" i="41"/>
  <c r="T43" i="41"/>
  <c r="T44" i="41" s="1"/>
  <c r="Y44" i="41" s="1"/>
  <c r="AM180" i="41"/>
  <c r="AR94" i="41"/>
  <c r="AE119" i="41"/>
  <c r="AD16" i="41"/>
  <c r="AD136" i="41" s="1"/>
  <c r="AM181" i="41"/>
  <c r="AR96" i="41"/>
  <c r="AE165" i="41"/>
  <c r="AE165" i="44" s="1"/>
  <c r="AD168" i="41"/>
  <c r="AR135" i="41"/>
  <c r="AP7" i="41"/>
  <c r="AP135" i="41" s="1"/>
  <c r="T146" i="41"/>
  <c r="AA20" i="43"/>
  <c r="AB20" i="43" s="1"/>
  <c r="AB25" i="42"/>
  <c r="AC25" i="42"/>
  <c r="AG111" i="41"/>
  <c r="AG111" i="44" s="1"/>
  <c r="AU51" i="42"/>
  <c r="AP52" i="42"/>
  <c r="AP52" i="45" s="1"/>
  <c r="AD69" i="41"/>
  <c r="AD69" i="44" s="1"/>
  <c r="AP186" i="41"/>
  <c r="AU113" i="41"/>
  <c r="AU113" i="44" s="1"/>
  <c r="AP112" i="41"/>
  <c r="AP112" i="44" s="1"/>
  <c r="AO182" i="41"/>
  <c r="AT98" i="41"/>
  <c r="AR185" i="41"/>
  <c r="AR110" i="41"/>
  <c r="AQ110" i="41"/>
  <c r="AQ110" i="44" s="1"/>
  <c r="Z56" i="42"/>
  <c r="Z56" i="45" s="1"/>
  <c r="AJ183" i="41"/>
  <c r="AO101" i="41"/>
  <c r="AP185" i="41"/>
  <c r="AU111" i="41"/>
  <c r="AU111" i="44" s="1"/>
  <c r="AP110" i="41"/>
  <c r="AP110" i="44" s="1"/>
  <c r="U146" i="41"/>
  <c r="AU68" i="41"/>
  <c r="AU68" i="44" s="1"/>
  <c r="AP143" i="41"/>
  <c r="AS68" i="41"/>
  <c r="AF33" i="43"/>
  <c r="AF33" i="46" s="1"/>
  <c r="AA33" i="43"/>
  <c r="AC35" i="41"/>
  <c r="AC35" i="44" s="1"/>
  <c r="Z85" i="41"/>
  <c r="AA83" i="41"/>
  <c r="AA83" i="44" s="1"/>
  <c r="AN101" i="41"/>
  <c r="AI183" i="41"/>
  <c r="AI77" i="41"/>
  <c r="AC19" i="43"/>
  <c r="AC19" i="46" s="1"/>
  <c r="AD27" i="42"/>
  <c r="AD27" i="45" s="1"/>
  <c r="AC16" i="42"/>
  <c r="AH177" i="41"/>
  <c r="AM65" i="41"/>
  <c r="AR65" i="41" s="1"/>
  <c r="AS7" i="41"/>
  <c r="AK181" i="41"/>
  <c r="AP96" i="41"/>
  <c r="AP96" i="44" s="1"/>
  <c r="AD23" i="42"/>
  <c r="AD23" i="45" s="1"/>
  <c r="AE77" i="41"/>
  <c r="AR68" i="41"/>
  <c r="AD54" i="42"/>
  <c r="AD54" i="45" s="1"/>
  <c r="AT186" i="41"/>
  <c r="AT112" i="41"/>
  <c r="AT7" i="41"/>
  <c r="AT135" i="41" s="1"/>
  <c r="AO187" i="41"/>
  <c r="AO115" i="41"/>
  <c r="AT116" i="41"/>
  <c r="W74" i="41"/>
  <c r="W74" i="44" s="1"/>
  <c r="X74" i="41"/>
  <c r="X74" i="44" s="1"/>
  <c r="X76" i="41"/>
  <c r="V90" i="41"/>
  <c r="AJ177" i="41"/>
  <c r="AO65" i="41"/>
  <c r="AT65" i="41" s="1"/>
  <c r="AQ112" i="41"/>
  <c r="AQ112" i="44" s="1"/>
  <c r="AR77" i="41"/>
  <c r="AA17" i="43"/>
  <c r="AB10" i="42"/>
  <c r="AB10" i="45" s="1"/>
  <c r="AC10" i="42"/>
  <c r="AC10" i="45" s="1"/>
  <c r="Y50" i="41"/>
  <c r="Y50" i="44" s="1"/>
  <c r="X52" i="41"/>
  <c r="AU108" i="41"/>
  <c r="AU108" i="44" s="1"/>
  <c r="AQ108" i="41"/>
  <c r="AQ108" i="44" s="1"/>
  <c r="AD29" i="43"/>
  <c r="AD29" i="46" s="1"/>
  <c r="AD47" i="43"/>
  <c r="AD47" i="46" s="1"/>
  <c r="AD63" i="42"/>
  <c r="AD63" i="45" s="1"/>
  <c r="AE28" i="42"/>
  <c r="AE28" i="45" s="1"/>
  <c r="R36" i="41"/>
  <c r="AQ124" i="41"/>
  <c r="AQ124" i="44" s="1"/>
  <c r="AU183" i="41"/>
  <c r="AS186" i="41"/>
  <c r="AS112" i="41"/>
  <c r="AR183" i="41"/>
  <c r="AE54" i="42"/>
  <c r="AN185" i="41"/>
  <c r="AN110" i="41"/>
  <c r="AS111" i="41"/>
  <c r="W99" i="41"/>
  <c r="W99" i="44" s="1"/>
  <c r="AR186" i="41"/>
  <c r="AR112" i="41"/>
  <c r="W6" i="41"/>
  <c r="W6" i="44" s="1"/>
  <c r="AV123" i="41"/>
  <c r="AV123" i="44" s="1"/>
  <c r="AO185" i="41"/>
  <c r="AO110" i="41"/>
  <c r="AT111" i="41"/>
  <c r="AF180" i="41"/>
  <c r="AK94" i="41"/>
  <c r="AK94" i="44" s="1"/>
  <c r="AF175" i="41"/>
  <c r="AK61" i="41"/>
  <c r="AK61" i="44" s="1"/>
  <c r="AK175" i="44" s="1"/>
  <c r="AF44" i="41"/>
  <c r="AF44" i="44" s="1"/>
  <c r="AR116" i="41"/>
  <c r="AM115" i="41"/>
  <c r="AM187" i="41"/>
  <c r="I146" i="41"/>
  <c r="AJ180" i="41"/>
  <c r="AO94" i="41"/>
  <c r="AP187" i="41"/>
  <c r="AP115" i="41"/>
  <c r="AP115" i="44" s="1"/>
  <c r="AU116" i="41"/>
  <c r="AU116" i="44" s="1"/>
  <c r="AH163" i="41"/>
  <c r="AH163" i="44" s="1"/>
  <c r="AC44" i="41"/>
  <c r="AK176" i="41"/>
  <c r="AP63" i="41"/>
  <c r="AP63" i="44" s="1"/>
  <c r="AN181" i="41"/>
  <c r="AS96" i="41"/>
  <c r="AB13" i="42"/>
  <c r="AB13" i="45" s="1"/>
  <c r="AC13" i="42"/>
  <c r="AC13" i="45" s="1"/>
  <c r="AL115" i="41"/>
  <c r="M31" i="41"/>
  <c r="M33" i="41" s="1"/>
  <c r="AJ34" i="39"/>
  <c r="AK176" i="36"/>
  <c r="AP63" i="36"/>
  <c r="AU63" i="36" s="1"/>
  <c r="F145" i="36"/>
  <c r="E145" i="36"/>
  <c r="L145" i="36"/>
  <c r="K145" i="36"/>
  <c r="J145" i="36"/>
  <c r="I145" i="36"/>
  <c r="N145" i="36"/>
  <c r="S145" i="36"/>
  <c r="Q145" i="36"/>
  <c r="P145" i="36"/>
  <c r="O145" i="36"/>
  <c r="T145" i="36"/>
  <c r="U145" i="36"/>
  <c r="X141" i="48" l="1"/>
  <c r="X141" i="53" s="1"/>
  <c r="AB25" i="50"/>
  <c r="AA25" i="55"/>
  <c r="AB60" i="48"/>
  <c r="AB60" i="53" s="1"/>
  <c r="AB12" i="50"/>
  <c r="AB12" i="55" s="1"/>
  <c r="AA12" i="55"/>
  <c r="Y16" i="50"/>
  <c r="Y16" i="55" s="1"/>
  <c r="Y9" i="54"/>
  <c r="AB10" i="48"/>
  <c r="AB10" i="53" s="1"/>
  <c r="AA10" i="53"/>
  <c r="AC133" i="48"/>
  <c r="AC133" i="53" s="1"/>
  <c r="AB8" i="48"/>
  <c r="AB5" i="53"/>
  <c r="X35" i="49"/>
  <c r="X35" i="54" s="1"/>
  <c r="X30" i="54"/>
  <c r="AB68" i="48"/>
  <c r="AB68" i="53" s="1"/>
  <c r="AB67" i="53"/>
  <c r="AB65" i="48"/>
  <c r="AB65" i="53" s="1"/>
  <c r="AB64" i="53"/>
  <c r="AB56" i="50"/>
  <c r="AB56" i="55" s="1"/>
  <c r="AB25" i="55"/>
  <c r="Y14" i="49"/>
  <c r="Y14" i="54" s="1"/>
  <c r="Y7" i="55"/>
  <c r="AB63" i="48"/>
  <c r="AB63" i="53" s="1"/>
  <c r="AB62" i="53"/>
  <c r="Z7" i="50"/>
  <c r="Z7" i="55" s="1"/>
  <c r="AO119" i="48"/>
  <c r="AN16" i="48"/>
  <c r="AN9" i="50" s="1"/>
  <c r="AN10" i="50" s="1"/>
  <c r="AN120" i="48"/>
  <c r="AN121" i="48" s="1"/>
  <c r="AR118" i="48"/>
  <c r="AO165" i="48"/>
  <c r="AN168" i="48"/>
  <c r="AN170" i="48" s="1"/>
  <c r="AG6" i="48"/>
  <c r="U40" i="50"/>
  <c r="U41" i="50" s="1"/>
  <c r="T6" i="49"/>
  <c r="Z22" i="49"/>
  <c r="Z22" i="54" s="1"/>
  <c r="Z9" i="49"/>
  <c r="AB94" i="48"/>
  <c r="AT163" i="48"/>
  <c r="AS117" i="48"/>
  <c r="AS118" i="48" s="1"/>
  <c r="AS129" i="48"/>
  <c r="AE134" i="48"/>
  <c r="Y18" i="50"/>
  <c r="Y18" i="55" s="1"/>
  <c r="Y30" i="49"/>
  <c r="S46" i="50"/>
  <c r="S48" i="50" s="1"/>
  <c r="S11" i="49"/>
  <c r="S20" i="49" s="1"/>
  <c r="S144" i="48"/>
  <c r="O53" i="49"/>
  <c r="O43" i="49"/>
  <c r="AA15" i="50"/>
  <c r="AB8" i="49"/>
  <c r="AB8" i="54" s="1"/>
  <c r="AO13" i="49"/>
  <c r="AM17" i="50"/>
  <c r="AN10" i="49"/>
  <c r="P46" i="50"/>
  <c r="P48" i="50" s="1"/>
  <c r="P11" i="49"/>
  <c r="P20" i="49" s="1"/>
  <c r="P144" i="48"/>
  <c r="AM21" i="50"/>
  <c r="AN23" i="49"/>
  <c r="AE74" i="48"/>
  <c r="AD90" i="48"/>
  <c r="AD76" i="48"/>
  <c r="AD78" i="48" s="1"/>
  <c r="Q46" i="50"/>
  <c r="Q48" i="50" s="1"/>
  <c r="Q11" i="49"/>
  <c r="Q20" i="49" s="1"/>
  <c r="R6" i="49"/>
  <c r="Q144" i="48"/>
  <c r="AF134" i="48"/>
  <c r="AF6" i="48"/>
  <c r="X142" i="48"/>
  <c r="X142" i="53" s="1"/>
  <c r="Z35" i="50"/>
  <c r="Z35" i="55" s="1"/>
  <c r="Y37" i="50"/>
  <c r="Y37" i="55" s="1"/>
  <c r="AN102" i="48"/>
  <c r="AM14" i="48"/>
  <c r="AP69" i="48"/>
  <c r="AI85" i="48"/>
  <c r="AI87" i="48" s="1"/>
  <c r="AJ83" i="48"/>
  <c r="Y37" i="49"/>
  <c r="Y37" i="54" s="1"/>
  <c r="AH155" i="48"/>
  <c r="AI153" i="48"/>
  <c r="AE43" i="48"/>
  <c r="AE45" i="48" s="1"/>
  <c r="AE45" i="53" s="1"/>
  <c r="AE41" i="48"/>
  <c r="AD57" i="48"/>
  <c r="AM172" i="48"/>
  <c r="AM28" i="48" s="1"/>
  <c r="AM18" i="48"/>
  <c r="AC79" i="48"/>
  <c r="AC95" i="48"/>
  <c r="AC92" i="48"/>
  <c r="Y66" i="48"/>
  <c r="Y66" i="53" s="1"/>
  <c r="Y99" i="48"/>
  <c r="Y99" i="53" s="1"/>
  <c r="Y127" i="48"/>
  <c r="Y127" i="53" s="1"/>
  <c r="AI20" i="50"/>
  <c r="AJ25" i="49"/>
  <c r="AH52" i="48"/>
  <c r="AH54" i="48" s="1"/>
  <c r="AI50" i="48"/>
  <c r="AJ57" i="50"/>
  <c r="AJ58" i="50" s="1"/>
  <c r="AA9" i="48"/>
  <c r="AN56" i="49"/>
  <c r="AC64" i="48"/>
  <c r="AC64" i="53" s="1"/>
  <c r="AC60" i="48"/>
  <c r="AC60" i="53" s="1"/>
  <c r="AC67" i="48"/>
  <c r="AC67" i="53" s="1"/>
  <c r="AD43" i="48"/>
  <c r="AD45" i="48" s="1"/>
  <c r="AD45" i="53" s="1"/>
  <c r="AC8" i="48"/>
  <c r="AC8" i="53" s="1"/>
  <c r="AB140" i="48"/>
  <c r="AB140" i="53" s="1"/>
  <c r="AH30" i="48"/>
  <c r="AK33" i="50"/>
  <c r="AK57" i="50" s="1"/>
  <c r="AK8" i="50"/>
  <c r="AL8" i="50" s="1"/>
  <c r="AL16" i="49"/>
  <c r="AA13" i="48"/>
  <c r="AK29" i="50"/>
  <c r="AL29" i="50" s="1"/>
  <c r="AK63" i="49"/>
  <c r="AK47" i="50"/>
  <c r="AM28" i="49"/>
  <c r="AL28" i="49"/>
  <c r="AM22" i="48"/>
  <c r="AN35" i="48"/>
  <c r="AM9" i="50"/>
  <c r="AM19" i="50"/>
  <c r="AN27" i="49"/>
  <c r="AM16" i="49"/>
  <c r="AM8" i="50" s="1"/>
  <c r="AA11" i="48"/>
  <c r="AA14" i="44"/>
  <c r="AA15" i="41"/>
  <c r="AC121" i="41"/>
  <c r="AC121" i="44" s="1"/>
  <c r="AC18" i="41"/>
  <c r="AC18" i="44" s="1"/>
  <c r="AC172" i="41"/>
  <c r="AC28" i="41" s="1"/>
  <c r="AC28" i="44" s="1"/>
  <c r="AR56" i="43"/>
  <c r="AR56" i="46" s="1"/>
  <c r="AE173" i="41"/>
  <c r="AD173" i="44"/>
  <c r="AD170" i="41"/>
  <c r="AD170" i="44" s="1"/>
  <c r="AD168" i="44"/>
  <c r="AA28" i="41"/>
  <c r="AA172" i="44"/>
  <c r="AA18" i="44"/>
  <c r="AB18" i="41"/>
  <c r="AB18" i="44" s="1"/>
  <c r="AB14" i="41"/>
  <c r="AD102" i="44"/>
  <c r="AE102" i="41"/>
  <c r="AD117" i="44"/>
  <c r="AD118" i="41"/>
  <c r="AE117" i="41"/>
  <c r="AD30" i="41"/>
  <c r="AD30" i="44" s="1"/>
  <c r="AC30" i="44"/>
  <c r="AE145" i="41"/>
  <c r="AD145" i="44"/>
  <c r="AC129" i="44"/>
  <c r="AD129" i="41"/>
  <c r="AD14" i="41" s="1"/>
  <c r="AD14" i="44" s="1"/>
  <c r="AE119" i="44"/>
  <c r="AD9" i="43"/>
  <c r="AD16" i="44"/>
  <c r="AB121" i="41"/>
  <c r="AB121" i="44" s="1"/>
  <c r="AB120" i="44"/>
  <c r="AL116" i="41"/>
  <c r="AL116" i="44" s="1"/>
  <c r="AL115" i="44"/>
  <c r="AQ115" i="41"/>
  <c r="AU86" i="41"/>
  <c r="AU86" i="44" s="1"/>
  <c r="AP86" i="44"/>
  <c r="AQ7" i="41"/>
  <c r="AQ7" i="44" s="1"/>
  <c r="AP7" i="44"/>
  <c r="AP135" i="44" s="1"/>
  <c r="Z87" i="41"/>
  <c r="Z87" i="44" s="1"/>
  <c r="Z85" i="44"/>
  <c r="V76" i="44"/>
  <c r="AB90" i="44"/>
  <c r="V90" i="44"/>
  <c r="X78" i="41"/>
  <c r="X78" i="44" s="1"/>
  <c r="X76" i="44"/>
  <c r="X54" i="41"/>
  <c r="X54" i="44" s="1"/>
  <c r="X52" i="44"/>
  <c r="W54" i="41"/>
  <c r="W54" i="44" s="1"/>
  <c r="AF54" i="42"/>
  <c r="AF54" i="45" s="1"/>
  <c r="AE54" i="45"/>
  <c r="AU52" i="42"/>
  <c r="AU52" i="45" s="1"/>
  <c r="AU51" i="45"/>
  <c r="AH55" i="42"/>
  <c r="AF55" i="45"/>
  <c r="AD40" i="42"/>
  <c r="AC40" i="45"/>
  <c r="AE39" i="42"/>
  <c r="AD39" i="45"/>
  <c r="AF34" i="42"/>
  <c r="AE34" i="45"/>
  <c r="AB8" i="43"/>
  <c r="AB8" i="46" s="1"/>
  <c r="AF33" i="42"/>
  <c r="AE33" i="45"/>
  <c r="AE32" i="42"/>
  <c r="AD32" i="45"/>
  <c r="AE31" i="42"/>
  <c r="AD31" i="45"/>
  <c r="AC8" i="43"/>
  <c r="AC8" i="46" s="1"/>
  <c r="AC16" i="45"/>
  <c r="AD26" i="42"/>
  <c r="AC26" i="45"/>
  <c r="AC21" i="43"/>
  <c r="AC21" i="46" s="1"/>
  <c r="AF24" i="42"/>
  <c r="AE24" i="45"/>
  <c r="AE19" i="42"/>
  <c r="AD19" i="45"/>
  <c r="AE18" i="42"/>
  <c r="AD18" i="45"/>
  <c r="AD15" i="42"/>
  <c r="AC15" i="45"/>
  <c r="AB17" i="43"/>
  <c r="AB17" i="46" s="1"/>
  <c r="AA17" i="46"/>
  <c r="AD53" i="43"/>
  <c r="AC53" i="46"/>
  <c r="W130" i="41"/>
  <c r="W127" i="44"/>
  <c r="V131" i="41"/>
  <c r="V131" i="44" s="1"/>
  <c r="V130" i="44"/>
  <c r="AE26" i="41"/>
  <c r="AD26" i="44"/>
  <c r="Z58" i="43"/>
  <c r="Z58" i="46" s="1"/>
  <c r="Z57" i="46"/>
  <c r="AB33" i="43"/>
  <c r="AB33" i="46" s="1"/>
  <c r="AA33" i="46"/>
  <c r="AP186" i="44"/>
  <c r="AR181" i="44"/>
  <c r="AR186" i="44"/>
  <c r="AS185" i="44"/>
  <c r="AO183" i="44"/>
  <c r="AM183" i="44"/>
  <c r="AK183" i="44"/>
  <c r="AN182" i="44"/>
  <c r="AO180" i="44"/>
  <c r="AT181" i="44"/>
  <c r="AO182" i="44"/>
  <c r="AK178" i="44"/>
  <c r="AS186" i="44"/>
  <c r="AT187" i="44"/>
  <c r="AU187" i="44"/>
  <c r="AR187" i="44"/>
  <c r="AK182" i="44"/>
  <c r="AN180" i="44"/>
  <c r="AN183" i="44"/>
  <c r="AM182" i="44"/>
  <c r="AT185" i="44"/>
  <c r="AS187" i="44"/>
  <c r="AK180" i="44"/>
  <c r="AM180" i="44"/>
  <c r="AR135" i="44"/>
  <c r="AS181" i="44"/>
  <c r="AP181" i="44"/>
  <c r="AR185" i="44"/>
  <c r="AC136" i="44"/>
  <c r="AP185" i="44"/>
  <c r="M146" i="41"/>
  <c r="M36" i="41"/>
  <c r="R146" i="41"/>
  <c r="V41" i="41"/>
  <c r="V41" i="44" s="1"/>
  <c r="U57" i="41"/>
  <c r="AJ77" i="41"/>
  <c r="AD19" i="43"/>
  <c r="AD19" i="46" s="1"/>
  <c r="AE27" i="42"/>
  <c r="AE27" i="45" s="1"/>
  <c r="AD16" i="42"/>
  <c r="AA56" i="42"/>
  <c r="AA56" i="45" s="1"/>
  <c r="U43" i="41"/>
  <c r="U44" i="41" s="1"/>
  <c r="Z44" i="41" s="1"/>
  <c r="AQ109" i="41"/>
  <c r="AQ109" i="44" s="1"/>
  <c r="AC10" i="43"/>
  <c r="AC10" i="46" s="1"/>
  <c r="AT143" i="41"/>
  <c r="AT187" i="41"/>
  <c r="AT115" i="41"/>
  <c r="AD21" i="43"/>
  <c r="AD21" i="46" s="1"/>
  <c r="AE23" i="42"/>
  <c r="AE23" i="45" s="1"/>
  <c r="AF165" i="41"/>
  <c r="AF165" i="44" s="1"/>
  <c r="AE168" i="41"/>
  <c r="AT61" i="41"/>
  <c r="AT61" i="44" s="1"/>
  <c r="AH54" i="42"/>
  <c r="AH54" i="45" s="1"/>
  <c r="AV124" i="41"/>
  <c r="AV124" i="44" s="1"/>
  <c r="Y76" i="41"/>
  <c r="Y74" i="41"/>
  <c r="Y74" i="44" s="1"/>
  <c r="X90" i="41"/>
  <c r="X90" i="44" s="1"/>
  <c r="AN77" i="41"/>
  <c r="AK182" i="41"/>
  <c r="AP98" i="41"/>
  <c r="AP98" i="44" s="1"/>
  <c r="AR181" i="41"/>
  <c r="AS61" i="41"/>
  <c r="AS61" i="44" s="1"/>
  <c r="Y52" i="41"/>
  <c r="Z50" i="41"/>
  <c r="Z50" i="44" s="1"/>
  <c r="AI163" i="41"/>
  <c r="AI163" i="44" s="1"/>
  <c r="AC17" i="43"/>
  <c r="AC17" i="46" s="1"/>
  <c r="AD10" i="42"/>
  <c r="AD10" i="45" s="1"/>
  <c r="AP181" i="41"/>
  <c r="AU96" i="41"/>
  <c r="AU96" i="44" s="1"/>
  <c r="AC20" i="43"/>
  <c r="AD25" i="42"/>
  <c r="I41" i="43"/>
  <c r="M41" i="43"/>
  <c r="AQ111" i="41"/>
  <c r="AQ111" i="44" s="1"/>
  <c r="AK180" i="41"/>
  <c r="AP94" i="41"/>
  <c r="AP94" i="44" s="1"/>
  <c r="AU185" i="41"/>
  <c r="AU110" i="41"/>
  <c r="AU110" i="44" s="1"/>
  <c r="AV110" i="41"/>
  <c r="AV110" i="44" s="1"/>
  <c r="M34" i="41"/>
  <c r="AE69" i="41"/>
  <c r="AE69" i="44" s="1"/>
  <c r="V134" i="41"/>
  <c r="AS181" i="41"/>
  <c r="AU187" i="41"/>
  <c r="AU115" i="41"/>
  <c r="AU115" i="44" s="1"/>
  <c r="AU63" i="41"/>
  <c r="AU63" i="44" s="1"/>
  <c r="AN183" i="41"/>
  <c r="AS101" i="41"/>
  <c r="AF119" i="41"/>
  <c r="AF119" i="44" s="1"/>
  <c r="AE16" i="41"/>
  <c r="AE16" i="44" s="1"/>
  <c r="AT68" i="41"/>
  <c r="AV108" i="41"/>
  <c r="AV108" i="44" s="1"/>
  <c r="AU7" i="41"/>
  <c r="AV88" i="41"/>
  <c r="AV88" i="44" s="1"/>
  <c r="AN182" i="41"/>
  <c r="AS98" i="41"/>
  <c r="AR143" i="41"/>
  <c r="AS143" i="41" s="1"/>
  <c r="AA85" i="41"/>
  <c r="AB83" i="41"/>
  <c r="AB83" i="44" s="1"/>
  <c r="AC83" i="41"/>
  <c r="AC83" i="44" s="1"/>
  <c r="AT182" i="41"/>
  <c r="AS185" i="41"/>
  <c r="AS110" i="41"/>
  <c r="AO180" i="41"/>
  <c r="AT94" i="41"/>
  <c r="AF28" i="42"/>
  <c r="AF28" i="45" s="1"/>
  <c r="AQ113" i="41"/>
  <c r="AQ113" i="44" s="1"/>
  <c r="AS135" i="41"/>
  <c r="AR180" i="41"/>
  <c r="F46" i="43"/>
  <c r="F48" i="43" s="1"/>
  <c r="F11" i="42"/>
  <c r="F20" i="42" s="1"/>
  <c r="F144" i="41"/>
  <c r="E53" i="42"/>
  <c r="E43" i="42"/>
  <c r="AK44" i="41"/>
  <c r="AK44" i="44" s="1"/>
  <c r="AK175" i="41"/>
  <c r="AP61" i="41"/>
  <c r="AP61" i="44" s="1"/>
  <c r="AH44" i="41"/>
  <c r="AT185" i="41"/>
  <c r="AT110" i="41"/>
  <c r="AH33" i="43"/>
  <c r="AH33" i="46" s="1"/>
  <c r="AD35" i="41"/>
  <c r="AD35" i="44" s="1"/>
  <c r="G46" i="43"/>
  <c r="G48" i="43" s="1"/>
  <c r="G11" i="42"/>
  <c r="G20" i="42" s="1"/>
  <c r="H6" i="42"/>
  <c r="G144" i="41"/>
  <c r="AR187" i="41"/>
  <c r="AR115" i="41"/>
  <c r="AD13" i="42"/>
  <c r="AD13" i="45" s="1"/>
  <c r="AO183" i="41"/>
  <c r="AT101" i="41"/>
  <c r="AU186" i="41"/>
  <c r="AU112" i="41"/>
  <c r="AS187" i="41"/>
  <c r="AS115" i="41"/>
  <c r="X95" i="41"/>
  <c r="X95" i="44" s="1"/>
  <c r="AA57" i="43"/>
  <c r="AD44" i="41"/>
  <c r="AI54" i="42"/>
  <c r="AI54" i="45" s="1"/>
  <c r="AF57" i="43"/>
  <c r="AF57" i="46" s="1"/>
  <c r="AG33" i="43"/>
  <c r="AN180" i="41"/>
  <c r="AS94" i="41"/>
  <c r="AK34" i="39"/>
  <c r="V22" i="36"/>
  <c r="AI56" i="39"/>
  <c r="AJ56" i="39" s="1"/>
  <c r="AK56" i="39" s="1"/>
  <c r="D54" i="39"/>
  <c r="T47" i="39"/>
  <c r="Q47" i="39"/>
  <c r="P47" i="39"/>
  <c r="O47" i="39"/>
  <c r="G47" i="39"/>
  <c r="F47" i="39"/>
  <c r="D47" i="39"/>
  <c r="H40" i="39"/>
  <c r="AV38" i="39"/>
  <c r="AQ38" i="39"/>
  <c r="AL38" i="39"/>
  <c r="AG38" i="39"/>
  <c r="AB38" i="39"/>
  <c r="U38" i="39"/>
  <c r="W38" i="39" s="1"/>
  <c r="T38" i="39"/>
  <c r="O38" i="39"/>
  <c r="J38" i="39"/>
  <c r="E38" i="39"/>
  <c r="F38" i="39" s="1"/>
  <c r="G38" i="39" s="1"/>
  <c r="D38" i="39"/>
  <c r="H38" i="39" s="1"/>
  <c r="S37" i="39"/>
  <c r="D37" i="39"/>
  <c r="AV36" i="39"/>
  <c r="AQ36" i="39"/>
  <c r="AL36" i="39"/>
  <c r="AG36" i="39"/>
  <c r="AB36" i="39"/>
  <c r="T36" i="39"/>
  <c r="P36" i="39"/>
  <c r="O36" i="39"/>
  <c r="J36" i="39"/>
  <c r="E36" i="39"/>
  <c r="T35" i="39"/>
  <c r="O35" i="39"/>
  <c r="J35" i="39"/>
  <c r="E35" i="39"/>
  <c r="AQ34" i="39"/>
  <c r="U34" i="39"/>
  <c r="T34" i="39"/>
  <c r="O34" i="39"/>
  <c r="O37" i="39" s="1"/>
  <c r="K34" i="39"/>
  <c r="L34" i="39" s="1"/>
  <c r="J34" i="39"/>
  <c r="M34" i="39" s="1"/>
  <c r="G34" i="39"/>
  <c r="E34" i="39"/>
  <c r="F34" i="39" s="1"/>
  <c r="T33" i="39"/>
  <c r="O33" i="39"/>
  <c r="P33" i="39" s="1"/>
  <c r="Q33" i="39" s="1"/>
  <c r="J33" i="39"/>
  <c r="E33" i="39"/>
  <c r="AV32" i="39"/>
  <c r="AQ32" i="39"/>
  <c r="AL32" i="39"/>
  <c r="AG32" i="39"/>
  <c r="AB32" i="39"/>
  <c r="T32" i="39"/>
  <c r="O32" i="39"/>
  <c r="J32" i="39"/>
  <c r="E32" i="39"/>
  <c r="AV31" i="39"/>
  <c r="AQ31" i="39"/>
  <c r="AL31" i="39"/>
  <c r="AG31" i="39"/>
  <c r="AB31" i="39"/>
  <c r="T31" i="39"/>
  <c r="O31" i="39"/>
  <c r="I31" i="39"/>
  <c r="G31" i="39"/>
  <c r="H31" i="39" s="1"/>
  <c r="AV30" i="39"/>
  <c r="AQ30" i="39"/>
  <c r="AL30" i="39"/>
  <c r="AG30" i="39"/>
  <c r="AB30" i="39"/>
  <c r="U30" i="39"/>
  <c r="W30" i="39" s="1"/>
  <c r="O30" i="39"/>
  <c r="P30" i="39" s="1"/>
  <c r="N30" i="39"/>
  <c r="L30" i="39"/>
  <c r="M30" i="39" s="1"/>
  <c r="J30" i="39"/>
  <c r="G30" i="39"/>
  <c r="F30" i="39"/>
  <c r="H30" i="39" s="1"/>
  <c r="U29" i="39"/>
  <c r="T29" i="39"/>
  <c r="T37" i="39" s="1"/>
  <c r="Q29" i="39"/>
  <c r="P29" i="39"/>
  <c r="O29" i="39"/>
  <c r="R29" i="39" s="1"/>
  <c r="J29" i="39"/>
  <c r="E29" i="39"/>
  <c r="E37" i="39" s="1"/>
  <c r="N27" i="39"/>
  <c r="U26" i="39"/>
  <c r="T26" i="39"/>
  <c r="O26" i="39"/>
  <c r="P26" i="39" s="1"/>
  <c r="J26" i="39"/>
  <c r="E26" i="39"/>
  <c r="F26" i="39" s="1"/>
  <c r="G26" i="39" s="1"/>
  <c r="T25" i="39"/>
  <c r="O25" i="39"/>
  <c r="K25" i="39"/>
  <c r="L25" i="39" s="1"/>
  <c r="J25" i="39"/>
  <c r="E25" i="39"/>
  <c r="S24" i="39"/>
  <c r="T24" i="39" s="1"/>
  <c r="N24" i="39"/>
  <c r="I24" i="39"/>
  <c r="J24" i="39" s="1"/>
  <c r="D24" i="39"/>
  <c r="E24" i="39" s="1"/>
  <c r="S21" i="39"/>
  <c r="T21" i="39" s="1"/>
  <c r="U21" i="39" s="1"/>
  <c r="N21" i="39"/>
  <c r="O21" i="39" s="1"/>
  <c r="J21" i="39"/>
  <c r="K21" i="39" s="1"/>
  <c r="L21" i="39" s="1"/>
  <c r="I21" i="39"/>
  <c r="M21" i="39" s="1"/>
  <c r="G21" i="39"/>
  <c r="H21" i="39" s="1"/>
  <c r="F21" i="39"/>
  <c r="E21" i="39"/>
  <c r="T20" i="39"/>
  <c r="O20" i="39"/>
  <c r="P20" i="39" s="1"/>
  <c r="K20" i="39"/>
  <c r="J20" i="39"/>
  <c r="F20" i="39"/>
  <c r="U19" i="39"/>
  <c r="T19" i="39"/>
  <c r="O19" i="39"/>
  <c r="J19" i="39"/>
  <c r="E19" i="39"/>
  <c r="F19" i="39" s="1"/>
  <c r="G19" i="39" s="1"/>
  <c r="T18" i="39"/>
  <c r="U18" i="39" s="1"/>
  <c r="O18" i="39"/>
  <c r="J18" i="39"/>
  <c r="F18" i="39"/>
  <c r="G18" i="39" s="1"/>
  <c r="E18" i="39"/>
  <c r="H18" i="39" s="1"/>
  <c r="S17" i="39"/>
  <c r="P17" i="39"/>
  <c r="Q17" i="39" s="1"/>
  <c r="O17" i="39"/>
  <c r="J17" i="39"/>
  <c r="K17" i="39" s="1"/>
  <c r="E17" i="39"/>
  <c r="T16" i="39"/>
  <c r="U16" i="39" s="1"/>
  <c r="O16" i="39"/>
  <c r="J16" i="39"/>
  <c r="E16" i="39"/>
  <c r="T15" i="39"/>
  <c r="P15" i="39"/>
  <c r="Q15" i="39" s="1"/>
  <c r="O15" i="39"/>
  <c r="J15" i="39"/>
  <c r="E15" i="39"/>
  <c r="AV13" i="39"/>
  <c r="AQ13" i="39"/>
  <c r="AL13" i="39"/>
  <c r="AG13" i="39"/>
  <c r="AB13" i="39"/>
  <c r="U13" i="39"/>
  <c r="T13" i="39"/>
  <c r="O13" i="39"/>
  <c r="P13" i="39" s="1"/>
  <c r="Q13" i="39" s="1"/>
  <c r="N13" i="39"/>
  <c r="R13" i="39" s="1"/>
  <c r="J13" i="39"/>
  <c r="K13" i="39" s="1"/>
  <c r="L13" i="39" s="1"/>
  <c r="I13" i="39"/>
  <c r="M13" i="39" s="1"/>
  <c r="F13" i="39"/>
  <c r="G13" i="39" s="1"/>
  <c r="E13" i="39"/>
  <c r="H13" i="39" s="1"/>
  <c r="T12" i="39"/>
  <c r="O12" i="39"/>
  <c r="J12" i="39"/>
  <c r="K12" i="39" s="1"/>
  <c r="E12" i="39"/>
  <c r="F12" i="39" s="1"/>
  <c r="AV11" i="39"/>
  <c r="AQ11" i="39"/>
  <c r="T11" i="39"/>
  <c r="J11" i="39"/>
  <c r="F11" i="39"/>
  <c r="E11" i="39"/>
  <c r="U10" i="39"/>
  <c r="T10" i="39"/>
  <c r="O10" i="39"/>
  <c r="P10" i="39" s="1"/>
  <c r="J10" i="39"/>
  <c r="E10" i="39"/>
  <c r="F10" i="39" s="1"/>
  <c r="G10" i="39" s="1"/>
  <c r="T9" i="39"/>
  <c r="O9" i="39"/>
  <c r="J9" i="39"/>
  <c r="E9" i="39"/>
  <c r="F9" i="39" s="1"/>
  <c r="G9" i="39" s="1"/>
  <c r="T8" i="39"/>
  <c r="O8" i="39"/>
  <c r="J8" i="39"/>
  <c r="E8" i="39"/>
  <c r="U7" i="39"/>
  <c r="T7" i="39"/>
  <c r="O7" i="39"/>
  <c r="J7" i="39"/>
  <c r="E7" i="39"/>
  <c r="S22" i="39"/>
  <c r="N22" i="39"/>
  <c r="I22" i="39"/>
  <c r="D22" i="39"/>
  <c r="U63" i="38"/>
  <c r="T63" i="38"/>
  <c r="Q63" i="38"/>
  <c r="P63" i="38"/>
  <c r="O63" i="38"/>
  <c r="G63" i="38"/>
  <c r="F63" i="38"/>
  <c r="D63" i="38"/>
  <c r="G62" i="38"/>
  <c r="F62" i="38"/>
  <c r="AU60" i="38"/>
  <c r="AR60" i="38" s="1"/>
  <c r="AT60" i="38"/>
  <c r="AS60" i="38"/>
  <c r="AP60" i="38"/>
  <c r="AO60" i="38"/>
  <c r="AN60" i="38"/>
  <c r="AM60" i="38"/>
  <c r="AK60" i="38"/>
  <c r="AJ60" i="38"/>
  <c r="AI60" i="38"/>
  <c r="AH60" i="38"/>
  <c r="AF60" i="38"/>
  <c r="AE60" i="38"/>
  <c r="AD60" i="38"/>
  <c r="AC60" i="38"/>
  <c r="AA60" i="38"/>
  <c r="Y60" i="38"/>
  <c r="X60" i="38"/>
  <c r="V60" i="38"/>
  <c r="AD59" i="38"/>
  <c r="Z60" i="38" s="1"/>
  <c r="U56" i="38"/>
  <c r="T56" i="38"/>
  <c r="S56" i="38"/>
  <c r="N56" i="38"/>
  <c r="J56" i="38"/>
  <c r="I56" i="38"/>
  <c r="X55" i="38"/>
  <c r="U55" i="38"/>
  <c r="T55" i="38"/>
  <c r="S55" i="38"/>
  <c r="Q55" i="38"/>
  <c r="V55" i="38" s="1"/>
  <c r="P55" i="38"/>
  <c r="O55" i="38"/>
  <c r="N55" i="38"/>
  <c r="L55" i="38"/>
  <c r="K55" i="38"/>
  <c r="J55" i="38"/>
  <c r="I55" i="38"/>
  <c r="G55" i="38"/>
  <c r="F55" i="38"/>
  <c r="E55" i="38"/>
  <c r="D55" i="38"/>
  <c r="U54" i="38"/>
  <c r="T54" i="38"/>
  <c r="S54" i="38"/>
  <c r="X54" i="38" s="1"/>
  <c r="Q54" i="38"/>
  <c r="V54" i="38" s="1"/>
  <c r="P54" i="38"/>
  <c r="O54" i="38"/>
  <c r="N54" i="38"/>
  <c r="L54" i="38"/>
  <c r="K54" i="38"/>
  <c r="J54" i="38"/>
  <c r="I54" i="38"/>
  <c r="G54" i="38"/>
  <c r="F54" i="38"/>
  <c r="E54" i="38"/>
  <c r="D54" i="38"/>
  <c r="X52" i="38"/>
  <c r="V52" i="38"/>
  <c r="I52" i="38"/>
  <c r="G52" i="38"/>
  <c r="E52" i="38"/>
  <c r="D52" i="38"/>
  <c r="AH50" i="38"/>
  <c r="N50" i="38"/>
  <c r="L50" i="38"/>
  <c r="E48" i="38"/>
  <c r="V48" i="38"/>
  <c r="K48" i="38"/>
  <c r="J48" i="38"/>
  <c r="I48" i="38"/>
  <c r="G48" i="38"/>
  <c r="F48" i="38"/>
  <c r="D48" i="38"/>
  <c r="AU46" i="38"/>
  <c r="AT46" i="38"/>
  <c r="AS46" i="38"/>
  <c r="AR46" i="38"/>
  <c r="AP46" i="38"/>
  <c r="AO46" i="38"/>
  <c r="AN46" i="38"/>
  <c r="AM46" i="38"/>
  <c r="AK46" i="38"/>
  <c r="AJ46" i="38"/>
  <c r="AI46" i="38"/>
  <c r="AH46" i="38"/>
  <c r="AF46" i="38"/>
  <c r="AE46" i="38"/>
  <c r="AD46" i="38"/>
  <c r="AC46" i="38"/>
  <c r="AA46" i="38"/>
  <c r="Z46" i="38"/>
  <c r="Z50" i="38" s="1"/>
  <c r="Y46" i="38"/>
  <c r="X46" i="38"/>
  <c r="V46" i="38"/>
  <c r="U46" i="38"/>
  <c r="T46" i="38"/>
  <c r="S46" i="38"/>
  <c r="S52" i="38" s="1"/>
  <c r="Q46" i="38"/>
  <c r="Q52" i="38" s="1"/>
  <c r="P46" i="38"/>
  <c r="P52" i="38" s="1"/>
  <c r="O46" i="38"/>
  <c r="O52" i="38" s="1"/>
  <c r="N46" i="38"/>
  <c r="L46" i="38"/>
  <c r="K46" i="38"/>
  <c r="J46" i="38"/>
  <c r="J50" i="38" s="1"/>
  <c r="I46" i="38"/>
  <c r="I50" i="38" s="1"/>
  <c r="G46" i="38"/>
  <c r="G50" i="38" s="1"/>
  <c r="F46" i="38"/>
  <c r="F50" i="38" s="1"/>
  <c r="E46" i="38"/>
  <c r="E50" i="38" s="1"/>
  <c r="D46" i="38"/>
  <c r="D50" i="38" s="1"/>
  <c r="U41" i="38"/>
  <c r="T41" i="38"/>
  <c r="S41" i="38"/>
  <c r="R41" i="38"/>
  <c r="G41" i="38"/>
  <c r="G42" i="38" s="1"/>
  <c r="F41" i="38"/>
  <c r="E41" i="38"/>
  <c r="D41" i="38"/>
  <c r="D42" i="38" s="1"/>
  <c r="X40" i="38"/>
  <c r="Y40" i="38" s="1"/>
  <c r="Z40" i="38" s="1"/>
  <c r="AA40" i="38" s="1"/>
  <c r="W40" i="38"/>
  <c r="V40" i="38"/>
  <c r="R40" i="38"/>
  <c r="M40" i="38"/>
  <c r="H40" i="38"/>
  <c r="AD39" i="38"/>
  <c r="AE39" i="38" s="1"/>
  <c r="AF39" i="38" s="1"/>
  <c r="AC39" i="38"/>
  <c r="V39" i="38"/>
  <c r="X39" i="38" s="1"/>
  <c r="Y39" i="38" s="1"/>
  <c r="Z39" i="38" s="1"/>
  <c r="AA39" i="38" s="1"/>
  <c r="AB39" i="38" s="1"/>
  <c r="R39" i="38"/>
  <c r="M39" i="38"/>
  <c r="H39" i="38"/>
  <c r="R38" i="38"/>
  <c r="M38" i="38"/>
  <c r="H38" i="38"/>
  <c r="U37" i="38"/>
  <c r="T37" i="38"/>
  <c r="S37" i="38"/>
  <c r="R37" i="38"/>
  <c r="Q37" i="38"/>
  <c r="Q41" i="38" s="1"/>
  <c r="P37" i="38"/>
  <c r="P41" i="38" s="1"/>
  <c r="O37" i="38"/>
  <c r="O41" i="38" s="1"/>
  <c r="N37" i="38"/>
  <c r="N41" i="38" s="1"/>
  <c r="M37" i="38"/>
  <c r="M41" i="38" s="1"/>
  <c r="L37" i="38"/>
  <c r="L41" i="38" s="1"/>
  <c r="K37" i="38"/>
  <c r="K41" i="38" s="1"/>
  <c r="K42" i="38" s="1"/>
  <c r="J37" i="38"/>
  <c r="J41" i="38" s="1"/>
  <c r="I37" i="38"/>
  <c r="I41" i="38" s="1"/>
  <c r="G37" i="38"/>
  <c r="H37" i="38" s="1"/>
  <c r="H41" i="38" s="1"/>
  <c r="F37" i="38"/>
  <c r="E37" i="38"/>
  <c r="D37" i="38"/>
  <c r="O35" i="38"/>
  <c r="G35" i="38"/>
  <c r="F35" i="38"/>
  <c r="F42" i="38" s="1"/>
  <c r="X34" i="38"/>
  <c r="Y34" i="38" s="1"/>
  <c r="Z34" i="38" s="1"/>
  <c r="AA34" i="38" s="1"/>
  <c r="W34" i="38"/>
  <c r="V34" i="38"/>
  <c r="R34" i="38"/>
  <c r="M34" i="38"/>
  <c r="H34" i="38"/>
  <c r="V33" i="38"/>
  <c r="X33" i="38" s="1"/>
  <c r="Y33" i="38" s="1"/>
  <c r="Z33" i="38" s="1"/>
  <c r="AA33" i="38" s="1"/>
  <c r="R33" i="38"/>
  <c r="M33" i="38"/>
  <c r="H33" i="38"/>
  <c r="X32" i="38"/>
  <c r="Y32" i="38" s="1"/>
  <c r="Z32" i="38" s="1"/>
  <c r="AA32" i="38" s="1"/>
  <c r="W32" i="38"/>
  <c r="V32" i="38"/>
  <c r="R32" i="38"/>
  <c r="M32" i="38"/>
  <c r="H32" i="38"/>
  <c r="V31" i="38"/>
  <c r="X31" i="38" s="1"/>
  <c r="Y31" i="38" s="1"/>
  <c r="R31" i="38"/>
  <c r="M31" i="38"/>
  <c r="H31" i="38"/>
  <c r="T30" i="38"/>
  <c r="T35" i="38" s="1"/>
  <c r="S30" i="38"/>
  <c r="S35" i="38" s="1"/>
  <c r="Q30" i="38"/>
  <c r="Q35" i="38" s="1"/>
  <c r="P30" i="38"/>
  <c r="P35" i="38" s="1"/>
  <c r="O30" i="38"/>
  <c r="L30" i="38"/>
  <c r="L35" i="38" s="1"/>
  <c r="K30" i="38"/>
  <c r="K35" i="38" s="1"/>
  <c r="G30" i="38"/>
  <c r="F30" i="38"/>
  <c r="D30" i="38"/>
  <c r="D35" i="38" s="1"/>
  <c r="AV29" i="38"/>
  <c r="AQ29" i="38"/>
  <c r="AL29" i="38"/>
  <c r="AG29" i="38"/>
  <c r="AB29" i="38"/>
  <c r="W29" i="38"/>
  <c r="R29" i="38"/>
  <c r="M29" i="38"/>
  <c r="H29" i="38"/>
  <c r="V28" i="38"/>
  <c r="V63" i="38" s="1"/>
  <c r="U28" i="38"/>
  <c r="U47" i="39" s="1"/>
  <c r="S28" i="38"/>
  <c r="S47" i="39" s="1"/>
  <c r="R28" i="38"/>
  <c r="R47" i="39" s="1"/>
  <c r="N28" i="38"/>
  <c r="M28" i="38"/>
  <c r="L28" i="38"/>
  <c r="L47" i="39" s="1"/>
  <c r="K28" i="38"/>
  <c r="K47" i="39" s="1"/>
  <c r="J28" i="38"/>
  <c r="J47" i="39" s="1"/>
  <c r="I28" i="38"/>
  <c r="I47" i="39" s="1"/>
  <c r="H28" i="38"/>
  <c r="H47" i="39" s="1"/>
  <c r="E28" i="38"/>
  <c r="E47" i="39" s="1"/>
  <c r="X27" i="38"/>
  <c r="X19" i="39" s="1"/>
  <c r="W27" i="38"/>
  <c r="V19" i="39"/>
  <c r="R27" i="38"/>
  <c r="M27" i="38"/>
  <c r="H27" i="38"/>
  <c r="Z26" i="38"/>
  <c r="AA26" i="38" s="1"/>
  <c r="W26" i="38"/>
  <c r="V26" i="38"/>
  <c r="X26" i="38" s="1"/>
  <c r="Y26" i="38" s="1"/>
  <c r="R26" i="38"/>
  <c r="M26" i="38"/>
  <c r="H26" i="38"/>
  <c r="U25" i="38"/>
  <c r="T25" i="38"/>
  <c r="R25" i="38"/>
  <c r="M25" i="38"/>
  <c r="H25" i="38"/>
  <c r="X24" i="38"/>
  <c r="Y24" i="38" s="1"/>
  <c r="Z24" i="38" s="1"/>
  <c r="AA24" i="38" s="1"/>
  <c r="AC24" i="38" s="1"/>
  <c r="AD24" i="38" s="1"/>
  <c r="AE24" i="38" s="1"/>
  <c r="AF24" i="38" s="1"/>
  <c r="W24" i="38"/>
  <c r="V24" i="38"/>
  <c r="R24" i="38"/>
  <c r="M24" i="38"/>
  <c r="H24" i="38"/>
  <c r="V23" i="38"/>
  <c r="R23" i="38"/>
  <c r="M23" i="38"/>
  <c r="H23" i="38"/>
  <c r="R22" i="38"/>
  <c r="M22" i="38"/>
  <c r="H22" i="38"/>
  <c r="V19" i="38"/>
  <c r="X19" i="38" s="1"/>
  <c r="Y19" i="38" s="1"/>
  <c r="Z19" i="38" s="1"/>
  <c r="AA19" i="38" s="1"/>
  <c r="R19" i="38"/>
  <c r="M19" i="38"/>
  <c r="H19" i="38"/>
  <c r="Z18" i="38"/>
  <c r="AA18" i="38" s="1"/>
  <c r="Y18" i="38"/>
  <c r="X18" i="38"/>
  <c r="W18" i="38"/>
  <c r="V18" i="38"/>
  <c r="R18" i="38"/>
  <c r="M18" i="38"/>
  <c r="H18" i="38"/>
  <c r="R17" i="38"/>
  <c r="M17" i="38"/>
  <c r="H17" i="38"/>
  <c r="R16" i="38"/>
  <c r="M16" i="38"/>
  <c r="H16" i="38"/>
  <c r="H55" i="38" s="1"/>
  <c r="W15" i="38"/>
  <c r="V15" i="38"/>
  <c r="X15" i="38" s="1"/>
  <c r="Y15" i="38" s="1"/>
  <c r="Z15" i="38" s="1"/>
  <c r="AA15" i="38" s="1"/>
  <c r="R15" i="38"/>
  <c r="M15" i="38"/>
  <c r="H15" i="38"/>
  <c r="R14" i="38"/>
  <c r="M14" i="38"/>
  <c r="H14" i="38"/>
  <c r="W13" i="38"/>
  <c r="V13" i="38"/>
  <c r="R13" i="38"/>
  <c r="M13" i="38"/>
  <c r="H13" i="38"/>
  <c r="R12" i="38"/>
  <c r="M12" i="38"/>
  <c r="H12" i="38"/>
  <c r="X10" i="38"/>
  <c r="X17" i="39" s="1"/>
  <c r="W10" i="38"/>
  <c r="V10" i="38"/>
  <c r="V17" i="39" s="1"/>
  <c r="R10" i="38"/>
  <c r="M10" i="38"/>
  <c r="H10" i="38"/>
  <c r="R9" i="38"/>
  <c r="M9" i="38"/>
  <c r="H9" i="38"/>
  <c r="R8" i="38"/>
  <c r="M8" i="38"/>
  <c r="H8" i="38"/>
  <c r="R7" i="38"/>
  <c r="M7" i="38"/>
  <c r="H7" i="38"/>
  <c r="H54" i="38" s="1"/>
  <c r="AB61" i="48" l="1"/>
  <c r="AB61" i="53" s="1"/>
  <c r="AB9" i="48"/>
  <c r="AB9" i="53" s="1"/>
  <c r="AA9" i="53"/>
  <c r="Z16" i="50"/>
  <c r="Z16" i="55" s="1"/>
  <c r="Z9" i="54"/>
  <c r="Y35" i="49"/>
  <c r="Y35" i="54" s="1"/>
  <c r="Y30" i="54"/>
  <c r="AB11" i="48"/>
  <c r="AB11" i="53" s="1"/>
  <c r="AA11" i="53"/>
  <c r="AB13" i="48"/>
  <c r="AB13" i="53" s="1"/>
  <c r="AA13" i="53"/>
  <c r="AB15" i="50"/>
  <c r="AB15" i="55" s="1"/>
  <c r="AA15" i="55"/>
  <c r="Z14" i="49"/>
  <c r="Z14" i="54" s="1"/>
  <c r="AB8" i="53"/>
  <c r="AC93" i="48"/>
  <c r="AC100" i="48"/>
  <c r="AC97" i="48"/>
  <c r="Z18" i="50"/>
  <c r="Z18" i="55" s="1"/>
  <c r="Z30" i="49"/>
  <c r="AI30" i="48"/>
  <c r="AM33" i="50"/>
  <c r="AR69" i="48"/>
  <c r="AQ69" i="48"/>
  <c r="R46" i="50"/>
  <c r="R48" i="50" s="1"/>
  <c r="R11" i="49"/>
  <c r="R20" i="49" s="1"/>
  <c r="R43" i="49" s="1"/>
  <c r="T46" i="50"/>
  <c r="T48" i="50" s="1"/>
  <c r="T11" i="49"/>
  <c r="T20" i="49" s="1"/>
  <c r="T144" i="48"/>
  <c r="AM10" i="50"/>
  <c r="AL33" i="50"/>
  <c r="AL57" i="50" s="1"/>
  <c r="Q53" i="49"/>
  <c r="Q43" i="49"/>
  <c r="AN17" i="50"/>
  <c r="AO10" i="49"/>
  <c r="V40" i="50"/>
  <c r="V41" i="50" s="1"/>
  <c r="V6" i="49" s="1"/>
  <c r="U6" i="49"/>
  <c r="AK58" i="50"/>
  <c r="AL58" i="50" s="1"/>
  <c r="AN172" i="48"/>
  <c r="AN28" i="48" s="1"/>
  <c r="AN18" i="48"/>
  <c r="AH134" i="48"/>
  <c r="AH6" i="48"/>
  <c r="AP13" i="49"/>
  <c r="AP165" i="48"/>
  <c r="AO168" i="48"/>
  <c r="AO170" i="48" s="1"/>
  <c r="AA9" i="49"/>
  <c r="AA9" i="54" s="1"/>
  <c r="AA22" i="49"/>
  <c r="AA22" i="54" s="1"/>
  <c r="AC25" i="50"/>
  <c r="AC25" i="55" s="1"/>
  <c r="AC8" i="49"/>
  <c r="AC12" i="50"/>
  <c r="AC12" i="55" s="1"/>
  <c r="AC140" i="48"/>
  <c r="AC140" i="53" s="1"/>
  <c r="AC10" i="48"/>
  <c r="AC10" i="53" s="1"/>
  <c r="AF76" i="48"/>
  <c r="AF78" i="48" s="1"/>
  <c r="AF74" i="48"/>
  <c r="AE90" i="48"/>
  <c r="AO35" i="48"/>
  <c r="AL47" i="50"/>
  <c r="AL67" i="49"/>
  <c r="AD46" i="48"/>
  <c r="AD46" i="53" s="1"/>
  <c r="AD5" i="48"/>
  <c r="AD5" i="53" s="1"/>
  <c r="AD62" i="48"/>
  <c r="AD62" i="53" s="1"/>
  <c r="AD59" i="48"/>
  <c r="AD59" i="53" s="1"/>
  <c r="AJ20" i="50"/>
  <c r="AK25" i="49"/>
  <c r="AF43" i="48"/>
  <c r="AF45" i="48" s="1"/>
  <c r="AF45" i="53" s="1"/>
  <c r="AF41" i="48"/>
  <c r="AE57" i="48"/>
  <c r="AE76" i="48"/>
  <c r="AE78" i="48" s="1"/>
  <c r="AO102" i="48"/>
  <c r="AN14" i="48"/>
  <c r="AM47" i="50"/>
  <c r="AM63" i="49"/>
  <c r="AM29" i="50"/>
  <c r="AN28" i="49"/>
  <c r="AN22" i="48"/>
  <c r="AC13" i="48"/>
  <c r="AC13" i="53" s="1"/>
  <c r="AE46" i="48"/>
  <c r="AE46" i="53" s="1"/>
  <c r="AE62" i="48"/>
  <c r="AE62" i="53" s="1"/>
  <c r="AE59" i="48"/>
  <c r="AE59" i="53" s="1"/>
  <c r="AD79" i="48"/>
  <c r="AD95" i="48"/>
  <c r="AD92" i="48"/>
  <c r="AC9" i="48"/>
  <c r="AC9" i="53" s="1"/>
  <c r="AI155" i="48"/>
  <c r="AJ153" i="48"/>
  <c r="AC11" i="48"/>
  <c r="AC11" i="53" s="1"/>
  <c r="AH31" i="48"/>
  <c r="AI31" i="48" s="1"/>
  <c r="AA35" i="50"/>
  <c r="AA35" i="55" s="1"/>
  <c r="Z37" i="50"/>
  <c r="Z37" i="55" s="1"/>
  <c r="AU163" i="48"/>
  <c r="AT129" i="48"/>
  <c r="AT117" i="48"/>
  <c r="AT118" i="48" s="1"/>
  <c r="AP119" i="48"/>
  <c r="AO16" i="48"/>
  <c r="AO120" i="48"/>
  <c r="AO121" i="48" s="1"/>
  <c r="AI52" i="48"/>
  <c r="AI54" i="48" s="1"/>
  <c r="AJ50" i="48"/>
  <c r="AN21" i="50"/>
  <c r="AO23" i="49"/>
  <c r="AN136" i="48"/>
  <c r="Z127" i="48"/>
  <c r="Z127" i="53" s="1"/>
  <c r="Y130" i="48"/>
  <c r="Z37" i="49"/>
  <c r="Z37" i="54" s="1"/>
  <c r="AA7" i="50"/>
  <c r="AO56" i="49"/>
  <c r="Z99" i="48"/>
  <c r="Z99" i="53" s="1"/>
  <c r="Y103" i="48"/>
  <c r="AN19" i="50"/>
  <c r="AO27" i="49"/>
  <c r="AN16" i="49"/>
  <c r="AN8" i="50" s="1"/>
  <c r="Z66" i="48"/>
  <c r="Z66" i="53" s="1"/>
  <c r="Y12" i="48"/>
  <c r="Y12" i="53" s="1"/>
  <c r="Y70" i="48"/>
  <c r="AJ85" i="48"/>
  <c r="AJ87" i="48" s="1"/>
  <c r="AK83" i="48"/>
  <c r="P53" i="49"/>
  <c r="P43" i="49"/>
  <c r="S53" i="49"/>
  <c r="S43" i="49"/>
  <c r="AB57" i="43"/>
  <c r="AB57" i="46" s="1"/>
  <c r="AB14" i="44"/>
  <c r="AB15" i="41"/>
  <c r="AB17" i="41" s="1"/>
  <c r="AC172" i="44"/>
  <c r="AS56" i="43"/>
  <c r="AT56" i="43" s="1"/>
  <c r="AS56" i="46"/>
  <c r="AF173" i="41"/>
  <c r="AE173" i="44"/>
  <c r="AE170" i="41"/>
  <c r="AE170" i="44" s="1"/>
  <c r="AE168" i="44"/>
  <c r="AD18" i="41"/>
  <c r="AD18" i="44" s="1"/>
  <c r="AD172" i="41"/>
  <c r="AA28" i="44"/>
  <c r="AB28" i="41"/>
  <c r="AB28" i="44" s="1"/>
  <c r="AE118" i="41"/>
  <c r="AE117" i="44"/>
  <c r="AF117" i="41"/>
  <c r="AD118" i="44"/>
  <c r="AD120" i="41"/>
  <c r="AE102" i="44"/>
  <c r="AF102" i="41"/>
  <c r="AF145" i="41"/>
  <c r="AF22" i="41" s="1"/>
  <c r="AF22" i="44" s="1"/>
  <c r="AE145" i="44"/>
  <c r="AE22" i="41"/>
  <c r="AE22" i="44" s="1"/>
  <c r="AD129" i="44"/>
  <c r="AE129" i="41"/>
  <c r="AE14" i="41" s="1"/>
  <c r="AE14" i="44" s="1"/>
  <c r="AD10" i="43"/>
  <c r="AD10" i="46" s="1"/>
  <c r="AD9" i="46"/>
  <c r="AV112" i="41"/>
  <c r="AU112" i="44"/>
  <c r="AQ116" i="41"/>
  <c r="AQ116" i="44" s="1"/>
  <c r="AQ115" i="44"/>
  <c r="AV7" i="41"/>
  <c r="AV7" i="44" s="1"/>
  <c r="AU7" i="44"/>
  <c r="AU135" i="44" s="1"/>
  <c r="AA87" i="41"/>
  <c r="AA85" i="44"/>
  <c r="X92" i="41"/>
  <c r="X92" i="44" s="1"/>
  <c r="X79" i="41"/>
  <c r="X79" i="44" s="1"/>
  <c r="Y78" i="41"/>
  <c r="Y78" i="44" s="1"/>
  <c r="Y76" i="44"/>
  <c r="Y54" i="41"/>
  <c r="Y54" i="44" s="1"/>
  <c r="Y52" i="44"/>
  <c r="X6" i="41"/>
  <c r="X6" i="44" s="1"/>
  <c r="X134" i="44" s="1"/>
  <c r="AJ54" i="42"/>
  <c r="AJ54" i="45" s="1"/>
  <c r="AH55" i="45"/>
  <c r="AI55" i="42"/>
  <c r="AE40" i="42"/>
  <c r="AD40" i="45"/>
  <c r="AF39" i="42"/>
  <c r="AE39" i="45"/>
  <c r="AF34" i="45"/>
  <c r="AH34" i="42"/>
  <c r="AG34" i="42"/>
  <c r="AG34" i="45" s="1"/>
  <c r="AF33" i="45"/>
  <c r="AH33" i="42"/>
  <c r="AG33" i="42"/>
  <c r="AG33" i="45" s="1"/>
  <c r="AF32" i="42"/>
  <c r="AE32" i="45"/>
  <c r="AF31" i="42"/>
  <c r="AF47" i="43" s="1"/>
  <c r="AF47" i="46" s="1"/>
  <c r="AE31" i="45"/>
  <c r="AE29" i="43"/>
  <c r="AE29" i="46" s="1"/>
  <c r="AE63" i="42"/>
  <c r="AE63" i="45" s="1"/>
  <c r="AE47" i="43"/>
  <c r="AE47" i="46" s="1"/>
  <c r="AD8" i="43"/>
  <c r="AD8" i="46" s="1"/>
  <c r="AD16" i="45"/>
  <c r="AE26" i="42"/>
  <c r="AE21" i="43" s="1"/>
  <c r="AE21" i="46" s="1"/>
  <c r="AD26" i="45"/>
  <c r="AF24" i="45"/>
  <c r="AH24" i="42"/>
  <c r="AG24" i="42"/>
  <c r="AG24" i="45" s="1"/>
  <c r="AF19" i="42"/>
  <c r="AE19" i="45"/>
  <c r="AF18" i="42"/>
  <c r="AE18" i="45"/>
  <c r="AE15" i="42"/>
  <c r="AD15" i="45"/>
  <c r="AE53" i="43"/>
  <c r="AD53" i="46"/>
  <c r="W131" i="41"/>
  <c r="W131" i="44" s="1"/>
  <c r="W130" i="44"/>
  <c r="AF26" i="41"/>
  <c r="AG26" i="41" s="1"/>
  <c r="AG26" i="44" s="1"/>
  <c r="AE26" i="44"/>
  <c r="AG57" i="43"/>
  <c r="AG57" i="46" s="1"/>
  <c r="AG33" i="46"/>
  <c r="AA58" i="43"/>
  <c r="AA58" i="46" s="1"/>
  <c r="AA57" i="46"/>
  <c r="AS180" i="44"/>
  <c r="AP183" i="44"/>
  <c r="AP180" i="44"/>
  <c r="AT180" i="44"/>
  <c r="AU185" i="44"/>
  <c r="AR180" i="44"/>
  <c r="AU181" i="44"/>
  <c r="AP182" i="44"/>
  <c r="AR183" i="44"/>
  <c r="AU186" i="44"/>
  <c r="AR182" i="44"/>
  <c r="AS182" i="44"/>
  <c r="AT183" i="44"/>
  <c r="AS183" i="44"/>
  <c r="AD136" i="44"/>
  <c r="AT182" i="44"/>
  <c r="AU135" i="41"/>
  <c r="AS183" i="41"/>
  <c r="AU181" i="41"/>
  <c r="AO77" i="41"/>
  <c r="AH119" i="41"/>
  <c r="AH119" i="44" s="1"/>
  <c r="AF16" i="41"/>
  <c r="AI44" i="41"/>
  <c r="AS182" i="41"/>
  <c r="AP180" i="41"/>
  <c r="AU94" i="41"/>
  <c r="AU94" i="44" s="1"/>
  <c r="AI33" i="43"/>
  <c r="AE35" i="41"/>
  <c r="AE35" i="44" s="1"/>
  <c r="AT183" i="41"/>
  <c r="AM44" i="41"/>
  <c r="AT180" i="41"/>
  <c r="Y79" i="41"/>
  <c r="Y79" i="44" s="1"/>
  <c r="Y95" i="41"/>
  <c r="Y95" i="44" s="1"/>
  <c r="Y92" i="41"/>
  <c r="Y92" i="44" s="1"/>
  <c r="AD83" i="41"/>
  <c r="AD83" i="44" s="1"/>
  <c r="AC85" i="41"/>
  <c r="AD17" i="43"/>
  <c r="AD17" i="46" s="1"/>
  <c r="AE10" i="42"/>
  <c r="AE10" i="45" s="1"/>
  <c r="F53" i="42"/>
  <c r="F43" i="42"/>
  <c r="W41" i="41"/>
  <c r="X41" i="41"/>
  <c r="X41" i="44" s="1"/>
  <c r="V57" i="41"/>
  <c r="AH28" i="42"/>
  <c r="AH28" i="45" s="1"/>
  <c r="AG28" i="42"/>
  <c r="AG28" i="45" s="1"/>
  <c r="AV109" i="41"/>
  <c r="AV109" i="44" s="1"/>
  <c r="AP182" i="41"/>
  <c r="AU98" i="41"/>
  <c r="AU98" i="44" s="1"/>
  <c r="AH165" i="41"/>
  <c r="AH165" i="44" s="1"/>
  <c r="AF168" i="41"/>
  <c r="M147" i="41"/>
  <c r="R147" i="41"/>
  <c r="AV115" i="41"/>
  <c r="AP44" i="41"/>
  <c r="AP44" i="44" s="1"/>
  <c r="AE44" i="41"/>
  <c r="AF23" i="42"/>
  <c r="AF23" i="45" s="1"/>
  <c r="AE13" i="42"/>
  <c r="AE13" i="45" s="1"/>
  <c r="H46" i="43"/>
  <c r="H48" i="43" s="1"/>
  <c r="H11" i="42"/>
  <c r="H20" i="42" s="1"/>
  <c r="AJ163" i="41"/>
  <c r="AJ163" i="44" s="1"/>
  <c r="AC56" i="42"/>
  <c r="AC56" i="45" s="1"/>
  <c r="AE9" i="43"/>
  <c r="AE9" i="46" s="1"/>
  <c r="AG16" i="41"/>
  <c r="AG16" i="44" s="1"/>
  <c r="AU61" i="41"/>
  <c r="AU61" i="44" s="1"/>
  <c r="AS180" i="41"/>
  <c r="G53" i="42"/>
  <c r="G43" i="42"/>
  <c r="AF69" i="41"/>
  <c r="AF69" i="44" s="1"/>
  <c r="N40" i="43"/>
  <c r="R40" i="43"/>
  <c r="AS77" i="41"/>
  <c r="AE25" i="42"/>
  <c r="AD20" i="43"/>
  <c r="AG119" i="41"/>
  <c r="J40" i="43"/>
  <c r="J41" i="43" s="1"/>
  <c r="I6" i="42"/>
  <c r="Z52" i="41"/>
  <c r="AA50" i="41"/>
  <c r="AA50" i="44" s="1"/>
  <c r="AU143" i="41"/>
  <c r="AV111" i="41"/>
  <c r="AV111" i="44" s="1"/>
  <c r="Y6" i="41"/>
  <c r="Y6" i="44" s="1"/>
  <c r="AE19" i="43"/>
  <c r="AE19" i="46" s="1"/>
  <c r="AF27" i="42"/>
  <c r="AF27" i="45" s="1"/>
  <c r="AE16" i="42"/>
  <c r="AH57" i="43"/>
  <c r="AH57" i="46" s="1"/>
  <c r="AE136" i="41"/>
  <c r="Z74" i="41"/>
  <c r="Z74" i="44" s="1"/>
  <c r="Y90" i="41"/>
  <c r="Y90" i="44" s="1"/>
  <c r="AK54" i="42"/>
  <c r="AL34" i="39"/>
  <c r="AT50" i="38"/>
  <c r="N55" i="39"/>
  <c r="N148" i="36" s="1"/>
  <c r="I55" i="39"/>
  <c r="I148" i="36" s="1"/>
  <c r="S55" i="39"/>
  <c r="S148" i="36" s="1"/>
  <c r="X22" i="36"/>
  <c r="AC50" i="38"/>
  <c r="AG11" i="39"/>
  <c r="K50" i="38"/>
  <c r="AL11" i="39"/>
  <c r="T52" i="38"/>
  <c r="J22" i="39"/>
  <c r="U52" i="38"/>
  <c r="Z52" i="38"/>
  <c r="N37" i="39"/>
  <c r="X50" i="38"/>
  <c r="AA50" i="38"/>
  <c r="AE50" i="38"/>
  <c r="X48" i="38"/>
  <c r="AR50" i="38"/>
  <c r="AF50" i="38"/>
  <c r="AV34" i="39"/>
  <c r="AB34" i="39"/>
  <c r="AG34" i="39"/>
  <c r="V50" i="38"/>
  <c r="AB11" i="39"/>
  <c r="V8" i="39"/>
  <c r="W16" i="38"/>
  <c r="AC19" i="38"/>
  <c r="AD19" i="38" s="1"/>
  <c r="AE19" i="38" s="1"/>
  <c r="AF19" i="38" s="1"/>
  <c r="AB19" i="38"/>
  <c r="AC18" i="38"/>
  <c r="AD18" i="38" s="1"/>
  <c r="AE18" i="38" s="1"/>
  <c r="AF18" i="38" s="1"/>
  <c r="AB18" i="38"/>
  <c r="AC15" i="38"/>
  <c r="AD15" i="38" s="1"/>
  <c r="AE15" i="38" s="1"/>
  <c r="AF15" i="38" s="1"/>
  <c r="AB15" i="38"/>
  <c r="AC48" i="38"/>
  <c r="S42" i="38"/>
  <c r="Y55" i="38"/>
  <c r="T42" i="38"/>
  <c r="AC32" i="38"/>
  <c r="AD32" i="38" s="1"/>
  <c r="AE32" i="38" s="1"/>
  <c r="AF32" i="38" s="1"/>
  <c r="AB32" i="38"/>
  <c r="AC34" i="38"/>
  <c r="AD34" i="38" s="1"/>
  <c r="AE34" i="38" s="1"/>
  <c r="AF34" i="38" s="1"/>
  <c r="AB34" i="38"/>
  <c r="Y50" i="38"/>
  <c r="AS50" i="38"/>
  <c r="Y48" i="38"/>
  <c r="F24" i="39"/>
  <c r="E27" i="39"/>
  <c r="U30" i="38"/>
  <c r="U35" i="38" s="1"/>
  <c r="U42" i="38" s="1"/>
  <c r="V25" i="38"/>
  <c r="AH24" i="38"/>
  <c r="AI24" i="38" s="1"/>
  <c r="AJ24" i="38" s="1"/>
  <c r="AK24" i="38" s="1"/>
  <c r="AG24" i="38"/>
  <c r="L42" i="38"/>
  <c r="Z48" i="38"/>
  <c r="AH52" i="38"/>
  <c r="Y10" i="38"/>
  <c r="AB24" i="38"/>
  <c r="M47" i="39"/>
  <c r="M42" i="38"/>
  <c r="H17" i="39"/>
  <c r="N47" i="39"/>
  <c r="N63" i="38"/>
  <c r="N62" i="38"/>
  <c r="N30" i="38"/>
  <c r="N35" i="38" s="1"/>
  <c r="N42" i="38"/>
  <c r="AH39" i="38"/>
  <c r="AI39" i="38" s="1"/>
  <c r="AJ39" i="38" s="1"/>
  <c r="AK39" i="38" s="1"/>
  <c r="AG39" i="38"/>
  <c r="X16" i="38"/>
  <c r="X8" i="39" s="1"/>
  <c r="O42" i="38"/>
  <c r="O62" i="38"/>
  <c r="AC40" i="38"/>
  <c r="AD40" i="38" s="1"/>
  <c r="AE40" i="38" s="1"/>
  <c r="AF40" i="38" s="1"/>
  <c r="AB40" i="38"/>
  <c r="AD50" i="38"/>
  <c r="H30" i="38"/>
  <c r="H35" i="38" s="1"/>
  <c r="H42" i="38" s="1"/>
  <c r="V21" i="39"/>
  <c r="X23" i="38"/>
  <c r="W23" i="38"/>
  <c r="P42" i="38"/>
  <c r="P62" i="38"/>
  <c r="M30" i="38"/>
  <c r="M35" i="38" s="1"/>
  <c r="Y27" i="38"/>
  <c r="Z31" i="38"/>
  <c r="AA31" i="38" s="1"/>
  <c r="Q42" i="38"/>
  <c r="Q62" i="38"/>
  <c r="L52" i="38"/>
  <c r="L48" i="38"/>
  <c r="Q20" i="39"/>
  <c r="R20" i="39"/>
  <c r="Q30" i="39"/>
  <c r="R30" i="38"/>
  <c r="R35" i="38" s="1"/>
  <c r="R42" i="38" s="1"/>
  <c r="N52" i="38"/>
  <c r="N48" i="38"/>
  <c r="M32" i="39"/>
  <c r="AC33" i="38"/>
  <c r="AD33" i="38" s="1"/>
  <c r="AE33" i="38" s="1"/>
  <c r="AF33" i="38" s="1"/>
  <c r="AB33" i="38"/>
  <c r="AC26" i="38"/>
  <c r="AD26" i="38" s="1"/>
  <c r="AE26" i="38" s="1"/>
  <c r="AF26" i="38" s="1"/>
  <c r="AB26" i="38"/>
  <c r="Z55" i="38"/>
  <c r="X13" i="38"/>
  <c r="Y52" i="38"/>
  <c r="AD52" i="38"/>
  <c r="Y54" i="38"/>
  <c r="R15" i="39"/>
  <c r="E56" i="38"/>
  <c r="F7" i="39"/>
  <c r="O50" i="38"/>
  <c r="AI50" i="38"/>
  <c r="I62" i="38"/>
  <c r="K24" i="39"/>
  <c r="J27" i="39"/>
  <c r="R35" i="39"/>
  <c r="P35" i="39"/>
  <c r="Q35" i="39" s="1"/>
  <c r="S39" i="39"/>
  <c r="P50" i="38"/>
  <c r="AJ50" i="38"/>
  <c r="F52" i="38"/>
  <c r="J62" i="38"/>
  <c r="H9" i="39"/>
  <c r="Q10" i="39"/>
  <c r="R10" i="39" s="1"/>
  <c r="L17" i="39"/>
  <c r="M17" i="39" s="1"/>
  <c r="Q50" i="38"/>
  <c r="AK50" i="38"/>
  <c r="K62" i="38"/>
  <c r="E63" i="38"/>
  <c r="K9" i="39"/>
  <c r="L9" i="39" s="1"/>
  <c r="R17" i="39"/>
  <c r="H19" i="39"/>
  <c r="H34" i="39"/>
  <c r="V47" i="39"/>
  <c r="V29" i="39"/>
  <c r="S50" i="38"/>
  <c r="L62" i="38"/>
  <c r="E22" i="39"/>
  <c r="U24" i="39"/>
  <c r="T27" i="39"/>
  <c r="W28" i="38"/>
  <c r="W33" i="38"/>
  <c r="T50" i="38"/>
  <c r="AN50" i="38"/>
  <c r="J52" i="38"/>
  <c r="K7" i="39"/>
  <c r="G12" i="39"/>
  <c r="W17" i="39"/>
  <c r="X28" i="38"/>
  <c r="U50" i="38"/>
  <c r="AO50" i="38"/>
  <c r="K52" i="38"/>
  <c r="I63" i="38"/>
  <c r="L12" i="39"/>
  <c r="W13" i="39"/>
  <c r="J63" i="38"/>
  <c r="F16" i="39"/>
  <c r="G16" i="39" s="1"/>
  <c r="I37" i="39"/>
  <c r="J31" i="39"/>
  <c r="K31" i="39" s="1"/>
  <c r="L31" i="39" s="1"/>
  <c r="P34" i="39"/>
  <c r="Q34" i="39" s="1"/>
  <c r="K63" i="38"/>
  <c r="P12" i="39"/>
  <c r="W19" i="39"/>
  <c r="H26" i="39"/>
  <c r="U37" i="39"/>
  <c r="E30" i="38"/>
  <c r="E35" i="38" s="1"/>
  <c r="E42" i="38" s="1"/>
  <c r="W31" i="38"/>
  <c r="W39" i="38"/>
  <c r="O48" i="38"/>
  <c r="S62" i="38"/>
  <c r="L63" i="38"/>
  <c r="P7" i="39"/>
  <c r="R21" i="39"/>
  <c r="P21" i="39"/>
  <c r="Q21" i="39" s="1"/>
  <c r="M25" i="39"/>
  <c r="M26" i="39"/>
  <c r="W31" i="39"/>
  <c r="M33" i="39"/>
  <c r="W36" i="39"/>
  <c r="P48" i="38"/>
  <c r="T62" i="38"/>
  <c r="H11" i="39"/>
  <c r="R26" i="39"/>
  <c r="Q26" i="39"/>
  <c r="Q48" i="38"/>
  <c r="U62" i="38"/>
  <c r="L6" i="39"/>
  <c r="G11" i="39"/>
  <c r="W21" i="39"/>
  <c r="U25" i="39"/>
  <c r="R33" i="39"/>
  <c r="W19" i="38"/>
  <c r="S48" i="38"/>
  <c r="O56" i="38"/>
  <c r="U8" i="39"/>
  <c r="K11" i="39"/>
  <c r="L11" i="39" s="1"/>
  <c r="I30" i="38"/>
  <c r="I35" i="38" s="1"/>
  <c r="I42" i="38" s="1"/>
  <c r="T48" i="38"/>
  <c r="D62" i="38"/>
  <c r="J30" i="38"/>
  <c r="J35" i="38" s="1"/>
  <c r="J42" i="38" s="1"/>
  <c r="U48" i="38"/>
  <c r="E62" i="38"/>
  <c r="S63" i="38"/>
  <c r="H10" i="39"/>
  <c r="W11" i="39"/>
  <c r="M15" i="39"/>
  <c r="N39" i="39"/>
  <c r="K19" i="39"/>
  <c r="L19" i="39" s="1"/>
  <c r="U20" i="39"/>
  <c r="O24" i="39"/>
  <c r="K26" i="39"/>
  <c r="L26" i="39" s="1"/>
  <c r="F32" i="39"/>
  <c r="G32" i="39" s="1"/>
  <c r="U33" i="39"/>
  <c r="F36" i="39"/>
  <c r="G36" i="39" s="1"/>
  <c r="F29" i="39"/>
  <c r="F8" i="39"/>
  <c r="G8" i="39" s="1"/>
  <c r="U15" i="39"/>
  <c r="F25" i="39"/>
  <c r="S27" i="39"/>
  <c r="U35" i="39"/>
  <c r="P9" i="39"/>
  <c r="Q9" i="39" s="1"/>
  <c r="U12" i="39"/>
  <c r="K16" i="39"/>
  <c r="L16" i="39" s="1"/>
  <c r="P19" i="39"/>
  <c r="Q19" i="39" s="1"/>
  <c r="D27" i="39"/>
  <c r="D39" i="39" s="1"/>
  <c r="D41" i="39" s="1"/>
  <c r="R30" i="39"/>
  <c r="P31" i="39"/>
  <c r="Q31" i="39" s="1"/>
  <c r="K32" i="39"/>
  <c r="L32" i="39" s="1"/>
  <c r="F33" i="39"/>
  <c r="G33" i="39" s="1"/>
  <c r="K36" i="39"/>
  <c r="L36" i="39" s="1"/>
  <c r="T17" i="39"/>
  <c r="U17" i="39" s="1"/>
  <c r="G20" i="39"/>
  <c r="H20" i="39" s="1"/>
  <c r="O11" i="39"/>
  <c r="P11" i="39" s="1"/>
  <c r="Q11" i="39" s="1"/>
  <c r="K29" i="39"/>
  <c r="K38" i="39"/>
  <c r="L38" i="39" s="1"/>
  <c r="K8" i="39"/>
  <c r="L8" i="39" s="1"/>
  <c r="F15" i="39"/>
  <c r="G15" i="39" s="1"/>
  <c r="K18" i="39"/>
  <c r="L18" i="39" s="1"/>
  <c r="F35" i="39"/>
  <c r="G35" i="39" s="1"/>
  <c r="U9" i="39"/>
  <c r="P16" i="39"/>
  <c r="Q16" i="39" s="1"/>
  <c r="U31" i="39"/>
  <c r="P32" i="39"/>
  <c r="Q32" i="39" s="1"/>
  <c r="K33" i="39"/>
  <c r="L33" i="39" s="1"/>
  <c r="K10" i="39"/>
  <c r="F17" i="39"/>
  <c r="G17" i="39" s="1"/>
  <c r="L20" i="39"/>
  <c r="M20" i="39" s="1"/>
  <c r="I27" i="39"/>
  <c r="Q36" i="39"/>
  <c r="R36" i="39" s="1"/>
  <c r="P38" i="39"/>
  <c r="Q38" i="39" s="1"/>
  <c r="P8" i="39"/>
  <c r="Q8" i="39" s="1"/>
  <c r="U11" i="39"/>
  <c r="K15" i="39"/>
  <c r="L15" i="39" s="1"/>
  <c r="P18" i="39"/>
  <c r="Q18" i="39" s="1"/>
  <c r="P25" i="39"/>
  <c r="K35" i="39"/>
  <c r="L35" i="39" s="1"/>
  <c r="U32" i="39"/>
  <c r="W32" i="39" s="1"/>
  <c r="U36" i="39"/>
  <c r="AG45" i="48" l="1"/>
  <c r="Z35" i="49"/>
  <c r="Z35" i="54" s="1"/>
  <c r="Z30" i="54"/>
  <c r="Y105" i="48"/>
  <c r="Y105" i="53" s="1"/>
  <c r="Y103" i="53"/>
  <c r="Y71" i="48"/>
  <c r="Y71" i="53" s="1"/>
  <c r="Y70" i="53"/>
  <c r="Y131" i="48"/>
  <c r="Y131" i="53" s="1"/>
  <c r="Y130" i="53"/>
  <c r="AG46" i="48"/>
  <c r="AG46" i="53" s="1"/>
  <c r="AG45" i="53"/>
  <c r="AB7" i="50"/>
  <c r="AB7" i="55" s="1"/>
  <c r="AA7" i="55"/>
  <c r="AC15" i="50"/>
  <c r="AC15" i="55" s="1"/>
  <c r="AC8" i="54"/>
  <c r="AA14" i="49"/>
  <c r="AA14" i="54" s="1"/>
  <c r="AP35" i="48"/>
  <c r="AA99" i="48"/>
  <c r="AA99" i="53" s="1"/>
  <c r="Z103" i="48"/>
  <c r="AC35" i="50"/>
  <c r="AC35" i="55" s="1"/>
  <c r="AA37" i="50"/>
  <c r="AA37" i="55" s="1"/>
  <c r="AB35" i="50"/>
  <c r="AE64" i="48"/>
  <c r="AE64" i="53" s="1"/>
  <c r="AE67" i="48"/>
  <c r="AE67" i="53" s="1"/>
  <c r="AE60" i="48"/>
  <c r="AE60" i="53" s="1"/>
  <c r="AE79" i="48"/>
  <c r="AE95" i="48"/>
  <c r="AE10" i="48" s="1"/>
  <c r="AE10" i="53" s="1"/>
  <c r="AE92" i="48"/>
  <c r="AG78" i="48"/>
  <c r="AG79" i="48" s="1"/>
  <c r="AR13" i="49"/>
  <c r="AQ13" i="49"/>
  <c r="AO17" i="50"/>
  <c r="AP10" i="49"/>
  <c r="AP23" i="49"/>
  <c r="AO21" i="50"/>
  <c r="AR165" i="48"/>
  <c r="AP168" i="48"/>
  <c r="AP170" i="48" s="1"/>
  <c r="AP56" i="49"/>
  <c r="AJ52" i="48"/>
  <c r="AJ54" i="48" s="1"/>
  <c r="AK50" i="48"/>
  <c r="AE5" i="48"/>
  <c r="AH41" i="48"/>
  <c r="AH43" i="48" s="1"/>
  <c r="AH45" i="48" s="1"/>
  <c r="AH45" i="53" s="1"/>
  <c r="AG41" i="48"/>
  <c r="AF57" i="48"/>
  <c r="AL57" i="48" s="1"/>
  <c r="AH74" i="48"/>
  <c r="AG74" i="48"/>
  <c r="AF90" i="48"/>
  <c r="AL90" i="48" s="1"/>
  <c r="AF133" i="48"/>
  <c r="AF133" i="53" s="1"/>
  <c r="AF46" i="48"/>
  <c r="AF46" i="53" s="1"/>
  <c r="AF5" i="48"/>
  <c r="AF62" i="48"/>
  <c r="AF62" i="53" s="1"/>
  <c r="AF59" i="48"/>
  <c r="AF59" i="53" s="1"/>
  <c r="AF79" i="48"/>
  <c r="AF95" i="48"/>
  <c r="AF92" i="48"/>
  <c r="Y106" i="48"/>
  <c r="Y106" i="53" s="1"/>
  <c r="AJ30" i="48"/>
  <c r="AN33" i="50"/>
  <c r="AN57" i="50" s="1"/>
  <c r="AK85" i="48"/>
  <c r="AK87" i="48" s="1"/>
  <c r="AM83" i="48"/>
  <c r="AL83" i="48"/>
  <c r="AI6" i="48"/>
  <c r="AK20" i="50"/>
  <c r="AL20" i="50" s="1"/>
  <c r="AM25" i="49"/>
  <c r="AL25" i="49"/>
  <c r="AO9" i="50"/>
  <c r="AQ16" i="48"/>
  <c r="T53" i="49"/>
  <c r="T43" i="49"/>
  <c r="AP136" i="48"/>
  <c r="AR119" i="48"/>
  <c r="AP16" i="48"/>
  <c r="AP9" i="50" s="1"/>
  <c r="AP10" i="50" s="1"/>
  <c r="AQ119" i="48"/>
  <c r="AQ120" i="48" s="1"/>
  <c r="AQ121" i="48" s="1"/>
  <c r="AP120" i="48"/>
  <c r="AP121" i="48" s="1"/>
  <c r="AD64" i="48"/>
  <c r="AD64" i="53" s="1"/>
  <c r="AD60" i="48"/>
  <c r="AD60" i="53" s="1"/>
  <c r="AD67" i="48"/>
  <c r="AD67" i="53" s="1"/>
  <c r="AM57" i="50"/>
  <c r="Y15" i="48"/>
  <c r="AA37" i="49"/>
  <c r="AA37" i="54" s="1"/>
  <c r="AO136" i="48"/>
  <c r="AJ155" i="48"/>
  <c r="AJ31" i="48" s="1"/>
  <c r="AK31" i="48" s="1"/>
  <c r="AK153" i="48"/>
  <c r="AK155" i="48" s="1"/>
  <c r="AN29" i="50"/>
  <c r="AN47" i="50"/>
  <c r="AO28" i="49"/>
  <c r="AN63" i="49"/>
  <c r="AO22" i="48"/>
  <c r="AD10" i="48"/>
  <c r="AD10" i="53" s="1"/>
  <c r="AP102" i="48"/>
  <c r="AO14" i="48"/>
  <c r="AA66" i="48"/>
  <c r="Z12" i="48"/>
  <c r="Z70" i="48"/>
  <c r="AD8" i="48"/>
  <c r="AD8" i="53" s="1"/>
  <c r="AO172" i="48"/>
  <c r="AO28" i="48" s="1"/>
  <c r="AO18" i="48"/>
  <c r="AC9" i="49"/>
  <c r="AC22" i="49"/>
  <c r="AC22" i="54" s="1"/>
  <c r="AO19" i="50"/>
  <c r="AP27" i="49"/>
  <c r="AO16" i="49"/>
  <c r="AO8" i="50" s="1"/>
  <c r="AD133" i="48"/>
  <c r="AD133" i="53" s="1"/>
  <c r="AS69" i="48"/>
  <c r="AA127" i="48"/>
  <c r="AA127" i="53" s="1"/>
  <c r="Z130" i="48"/>
  <c r="AV129" i="48"/>
  <c r="AA18" i="50"/>
  <c r="AA30" i="49"/>
  <c r="AB22" i="49"/>
  <c r="U46" i="50"/>
  <c r="U48" i="50" s="1"/>
  <c r="U11" i="49"/>
  <c r="U20" i="49" s="1"/>
  <c r="U144" i="48"/>
  <c r="AQ35" i="48"/>
  <c r="AU117" i="48"/>
  <c r="AU129" i="48"/>
  <c r="AD93" i="48"/>
  <c r="AD97" i="48"/>
  <c r="AD100" i="48"/>
  <c r="AA16" i="50"/>
  <c r="AB9" i="49"/>
  <c r="AB9" i="54" s="1"/>
  <c r="V46" i="50"/>
  <c r="V48" i="50" s="1"/>
  <c r="V11" i="49"/>
  <c r="V20" i="49" s="1"/>
  <c r="W6" i="49"/>
  <c r="V144" i="48"/>
  <c r="X144" i="48" s="1"/>
  <c r="Y144" i="48" s="1"/>
  <c r="Z144" i="48" s="1"/>
  <c r="AA144" i="48" s="1"/>
  <c r="AC144" i="48" s="1"/>
  <c r="AD144" i="48" s="1"/>
  <c r="AE144" i="48" s="1"/>
  <c r="AF144" i="48" s="1"/>
  <c r="AH144" i="48" s="1"/>
  <c r="AI144" i="48" s="1"/>
  <c r="AJ144" i="48" s="1"/>
  <c r="AK144" i="48" s="1"/>
  <c r="AM144" i="48" s="1"/>
  <c r="AN144" i="48" s="1"/>
  <c r="AO144" i="48" s="1"/>
  <c r="AP144" i="48" s="1"/>
  <c r="AR144" i="48" s="1"/>
  <c r="AS144" i="48" s="1"/>
  <c r="AT144" i="48" s="1"/>
  <c r="AU144" i="48" s="1"/>
  <c r="AC58" i="43"/>
  <c r="AB58" i="43"/>
  <c r="AB58" i="46" s="1"/>
  <c r="AF63" i="42"/>
  <c r="AF63" i="45" s="1"/>
  <c r="AF29" i="43"/>
  <c r="AB19" i="41"/>
  <c r="AE18" i="41"/>
  <c r="AE18" i="44" s="1"/>
  <c r="AE172" i="41"/>
  <c r="AE28" i="41" s="1"/>
  <c r="AE28" i="44" s="1"/>
  <c r="AG22" i="41"/>
  <c r="AG22" i="44" s="1"/>
  <c r="AU56" i="43"/>
  <c r="AU56" i="46" s="1"/>
  <c r="AT56" i="46"/>
  <c r="AH173" i="41"/>
  <c r="AF173" i="44"/>
  <c r="AF170" i="41"/>
  <c r="AF170" i="44" s="1"/>
  <c r="AF168" i="44"/>
  <c r="AD28" i="41"/>
  <c r="AD28" i="44" s="1"/>
  <c r="AD172" i="44"/>
  <c r="AG102" i="41"/>
  <c r="AG102" i="44" s="1"/>
  <c r="AF102" i="44"/>
  <c r="AH102" i="41"/>
  <c r="AD121" i="41"/>
  <c r="AD121" i="44" s="1"/>
  <c r="AD120" i="44"/>
  <c r="AF118" i="41"/>
  <c r="AF117" i="44"/>
  <c r="AG117" i="41"/>
  <c r="AH117" i="41"/>
  <c r="AE118" i="44"/>
  <c r="AE120" i="41"/>
  <c r="AH145" i="41"/>
  <c r="AF145" i="44"/>
  <c r="AE129" i="44"/>
  <c r="AF129" i="41"/>
  <c r="AF14" i="41" s="1"/>
  <c r="AG119" i="44"/>
  <c r="AF9" i="43"/>
  <c r="AF16" i="44"/>
  <c r="AV116" i="41"/>
  <c r="AV116" i="44" s="1"/>
  <c r="AV115" i="44"/>
  <c r="AV113" i="41"/>
  <c r="AV113" i="44" s="1"/>
  <c r="AV112" i="44"/>
  <c r="X134" i="41"/>
  <c r="AC87" i="41"/>
  <c r="AC87" i="44" s="1"/>
  <c r="AC85" i="44"/>
  <c r="AB87" i="41"/>
  <c r="AB87" i="44" s="1"/>
  <c r="AA87" i="44"/>
  <c r="X93" i="41"/>
  <c r="X93" i="44" s="1"/>
  <c r="X100" i="41"/>
  <c r="X100" i="44" s="1"/>
  <c r="X97" i="41"/>
  <c r="X97" i="44" s="1"/>
  <c r="Z76" i="41"/>
  <c r="Z54" i="41"/>
  <c r="Z54" i="44" s="1"/>
  <c r="Z52" i="44"/>
  <c r="Y134" i="44"/>
  <c r="AB57" i="44"/>
  <c r="V57" i="44"/>
  <c r="X43" i="41"/>
  <c r="V45" i="44"/>
  <c r="V43" i="44"/>
  <c r="AB139" i="41"/>
  <c r="AB139" i="44" s="1"/>
  <c r="W41" i="44"/>
  <c r="AM54" i="42"/>
  <c r="AM54" i="45" s="1"/>
  <c r="AK54" i="45"/>
  <c r="AI55" i="45"/>
  <c r="AK55" i="42"/>
  <c r="AJ55" i="42"/>
  <c r="AF40" i="42"/>
  <c r="AE40" i="45"/>
  <c r="AG39" i="42"/>
  <c r="AG39" i="45" s="1"/>
  <c r="AF39" i="45"/>
  <c r="AH39" i="42"/>
  <c r="AI34" i="42"/>
  <c r="AH34" i="45"/>
  <c r="AI33" i="42"/>
  <c r="AH33" i="45"/>
  <c r="AF32" i="45"/>
  <c r="AH32" i="42"/>
  <c r="AG32" i="42"/>
  <c r="AG32" i="45" s="1"/>
  <c r="AF31" i="45"/>
  <c r="AH31" i="42"/>
  <c r="AH29" i="43" s="1"/>
  <c r="AH29" i="46" s="1"/>
  <c r="AG31" i="42"/>
  <c r="AG31" i="45" s="1"/>
  <c r="AE8" i="43"/>
  <c r="AE8" i="46" s="1"/>
  <c r="AE16" i="45"/>
  <c r="AF26" i="42"/>
  <c r="AE26" i="45"/>
  <c r="AI24" i="42"/>
  <c r="AH24" i="45"/>
  <c r="AF19" i="45"/>
  <c r="AG19" i="42"/>
  <c r="AG19" i="45" s="1"/>
  <c r="AH19" i="42"/>
  <c r="AF18" i="45"/>
  <c r="AG18" i="42"/>
  <c r="AG18" i="45" s="1"/>
  <c r="AH18" i="42"/>
  <c r="AF15" i="42"/>
  <c r="AE15" i="45"/>
  <c r="AF53" i="43"/>
  <c r="AE53" i="46"/>
  <c r="AH26" i="41"/>
  <c r="AF26" i="44"/>
  <c r="AD58" i="43"/>
  <c r="AC58" i="46"/>
  <c r="AI57" i="43"/>
  <c r="AI57" i="46" s="1"/>
  <c r="AI33" i="46"/>
  <c r="AU182" i="44"/>
  <c r="AU183" i="44"/>
  <c r="AU180" i="44"/>
  <c r="Z6" i="41"/>
  <c r="Z6" i="44" s="1"/>
  <c r="AN54" i="42"/>
  <c r="AN54" i="45" s="1"/>
  <c r="AT77" i="41"/>
  <c r="I46" i="43"/>
  <c r="I48" i="43" s="1"/>
  <c r="I11" i="42"/>
  <c r="I20" i="42" s="1"/>
  <c r="I144" i="41"/>
  <c r="AH47" i="43"/>
  <c r="AH47" i="46" s="1"/>
  <c r="AI28" i="42"/>
  <c r="AI28" i="45" s="1"/>
  <c r="AH63" i="42"/>
  <c r="AH63" i="45" s="1"/>
  <c r="AD85" i="41"/>
  <c r="AE83" i="41"/>
  <c r="AE83" i="44" s="1"/>
  <c r="AF35" i="41"/>
  <c r="AF35" i="44" s="1"/>
  <c r="AG35" i="41"/>
  <c r="AG35" i="44" s="1"/>
  <c r="K40" i="43"/>
  <c r="K41" i="43" s="1"/>
  <c r="J6" i="42"/>
  <c r="H53" i="42"/>
  <c r="H43" i="42"/>
  <c r="AJ44" i="41"/>
  <c r="Y100" i="41"/>
  <c r="Y100" i="44" s="1"/>
  <c r="Y97" i="41"/>
  <c r="Y97" i="44" s="1"/>
  <c r="Y93" i="41"/>
  <c r="Y93" i="44" s="1"/>
  <c r="AU180" i="41"/>
  <c r="W45" i="41"/>
  <c r="V46" i="41"/>
  <c r="V46" i="44" s="1"/>
  <c r="V62" i="44"/>
  <c r="V59" i="41"/>
  <c r="V59" i="44" s="1"/>
  <c r="AE10" i="43"/>
  <c r="AG9" i="43"/>
  <c r="AG9" i="46" s="1"/>
  <c r="AE20" i="43"/>
  <c r="AF25" i="42"/>
  <c r="AD56" i="42"/>
  <c r="AD56" i="45" s="1"/>
  <c r="AF13" i="42"/>
  <c r="AF13" i="45" s="1"/>
  <c r="AI165" i="41"/>
  <c r="AI165" i="44" s="1"/>
  <c r="AH168" i="41"/>
  <c r="Y41" i="41"/>
  <c r="Y41" i="44" s="1"/>
  <c r="Y43" i="41"/>
  <c r="X57" i="41"/>
  <c r="X57" i="44" s="1"/>
  <c r="AU44" i="41"/>
  <c r="AU44" i="44" s="1"/>
  <c r="AU182" i="41"/>
  <c r="Y134" i="41"/>
  <c r="AN44" i="41"/>
  <c r="AF21" i="43"/>
  <c r="AF21" i="46" s="1"/>
  <c r="AG23" i="42"/>
  <c r="AG23" i="45" s="1"/>
  <c r="AH23" i="42"/>
  <c r="AH23" i="45" s="1"/>
  <c r="AR44" i="41"/>
  <c r="AF19" i="43"/>
  <c r="AH27" i="42"/>
  <c r="AH27" i="45" s="1"/>
  <c r="AG27" i="42"/>
  <c r="AG27" i="45" s="1"/>
  <c r="AF16" i="42"/>
  <c r="AF16" i="45" s="1"/>
  <c r="N41" i="43"/>
  <c r="R41" i="43"/>
  <c r="AH69" i="41"/>
  <c r="AH69" i="44" s="1"/>
  <c r="AG69" i="41"/>
  <c r="AG69" i="44" s="1"/>
  <c r="AI119" i="41"/>
  <c r="AI119" i="44" s="1"/>
  <c r="AH16" i="41"/>
  <c r="AH16" i="44" s="1"/>
  <c r="AA74" i="41"/>
  <c r="AA74" i="44" s="1"/>
  <c r="AA76" i="41"/>
  <c r="Z90" i="41"/>
  <c r="Z90" i="44" s="1"/>
  <c r="AA52" i="41"/>
  <c r="AC50" i="41"/>
  <c r="AC50" i="44" s="1"/>
  <c r="AB50" i="41"/>
  <c r="AB50" i="44" s="1"/>
  <c r="AK163" i="41"/>
  <c r="AK163" i="44" s="1"/>
  <c r="AF10" i="42"/>
  <c r="AF10" i="45" s="1"/>
  <c r="AE17" i="43"/>
  <c r="AE17" i="46" s="1"/>
  <c r="AF136" i="41"/>
  <c r="J55" i="39"/>
  <c r="J148" i="36" s="1"/>
  <c r="W8" i="39"/>
  <c r="Y22" i="36"/>
  <c r="K22" i="39"/>
  <c r="Q37" i="39"/>
  <c r="M11" i="39"/>
  <c r="AE52" i="38"/>
  <c r="AM50" i="38"/>
  <c r="AF52" i="38"/>
  <c r="AA52" i="38"/>
  <c r="O22" i="39"/>
  <c r="O55" i="39" s="1"/>
  <c r="O148" i="36" s="1"/>
  <c r="E40" i="39"/>
  <c r="D6" i="38"/>
  <c r="F22" i="39"/>
  <c r="F56" i="38"/>
  <c r="G7" i="39"/>
  <c r="AA48" i="38"/>
  <c r="V20" i="39"/>
  <c r="W20" i="39" s="1"/>
  <c r="W25" i="38"/>
  <c r="X25" i="38"/>
  <c r="AH34" i="38"/>
  <c r="AI34" i="38" s="1"/>
  <c r="AJ34" i="38" s="1"/>
  <c r="AK34" i="38" s="1"/>
  <c r="AG34" i="38"/>
  <c r="F37" i="39"/>
  <c r="G29" i="39"/>
  <c r="P22" i="39"/>
  <c r="P55" i="39" s="1"/>
  <c r="P148" i="36" s="1"/>
  <c r="AH32" i="38"/>
  <c r="AI32" i="38" s="1"/>
  <c r="AJ32" i="38" s="1"/>
  <c r="AK32" i="38" s="1"/>
  <c r="AG32" i="38"/>
  <c r="AH15" i="38"/>
  <c r="AI15" i="38" s="1"/>
  <c r="AJ15" i="38" s="1"/>
  <c r="AK15" i="38" s="1"/>
  <c r="AG15" i="38"/>
  <c r="M38" i="39"/>
  <c r="H7" i="39"/>
  <c r="AH26" i="38"/>
  <c r="AI26" i="38" s="1"/>
  <c r="AJ26" i="38" s="1"/>
  <c r="AK26" i="38" s="1"/>
  <c r="AG26" i="38"/>
  <c r="AM24" i="38"/>
  <c r="AN24" i="38" s="1"/>
  <c r="AO24" i="38" s="1"/>
  <c r="AP24" i="38" s="1"/>
  <c r="AL24" i="38"/>
  <c r="M36" i="39"/>
  <c r="X47" i="39"/>
  <c r="X29" i="39"/>
  <c r="Y28" i="38"/>
  <c r="X63" i="38"/>
  <c r="G24" i="39"/>
  <c r="F27" i="39"/>
  <c r="H33" i="39"/>
  <c r="R38" i="39"/>
  <c r="H36" i="39"/>
  <c r="AB31" i="38"/>
  <c r="AB67" i="38" s="1"/>
  <c r="AC31" i="38"/>
  <c r="AD31" i="38" s="1"/>
  <c r="AE31" i="38" s="1"/>
  <c r="AF31" i="38" s="1"/>
  <c r="H24" i="39"/>
  <c r="R16" i="39"/>
  <c r="R31" i="39"/>
  <c r="R19" i="39"/>
  <c r="J37" i="39"/>
  <c r="J39" i="39" s="1"/>
  <c r="E39" i="39"/>
  <c r="Z54" i="38"/>
  <c r="Y19" i="39"/>
  <c r="Z27" i="38"/>
  <c r="X21" i="39"/>
  <c r="Y23" i="38"/>
  <c r="AM39" i="38"/>
  <c r="AN39" i="38" s="1"/>
  <c r="AO39" i="38" s="1"/>
  <c r="AP39" i="38" s="1"/>
  <c r="AL39" i="38"/>
  <c r="AH18" i="38"/>
  <c r="AI18" i="38" s="1"/>
  <c r="AJ18" i="38" s="1"/>
  <c r="AK18" i="38" s="1"/>
  <c r="AG18" i="38"/>
  <c r="K37" i="39"/>
  <c r="L29" i="39"/>
  <c r="W29" i="39"/>
  <c r="R34" i="39"/>
  <c r="W47" i="39"/>
  <c r="W63" i="38"/>
  <c r="R32" i="39"/>
  <c r="Y17" i="39"/>
  <c r="Z10" i="38"/>
  <c r="M35" i="39"/>
  <c r="G25" i="39"/>
  <c r="Q25" i="39"/>
  <c r="M18" i="39"/>
  <c r="M16" i="39"/>
  <c r="M31" i="39"/>
  <c r="M12" i="39"/>
  <c r="L24" i="39"/>
  <c r="K27" i="39"/>
  <c r="Y13" i="38"/>
  <c r="AH33" i="38"/>
  <c r="AI33" i="38" s="1"/>
  <c r="AJ33" i="38" s="1"/>
  <c r="AK33" i="38" s="1"/>
  <c r="AG33" i="38"/>
  <c r="H32" i="39"/>
  <c r="Y16" i="38"/>
  <c r="Y8" i="39" s="1"/>
  <c r="L10" i="39"/>
  <c r="P24" i="39"/>
  <c r="O27" i="39"/>
  <c r="R8" i="39"/>
  <c r="M8" i="39"/>
  <c r="I39" i="39"/>
  <c r="H12" i="39"/>
  <c r="U27" i="39"/>
  <c r="P37" i="39"/>
  <c r="AD48" i="38"/>
  <c r="AP50" i="38"/>
  <c r="R18" i="39"/>
  <c r="P56" i="38"/>
  <c r="Q7" i="39"/>
  <c r="Q12" i="39"/>
  <c r="AC52" i="38"/>
  <c r="AG19" i="38"/>
  <c r="AH19" i="38"/>
  <c r="AI19" i="38" s="1"/>
  <c r="AJ19" i="38" s="1"/>
  <c r="AK19" i="38" s="1"/>
  <c r="AH48" i="38"/>
  <c r="H15" i="39"/>
  <c r="M19" i="39"/>
  <c r="M9" i="39"/>
  <c r="Z16" i="38"/>
  <c r="Z8" i="39" s="1"/>
  <c r="H35" i="39"/>
  <c r="AE48" i="38"/>
  <c r="AH40" i="38"/>
  <c r="AI40" i="38" s="1"/>
  <c r="AJ40" i="38" s="1"/>
  <c r="AK40" i="38" s="1"/>
  <c r="AG40" i="38"/>
  <c r="R11" i="39"/>
  <c r="H16" i="39"/>
  <c r="R9" i="39"/>
  <c r="AA55" i="38"/>
  <c r="H8" i="39"/>
  <c r="K56" i="38"/>
  <c r="L7" i="39"/>
  <c r="U22" i="39"/>
  <c r="T22" i="39"/>
  <c r="AG62" i="48" l="1"/>
  <c r="AB30" i="49"/>
  <c r="AB22" i="54"/>
  <c r="AE8" i="48"/>
  <c r="AE8" i="53" s="1"/>
  <c r="AE5" i="53"/>
  <c r="AA35" i="49"/>
  <c r="AA35" i="54" s="1"/>
  <c r="AA30" i="54"/>
  <c r="AB16" i="50"/>
  <c r="AB16" i="55" s="1"/>
  <c r="AA16" i="55"/>
  <c r="AB18" i="50"/>
  <c r="AB18" i="55" s="1"/>
  <c r="AA18" i="55"/>
  <c r="AG59" i="48"/>
  <c r="AG59" i="53" s="1"/>
  <c r="AE133" i="48"/>
  <c r="AE133" i="53" s="1"/>
  <c r="AF8" i="48"/>
  <c r="AF8" i="53" s="1"/>
  <c r="AF5" i="53"/>
  <c r="AB14" i="49"/>
  <c r="Y72" i="48"/>
  <c r="Y72" i="53" s="1"/>
  <c r="AC16" i="50"/>
  <c r="AC16" i="55" s="1"/>
  <c r="AC9" i="54"/>
  <c r="Y17" i="48"/>
  <c r="Y141" i="48" s="1"/>
  <c r="Y141" i="53" s="1"/>
  <c r="Y15" i="53"/>
  <c r="Z15" i="48"/>
  <c r="Z12" i="53"/>
  <c r="AG63" i="48"/>
  <c r="AG63" i="53" s="1"/>
  <c r="AG62" i="53"/>
  <c r="AB37" i="50"/>
  <c r="AB37" i="55" s="1"/>
  <c r="AB35" i="55"/>
  <c r="Z131" i="48"/>
  <c r="Z131" i="53" s="1"/>
  <c r="Z130" i="53"/>
  <c r="Z71" i="48"/>
  <c r="Z71" i="53" s="1"/>
  <c r="Z70" i="53"/>
  <c r="AC7" i="50"/>
  <c r="AC7" i="55" s="1"/>
  <c r="AB14" i="54"/>
  <c r="AB66" i="48"/>
  <c r="AA66" i="53"/>
  <c r="Z105" i="48"/>
  <c r="Z103" i="53"/>
  <c r="AH46" i="48"/>
  <c r="AH46" i="53" s="1"/>
  <c r="AH62" i="48"/>
  <c r="AH62" i="53" s="1"/>
  <c r="AH59" i="48"/>
  <c r="AH59" i="53" s="1"/>
  <c r="AC37" i="50"/>
  <c r="AC37" i="55" s="1"/>
  <c r="AM153" i="48"/>
  <c r="AS119" i="48"/>
  <c r="AR16" i="48"/>
  <c r="AR120" i="48"/>
  <c r="AR121" i="48" s="1"/>
  <c r="AM20" i="50"/>
  <c r="AN25" i="49"/>
  <c r="AP19" i="50"/>
  <c r="AQ19" i="50" s="1"/>
  <c r="AR27" i="49"/>
  <c r="AQ27" i="49"/>
  <c r="AP16" i="49"/>
  <c r="AR102" i="48"/>
  <c r="AP14" i="48"/>
  <c r="AF64" i="48"/>
  <c r="AF64" i="53" s="1"/>
  <c r="AF60" i="48"/>
  <c r="AF60" i="53" s="1"/>
  <c r="AF67" i="48"/>
  <c r="AF67" i="53" s="1"/>
  <c r="AE12" i="50"/>
  <c r="AE12" i="55" s="1"/>
  <c r="AE8" i="49"/>
  <c r="AE8" i="54" s="1"/>
  <c r="AP21" i="50"/>
  <c r="AQ21" i="50" s="1"/>
  <c r="AR23" i="49"/>
  <c r="AQ23" i="49"/>
  <c r="AA103" i="48"/>
  <c r="AB99" i="48"/>
  <c r="AO10" i="50"/>
  <c r="AQ10" i="50" s="1"/>
  <c r="AQ9" i="50"/>
  <c r="AI134" i="48"/>
  <c r="AF10" i="48"/>
  <c r="AF10" i="53" s="1"/>
  <c r="AS13" i="49"/>
  <c r="AR35" i="48"/>
  <c r="AP17" i="50"/>
  <c r="AQ17" i="50" s="1"/>
  <c r="AR10" i="49"/>
  <c r="AQ10" i="49"/>
  <c r="AC18" i="50"/>
  <c r="AC18" i="55" s="1"/>
  <c r="AC30" i="49"/>
  <c r="AF12" i="50"/>
  <c r="AF12" i="55" s="1"/>
  <c r="AF25" i="50"/>
  <c r="AF25" i="55" s="1"/>
  <c r="AF8" i="49"/>
  <c r="AF8" i="54" s="1"/>
  <c r="AF140" i="48"/>
  <c r="AF140" i="53" s="1"/>
  <c r="AK52" i="48"/>
  <c r="AK54" i="48" s="1"/>
  <c r="AM50" i="48"/>
  <c r="AL50" i="48"/>
  <c r="AJ6" i="48"/>
  <c r="AC66" i="48"/>
  <c r="AC66" i="53" s="1"/>
  <c r="AA12" i="48"/>
  <c r="AB12" i="48" s="1"/>
  <c r="AA70" i="48"/>
  <c r="AE93" i="48"/>
  <c r="AE100" i="48"/>
  <c r="AG100" i="48" s="1"/>
  <c r="AG101" i="48" s="1"/>
  <c r="AE97" i="48"/>
  <c r="AE11" i="48" s="1"/>
  <c r="AE11" i="53" s="1"/>
  <c r="AG92" i="48"/>
  <c r="AG82" i="48" s="1"/>
  <c r="AI41" i="48"/>
  <c r="AI43" i="48" s="1"/>
  <c r="AI45" i="48" s="1"/>
  <c r="AI45" i="53" s="1"/>
  <c r="AH57" i="48"/>
  <c r="AD13" i="48"/>
  <c r="AD13" i="53" s="1"/>
  <c r="AN83" i="48"/>
  <c r="AM85" i="48"/>
  <c r="AM87" i="48" s="1"/>
  <c r="AM87" i="53" s="1"/>
  <c r="AG95" i="48"/>
  <c r="AG96" i="48" s="1"/>
  <c r="AC37" i="49"/>
  <c r="AC37" i="54" s="1"/>
  <c r="AB37" i="49"/>
  <c r="AB37" i="54" s="1"/>
  <c r="AC127" i="48"/>
  <c r="AC127" i="53" s="1"/>
  <c r="AA130" i="48"/>
  <c r="AO29" i="50"/>
  <c r="AO47" i="50"/>
  <c r="AP28" i="49"/>
  <c r="AO63" i="49"/>
  <c r="AP22" i="48"/>
  <c r="AQ22" i="48" s="1"/>
  <c r="AD9" i="48"/>
  <c r="AD9" i="53" s="1"/>
  <c r="AG60" i="48"/>
  <c r="AG60" i="53" s="1"/>
  <c r="AL87" i="48"/>
  <c r="AS56" i="49"/>
  <c r="W46" i="50"/>
  <c r="W48" i="50" s="1"/>
  <c r="F36" i="52" s="1"/>
  <c r="W11" i="49"/>
  <c r="W20" i="49" s="1"/>
  <c r="W43" i="49" s="1"/>
  <c r="V53" i="49"/>
  <c r="V43" i="49"/>
  <c r="AG5" i="48"/>
  <c r="AD11" i="48"/>
  <c r="AD11" i="53" s="1"/>
  <c r="AE9" i="48"/>
  <c r="AE9" i="53" s="1"/>
  <c r="AF100" i="48"/>
  <c r="AF97" i="48"/>
  <c r="AF93" i="48"/>
  <c r="AQ14" i="48"/>
  <c r="AD25" i="50"/>
  <c r="AD8" i="49"/>
  <c r="AD12" i="50"/>
  <c r="AD140" i="48"/>
  <c r="AD140" i="53" s="1"/>
  <c r="AK30" i="48"/>
  <c r="AO33" i="50"/>
  <c r="AR56" i="49"/>
  <c r="AT56" i="49" s="1"/>
  <c r="AQ102" i="48"/>
  <c r="U53" i="49"/>
  <c r="X53" i="49" s="1"/>
  <c r="U43" i="49"/>
  <c r="AU118" i="48"/>
  <c r="AV117" i="48"/>
  <c r="AV118" i="48" s="1"/>
  <c r="AT69" i="48"/>
  <c r="AL139" i="48"/>
  <c r="AB127" i="48"/>
  <c r="AI76" i="48"/>
  <c r="AI78" i="48" s="1"/>
  <c r="AI74" i="48"/>
  <c r="AH90" i="48"/>
  <c r="AP172" i="48"/>
  <c r="AP28" i="48" s="1"/>
  <c r="AQ28" i="48" s="1"/>
  <c r="AP18" i="48"/>
  <c r="AQ18" i="48" s="1"/>
  <c r="X21" i="48"/>
  <c r="AL155" i="48"/>
  <c r="AH76" i="48"/>
  <c r="AH78" i="48" s="1"/>
  <c r="AS165" i="48"/>
  <c r="AR168" i="48"/>
  <c r="AR170" i="48" s="1"/>
  <c r="AG67" i="42"/>
  <c r="AG67" i="45" s="1"/>
  <c r="AG47" i="43"/>
  <c r="AG47" i="46" s="1"/>
  <c r="AF29" i="46"/>
  <c r="AG29" i="43"/>
  <c r="AG29" i="46" s="1"/>
  <c r="AE172" i="44"/>
  <c r="AF18" i="41"/>
  <c r="AF18" i="44" s="1"/>
  <c r="AF172" i="41"/>
  <c r="AF28" i="41" s="1"/>
  <c r="AI173" i="41"/>
  <c r="AH173" i="44"/>
  <c r="AH170" i="41"/>
  <c r="AH170" i="44" s="1"/>
  <c r="AH168" i="44"/>
  <c r="AE121" i="41"/>
  <c r="AE121" i="44" s="1"/>
  <c r="AE120" i="44"/>
  <c r="AH117" i="44"/>
  <c r="AI117" i="41"/>
  <c r="AH118" i="41"/>
  <c r="AG118" i="41"/>
  <c r="AG117" i="44"/>
  <c r="AF118" i="44"/>
  <c r="AF120" i="41"/>
  <c r="AH102" i="44"/>
  <c r="AI102" i="41"/>
  <c r="AI145" i="41"/>
  <c r="AH145" i="44"/>
  <c r="AH22" i="41"/>
  <c r="AH22" i="44" s="1"/>
  <c r="AG129" i="41"/>
  <c r="AG129" i="44" s="1"/>
  <c r="AF129" i="44"/>
  <c r="AH129" i="41"/>
  <c r="AH14" i="41" s="1"/>
  <c r="AH14" i="44" s="1"/>
  <c r="AE10" i="46"/>
  <c r="AH136" i="41"/>
  <c r="AF10" i="43"/>
  <c r="AF10" i="46" s="1"/>
  <c r="AF9" i="46"/>
  <c r="AG14" i="41"/>
  <c r="AG14" i="44" s="1"/>
  <c r="AF14" i="44"/>
  <c r="AD87" i="41"/>
  <c r="AD87" i="44" s="1"/>
  <c r="AD85" i="44"/>
  <c r="AA76" i="44"/>
  <c r="Z78" i="41"/>
  <c r="Z76" i="44"/>
  <c r="AA54" i="41"/>
  <c r="AA52" i="44"/>
  <c r="Z134" i="44"/>
  <c r="Y45" i="41"/>
  <c r="Y45" i="44" s="1"/>
  <c r="Y43" i="44"/>
  <c r="W46" i="41"/>
  <c r="W46" i="44" s="1"/>
  <c r="W45" i="44"/>
  <c r="X45" i="41"/>
  <c r="X43" i="44"/>
  <c r="AJ55" i="45"/>
  <c r="AK55" i="45"/>
  <c r="AO54" i="42"/>
  <c r="AO54" i="45" s="1"/>
  <c r="AM55" i="42"/>
  <c r="AF40" i="45"/>
  <c r="AG40" i="42"/>
  <c r="AG40" i="45" s="1"/>
  <c r="AH40" i="42"/>
  <c r="AI39" i="42"/>
  <c r="AH39" i="45"/>
  <c r="AJ34" i="42"/>
  <c r="AI34" i="45"/>
  <c r="AJ33" i="42"/>
  <c r="AI33" i="45"/>
  <c r="AI32" i="42"/>
  <c r="AH32" i="45"/>
  <c r="AI31" i="42"/>
  <c r="AI29" i="43" s="1"/>
  <c r="AI29" i="46" s="1"/>
  <c r="AH31" i="45"/>
  <c r="AG19" i="43"/>
  <c r="AG19" i="46" s="1"/>
  <c r="AF19" i="46"/>
  <c r="AF26" i="45"/>
  <c r="AG26" i="42"/>
  <c r="AG26" i="45" s="1"/>
  <c r="AH26" i="42"/>
  <c r="AJ24" i="42"/>
  <c r="AI24" i="45"/>
  <c r="AG21" i="43"/>
  <c r="AG21" i="46" s="1"/>
  <c r="AI19" i="42"/>
  <c r="AH19" i="45"/>
  <c r="AI18" i="42"/>
  <c r="AH18" i="45"/>
  <c r="AF15" i="45"/>
  <c r="AH15" i="42"/>
  <c r="AG15" i="42"/>
  <c r="AG15" i="45" s="1"/>
  <c r="AH53" i="43"/>
  <c r="AF53" i="46"/>
  <c r="AH26" i="44"/>
  <c r="AI26" i="41"/>
  <c r="AE58" i="43"/>
  <c r="AD58" i="46"/>
  <c r="AE136" i="44"/>
  <c r="AH19" i="43"/>
  <c r="AH19" i="46" s="1"/>
  <c r="AI27" i="42"/>
  <c r="AI27" i="45" s="1"/>
  <c r="AH16" i="42"/>
  <c r="AJ28" i="42"/>
  <c r="AJ28" i="45" s="1"/>
  <c r="AO44" i="41"/>
  <c r="AF17" i="43"/>
  <c r="AH10" i="42"/>
  <c r="AH10" i="45" s="1"/>
  <c r="AG10" i="42"/>
  <c r="AG10" i="45" s="1"/>
  <c r="Z41" i="41"/>
  <c r="Z41" i="44" s="1"/>
  <c r="Y57" i="41"/>
  <c r="Y57" i="44" s="1"/>
  <c r="V64" i="44"/>
  <c r="W59" i="41"/>
  <c r="W59" i="44" s="1"/>
  <c r="V67" i="44"/>
  <c r="V60" i="44"/>
  <c r="Z134" i="41"/>
  <c r="AJ119" i="41"/>
  <c r="AJ119" i="44" s="1"/>
  <c r="AI16" i="41"/>
  <c r="W62" i="41"/>
  <c r="W10" i="41"/>
  <c r="W10" i="44" s="1"/>
  <c r="AI69" i="41"/>
  <c r="AI69" i="44" s="1"/>
  <c r="AG13" i="42"/>
  <c r="AG13" i="45" s="1"/>
  <c r="AH13" i="42"/>
  <c r="AH13" i="45" s="1"/>
  <c r="W5" i="41"/>
  <c r="V8" i="41"/>
  <c r="V8" i="44" s="1"/>
  <c r="I53" i="42"/>
  <c r="I43" i="42"/>
  <c r="J46" i="43"/>
  <c r="J48" i="43" s="1"/>
  <c r="J11" i="42"/>
  <c r="J20" i="42" s="1"/>
  <c r="J144" i="41"/>
  <c r="W40" i="43"/>
  <c r="S40" i="43"/>
  <c r="O40" i="43"/>
  <c r="O41" i="43" s="1"/>
  <c r="N6" i="42"/>
  <c r="AH21" i="43"/>
  <c r="AH21" i="46" s="1"/>
  <c r="AI23" i="42"/>
  <c r="AI23" i="45" s="1"/>
  <c r="AE56" i="42"/>
  <c r="AE56" i="45" s="1"/>
  <c r="L40" i="43"/>
  <c r="L41" i="43" s="1"/>
  <c r="L6" i="42" s="1"/>
  <c r="K6" i="42"/>
  <c r="AC153" i="41"/>
  <c r="AJ165" i="41"/>
  <c r="AJ165" i="44" s="1"/>
  <c r="AI168" i="41"/>
  <c r="AD50" i="41"/>
  <c r="AD50" i="44" s="1"/>
  <c r="AC52" i="41"/>
  <c r="AF20" i="43"/>
  <c r="AG20" i="43" s="1"/>
  <c r="AH25" i="42"/>
  <c r="AG25" i="42"/>
  <c r="AH35" i="41"/>
  <c r="AH35" i="44" s="1"/>
  <c r="AM163" i="41"/>
  <c r="AM163" i="44" s="1"/>
  <c r="AA6" i="41"/>
  <c r="AS44" i="41"/>
  <c r="AE85" i="41"/>
  <c r="AF83" i="41"/>
  <c r="AF83" i="44" s="1"/>
  <c r="AC74" i="41"/>
  <c r="AC74" i="44" s="1"/>
  <c r="AB74" i="41"/>
  <c r="AB74" i="44" s="1"/>
  <c r="AA90" i="41"/>
  <c r="AH9" i="43"/>
  <c r="AH9" i="46" s="1"/>
  <c r="AF8" i="43"/>
  <c r="AG16" i="42"/>
  <c r="AG16" i="45" s="1"/>
  <c r="AO52" i="38"/>
  <c r="K55" i="39"/>
  <c r="K148" i="36" s="1"/>
  <c r="U55" i="39"/>
  <c r="U148" i="36" s="1"/>
  <c r="T55" i="39"/>
  <c r="T148" i="36" s="1"/>
  <c r="O39" i="39"/>
  <c r="Z22" i="36"/>
  <c r="AP52" i="38"/>
  <c r="U39" i="39"/>
  <c r="M10" i="39"/>
  <c r="R37" i="39"/>
  <c r="T39" i="39"/>
  <c r="AM52" i="38"/>
  <c r="AH31" i="38"/>
  <c r="AI31" i="38" s="1"/>
  <c r="AJ31" i="38" s="1"/>
  <c r="AK31" i="38" s="1"/>
  <c r="AG31" i="38"/>
  <c r="AG67" i="38" s="1"/>
  <c r="Y47" i="39"/>
  <c r="Y29" i="39"/>
  <c r="Y63" i="38"/>
  <c r="Z28" i="38"/>
  <c r="AJ48" i="38"/>
  <c r="Z19" i="39"/>
  <c r="AA27" i="38"/>
  <c r="AL26" i="38"/>
  <c r="AM26" i="38"/>
  <c r="AN26" i="38" s="1"/>
  <c r="AO26" i="38" s="1"/>
  <c r="AP26" i="38" s="1"/>
  <c r="G37" i="39"/>
  <c r="H29" i="39"/>
  <c r="H37" i="39" s="1"/>
  <c r="L56" i="38"/>
  <c r="M7" i="39"/>
  <c r="F39" i="39"/>
  <c r="D46" i="39"/>
  <c r="D48" i="39" s="1"/>
  <c r="D11" i="38"/>
  <c r="D20" i="38" s="1"/>
  <c r="H56" i="38"/>
  <c r="H22" i="39"/>
  <c r="E41" i="39"/>
  <c r="Y21" i="39"/>
  <c r="Z23" i="38"/>
  <c r="AM33" i="38"/>
  <c r="AN33" i="38" s="1"/>
  <c r="AO33" i="38" s="1"/>
  <c r="AP33" i="38" s="1"/>
  <c r="AL33" i="38"/>
  <c r="AM34" i="38"/>
  <c r="AN34" i="38" s="1"/>
  <c r="AO34" i="38" s="1"/>
  <c r="AP34" i="38" s="1"/>
  <c r="AL34" i="38"/>
  <c r="L22" i="39"/>
  <c r="L55" i="39" s="1"/>
  <c r="L148" i="36" s="1"/>
  <c r="Z13" i="38"/>
  <c r="AK52" i="38"/>
  <c r="X20" i="39"/>
  <c r="Y25" i="38"/>
  <c r="AI52" i="38"/>
  <c r="R25" i="39"/>
  <c r="AC55" i="38"/>
  <c r="Q56" i="38"/>
  <c r="V56" i="38" s="1"/>
  <c r="R7" i="39"/>
  <c r="Q22" i="39"/>
  <c r="AA54" i="38"/>
  <c r="AM56" i="39"/>
  <c r="AM48" i="38"/>
  <c r="L37" i="39"/>
  <c r="M29" i="39"/>
  <c r="M37" i="39" s="1"/>
  <c r="AR39" i="38"/>
  <c r="AS39" i="38" s="1"/>
  <c r="AT39" i="38" s="1"/>
  <c r="AU39" i="38" s="1"/>
  <c r="AV39" i="38" s="1"/>
  <c r="AQ39" i="38"/>
  <c r="R12" i="39"/>
  <c r="L27" i="39"/>
  <c r="M24" i="39"/>
  <c r="M27" i="39" s="1"/>
  <c r="K39" i="39"/>
  <c r="AU50" i="38"/>
  <c r="AF48" i="38"/>
  <c r="H25" i="39"/>
  <c r="Q24" i="39"/>
  <c r="Q27" i="39" s="1"/>
  <c r="P27" i="39"/>
  <c r="P39" i="39" s="1"/>
  <c r="AM15" i="38"/>
  <c r="AN15" i="38" s="1"/>
  <c r="AO15" i="38" s="1"/>
  <c r="AP15" i="38" s="1"/>
  <c r="AL15" i="38"/>
  <c r="AM40" i="38"/>
  <c r="AN40" i="38" s="1"/>
  <c r="AO40" i="38" s="1"/>
  <c r="AP40" i="38" s="1"/>
  <c r="AL40" i="38"/>
  <c r="Z17" i="39"/>
  <c r="AA10" i="38"/>
  <c r="AL18" i="38"/>
  <c r="AM18" i="38"/>
  <c r="AN18" i="38" s="1"/>
  <c r="AO18" i="38" s="1"/>
  <c r="AP18" i="38" s="1"/>
  <c r="G27" i="39"/>
  <c r="AQ24" i="38"/>
  <c r="AR24" i="38"/>
  <c r="AS24" i="38" s="1"/>
  <c r="AT24" i="38" s="1"/>
  <c r="AU24" i="38" s="1"/>
  <c r="AV24" i="38" s="1"/>
  <c r="AM19" i="38"/>
  <c r="AN19" i="38" s="1"/>
  <c r="AO19" i="38" s="1"/>
  <c r="AP19" i="38" s="1"/>
  <c r="AL19" i="38"/>
  <c r="AM32" i="38"/>
  <c r="AN32" i="38" s="1"/>
  <c r="AO32" i="38" s="1"/>
  <c r="AP32" i="38" s="1"/>
  <c r="AL32" i="38"/>
  <c r="G56" i="38"/>
  <c r="G22" i="39"/>
  <c r="AI48" i="38"/>
  <c r="R24" i="39"/>
  <c r="Y19" i="48" l="1"/>
  <c r="Y19" i="53" s="1"/>
  <c r="Z72" i="48"/>
  <c r="Z72" i="53" s="1"/>
  <c r="AG10" i="48"/>
  <c r="AG10" i="53" s="1"/>
  <c r="AG12" i="50"/>
  <c r="AG12" i="55" s="1"/>
  <c r="AD12" i="55"/>
  <c r="AG64" i="48"/>
  <c r="AG64" i="53" s="1"/>
  <c r="AE25" i="50"/>
  <c r="AE25" i="55" s="1"/>
  <c r="AD25" i="55"/>
  <c r="AD15" i="50"/>
  <c r="AD15" i="55" s="1"/>
  <c r="AD8" i="54"/>
  <c r="AC14" i="49"/>
  <c r="AC14" i="54" s="1"/>
  <c r="AC99" i="48"/>
  <c r="AC99" i="53" s="1"/>
  <c r="AE140" i="48"/>
  <c r="AE140" i="53" s="1"/>
  <c r="AB35" i="49"/>
  <c r="AB35" i="54" s="1"/>
  <c r="AB30" i="54"/>
  <c r="AC35" i="49"/>
  <c r="AC35" i="54" s="1"/>
  <c r="AC30" i="54"/>
  <c r="AA131" i="48"/>
  <c r="AA131" i="53" s="1"/>
  <c r="AA130" i="53"/>
  <c r="AA71" i="48"/>
  <c r="AA71" i="53" s="1"/>
  <c r="AA70" i="53"/>
  <c r="Z106" i="48"/>
  <c r="Z106" i="53" s="1"/>
  <c r="Z105" i="53"/>
  <c r="Y137" i="48"/>
  <c r="Y137" i="53" s="1"/>
  <c r="Y17" i="53"/>
  <c r="AG65" i="48"/>
  <c r="AG65" i="53" s="1"/>
  <c r="AG8" i="48"/>
  <c r="AG8" i="53" s="1"/>
  <c r="AG5" i="53"/>
  <c r="AA15" i="48"/>
  <c r="AA12" i="53"/>
  <c r="AA105" i="48"/>
  <c r="AA103" i="53"/>
  <c r="AB15" i="48"/>
  <c r="AB12" i="53"/>
  <c r="AB130" i="48"/>
  <c r="AB127" i="53"/>
  <c r="AB103" i="48"/>
  <c r="AB103" i="53" s="1"/>
  <c r="AB99" i="53"/>
  <c r="AB70" i="48"/>
  <c r="AB70" i="53" s="1"/>
  <c r="AB66" i="53"/>
  <c r="Z17" i="48"/>
  <c r="Z137" i="48" s="1"/>
  <c r="Z137" i="53" s="1"/>
  <c r="Z15" i="53"/>
  <c r="AI46" i="48"/>
  <c r="AI46" i="53" s="1"/>
  <c r="AI5" i="48"/>
  <c r="AI62" i="48"/>
  <c r="AI62" i="53" s="1"/>
  <c r="AI59" i="48"/>
  <c r="AI59" i="53" s="1"/>
  <c r="AL6" i="48"/>
  <c r="AU56" i="49"/>
  <c r="Y142" i="48"/>
  <c r="Y142" i="53" s="1"/>
  <c r="AJ134" i="48"/>
  <c r="AN20" i="50"/>
  <c r="AO25" i="49"/>
  <c r="AC130" i="48"/>
  <c r="X23" i="48"/>
  <c r="X23" i="53" s="1"/>
  <c r="AS35" i="48"/>
  <c r="AT35" i="48" s="1"/>
  <c r="AU35" i="48" s="1"/>
  <c r="AE15" i="50"/>
  <c r="AR17" i="50"/>
  <c r="AS10" i="49"/>
  <c r="AU69" i="48"/>
  <c r="Y53" i="49"/>
  <c r="AH79" i="48"/>
  <c r="AH95" i="48"/>
  <c r="AH92" i="48"/>
  <c r="AT13" i="49"/>
  <c r="AR9" i="50"/>
  <c r="AH64" i="48"/>
  <c r="AH64" i="53" s="1"/>
  <c r="AH67" i="48"/>
  <c r="AH67" i="53" s="1"/>
  <c r="AH60" i="48"/>
  <c r="AH60" i="53" s="1"/>
  <c r="AM52" i="48"/>
  <c r="AM54" i="48" s="1"/>
  <c r="AM54" i="53" s="1"/>
  <c r="AN50" i="48"/>
  <c r="AF13" i="48"/>
  <c r="AF13" i="53" s="1"/>
  <c r="AR136" i="48"/>
  <c r="AH10" i="48"/>
  <c r="AH10" i="53" s="1"/>
  <c r="AJ43" i="48"/>
  <c r="AJ45" i="48" s="1"/>
  <c r="AJ45" i="53" s="1"/>
  <c r="AJ41" i="48"/>
  <c r="AI57" i="48"/>
  <c r="AG61" i="48"/>
  <c r="AG61" i="53" s="1"/>
  <c r="AK134" i="48"/>
  <c r="AK6" i="48"/>
  <c r="AF9" i="48"/>
  <c r="AF9" i="53" s="1"/>
  <c r="AT119" i="48"/>
  <c r="AS16" i="48"/>
  <c r="AS9" i="50" s="1"/>
  <c r="AS10" i="50" s="1"/>
  <c r="AS120" i="48"/>
  <c r="AS121" i="48" s="1"/>
  <c r="AH5" i="48"/>
  <c r="AH5" i="53" s="1"/>
  <c r="Z53" i="49"/>
  <c r="AF11" i="48"/>
  <c r="AD9" i="49"/>
  <c r="AD22" i="49"/>
  <c r="AD22" i="54" s="1"/>
  <c r="AE9" i="49"/>
  <c r="AE22" i="49"/>
  <c r="AE22" i="54" s="1"/>
  <c r="AF15" i="50"/>
  <c r="AF15" i="55" s="1"/>
  <c r="AG8" i="49"/>
  <c r="AG8" i="54" s="1"/>
  <c r="AJ74" i="48"/>
  <c r="AI90" i="48"/>
  <c r="AE13" i="48"/>
  <c r="AE13" i="53" s="1"/>
  <c r="AO83" i="48"/>
  <c r="AN85" i="48"/>
  <c r="AN87" i="48" s="1"/>
  <c r="AN87" i="53" s="1"/>
  <c r="AG97" i="48"/>
  <c r="AG98" i="48" s="1"/>
  <c r="AI79" i="48"/>
  <c r="AI95" i="48"/>
  <c r="AI92" i="48"/>
  <c r="AP29" i="50"/>
  <c r="AP47" i="50"/>
  <c r="AP63" i="49"/>
  <c r="AR28" i="49"/>
  <c r="AQ28" i="49"/>
  <c r="AR22" i="48"/>
  <c r="AA72" i="48"/>
  <c r="AA72" i="53" s="1"/>
  <c r="AS102" i="48"/>
  <c r="AR14" i="48"/>
  <c r="AM155" i="48"/>
  <c r="AN153" i="48"/>
  <c r="AO57" i="50"/>
  <c r="AG67" i="48"/>
  <c r="AC103" i="48"/>
  <c r="AP8" i="50"/>
  <c r="AQ8" i="50" s="1"/>
  <c r="AQ16" i="49"/>
  <c r="AR172" i="48"/>
  <c r="AR28" i="48" s="1"/>
  <c r="AR18" i="48"/>
  <c r="AM30" i="48"/>
  <c r="AP33" i="50"/>
  <c r="AP57" i="50" s="1"/>
  <c r="AC12" i="48"/>
  <c r="AC12" i="53" s="1"/>
  <c r="AC70" i="48"/>
  <c r="AD35" i="50"/>
  <c r="AT165" i="48"/>
  <c r="AS168" i="48"/>
  <c r="AS170" i="48" s="1"/>
  <c r="AG93" i="48"/>
  <c r="AQ29" i="50"/>
  <c r="AL54" i="48"/>
  <c r="AR21" i="50"/>
  <c r="AS23" i="49"/>
  <c r="AR19" i="50"/>
  <c r="AS27" i="49"/>
  <c r="AR16" i="49"/>
  <c r="AR8" i="50" s="1"/>
  <c r="AI47" i="43"/>
  <c r="AI47" i="46" s="1"/>
  <c r="AI63" i="42"/>
  <c r="AI63" i="45" s="1"/>
  <c r="AH18" i="41"/>
  <c r="AH18" i="44" s="1"/>
  <c r="AG18" i="41"/>
  <c r="AG18" i="44" s="1"/>
  <c r="AF172" i="44"/>
  <c r="AH172" i="41"/>
  <c r="AH172" i="44" s="1"/>
  <c r="AJ173" i="41"/>
  <c r="AI173" i="44"/>
  <c r="AI170" i="41"/>
  <c r="AI170" i="44" s="1"/>
  <c r="AI168" i="44"/>
  <c r="AF28" i="44"/>
  <c r="AG28" i="41"/>
  <c r="AG28" i="44" s="1"/>
  <c r="AI102" i="44"/>
  <c r="AJ102" i="41"/>
  <c r="AF121" i="41"/>
  <c r="AF121" i="44" s="1"/>
  <c r="AF120" i="44"/>
  <c r="AG118" i="44"/>
  <c r="AG120" i="41"/>
  <c r="AH118" i="44"/>
  <c r="AH120" i="41"/>
  <c r="AI118" i="41"/>
  <c r="AI117" i="44"/>
  <c r="AJ117" i="41"/>
  <c r="AJ145" i="41"/>
  <c r="AI145" i="44"/>
  <c r="AI22" i="41"/>
  <c r="AI22" i="44" s="1"/>
  <c r="AH129" i="44"/>
  <c r="AI129" i="41"/>
  <c r="AI14" i="41" s="1"/>
  <c r="AI14" i="44" s="1"/>
  <c r="AI9" i="43"/>
  <c r="AI16" i="44"/>
  <c r="AG10" i="43"/>
  <c r="AG10" i="46" s="1"/>
  <c r="AE87" i="41"/>
  <c r="AE87" i="44" s="1"/>
  <c r="AE85" i="44"/>
  <c r="AG90" i="41"/>
  <c r="AG90" i="44" s="1"/>
  <c r="AA90" i="44"/>
  <c r="Z78" i="44"/>
  <c r="Z79" i="41"/>
  <c r="Z79" i="44" s="1"/>
  <c r="Z95" i="41"/>
  <c r="Z95" i="44" s="1"/>
  <c r="Z92" i="41"/>
  <c r="AA54" i="44"/>
  <c r="AB54" i="41"/>
  <c r="AB54" i="44" s="1"/>
  <c r="AB6" i="41"/>
  <c r="AB6" i="44" s="1"/>
  <c r="AA6" i="44"/>
  <c r="AC54" i="41"/>
  <c r="AC54" i="44" s="1"/>
  <c r="AC52" i="44"/>
  <c r="W63" i="41"/>
  <c r="W63" i="44" s="1"/>
  <c r="W62" i="44"/>
  <c r="Y59" i="41"/>
  <c r="Y59" i="44" s="1"/>
  <c r="Y62" i="41"/>
  <c r="Y5" i="41"/>
  <c r="Y133" i="41" s="1"/>
  <c r="Y46" i="41"/>
  <c r="Y46" i="44" s="1"/>
  <c r="X45" i="44"/>
  <c r="X46" i="41"/>
  <c r="X46" i="44" s="1"/>
  <c r="X5" i="41"/>
  <c r="X59" i="41"/>
  <c r="X62" i="41"/>
  <c r="Z43" i="41"/>
  <c r="AN55" i="42"/>
  <c r="AP54" i="42"/>
  <c r="AP54" i="45" s="1"/>
  <c r="AR54" i="42"/>
  <c r="AR54" i="45" s="1"/>
  <c r="AM55" i="45"/>
  <c r="AI40" i="42"/>
  <c r="AH40" i="45"/>
  <c r="AJ39" i="42"/>
  <c r="AI39" i="45"/>
  <c r="AK34" i="42"/>
  <c r="AJ34" i="45"/>
  <c r="AK33" i="42"/>
  <c r="AJ33" i="45"/>
  <c r="AJ32" i="42"/>
  <c r="AI32" i="45"/>
  <c r="AI31" i="45"/>
  <c r="AJ31" i="42"/>
  <c r="AJ47" i="43" s="1"/>
  <c r="AJ47" i="46" s="1"/>
  <c r="AH8" i="43"/>
  <c r="AH8" i="46" s="1"/>
  <c r="AH16" i="45"/>
  <c r="AG8" i="43"/>
  <c r="AG8" i="46" s="1"/>
  <c r="AF8" i="46"/>
  <c r="AI26" i="42"/>
  <c r="AH26" i="45"/>
  <c r="AK24" i="42"/>
  <c r="AJ24" i="45"/>
  <c r="AJ19" i="42"/>
  <c r="AI19" i="45"/>
  <c r="AJ18" i="42"/>
  <c r="AI18" i="45"/>
  <c r="AI15" i="42"/>
  <c r="AH15" i="45"/>
  <c r="AG17" i="43"/>
  <c r="AG17" i="46" s="1"/>
  <c r="AF17" i="46"/>
  <c r="AI53" i="43"/>
  <c r="AH53" i="46"/>
  <c r="AJ26" i="41"/>
  <c r="AI26" i="44"/>
  <c r="W8" i="41"/>
  <c r="W8" i="44" s="1"/>
  <c r="W5" i="44"/>
  <c r="AD153" i="41"/>
  <c r="AC153" i="44"/>
  <c r="AF58" i="43"/>
  <c r="AE58" i="46"/>
  <c r="AF136" i="44"/>
  <c r="L46" i="43"/>
  <c r="L48" i="43" s="1"/>
  <c r="L11" i="42"/>
  <c r="L20" i="42" s="1"/>
  <c r="M6" i="42"/>
  <c r="L144" i="41"/>
  <c r="AK28" i="42"/>
  <c r="AK28" i="45" s="1"/>
  <c r="AH83" i="41"/>
  <c r="AH83" i="44" s="1"/>
  <c r="AG83" i="41"/>
  <c r="AG83" i="44" s="1"/>
  <c r="AF85" i="41"/>
  <c r="AA134" i="41"/>
  <c r="AD52" i="41"/>
  <c r="AE50" i="41"/>
  <c r="AE50" i="44" s="1"/>
  <c r="AF56" i="42"/>
  <c r="AF56" i="45" s="1"/>
  <c r="AA41" i="41"/>
  <c r="AA41" i="44" s="1"/>
  <c r="AA43" i="41"/>
  <c r="Z57" i="41"/>
  <c r="Z57" i="44" s="1"/>
  <c r="W64" i="41"/>
  <c r="W11" i="41"/>
  <c r="W11" i="44" s="1"/>
  <c r="AH17" i="43"/>
  <c r="AH17" i="46" s="1"/>
  <c r="AI10" i="42"/>
  <c r="AI10" i="45" s="1"/>
  <c r="AD74" i="41"/>
  <c r="AD74" i="44" s="1"/>
  <c r="AC90" i="41"/>
  <c r="AC90" i="44" s="1"/>
  <c r="AI19" i="43"/>
  <c r="AI19" i="46" s="1"/>
  <c r="AJ27" i="42"/>
  <c r="AJ27" i="45" s="1"/>
  <c r="AI16" i="42"/>
  <c r="K46" i="43"/>
  <c r="K48" i="43" s="1"/>
  <c r="K11" i="42"/>
  <c r="K20" i="42" s="1"/>
  <c r="K144" i="41"/>
  <c r="AN163" i="41"/>
  <c r="AN163" i="44" s="1"/>
  <c r="N46" i="43"/>
  <c r="N48" i="43" s="1"/>
  <c r="N11" i="42"/>
  <c r="N20" i="42" s="1"/>
  <c r="N144" i="41"/>
  <c r="AI136" i="41"/>
  <c r="P40" i="43"/>
  <c r="P41" i="43" s="1"/>
  <c r="O6" i="42"/>
  <c r="V12" i="46"/>
  <c r="V25" i="46"/>
  <c r="V140" i="41"/>
  <c r="V140" i="44" s="1"/>
  <c r="V8" i="45"/>
  <c r="AK119" i="41"/>
  <c r="AK119" i="44" s="1"/>
  <c r="AJ16" i="41"/>
  <c r="AT44" i="41"/>
  <c r="AK165" i="41"/>
  <c r="AK165" i="44" s="1"/>
  <c r="AJ168" i="41"/>
  <c r="AH10" i="43"/>
  <c r="AH10" i="46" s="1"/>
  <c r="AS54" i="42"/>
  <c r="S41" i="43"/>
  <c r="W140" i="41"/>
  <c r="W140" i="44" s="1"/>
  <c r="Y67" i="41"/>
  <c r="AC76" i="41"/>
  <c r="AI21" i="43"/>
  <c r="AI21" i="46" s="1"/>
  <c r="AJ23" i="42"/>
  <c r="AJ23" i="45" s="1"/>
  <c r="AI35" i="41"/>
  <c r="AI35" i="44" s="1"/>
  <c r="AI13" i="42"/>
  <c r="AI13" i="45" s="1"/>
  <c r="AJ69" i="41"/>
  <c r="AJ69" i="44" s="1"/>
  <c r="W67" i="41"/>
  <c r="W13" i="41"/>
  <c r="W13" i="44" s="1"/>
  <c r="V70" i="41"/>
  <c r="W60" i="41"/>
  <c r="W60" i="44" s="1"/>
  <c r="AI25" i="42"/>
  <c r="AH20" i="43"/>
  <c r="J53" i="42"/>
  <c r="J43" i="42"/>
  <c r="AT52" i="38"/>
  <c r="AJ52" i="38"/>
  <c r="Q55" i="39"/>
  <c r="Q148" i="36" s="1"/>
  <c r="AA22" i="36"/>
  <c r="Q39" i="39"/>
  <c r="AS52" i="38"/>
  <c r="AO48" i="38"/>
  <c r="AR32" i="38"/>
  <c r="AS32" i="38" s="1"/>
  <c r="AT32" i="38" s="1"/>
  <c r="AU32" i="38" s="1"/>
  <c r="AV32" i="38" s="1"/>
  <c r="AQ32" i="38"/>
  <c r="AN56" i="39"/>
  <c r="AR33" i="38"/>
  <c r="AS33" i="38" s="1"/>
  <c r="AT33" i="38" s="1"/>
  <c r="AU33" i="38" s="1"/>
  <c r="AV33" i="38" s="1"/>
  <c r="AQ33" i="38"/>
  <c r="M22" i="39"/>
  <c r="M55" i="39" s="1"/>
  <c r="M148" i="36" s="1"/>
  <c r="AQ15" i="38"/>
  <c r="AR15" i="38"/>
  <c r="AS15" i="38" s="1"/>
  <c r="AT15" i="38" s="1"/>
  <c r="AU15" i="38" s="1"/>
  <c r="AV15" i="38" s="1"/>
  <c r="AC54" i="38"/>
  <c r="Z21" i="39"/>
  <c r="AA23" i="38"/>
  <c r="H27" i="39"/>
  <c r="AR40" i="38"/>
  <c r="AS40" i="38" s="1"/>
  <c r="AT40" i="38" s="1"/>
  <c r="AU40" i="38" s="1"/>
  <c r="AV40" i="38" s="1"/>
  <c r="AQ40" i="38"/>
  <c r="AR19" i="38"/>
  <c r="AS19" i="38" s="1"/>
  <c r="AT19" i="38" s="1"/>
  <c r="AU19" i="38" s="1"/>
  <c r="AV19" i="38" s="1"/>
  <c r="AQ19" i="38"/>
  <c r="AR52" i="38"/>
  <c r="Y20" i="39"/>
  <c r="Z25" i="38"/>
  <c r="F40" i="39"/>
  <c r="F41" i="39" s="1"/>
  <c r="E6" i="38"/>
  <c r="E144" i="36" s="1"/>
  <c r="Z47" i="39"/>
  <c r="Z29" i="39"/>
  <c r="AA28" i="38"/>
  <c r="Z63" i="38"/>
  <c r="H39" i="39"/>
  <c r="H41" i="39" s="1"/>
  <c r="G39" i="39"/>
  <c r="R27" i="39"/>
  <c r="AU52" i="38"/>
  <c r="AR26" i="38"/>
  <c r="AS26" i="38" s="1"/>
  <c r="AT26" i="38" s="1"/>
  <c r="AU26" i="38" s="1"/>
  <c r="AV26" i="38" s="1"/>
  <c r="AQ26" i="38"/>
  <c r="AN52" i="38"/>
  <c r="AK48" i="38"/>
  <c r="D53" i="38"/>
  <c r="D43" i="38"/>
  <c r="AQ18" i="38"/>
  <c r="AR18" i="38"/>
  <c r="AS18" i="38" s="1"/>
  <c r="AT18" i="38" s="1"/>
  <c r="AU18" i="38" s="1"/>
  <c r="AV18" i="38" s="1"/>
  <c r="L39" i="39"/>
  <c r="R22" i="39"/>
  <c r="AA13" i="38"/>
  <c r="AA19" i="39"/>
  <c r="AB19" i="39" s="1"/>
  <c r="AC27" i="38"/>
  <c r="AC16" i="38" s="1"/>
  <c r="AC8" i="39" s="1"/>
  <c r="AB27" i="38"/>
  <c r="AM31" i="38"/>
  <c r="AN31" i="38" s="1"/>
  <c r="AO31" i="38" s="1"/>
  <c r="AP31" i="38" s="1"/>
  <c r="AL31" i="38"/>
  <c r="AL67" i="38" s="1"/>
  <c r="V7" i="39"/>
  <c r="X56" i="38"/>
  <c r="AA17" i="39"/>
  <c r="AB17" i="39" s="1"/>
  <c r="AB10" i="38"/>
  <c r="AC10" i="38"/>
  <c r="AD55" i="38"/>
  <c r="AA16" i="38"/>
  <c r="AN48" i="38"/>
  <c r="AR48" i="38"/>
  <c r="AR34" i="38"/>
  <c r="AS34" i="38" s="1"/>
  <c r="AT34" i="38" s="1"/>
  <c r="AU34" i="38" s="1"/>
  <c r="AV34" i="38" s="1"/>
  <c r="AQ34" i="38"/>
  <c r="AB71" i="48" l="1"/>
  <c r="AD7" i="50"/>
  <c r="AG15" i="50"/>
  <c r="AG15" i="55" s="1"/>
  <c r="AE15" i="55"/>
  <c r="AI8" i="48"/>
  <c r="AI8" i="53" s="1"/>
  <c r="AI5" i="53"/>
  <c r="AG11" i="48"/>
  <c r="AG11" i="53" s="1"/>
  <c r="AF11" i="53"/>
  <c r="AE16" i="50"/>
  <c r="AE16" i="55" s="1"/>
  <c r="AE9" i="54"/>
  <c r="AD16" i="50"/>
  <c r="AD16" i="55" s="1"/>
  <c r="AD9" i="54"/>
  <c r="AG13" i="48"/>
  <c r="AG13" i="53" s="1"/>
  <c r="AG25" i="50"/>
  <c r="AG25" i="55" s="1"/>
  <c r="AD66" i="48"/>
  <c r="AD66" i="53" s="1"/>
  <c r="AH133" i="48"/>
  <c r="AH133" i="53" s="1"/>
  <c r="AD14" i="49"/>
  <c r="AD14" i="54" s="1"/>
  <c r="AC105" i="48"/>
  <c r="AC105" i="53" s="1"/>
  <c r="AC103" i="53"/>
  <c r="AC71" i="48"/>
  <c r="AC71" i="53" s="1"/>
  <c r="AC70" i="53"/>
  <c r="AG140" i="48"/>
  <c r="AG140" i="53" s="1"/>
  <c r="AG68" i="48"/>
  <c r="AG68" i="53" s="1"/>
  <c r="AG67" i="53"/>
  <c r="AD127" i="48"/>
  <c r="AD127" i="53" s="1"/>
  <c r="AA106" i="48"/>
  <c r="AA106" i="53" s="1"/>
  <c r="AA105" i="53"/>
  <c r="AB105" i="48"/>
  <c r="AB72" i="48"/>
  <c r="AB72" i="53" s="1"/>
  <c r="AB71" i="53"/>
  <c r="AC131" i="48"/>
  <c r="AC131" i="53" s="1"/>
  <c r="AC130" i="53"/>
  <c r="Z17" i="53"/>
  <c r="Z19" i="48"/>
  <c r="Z141" i="48"/>
  <c r="Z141" i="53" s="1"/>
  <c r="AB17" i="48"/>
  <c r="AB15" i="53"/>
  <c r="AA17" i="48"/>
  <c r="AA15" i="53"/>
  <c r="AD37" i="49"/>
  <c r="AD37" i="54" s="1"/>
  <c r="AD35" i="55"/>
  <c r="AB131" i="48"/>
  <c r="AB131" i="53" s="1"/>
  <c r="AB130" i="53"/>
  <c r="AR47" i="50"/>
  <c r="AR29" i="50"/>
  <c r="AR63" i="49"/>
  <c r="AS28" i="49"/>
  <c r="AS22" i="48"/>
  <c r="AS19" i="50"/>
  <c r="AT27" i="49"/>
  <c r="AS16" i="49"/>
  <c r="AS8" i="50" s="1"/>
  <c r="AS17" i="50"/>
  <c r="AT10" i="49"/>
  <c r="AJ46" i="48"/>
  <c r="AJ46" i="53" s="1"/>
  <c r="AJ62" i="48"/>
  <c r="AJ62" i="53" s="1"/>
  <c r="AJ59" i="48"/>
  <c r="AJ59" i="53" s="1"/>
  <c r="AS21" i="50"/>
  <c r="AT23" i="49"/>
  <c r="AR33" i="50"/>
  <c r="AU119" i="48"/>
  <c r="AT16" i="48"/>
  <c r="AT9" i="50" s="1"/>
  <c r="AT10" i="50" s="1"/>
  <c r="AT120" i="48"/>
  <c r="AT121" i="48" s="1"/>
  <c r="AV119" i="48"/>
  <c r="AV120" i="48" s="1"/>
  <c r="AV121" i="48" s="1"/>
  <c r="AR10" i="50"/>
  <c r="AD70" i="48"/>
  <c r="AN155" i="48"/>
  <c r="AN30" i="48" s="1"/>
  <c r="AO153" i="48"/>
  <c r="AE18" i="50"/>
  <c r="AE18" i="55" s="1"/>
  <c r="AE30" i="49"/>
  <c r="AS136" i="48"/>
  <c r="AN52" i="48"/>
  <c r="AN54" i="48" s="1"/>
  <c r="AN54" i="53" s="1"/>
  <c r="AO50" i="48"/>
  <c r="AU13" i="49"/>
  <c r="AV35" i="48"/>
  <c r="AM31" i="48"/>
  <c r="AF9" i="49"/>
  <c r="AF9" i="54" s="1"/>
  <c r="AF22" i="49"/>
  <c r="AF22" i="54" s="1"/>
  <c r="AM6" i="48"/>
  <c r="AM6" i="53" s="1"/>
  <c r="AH8" i="48"/>
  <c r="AH8" i="53" s="1"/>
  <c r="AC53" i="49"/>
  <c r="AO20" i="50"/>
  <c r="AP25" i="49"/>
  <c r="AQ33" i="50"/>
  <c r="AQ57" i="50" s="1"/>
  <c r="AG94" i="48"/>
  <c r="AT102" i="48"/>
  <c r="AS14" i="48"/>
  <c r="X24" i="48"/>
  <c r="AI93" i="48"/>
  <c r="AI97" i="48"/>
  <c r="AI100" i="48"/>
  <c r="AS172" i="48"/>
  <c r="AS28" i="48" s="1"/>
  <c r="AS18" i="48"/>
  <c r="AP83" i="48"/>
  <c r="AO85" i="48"/>
  <c r="AO87" i="48" s="1"/>
  <c r="AO87" i="53" s="1"/>
  <c r="AG9" i="48"/>
  <c r="AG9" i="53" s="1"/>
  <c r="AH93" i="48"/>
  <c r="AH9" i="48" s="1"/>
  <c r="AH9" i="53" s="1"/>
  <c r="AH97" i="48"/>
  <c r="AH100" i="48"/>
  <c r="AI64" i="48"/>
  <c r="AI60" i="48"/>
  <c r="AI60" i="53" s="1"/>
  <c r="AI67" i="48"/>
  <c r="AV69" i="48"/>
  <c r="AU165" i="48"/>
  <c r="AU168" i="48" s="1"/>
  <c r="AU170" i="48" s="1"/>
  <c r="AT168" i="48"/>
  <c r="AT170" i="48" s="1"/>
  <c r="AC106" i="48"/>
  <c r="AC106" i="53" s="1"/>
  <c r="AI10" i="48"/>
  <c r="AI10" i="53" s="1"/>
  <c r="AE35" i="50"/>
  <c r="AE35" i="55" s="1"/>
  <c r="AD37" i="50"/>
  <c r="AD37" i="55" s="1"/>
  <c r="AD18" i="50"/>
  <c r="AD18" i="55" s="1"/>
  <c r="AD30" i="49"/>
  <c r="AK43" i="48"/>
  <c r="AK45" i="48" s="1"/>
  <c r="AK41" i="48"/>
  <c r="AJ57" i="48"/>
  <c r="AK74" i="48"/>
  <c r="AJ90" i="48"/>
  <c r="AC15" i="48"/>
  <c r="AQ47" i="50"/>
  <c r="AQ67" i="49"/>
  <c r="AJ76" i="48"/>
  <c r="AJ78" i="48" s="1"/>
  <c r="AJ5" i="48" s="1"/>
  <c r="AJ5" i="53" s="1"/>
  <c r="AD53" i="49"/>
  <c r="AA53" i="49"/>
  <c r="AI133" i="48"/>
  <c r="AI133" i="53" s="1"/>
  <c r="AJ63" i="42"/>
  <c r="AJ63" i="45" s="1"/>
  <c r="AJ29" i="43"/>
  <c r="AJ29" i="46" s="1"/>
  <c r="AH28" i="41"/>
  <c r="AH28" i="44" s="1"/>
  <c r="AI18" i="41"/>
  <c r="AI18" i="44" s="1"/>
  <c r="AK173" i="41"/>
  <c r="AJ173" i="44"/>
  <c r="AI172" i="41"/>
  <c r="AJ170" i="41"/>
  <c r="AJ170" i="44" s="1"/>
  <c r="AJ168" i="44"/>
  <c r="AJ117" i="44"/>
  <c r="AK117" i="41"/>
  <c r="AL117" i="41" s="1"/>
  <c r="AJ118" i="41"/>
  <c r="AI118" i="44"/>
  <c r="AI120" i="41"/>
  <c r="AH121" i="41"/>
  <c r="AH121" i="44" s="1"/>
  <c r="AH120" i="44"/>
  <c r="AG121" i="41"/>
  <c r="AG121" i="44" s="1"/>
  <c r="AG120" i="44"/>
  <c r="AJ102" i="44"/>
  <c r="AK102" i="41"/>
  <c r="AK145" i="41"/>
  <c r="AJ145" i="44"/>
  <c r="AJ22" i="41"/>
  <c r="AJ22" i="44" s="1"/>
  <c r="AI129" i="44"/>
  <c r="AJ129" i="41"/>
  <c r="AJ14" i="41" s="1"/>
  <c r="AJ14" i="44" s="1"/>
  <c r="AI10" i="43"/>
  <c r="AI10" i="46" s="1"/>
  <c r="AI9" i="46"/>
  <c r="AL119" i="41"/>
  <c r="AJ136" i="41"/>
  <c r="AJ16" i="44"/>
  <c r="AF87" i="41"/>
  <c r="AF87" i="44" s="1"/>
  <c r="AF85" i="44"/>
  <c r="Z92" i="44"/>
  <c r="Z97" i="41"/>
  <c r="Z93" i="41"/>
  <c r="Z100" i="41"/>
  <c r="AC78" i="41"/>
  <c r="AC78" i="44" s="1"/>
  <c r="AC76" i="44"/>
  <c r="AD54" i="41"/>
  <c r="AD54" i="44" s="1"/>
  <c r="AD52" i="44"/>
  <c r="AC6" i="41"/>
  <c r="AC6" i="44" s="1"/>
  <c r="AC134" i="44" s="1"/>
  <c r="AA134" i="44"/>
  <c r="Z45" i="41"/>
  <c r="Z43" i="44"/>
  <c r="X62" i="44"/>
  <c r="X10" i="41"/>
  <c r="X10" i="44" s="1"/>
  <c r="X59" i="44"/>
  <c r="X64" i="41"/>
  <c r="X67" i="41"/>
  <c r="X60" i="41"/>
  <c r="W65" i="41"/>
  <c r="W65" i="44" s="1"/>
  <c r="W64" i="44"/>
  <c r="X5" i="44"/>
  <c r="X133" i="44" s="1"/>
  <c r="X133" i="41"/>
  <c r="X8" i="41"/>
  <c r="AA45" i="41"/>
  <c r="AA45" i="44" s="1"/>
  <c r="AA43" i="44"/>
  <c r="Y8" i="41"/>
  <c r="Y5" i="44"/>
  <c r="Y133" i="44" s="1"/>
  <c r="W68" i="41"/>
  <c r="W68" i="44" s="1"/>
  <c r="W67" i="44"/>
  <c r="Y60" i="41"/>
  <c r="Y60" i="44" s="1"/>
  <c r="Y10" i="41"/>
  <c r="Y10" i="44" s="1"/>
  <c r="Y62" i="44"/>
  <c r="Y13" i="41"/>
  <c r="Y13" i="44" s="1"/>
  <c r="Y67" i="44"/>
  <c r="Y64" i="41"/>
  <c r="AN55" i="45"/>
  <c r="AS54" i="45"/>
  <c r="AT54" i="42"/>
  <c r="AT54" i="45" s="1"/>
  <c r="AO55" i="42"/>
  <c r="AJ40" i="42"/>
  <c r="AI40" i="45"/>
  <c r="AK39" i="42"/>
  <c r="AJ39" i="45"/>
  <c r="AK34" i="45"/>
  <c r="AL34" i="42"/>
  <c r="AL34" i="45" s="1"/>
  <c r="AM34" i="42"/>
  <c r="AK33" i="45"/>
  <c r="AM33" i="42"/>
  <c r="AL33" i="42"/>
  <c r="AL33" i="45" s="1"/>
  <c r="AK32" i="42"/>
  <c r="AJ32" i="45"/>
  <c r="AK31" i="42"/>
  <c r="AJ31" i="45"/>
  <c r="AI8" i="43"/>
  <c r="AI8" i="46" s="1"/>
  <c r="AI16" i="45"/>
  <c r="AJ26" i="42"/>
  <c r="AI26" i="45"/>
  <c r="AK24" i="45"/>
  <c r="AM24" i="42"/>
  <c r="AL24" i="42"/>
  <c r="AL24" i="45" s="1"/>
  <c r="AK19" i="42"/>
  <c r="AJ19" i="45"/>
  <c r="AK18" i="42"/>
  <c r="AJ18" i="45"/>
  <c r="AJ15" i="42"/>
  <c r="AI15" i="45"/>
  <c r="AJ53" i="43"/>
  <c r="AI53" i="46"/>
  <c r="V71" i="41"/>
  <c r="V71" i="44" s="1"/>
  <c r="V70" i="44"/>
  <c r="AK26" i="41"/>
  <c r="AL26" i="41" s="1"/>
  <c r="AL26" i="44" s="1"/>
  <c r="AJ26" i="44"/>
  <c r="AE153" i="41"/>
  <c r="AD153" i="44"/>
  <c r="AF58" i="46"/>
  <c r="AH58" i="43"/>
  <c r="AG58" i="43"/>
  <c r="AG58" i="46" s="1"/>
  <c r="AH136" i="44"/>
  <c r="K53" i="42"/>
  <c r="K43" i="42"/>
  <c r="AA62" i="41"/>
  <c r="AA59" i="41"/>
  <c r="AA59" i="44" s="1"/>
  <c r="AC41" i="41"/>
  <c r="AC41" i="44" s="1"/>
  <c r="AC43" i="41"/>
  <c r="AB41" i="41"/>
  <c r="AA57" i="41"/>
  <c r="N53" i="42"/>
  <c r="N43" i="42"/>
  <c r="AJ19" i="43"/>
  <c r="AJ19" i="46" s="1"/>
  <c r="AK27" i="42"/>
  <c r="AK27" i="45" s="1"/>
  <c r="AJ16" i="42"/>
  <c r="AF50" i="41"/>
  <c r="AF50" i="44" s="1"/>
  <c r="AE52" i="41"/>
  <c r="V9" i="45"/>
  <c r="V22" i="45"/>
  <c r="W9" i="41"/>
  <c r="V15" i="41"/>
  <c r="AD6" i="41"/>
  <c r="W8" i="42"/>
  <c r="W8" i="45" s="1"/>
  <c r="AE74" i="41"/>
  <c r="AE74" i="44" s="1"/>
  <c r="AD90" i="41"/>
  <c r="AD90" i="44" s="1"/>
  <c r="M46" i="43"/>
  <c r="M48" i="43" s="1"/>
  <c r="M11" i="42"/>
  <c r="M20" i="42" s="1"/>
  <c r="M43" i="42" s="1"/>
  <c r="AD76" i="41"/>
  <c r="L53" i="42"/>
  <c r="L43" i="42"/>
  <c r="AK69" i="41"/>
  <c r="AK69" i="44" s="1"/>
  <c r="V14" i="45"/>
  <c r="W25" i="43"/>
  <c r="AM28" i="42"/>
  <c r="AM28" i="45" s="1"/>
  <c r="AL28" i="42"/>
  <c r="AL28" i="45" s="1"/>
  <c r="AJ35" i="41"/>
  <c r="AJ35" i="44" s="1"/>
  <c r="T40" i="43"/>
  <c r="T41" i="43" s="1"/>
  <c r="S6" i="42"/>
  <c r="W12" i="43"/>
  <c r="W12" i="46" s="1"/>
  <c r="V35" i="46"/>
  <c r="AI17" i="43"/>
  <c r="AI17" i="46" s="1"/>
  <c r="AJ10" i="42"/>
  <c r="AJ10" i="45" s="1"/>
  <c r="AH85" i="41"/>
  <c r="AI83" i="41"/>
  <c r="AI83" i="44" s="1"/>
  <c r="W70" i="41"/>
  <c r="W70" i="44" s="1"/>
  <c r="W61" i="41"/>
  <c r="W61" i="44" s="1"/>
  <c r="AK23" i="42"/>
  <c r="AK23" i="45" s="1"/>
  <c r="AJ21" i="43"/>
  <c r="AJ21" i="46" s="1"/>
  <c r="O46" i="43"/>
  <c r="O48" i="43" s="1"/>
  <c r="O11" i="42"/>
  <c r="O20" i="42" s="1"/>
  <c r="O144" i="41"/>
  <c r="AO163" i="41"/>
  <c r="AO163" i="44" s="1"/>
  <c r="AM119" i="41"/>
  <c r="AM119" i="44" s="1"/>
  <c r="AK16" i="41"/>
  <c r="Q40" i="43"/>
  <c r="Q41" i="43" s="1"/>
  <c r="Q6" i="42" s="1"/>
  <c r="P6" i="42"/>
  <c r="AC134" i="41"/>
  <c r="AJ13" i="42"/>
  <c r="AJ13" i="45" s="1"/>
  <c r="AJ9" i="43"/>
  <c r="AJ9" i="46" s="1"/>
  <c r="AM165" i="41"/>
  <c r="AM165" i="44" s="1"/>
  <c r="AK168" i="41"/>
  <c r="AH56" i="42"/>
  <c r="AH56" i="45" s="1"/>
  <c r="AI20" i="43"/>
  <c r="AJ25" i="42"/>
  <c r="AJ172" i="41"/>
  <c r="AJ18" i="41"/>
  <c r="AJ18" i="44" s="1"/>
  <c r="V66" i="36"/>
  <c r="V99" i="36"/>
  <c r="V127" i="36"/>
  <c r="R55" i="39"/>
  <c r="R148" i="36" s="1"/>
  <c r="R39" i="39"/>
  <c r="AC22" i="36"/>
  <c r="W7" i="39"/>
  <c r="AR31" i="38"/>
  <c r="AS31" i="38" s="1"/>
  <c r="AT31" i="38" s="1"/>
  <c r="AU31" i="38" s="1"/>
  <c r="AV31" i="38" s="1"/>
  <c r="AV67" i="38" s="1"/>
  <c r="AQ31" i="38"/>
  <c r="AQ67" i="38" s="1"/>
  <c r="AC19" i="39"/>
  <c r="AD27" i="38"/>
  <c r="AD16" i="38" s="1"/>
  <c r="AD8" i="39" s="1"/>
  <c r="AE55" i="38"/>
  <c r="M39" i="39"/>
  <c r="AO56" i="39"/>
  <c r="AC13" i="38"/>
  <c r="AB13" i="38"/>
  <c r="AA47" i="39"/>
  <c r="AA29" i="39"/>
  <c r="AC28" i="38"/>
  <c r="AB28" i="38"/>
  <c r="AA63" i="38"/>
  <c r="AA21" i="39"/>
  <c r="AB21" i="39" s="1"/>
  <c r="AC23" i="38"/>
  <c r="AB23" i="38"/>
  <c r="AC17" i="39"/>
  <c r="AD10" i="38"/>
  <c r="AA8" i="39"/>
  <c r="AB8" i="39" s="1"/>
  <c r="AB16" i="38"/>
  <c r="AP48" i="38"/>
  <c r="E46" i="39"/>
  <c r="E48" i="39" s="1"/>
  <c r="E11" i="38"/>
  <c r="E20" i="38" s="1"/>
  <c r="G40" i="39"/>
  <c r="G41" i="39" s="1"/>
  <c r="G6" i="38" s="1"/>
  <c r="F6" i="38"/>
  <c r="F144" i="36" s="1"/>
  <c r="AE54" i="38"/>
  <c r="AT48" i="38"/>
  <c r="Y56" i="38"/>
  <c r="Z56" i="38" s="1"/>
  <c r="Z20" i="39"/>
  <c r="AA25" i="38"/>
  <c r="AD54" i="38"/>
  <c r="M40" i="39"/>
  <c r="I40" i="39"/>
  <c r="AS48" i="38"/>
  <c r="AI8" i="49" l="1"/>
  <c r="AI8" i="54" s="1"/>
  <c r="AI25" i="50"/>
  <c r="AI25" i="55" s="1"/>
  <c r="AI12" i="50"/>
  <c r="AI12" i="55" s="1"/>
  <c r="AI140" i="48"/>
  <c r="AI140" i="53" s="1"/>
  <c r="AC72" i="48"/>
  <c r="AC72" i="53" s="1"/>
  <c r="AD7" i="55"/>
  <c r="AD99" i="48"/>
  <c r="AI13" i="48"/>
  <c r="AI13" i="53" s="1"/>
  <c r="AI67" i="53"/>
  <c r="AE35" i="49"/>
  <c r="AE35" i="54" s="1"/>
  <c r="AE30" i="54"/>
  <c r="AL45" i="48"/>
  <c r="AL45" i="53" s="1"/>
  <c r="AK45" i="53"/>
  <c r="AI11" i="48"/>
  <c r="AI11" i="53" s="1"/>
  <c r="AI64" i="53"/>
  <c r="AG56" i="50"/>
  <c r="AG56" i="55" s="1"/>
  <c r="AD35" i="49"/>
  <c r="AD35" i="54" s="1"/>
  <c r="AD30" i="54"/>
  <c r="AD130" i="48"/>
  <c r="AD131" i="48" s="1"/>
  <c r="AD131" i="53" s="1"/>
  <c r="AE7" i="50"/>
  <c r="AE7" i="55" s="1"/>
  <c r="AC17" i="48"/>
  <c r="AC19" i="48" s="1"/>
  <c r="AC19" i="53" s="1"/>
  <c r="AC15" i="53"/>
  <c r="AE127" i="48"/>
  <c r="AE127" i="53" s="1"/>
  <c r="AD71" i="48"/>
  <c r="AD71" i="53" s="1"/>
  <c r="AD70" i="53"/>
  <c r="AB17" i="53"/>
  <c r="AB141" i="48"/>
  <c r="AB141" i="53" s="1"/>
  <c r="AB19" i="48"/>
  <c r="AB106" i="48"/>
  <c r="AB106" i="53" s="1"/>
  <c r="AB105" i="53"/>
  <c r="X25" i="48"/>
  <c r="X25" i="53" s="1"/>
  <c r="X24" i="53"/>
  <c r="AA17" i="53"/>
  <c r="AA19" i="48"/>
  <c r="AA141" i="48"/>
  <c r="AA141" i="53" s="1"/>
  <c r="AA137" i="48"/>
  <c r="AA137" i="53" s="1"/>
  <c r="Z19" i="53"/>
  <c r="Z142" i="48"/>
  <c r="Z142" i="53" s="1"/>
  <c r="X27" i="48"/>
  <c r="X27" i="53" s="1"/>
  <c r="AJ8" i="48"/>
  <c r="AJ8" i="53" s="1"/>
  <c r="AS33" i="50"/>
  <c r="AS57" i="50" s="1"/>
  <c r="AQ20" i="50"/>
  <c r="AH9" i="49"/>
  <c r="AH22" i="49"/>
  <c r="AH22" i="54" s="1"/>
  <c r="AV28" i="48"/>
  <c r="AN31" i="48"/>
  <c r="AO31" i="48" s="1"/>
  <c r="AI9" i="48"/>
  <c r="AI9" i="53" s="1"/>
  <c r="AP20" i="50"/>
  <c r="AR25" i="49"/>
  <c r="AQ25" i="49"/>
  <c r="AF35" i="50"/>
  <c r="AF35" i="55" s="1"/>
  <c r="AE37" i="50"/>
  <c r="AE37" i="55" s="1"/>
  <c r="AT21" i="50"/>
  <c r="AU23" i="49"/>
  <c r="AT19" i="50"/>
  <c r="AU27" i="49"/>
  <c r="AT16" i="49"/>
  <c r="AT8" i="50" s="1"/>
  <c r="AM41" i="48"/>
  <c r="AL41" i="48"/>
  <c r="AK57" i="48"/>
  <c r="AR153" i="48"/>
  <c r="AH25" i="50"/>
  <c r="AH25" i="55" s="1"/>
  <c r="AH12" i="50"/>
  <c r="AH12" i="55" s="1"/>
  <c r="AH8" i="49"/>
  <c r="AI15" i="50" s="1"/>
  <c r="AI15" i="55" s="1"/>
  <c r="AH140" i="48"/>
  <c r="AH140" i="53" s="1"/>
  <c r="AV13" i="49"/>
  <c r="AJ64" i="48"/>
  <c r="AJ64" i="53" s="1"/>
  <c r="AJ67" i="48"/>
  <c r="AJ67" i="53" s="1"/>
  <c r="AJ60" i="48"/>
  <c r="AJ60" i="53" s="1"/>
  <c r="AJ10" i="48"/>
  <c r="AJ10" i="53" s="1"/>
  <c r="AS47" i="50"/>
  <c r="AS29" i="50"/>
  <c r="AS63" i="49"/>
  <c r="AT28" i="49"/>
  <c r="AT22" i="48"/>
  <c r="X29" i="48"/>
  <c r="AO52" i="48"/>
  <c r="AO54" i="48" s="1"/>
  <c r="AO54" i="53" s="1"/>
  <c r="AP50" i="48"/>
  <c r="AU136" i="48"/>
  <c r="AU16" i="48"/>
  <c r="AU120" i="48"/>
  <c r="AU121" i="48" s="1"/>
  <c r="AJ79" i="48"/>
  <c r="AJ95" i="48"/>
  <c r="AJ92" i="48"/>
  <c r="AN6" i="48"/>
  <c r="AN6" i="53" s="1"/>
  <c r="AT136" i="48"/>
  <c r="AJ133" i="48"/>
  <c r="AJ133" i="53" s="1"/>
  <c r="AM74" i="48"/>
  <c r="AL74" i="48"/>
  <c r="AQ139" i="48" s="1"/>
  <c r="AM76" i="48"/>
  <c r="AM78" i="48" s="1"/>
  <c r="AM78" i="53" s="1"/>
  <c r="AK90" i="48"/>
  <c r="AQ90" i="48" s="1"/>
  <c r="AR57" i="50"/>
  <c r="AT17" i="50"/>
  <c r="AU10" i="49"/>
  <c r="AK76" i="48"/>
  <c r="AK78" i="48" s="1"/>
  <c r="AT172" i="48"/>
  <c r="AT28" i="48" s="1"/>
  <c r="AT18" i="48"/>
  <c r="AV18" i="48" s="1"/>
  <c r="AR83" i="48"/>
  <c r="AQ83" i="48"/>
  <c r="AP85" i="48"/>
  <c r="AP87" i="48" s="1"/>
  <c r="AP87" i="53" s="1"/>
  <c r="AU102" i="48"/>
  <c r="AU14" i="48" s="1"/>
  <c r="AT14" i="48"/>
  <c r="AM134" i="48"/>
  <c r="AM134" i="53" s="1"/>
  <c r="AE37" i="49"/>
  <c r="AE37" i="54" s="1"/>
  <c r="AE53" i="49"/>
  <c r="AK46" i="48"/>
  <c r="AK46" i="53" s="1"/>
  <c r="AK62" i="48"/>
  <c r="AK62" i="53" s="1"/>
  <c r="AK59" i="48"/>
  <c r="AK59" i="53" s="1"/>
  <c r="AU172" i="48"/>
  <c r="AU28" i="48" s="1"/>
  <c r="AU18" i="48"/>
  <c r="AV102" i="48"/>
  <c r="AH13" i="48"/>
  <c r="AH13" i="53" s="1"/>
  <c r="AH11" i="48"/>
  <c r="AH11" i="53" s="1"/>
  <c r="AF16" i="50"/>
  <c r="AG9" i="49"/>
  <c r="AG9" i="54" s="1"/>
  <c r="AF18" i="50"/>
  <c r="AG22" i="49"/>
  <c r="AF30" i="49"/>
  <c r="AO155" i="48"/>
  <c r="AO30" i="48" s="1"/>
  <c r="AP153" i="48"/>
  <c r="AP155" i="48" s="1"/>
  <c r="AM173" i="41"/>
  <c r="AK173" i="44"/>
  <c r="AJ28" i="41"/>
  <c r="AJ28" i="44" s="1"/>
  <c r="AJ172" i="44"/>
  <c r="AK170" i="41"/>
  <c r="AK170" i="44" s="1"/>
  <c r="AK168" i="44"/>
  <c r="AI28" i="41"/>
  <c r="AI28" i="44" s="1"/>
  <c r="AI172" i="44"/>
  <c r="AL102" i="41"/>
  <c r="AL102" i="44" s="1"/>
  <c r="AK102" i="44"/>
  <c r="AM102" i="41"/>
  <c r="AI121" i="41"/>
  <c r="AI121" i="44" s="1"/>
  <c r="AI120" i="44"/>
  <c r="AJ120" i="41"/>
  <c r="AJ118" i="44"/>
  <c r="AL118" i="41"/>
  <c r="AL118" i="44" s="1"/>
  <c r="AL117" i="44"/>
  <c r="AK118" i="41"/>
  <c r="AK117" i="44"/>
  <c r="AM117" i="41"/>
  <c r="AM145" i="41"/>
  <c r="AM22" i="41" s="1"/>
  <c r="AM22" i="44" s="1"/>
  <c r="AK145" i="44"/>
  <c r="AK22" i="41"/>
  <c r="AJ129" i="44"/>
  <c r="AK129" i="41"/>
  <c r="AK14" i="41" s="1"/>
  <c r="AL119" i="44"/>
  <c r="AK9" i="43"/>
  <c r="AK16" i="44"/>
  <c r="AH87" i="41"/>
  <c r="AH87" i="44" s="1"/>
  <c r="AH85" i="44"/>
  <c r="AG87" i="41"/>
  <c r="AG87" i="44" s="1"/>
  <c r="Z100" i="44"/>
  <c r="Z93" i="44"/>
  <c r="Z97" i="44"/>
  <c r="AC95" i="41"/>
  <c r="AC95" i="44" s="1"/>
  <c r="AC79" i="41"/>
  <c r="AC79" i="44" s="1"/>
  <c r="AC92" i="41"/>
  <c r="AC92" i="44" s="1"/>
  <c r="AD78" i="41"/>
  <c r="AD78" i="44" s="1"/>
  <c r="AD76" i="44"/>
  <c r="AE54" i="41"/>
  <c r="AE54" i="44" s="1"/>
  <c r="AE52" i="44"/>
  <c r="AD134" i="41"/>
  <c r="AD6" i="44"/>
  <c r="AD134" i="44" s="1"/>
  <c r="Y9" i="41"/>
  <c r="Y9" i="44" s="1"/>
  <c r="AA62" i="44"/>
  <c r="X8" i="44"/>
  <c r="X12" i="43"/>
  <c r="X12" i="46" s="1"/>
  <c r="X25" i="43"/>
  <c r="X25" i="46" s="1"/>
  <c r="X8" i="42"/>
  <c r="X140" i="41"/>
  <c r="X140" i="44" s="1"/>
  <c r="Y11" i="41"/>
  <c r="Y11" i="44" s="1"/>
  <c r="Y64" i="44"/>
  <c r="X60" i="44"/>
  <c r="X9" i="41"/>
  <c r="X67" i="44"/>
  <c r="X13" i="41"/>
  <c r="X13" i="44" s="1"/>
  <c r="AG57" i="41"/>
  <c r="AG57" i="44" s="1"/>
  <c r="AA57" i="44"/>
  <c r="X64" i="44"/>
  <c r="X11" i="41"/>
  <c r="X11" i="44" s="1"/>
  <c r="AC45" i="41"/>
  <c r="AC45" i="44" s="1"/>
  <c r="AC43" i="44"/>
  <c r="AG139" i="41"/>
  <c r="AG139" i="44" s="1"/>
  <c r="AB41" i="44"/>
  <c r="AA46" i="41"/>
  <c r="AA46" i="44" s="1"/>
  <c r="Y8" i="44"/>
  <c r="Y12" i="43"/>
  <c r="Y12" i="46" s="1"/>
  <c r="Y8" i="42"/>
  <c r="Y140" i="41"/>
  <c r="Y140" i="44" s="1"/>
  <c r="Y25" i="43"/>
  <c r="Y25" i="46" s="1"/>
  <c r="Z45" i="44"/>
  <c r="Z46" i="41"/>
  <c r="Z46" i="44" s="1"/>
  <c r="Z5" i="41"/>
  <c r="Z62" i="41"/>
  <c r="Z59" i="41"/>
  <c r="AB45" i="41"/>
  <c r="AO55" i="45"/>
  <c r="AP55" i="42"/>
  <c r="AR55" i="42"/>
  <c r="AR55" i="45" s="1"/>
  <c r="AU54" i="42"/>
  <c r="AU54" i="45" s="1"/>
  <c r="AS55" i="42"/>
  <c r="AS55" i="45" s="1"/>
  <c r="AK40" i="42"/>
  <c r="AJ40" i="45"/>
  <c r="AK39" i="45"/>
  <c r="AM39" i="42"/>
  <c r="AL39" i="42"/>
  <c r="AL39" i="45" s="1"/>
  <c r="AN34" i="42"/>
  <c r="AM34" i="45"/>
  <c r="AN33" i="42"/>
  <c r="AM33" i="45"/>
  <c r="AK32" i="45"/>
  <c r="AL32" i="42"/>
  <c r="AL32" i="45" s="1"/>
  <c r="AM32" i="42"/>
  <c r="AK31" i="45"/>
  <c r="AL31" i="42"/>
  <c r="AL31" i="45" s="1"/>
  <c r="AM31" i="42"/>
  <c r="AM47" i="43" s="1"/>
  <c r="AM47" i="46" s="1"/>
  <c r="AK63" i="42"/>
  <c r="AK63" i="45" s="1"/>
  <c r="AK47" i="43"/>
  <c r="AK47" i="46" s="1"/>
  <c r="AK29" i="43"/>
  <c r="AK29" i="46" s="1"/>
  <c r="AJ8" i="43"/>
  <c r="AJ8" i="46" s="1"/>
  <c r="AJ16" i="45"/>
  <c r="AK26" i="42"/>
  <c r="AJ26" i="45"/>
  <c r="AN24" i="42"/>
  <c r="AM24" i="45"/>
  <c r="AK19" i="45"/>
  <c r="AL19" i="42"/>
  <c r="AL19" i="45" s="1"/>
  <c r="AM19" i="42"/>
  <c r="AK18" i="45"/>
  <c r="AM18" i="42"/>
  <c r="AL18" i="42"/>
  <c r="AL18" i="45" s="1"/>
  <c r="AK15" i="42"/>
  <c r="AJ15" i="45"/>
  <c r="AK53" i="43"/>
  <c r="AJ53" i="46"/>
  <c r="V72" i="41"/>
  <c r="V72" i="44" s="1"/>
  <c r="W71" i="41"/>
  <c r="AM26" i="41"/>
  <c r="AK26" i="44"/>
  <c r="W15" i="41"/>
  <c r="W9" i="44"/>
  <c r="V17" i="41"/>
  <c r="V17" i="44" s="1"/>
  <c r="V15" i="44"/>
  <c r="W56" i="43"/>
  <c r="W56" i="46" s="1"/>
  <c r="W25" i="46"/>
  <c r="V37" i="45"/>
  <c r="W15" i="43"/>
  <c r="W15" i="46" s="1"/>
  <c r="V15" i="46"/>
  <c r="AI58" i="43"/>
  <c r="AI58" i="46" s="1"/>
  <c r="AH58" i="46"/>
  <c r="AE153" i="44"/>
  <c r="AF153" i="41"/>
  <c r="AE155" i="41"/>
  <c r="AI136" i="44"/>
  <c r="AH50" i="41"/>
  <c r="AH50" i="44" s="1"/>
  <c r="AG50" i="41"/>
  <c r="AG50" i="44" s="1"/>
  <c r="AF52" i="41"/>
  <c r="AI56" i="42"/>
  <c r="AI56" i="45" s="1"/>
  <c r="AE6" i="41"/>
  <c r="AE6" i="44" s="1"/>
  <c r="AA64" i="41"/>
  <c r="AA64" i="44" s="1"/>
  <c r="AA67" i="41"/>
  <c r="AA60" i="41"/>
  <c r="AA60" i="44" s="1"/>
  <c r="AK19" i="43"/>
  <c r="AL27" i="42"/>
  <c r="AL27" i="45" s="1"/>
  <c r="AM27" i="42"/>
  <c r="AM27" i="45" s="1"/>
  <c r="AK16" i="42"/>
  <c r="AK16" i="45" s="1"/>
  <c r="AN119" i="41"/>
  <c r="AN119" i="44" s="1"/>
  <c r="AM16" i="41"/>
  <c r="AM16" i="44" s="1"/>
  <c r="U40" i="43"/>
  <c r="U41" i="43" s="1"/>
  <c r="T6" i="42"/>
  <c r="AN165" i="41"/>
  <c r="AN165" i="44" s="1"/>
  <c r="AM168" i="41"/>
  <c r="AK136" i="41"/>
  <c r="AK35" i="41"/>
  <c r="AL16" i="41"/>
  <c r="AL16" i="44" s="1"/>
  <c r="AM69" i="41"/>
  <c r="AM69" i="44" s="1"/>
  <c r="S46" i="43"/>
  <c r="S48" i="43" s="1"/>
  <c r="S11" i="42"/>
  <c r="S20" i="42" s="1"/>
  <c r="S144" i="41"/>
  <c r="AK18" i="41"/>
  <c r="AJ10" i="43"/>
  <c r="AL9" i="43"/>
  <c r="AL9" i="46" s="1"/>
  <c r="AP163" i="41"/>
  <c r="AP163" i="44" s="1"/>
  <c r="AJ17" i="43"/>
  <c r="AJ17" i="46" s="1"/>
  <c r="AK10" i="42"/>
  <c r="AK10" i="45" s="1"/>
  <c r="AL69" i="41"/>
  <c r="AL69" i="44" s="1"/>
  <c r="AF74" i="41"/>
  <c r="AF74" i="44" s="1"/>
  <c r="AE90" i="41"/>
  <c r="AE90" i="44" s="1"/>
  <c r="O53" i="42"/>
  <c r="O43" i="42"/>
  <c r="Q46" i="43"/>
  <c r="Q48" i="43" s="1"/>
  <c r="R6" i="42"/>
  <c r="Q11" i="42"/>
  <c r="Q20" i="42" s="1"/>
  <c r="Q144" i="41"/>
  <c r="W14" i="42"/>
  <c r="AI85" i="41"/>
  <c r="AJ83" i="41"/>
  <c r="AJ83" i="44" s="1"/>
  <c r="AK13" i="42"/>
  <c r="AK13" i="45" s="1"/>
  <c r="AE76" i="41"/>
  <c r="X35" i="43"/>
  <c r="X35" i="46" s="1"/>
  <c r="W35" i="43"/>
  <c r="V37" i="43"/>
  <c r="V37" i="46" s="1"/>
  <c r="W22" i="42"/>
  <c r="V30" i="42"/>
  <c r="AC133" i="41"/>
  <c r="AC46" i="41"/>
  <c r="AC46" i="44" s="1"/>
  <c r="AC5" i="41"/>
  <c r="AC5" i="44" s="1"/>
  <c r="AC133" i="44" s="1"/>
  <c r="AC62" i="41"/>
  <c r="AC62" i="44" s="1"/>
  <c r="AC59" i="41"/>
  <c r="AC59" i="44" s="1"/>
  <c r="P46" i="43"/>
  <c r="P48" i="43" s="1"/>
  <c r="P144" i="41"/>
  <c r="P11" i="42"/>
  <c r="P20" i="42" s="1"/>
  <c r="AK21" i="43"/>
  <c r="AL23" i="42"/>
  <c r="AL23" i="45" s="1"/>
  <c r="AM23" i="42"/>
  <c r="AM23" i="45" s="1"/>
  <c r="W9" i="42"/>
  <c r="W9" i="45" s="1"/>
  <c r="AJ20" i="43"/>
  <c r="AK25" i="42"/>
  <c r="AN28" i="42"/>
  <c r="AN28" i="45" s="1"/>
  <c r="AD41" i="41"/>
  <c r="AD41" i="44" s="1"/>
  <c r="AC57" i="41"/>
  <c r="AC57" i="44" s="1"/>
  <c r="AD22" i="36"/>
  <c r="AA56" i="38"/>
  <c r="AB47" i="39"/>
  <c r="AC47" i="39"/>
  <c r="AC29" i="39"/>
  <c r="AD28" i="38"/>
  <c r="AC63" i="38"/>
  <c r="AB29" i="39"/>
  <c r="M41" i="39"/>
  <c r="I41" i="39"/>
  <c r="F46" i="39"/>
  <c r="F48" i="39" s="1"/>
  <c r="F11" i="38"/>
  <c r="F20" i="38" s="1"/>
  <c r="AU48" i="38"/>
  <c r="G46" i="39"/>
  <c r="G48" i="39" s="1"/>
  <c r="H6" i="38"/>
  <c r="G11" i="38"/>
  <c r="G20" i="38" s="1"/>
  <c r="AD13" i="38"/>
  <c r="AD19" i="39"/>
  <c r="AE27" i="38"/>
  <c r="AF54" i="38"/>
  <c r="AA20" i="39"/>
  <c r="AC25" i="38"/>
  <c r="AB25" i="38"/>
  <c r="AB20" i="39"/>
  <c r="AD17" i="39"/>
  <c r="AE10" i="38"/>
  <c r="AP56" i="39"/>
  <c r="E53" i="38"/>
  <c r="E43" i="38"/>
  <c r="AH54" i="38"/>
  <c r="AC21" i="39"/>
  <c r="AD23" i="38"/>
  <c r="AE16" i="38"/>
  <c r="AE8" i="39" s="1"/>
  <c r="AF55" i="38"/>
  <c r="AC141" i="48" l="1"/>
  <c r="AC141" i="53" s="1"/>
  <c r="AD72" i="48"/>
  <c r="AD72" i="53" s="1"/>
  <c r="AL46" i="48"/>
  <c r="AL46" i="53" s="1"/>
  <c r="AE99" i="48"/>
  <c r="AD99" i="53"/>
  <c r="AD103" i="48"/>
  <c r="AD130" i="53"/>
  <c r="AD12" i="48"/>
  <c r="AE14" i="49"/>
  <c r="AE14" i="54" s="1"/>
  <c r="AE66" i="48"/>
  <c r="AG18" i="50"/>
  <c r="AG18" i="55" s="1"/>
  <c r="AF18" i="55"/>
  <c r="AF35" i="49"/>
  <c r="AF35" i="54" s="1"/>
  <c r="AF30" i="54"/>
  <c r="AG16" i="50"/>
  <c r="AG16" i="55" s="1"/>
  <c r="AF16" i="55"/>
  <c r="AG30" i="49"/>
  <c r="AG22" i="54"/>
  <c r="AL62" i="48"/>
  <c r="AL63" i="48" s="1"/>
  <c r="AL63" i="53" s="1"/>
  <c r="X6" i="50"/>
  <c r="X6" i="55" s="1"/>
  <c r="AE12" i="48"/>
  <c r="AE12" i="53" s="1"/>
  <c r="AG35" i="50"/>
  <c r="AG37" i="50" s="1"/>
  <c r="AG37" i="55" s="1"/>
  <c r="AA19" i="53"/>
  <c r="AA142" i="48"/>
  <c r="AA142" i="53" s="1"/>
  <c r="AE130" i="48"/>
  <c r="AH16" i="50"/>
  <c r="AH16" i="55" s="1"/>
  <c r="AH9" i="54"/>
  <c r="AD15" i="48"/>
  <c r="AD12" i="53"/>
  <c r="X34" i="48"/>
  <c r="X29" i="53"/>
  <c r="AH15" i="50"/>
  <c r="AH15" i="55" s="1"/>
  <c r="AH8" i="54"/>
  <c r="AB19" i="53"/>
  <c r="AB65" i="49"/>
  <c r="AB142" i="48"/>
  <c r="AB142" i="53" s="1"/>
  <c r="AC17" i="53"/>
  <c r="AC137" i="48"/>
  <c r="AC137" i="53" s="1"/>
  <c r="AQ87" i="48"/>
  <c r="AQ87" i="53" s="1"/>
  <c r="AN134" i="48"/>
  <c r="AN134" i="53" s="1"/>
  <c r="AP30" i="48"/>
  <c r="AT33" i="50"/>
  <c r="AU9" i="50"/>
  <c r="AV16" i="48"/>
  <c r="AP31" i="48"/>
  <c r="AR31" i="48" s="1"/>
  <c r="AR85" i="48"/>
  <c r="AR87" i="48" s="1"/>
  <c r="AR87" i="53" s="1"/>
  <c r="AS83" i="48"/>
  <c r="AP52" i="48"/>
  <c r="AP54" i="48" s="1"/>
  <c r="AP54" i="53" s="1"/>
  <c r="AR50" i="48"/>
  <c r="AQ50" i="48"/>
  <c r="AK64" i="48"/>
  <c r="AK64" i="53" s="1"/>
  <c r="AK60" i="48"/>
  <c r="AK60" i="53" s="1"/>
  <c r="AK67" i="48"/>
  <c r="AK67" i="53" s="1"/>
  <c r="AO6" i="48"/>
  <c r="AO6" i="53" s="1"/>
  <c r="AL59" i="48"/>
  <c r="AL59" i="53" s="1"/>
  <c r="AU17" i="50"/>
  <c r="AV17" i="50" s="1"/>
  <c r="AV10" i="49"/>
  <c r="AU21" i="50"/>
  <c r="AV23" i="49"/>
  <c r="AS153" i="48"/>
  <c r="AR155" i="48"/>
  <c r="AV21" i="50"/>
  <c r="AK79" i="48"/>
  <c r="AK95" i="48"/>
  <c r="AL95" i="48" s="1"/>
  <c r="AL96" i="48" s="1"/>
  <c r="AK92" i="48"/>
  <c r="AL78" i="48"/>
  <c r="AL79" i="48" s="1"/>
  <c r="AF7" i="50"/>
  <c r="AF7" i="55" s="1"/>
  <c r="AQ155" i="48"/>
  <c r="AK5" i="48"/>
  <c r="AK5" i="53" s="1"/>
  <c r="AF37" i="49"/>
  <c r="AF37" i="54" s="1"/>
  <c r="AJ100" i="48"/>
  <c r="AJ93" i="48"/>
  <c r="AJ97" i="48"/>
  <c r="AL92" i="48"/>
  <c r="AL82" i="48" s="1"/>
  <c r="AL64" i="50"/>
  <c r="AQ57" i="48"/>
  <c r="AU19" i="50"/>
  <c r="AV19" i="50" s="1"/>
  <c r="AV27" i="49"/>
  <c r="AU16" i="49"/>
  <c r="AM79" i="48"/>
  <c r="AM79" i="53" s="1"/>
  <c r="AM95" i="48"/>
  <c r="AM95" i="53" s="1"/>
  <c r="AM92" i="48"/>
  <c r="AM92" i="53" s="1"/>
  <c r="AV22" i="48"/>
  <c r="AR20" i="50"/>
  <c r="AS25" i="49"/>
  <c r="AF53" i="49"/>
  <c r="AV14" i="48"/>
  <c r="AT47" i="50"/>
  <c r="AT29" i="50"/>
  <c r="AT63" i="49"/>
  <c r="AU28" i="49"/>
  <c r="AU22" i="48"/>
  <c r="AN41" i="48"/>
  <c r="AN43" i="48"/>
  <c r="AN45" i="48" s="1"/>
  <c r="AN45" i="53" s="1"/>
  <c r="AM57" i="48"/>
  <c r="AH35" i="50"/>
  <c r="AH35" i="55" s="1"/>
  <c r="AF37" i="50"/>
  <c r="AF37" i="55" s="1"/>
  <c r="AJ9" i="48"/>
  <c r="AJ9" i="53" s="1"/>
  <c r="AN74" i="48"/>
  <c r="AN76" i="48"/>
  <c r="AN78" i="48" s="1"/>
  <c r="AN78" i="53" s="1"/>
  <c r="AM90" i="48"/>
  <c r="AM43" i="48"/>
  <c r="AM45" i="48" s="1"/>
  <c r="AM45" i="53" s="1"/>
  <c r="AI9" i="49"/>
  <c r="AI22" i="49"/>
  <c r="AI22" i="54" s="1"/>
  <c r="AJ12" i="50"/>
  <c r="AJ12" i="55" s="1"/>
  <c r="AJ25" i="50"/>
  <c r="AJ25" i="55" s="1"/>
  <c r="AJ8" i="49"/>
  <c r="AJ140" i="48"/>
  <c r="AJ140" i="53" s="1"/>
  <c r="AH18" i="50"/>
  <c r="AH18" i="55" s="1"/>
  <c r="AH30" i="49"/>
  <c r="AC142" i="48"/>
  <c r="AC142" i="53" s="1"/>
  <c r="X32" i="48"/>
  <c r="X32" i="53" s="1"/>
  <c r="X33" i="48"/>
  <c r="AL29" i="43"/>
  <c r="AL29" i="46" s="1"/>
  <c r="AM63" i="42"/>
  <c r="AM63" i="45" s="1"/>
  <c r="AM29" i="43"/>
  <c r="AM29" i="46" s="1"/>
  <c r="AL67" i="42"/>
  <c r="AL67" i="45" s="1"/>
  <c r="AL120" i="41"/>
  <c r="AL120" i="44" s="1"/>
  <c r="AK172" i="41"/>
  <c r="AK28" i="41" s="1"/>
  <c r="Y22" i="42"/>
  <c r="Y22" i="45" s="1"/>
  <c r="Y9" i="42"/>
  <c r="AN173" i="41"/>
  <c r="AM173" i="44"/>
  <c r="AL18" i="41"/>
  <c r="AL18" i="44" s="1"/>
  <c r="AK18" i="44"/>
  <c r="AM170" i="41"/>
  <c r="AM170" i="44" s="1"/>
  <c r="AM168" i="44"/>
  <c r="AM117" i="44"/>
  <c r="AM118" i="41"/>
  <c r="AN117" i="41"/>
  <c r="AJ121" i="41"/>
  <c r="AJ121" i="44" s="1"/>
  <c r="AJ120" i="44"/>
  <c r="AK118" i="44"/>
  <c r="AK120" i="41"/>
  <c r="AM102" i="44"/>
  <c r="AN102" i="41"/>
  <c r="AK22" i="44"/>
  <c r="AL22" i="41"/>
  <c r="AL22" i="44" s="1"/>
  <c r="AN145" i="41"/>
  <c r="AM145" i="44"/>
  <c r="AL129" i="41"/>
  <c r="AL129" i="44" s="1"/>
  <c r="AK129" i="44"/>
  <c r="AM129" i="41"/>
  <c r="AM14" i="41" s="1"/>
  <c r="AM14" i="44" s="1"/>
  <c r="AK10" i="43"/>
  <c r="AK10" i="46" s="1"/>
  <c r="AK9" i="46"/>
  <c r="AL10" i="43"/>
  <c r="AL10" i="46" s="1"/>
  <c r="AJ10" i="46"/>
  <c r="AL14" i="41"/>
  <c r="AL14" i="44" s="1"/>
  <c r="AK14" i="44"/>
  <c r="AI87" i="41"/>
  <c r="AI87" i="44" s="1"/>
  <c r="AI85" i="44"/>
  <c r="AC97" i="41"/>
  <c r="AC97" i="44" s="1"/>
  <c r="AF76" i="41"/>
  <c r="AD92" i="41"/>
  <c r="AD92" i="44" s="1"/>
  <c r="AD79" i="41"/>
  <c r="AD79" i="44" s="1"/>
  <c r="AE78" i="41"/>
  <c r="AE78" i="44" s="1"/>
  <c r="AE76" i="44"/>
  <c r="AD95" i="41"/>
  <c r="AD95" i="44" s="1"/>
  <c r="AC93" i="41"/>
  <c r="AC93" i="44" s="1"/>
  <c r="AC100" i="41"/>
  <c r="AC100" i="44" s="1"/>
  <c r="AF54" i="41"/>
  <c r="AF54" i="44" s="1"/>
  <c r="AF52" i="44"/>
  <c r="AE134" i="44"/>
  <c r="X9" i="44"/>
  <c r="X22" i="42"/>
  <c r="X9" i="42"/>
  <c r="Y8" i="45"/>
  <c r="Y15" i="43"/>
  <c r="Y15" i="46" s="1"/>
  <c r="AA67" i="44"/>
  <c r="Y9" i="45"/>
  <c r="X15" i="43"/>
  <c r="X15" i="46" s="1"/>
  <c r="X8" i="45"/>
  <c r="Z5" i="44"/>
  <c r="Z133" i="44" s="1"/>
  <c r="Z8" i="41"/>
  <c r="Z133" i="41"/>
  <c r="Z62" i="44"/>
  <c r="AB62" i="41"/>
  <c r="Z10" i="41"/>
  <c r="AB46" i="41"/>
  <c r="AB46" i="44" s="1"/>
  <c r="AB45" i="44"/>
  <c r="Z59" i="44"/>
  <c r="AB59" i="41"/>
  <c r="Z64" i="41"/>
  <c r="Z67" i="41"/>
  <c r="AB67" i="41" s="1"/>
  <c r="Z60" i="41"/>
  <c r="AB60" i="41" s="1"/>
  <c r="AB60" i="44" s="1"/>
  <c r="AP55" i="45"/>
  <c r="AJ56" i="42"/>
  <c r="AT55" i="42"/>
  <c r="AT55" i="45" s="1"/>
  <c r="AK40" i="45"/>
  <c r="AL40" i="42"/>
  <c r="AL40" i="45" s="1"/>
  <c r="AM40" i="42"/>
  <c r="AN39" i="42"/>
  <c r="AM39" i="45"/>
  <c r="AO34" i="42"/>
  <c r="AN34" i="45"/>
  <c r="AO33" i="42"/>
  <c r="AN33" i="45"/>
  <c r="AN32" i="42"/>
  <c r="AM32" i="45"/>
  <c r="AN31" i="42"/>
  <c r="AN29" i="43" s="1"/>
  <c r="AN29" i="46" s="1"/>
  <c r="AM31" i="45"/>
  <c r="AL47" i="43"/>
  <c r="AL47" i="46" s="1"/>
  <c r="AL19" i="43"/>
  <c r="AL19" i="46" s="1"/>
  <c r="AK19" i="46"/>
  <c r="AK26" i="45"/>
  <c r="AL26" i="42"/>
  <c r="AL26" i="45" s="1"/>
  <c r="AM26" i="42"/>
  <c r="AO24" i="42"/>
  <c r="AN24" i="45"/>
  <c r="AL21" i="43"/>
  <c r="AL21" i="46" s="1"/>
  <c r="AK21" i="46"/>
  <c r="AN19" i="42"/>
  <c r="AM19" i="45"/>
  <c r="AN18" i="42"/>
  <c r="AM18" i="45"/>
  <c r="AK15" i="45"/>
  <c r="AM15" i="42"/>
  <c r="AL15" i="42"/>
  <c r="AL15" i="45" s="1"/>
  <c r="AM53" i="43"/>
  <c r="AK53" i="46"/>
  <c r="W72" i="41"/>
  <c r="W72" i="44" s="1"/>
  <c r="W71" i="44"/>
  <c r="AM26" i="44"/>
  <c r="AN26" i="41"/>
  <c r="V19" i="41"/>
  <c r="W16" i="43"/>
  <c r="W16" i="46" s="1"/>
  <c r="V16" i="46"/>
  <c r="W18" i="43"/>
  <c r="W18" i="46" s="1"/>
  <c r="V18" i="46"/>
  <c r="W30" i="42"/>
  <c r="W22" i="45"/>
  <c r="V141" i="41"/>
  <c r="V141" i="44" s="1"/>
  <c r="V35" i="42"/>
  <c r="V35" i="45" s="1"/>
  <c r="V30" i="45"/>
  <c r="W17" i="41"/>
  <c r="W15" i="44"/>
  <c r="W37" i="42"/>
  <c r="W37" i="45" s="1"/>
  <c r="W37" i="43"/>
  <c r="W37" i="46" s="1"/>
  <c r="W35" i="46"/>
  <c r="X7" i="43"/>
  <c r="X127" i="41" s="1"/>
  <c r="X127" i="44" s="1"/>
  <c r="W14" i="45"/>
  <c r="X37" i="42"/>
  <c r="X37" i="45" s="1"/>
  <c r="AE155" i="44"/>
  <c r="AE30" i="41"/>
  <c r="AE31" i="41"/>
  <c r="AF155" i="41"/>
  <c r="AF155" i="44" s="1"/>
  <c r="AF153" i="44"/>
  <c r="AL35" i="41"/>
  <c r="AL35" i="44" s="1"/>
  <c r="AK35" i="44"/>
  <c r="AK136" i="44"/>
  <c r="AJ136" i="44"/>
  <c r="AH153" i="41"/>
  <c r="AH153" i="44" s="1"/>
  <c r="AM9" i="43"/>
  <c r="AM9" i="46" s="1"/>
  <c r="AH52" i="41"/>
  <c r="AI50" i="41"/>
  <c r="AI50" i="44" s="1"/>
  <c r="AE41" i="41"/>
  <c r="AE41" i="44" s="1"/>
  <c r="AD57" i="41"/>
  <c r="AD57" i="44" s="1"/>
  <c r="AH74" i="41"/>
  <c r="AH74" i="44" s="1"/>
  <c r="AH76" i="41"/>
  <c r="AG74" i="41"/>
  <c r="AG74" i="44" s="1"/>
  <c r="AF90" i="41"/>
  <c r="AM136" i="41"/>
  <c r="S53" i="42"/>
  <c r="S43" i="42"/>
  <c r="AO119" i="41"/>
  <c r="AO119" i="44" s="1"/>
  <c r="AN16" i="41"/>
  <c r="AN136" i="41"/>
  <c r="AD93" i="41"/>
  <c r="AD93" i="44" s="1"/>
  <c r="AD100" i="41"/>
  <c r="AD100" i="44" s="1"/>
  <c r="AD97" i="41"/>
  <c r="AD97" i="44" s="1"/>
  <c r="P53" i="42"/>
  <c r="P43" i="42"/>
  <c r="AK17" i="43"/>
  <c r="AK17" i="46" s="1"/>
  <c r="AM10" i="42"/>
  <c r="AM10" i="45" s="1"/>
  <c r="AL10" i="42"/>
  <c r="AL10" i="45" s="1"/>
  <c r="AN69" i="41"/>
  <c r="AN69" i="44" s="1"/>
  <c r="AF6" i="41"/>
  <c r="AK83" i="41"/>
  <c r="AK83" i="44" s="1"/>
  <c r="AJ85" i="41"/>
  <c r="AO28" i="42"/>
  <c r="AO28" i="45" s="1"/>
  <c r="AN63" i="42"/>
  <c r="AN63" i="45" s="1"/>
  <c r="AE134" i="41"/>
  <c r="V40" i="43"/>
  <c r="U6" i="42"/>
  <c r="AD43" i="41"/>
  <c r="Q53" i="42"/>
  <c r="Q43" i="42"/>
  <c r="AE79" i="41"/>
  <c r="AE79" i="44" s="1"/>
  <c r="AE95" i="41"/>
  <c r="AE95" i="44" s="1"/>
  <c r="AE92" i="41"/>
  <c r="AM13" i="42"/>
  <c r="AM13" i="45" s="1"/>
  <c r="AL13" i="42"/>
  <c r="AL13" i="45" s="1"/>
  <c r="AC10" i="41"/>
  <c r="AC10" i="44" s="1"/>
  <c r="Y35" i="43"/>
  <c r="Y35" i="46" s="1"/>
  <c r="X37" i="43"/>
  <c r="X37" i="46" s="1"/>
  <c r="R46" i="43"/>
  <c r="R48" i="43" s="1"/>
  <c r="R11" i="42"/>
  <c r="R20" i="42" s="1"/>
  <c r="R43" i="42" s="1"/>
  <c r="AR163" i="41"/>
  <c r="AR163" i="44" s="1"/>
  <c r="Y30" i="42"/>
  <c r="AG54" i="41"/>
  <c r="AG54" i="44" s="1"/>
  <c r="AC64" i="41"/>
  <c r="AC64" i="44" s="1"/>
  <c r="AC67" i="41"/>
  <c r="AC67" i="44" s="1"/>
  <c r="AC60" i="41"/>
  <c r="AC60" i="44" s="1"/>
  <c r="AK20" i="43"/>
  <c r="AL20" i="43" s="1"/>
  <c r="AM25" i="42"/>
  <c r="AL25" i="42"/>
  <c r="AC8" i="41"/>
  <c r="AC8" i="44" s="1"/>
  <c r="AK8" i="43"/>
  <c r="AL16" i="42"/>
  <c r="AL16" i="45" s="1"/>
  <c r="AM19" i="43"/>
  <c r="AM19" i="46" s="1"/>
  <c r="AN27" i="42"/>
  <c r="AN27" i="45" s="1"/>
  <c r="AM16" i="42"/>
  <c r="AM21" i="43"/>
  <c r="AM21" i="46" s="1"/>
  <c r="AN23" i="42"/>
  <c r="AN23" i="45" s="1"/>
  <c r="AM35" i="41"/>
  <c r="AM35" i="44" s="1"/>
  <c r="AO165" i="41"/>
  <c r="AO165" i="44" s="1"/>
  <c r="AN168" i="41"/>
  <c r="T46" i="43"/>
  <c r="T48" i="43" s="1"/>
  <c r="T144" i="41"/>
  <c r="T11" i="42"/>
  <c r="T20" i="42" s="1"/>
  <c r="AE22" i="36"/>
  <c r="AE17" i="39"/>
  <c r="AF10" i="38"/>
  <c r="G53" i="38"/>
  <c r="G43" i="38"/>
  <c r="H46" i="39"/>
  <c r="H48" i="39" s="1"/>
  <c r="H11" i="38"/>
  <c r="H20" i="38" s="1"/>
  <c r="AD47" i="39"/>
  <c r="AD29" i="39"/>
  <c r="AE28" i="38"/>
  <c r="AD63" i="38"/>
  <c r="AH55" i="38"/>
  <c r="AI55" i="38" s="1"/>
  <c r="AD21" i="39"/>
  <c r="AE23" i="38"/>
  <c r="AC20" i="39"/>
  <c r="AD25" i="38"/>
  <c r="F53" i="38"/>
  <c r="F43" i="38"/>
  <c r="AR56" i="39"/>
  <c r="AS56" i="39" s="1"/>
  <c r="J40" i="39"/>
  <c r="J41" i="39" s="1"/>
  <c r="I6" i="38"/>
  <c r="I144" i="36" s="1"/>
  <c r="AI54" i="38"/>
  <c r="N40" i="39"/>
  <c r="R40" i="39"/>
  <c r="AC56" i="38"/>
  <c r="AE13" i="38"/>
  <c r="AE19" i="39"/>
  <c r="AF27" i="38"/>
  <c r="X22" i="50" l="1"/>
  <c r="X22" i="55" s="1"/>
  <c r="X38" i="49"/>
  <c r="X38" i="54" s="1"/>
  <c r="AL62" i="53"/>
  <c r="AE66" i="53"/>
  <c r="AE70" i="48"/>
  <c r="AD105" i="48"/>
  <c r="AD103" i="53"/>
  <c r="AE99" i="53"/>
  <c r="AE103" i="48"/>
  <c r="AG35" i="49"/>
  <c r="AG35" i="54" s="1"/>
  <c r="AG30" i="54"/>
  <c r="AG35" i="55"/>
  <c r="AJ15" i="50"/>
  <c r="AJ15" i="55" s="1"/>
  <c r="AJ8" i="54"/>
  <c r="AI16" i="50"/>
  <c r="AI16" i="55" s="1"/>
  <c r="AI9" i="54"/>
  <c r="AE15" i="48"/>
  <c r="AE17" i="48" s="1"/>
  <c r="AF14" i="49"/>
  <c r="AF14" i="54" s="1"/>
  <c r="AH35" i="49"/>
  <c r="AH35" i="54" s="1"/>
  <c r="AH30" i="54"/>
  <c r="AE131" i="48"/>
  <c r="AE131" i="53" s="1"/>
  <c r="AE130" i="53"/>
  <c r="X147" i="48"/>
  <c r="X147" i="53" s="1"/>
  <c r="X34" i="53"/>
  <c r="AD17" i="48"/>
  <c r="AD15" i="53"/>
  <c r="X146" i="48"/>
  <c r="X146" i="53" s="1"/>
  <c r="X33" i="53"/>
  <c r="AB64" i="49"/>
  <c r="AB64" i="54" s="1"/>
  <c r="AB65" i="54"/>
  <c r="AK100" i="48"/>
  <c r="AK97" i="48"/>
  <c r="AK93" i="48"/>
  <c r="AP6" i="48"/>
  <c r="X41" i="49"/>
  <c r="X41" i="54" s="1"/>
  <c r="AO74" i="48"/>
  <c r="AO76" i="48" s="1"/>
  <c r="AO78" i="48" s="1"/>
  <c r="AO78" i="53" s="1"/>
  <c r="AN90" i="48"/>
  <c r="AS20" i="50"/>
  <c r="AT25" i="49"/>
  <c r="AJ9" i="49"/>
  <c r="AJ22" i="49"/>
  <c r="AJ22" i="54" s="1"/>
  <c r="AL100" i="48"/>
  <c r="AL101" i="48" s="1"/>
  <c r="AQ54" i="48"/>
  <c r="AQ54" i="53" s="1"/>
  <c r="AH37" i="49"/>
  <c r="AH37" i="54" s="1"/>
  <c r="AG37" i="49"/>
  <c r="AG37" i="54" s="1"/>
  <c r="AU10" i="50"/>
  <c r="AV10" i="50" s="1"/>
  <c r="AV9" i="50"/>
  <c r="AL97" i="48"/>
  <c r="AL98" i="48" s="1"/>
  <c r="AK10" i="48"/>
  <c r="AI35" i="50"/>
  <c r="AI35" i="55" s="1"/>
  <c r="AH37" i="50"/>
  <c r="AH37" i="55" s="1"/>
  <c r="AT153" i="48"/>
  <c r="AS155" i="48"/>
  <c r="AS85" i="48"/>
  <c r="AS87" i="48" s="1"/>
  <c r="AS87" i="53" s="1"/>
  <c r="AT83" i="48"/>
  <c r="AM93" i="48"/>
  <c r="AM93" i="53" s="1"/>
  <c r="AM100" i="48"/>
  <c r="AM100" i="53" s="1"/>
  <c r="AM97" i="48"/>
  <c r="AM97" i="53" s="1"/>
  <c r="AK8" i="48"/>
  <c r="AK8" i="53" s="1"/>
  <c r="AL5" i="48"/>
  <c r="AO134" i="48"/>
  <c r="AO134" i="53" s="1"/>
  <c r="AN46" i="48"/>
  <c r="AN46" i="53" s="1"/>
  <c r="AN5" i="48"/>
  <c r="AN62" i="48"/>
  <c r="AN62" i="53" s="1"/>
  <c r="AN59" i="48"/>
  <c r="AN59" i="53" s="1"/>
  <c r="AK13" i="48"/>
  <c r="AK13" i="53" s="1"/>
  <c r="AL67" i="48"/>
  <c r="AT57" i="50"/>
  <c r="AO41" i="48"/>
  <c r="AO43" i="48" s="1"/>
  <c r="AO45" i="48" s="1"/>
  <c r="AO45" i="53" s="1"/>
  <c r="AN57" i="48"/>
  <c r="AK9" i="48"/>
  <c r="AK9" i="53" s="1"/>
  <c r="AR30" i="48"/>
  <c r="AS30" i="48" s="1"/>
  <c r="AU33" i="50"/>
  <c r="AU57" i="50" s="1"/>
  <c r="AG7" i="50"/>
  <c r="AG7" i="55" s="1"/>
  <c r="AF99" i="48"/>
  <c r="AF99" i="53" s="1"/>
  <c r="AF127" i="48"/>
  <c r="AF127" i="53" s="1"/>
  <c r="AF66" i="48"/>
  <c r="AF66" i="53" s="1"/>
  <c r="AJ11" i="48"/>
  <c r="AJ11" i="53" s="1"/>
  <c r="AK11" i="48"/>
  <c r="AK11" i="53" s="1"/>
  <c r="AL64" i="48"/>
  <c r="AL60" i="48"/>
  <c r="AL60" i="53" s="1"/>
  <c r="AV16" i="49"/>
  <c r="AU8" i="50"/>
  <c r="AV8" i="50" s="1"/>
  <c r="AH53" i="49"/>
  <c r="AN79" i="48"/>
  <c r="AN79" i="53" s="1"/>
  <c r="AN95" i="48"/>
  <c r="AN95" i="53" s="1"/>
  <c r="AN92" i="48"/>
  <c r="AN92" i="53" s="1"/>
  <c r="AI18" i="50"/>
  <c r="AI18" i="55" s="1"/>
  <c r="AI30" i="49"/>
  <c r="AU47" i="50"/>
  <c r="AU29" i="50"/>
  <c r="AU63" i="49"/>
  <c r="AV28" i="49"/>
  <c r="AK133" i="48"/>
  <c r="AK133" i="53" s="1"/>
  <c r="X55" i="50"/>
  <c r="AM46" i="48"/>
  <c r="AM46" i="53" s="1"/>
  <c r="AM5" i="48"/>
  <c r="AM5" i="53" s="1"/>
  <c r="AM62" i="48"/>
  <c r="AM62" i="53" s="1"/>
  <c r="AM59" i="48"/>
  <c r="AM59" i="53" s="1"/>
  <c r="AV29" i="50"/>
  <c r="AJ13" i="48"/>
  <c r="AJ13" i="53" s="1"/>
  <c r="AR52" i="48"/>
  <c r="AR54" i="48" s="1"/>
  <c r="AR54" i="53" s="1"/>
  <c r="AS50" i="48"/>
  <c r="Y18" i="43"/>
  <c r="Y18" i="46" s="1"/>
  <c r="Y16" i="43"/>
  <c r="Y16" i="46" s="1"/>
  <c r="AN47" i="43"/>
  <c r="AN47" i="46" s="1"/>
  <c r="AL121" i="41"/>
  <c r="AL121" i="44" s="1"/>
  <c r="AK172" i="44"/>
  <c r="AM18" i="41"/>
  <c r="AM18" i="44" s="1"/>
  <c r="AM172" i="41"/>
  <c r="AO173" i="41"/>
  <c r="AN173" i="44"/>
  <c r="AK28" i="44"/>
  <c r="AL28" i="41"/>
  <c r="AL28" i="44" s="1"/>
  <c r="AN170" i="41"/>
  <c r="AN170" i="44" s="1"/>
  <c r="AN168" i="44"/>
  <c r="AM28" i="41"/>
  <c r="AM28" i="44" s="1"/>
  <c r="AM172" i="44"/>
  <c r="AN102" i="44"/>
  <c r="AO102" i="41"/>
  <c r="V19" i="44"/>
  <c r="V142" i="41"/>
  <c r="V142" i="44" s="1"/>
  <c r="AK120" i="44"/>
  <c r="AK121" i="41"/>
  <c r="AK121" i="44" s="1"/>
  <c r="AN118" i="41"/>
  <c r="AN117" i="44"/>
  <c r="AO117" i="41"/>
  <c r="AM118" i="44"/>
  <c r="AM120" i="41"/>
  <c r="AO145" i="41"/>
  <c r="AN145" i="44"/>
  <c r="AN22" i="41"/>
  <c r="AN22" i="44" s="1"/>
  <c r="AM129" i="44"/>
  <c r="AN129" i="41"/>
  <c r="AN14" i="41" s="1"/>
  <c r="AN14" i="44" s="1"/>
  <c r="AN9" i="43"/>
  <c r="AN16" i="44"/>
  <c r="AJ87" i="41"/>
  <c r="AJ87" i="44" s="1"/>
  <c r="AJ85" i="44"/>
  <c r="AH78" i="41"/>
  <c r="AH78" i="44" s="1"/>
  <c r="AH76" i="44"/>
  <c r="AL90" i="41"/>
  <c r="AL90" i="44" s="1"/>
  <c r="AF90" i="44"/>
  <c r="AE92" i="44"/>
  <c r="AF76" i="44"/>
  <c r="AH54" i="41"/>
  <c r="AH54" i="44" s="1"/>
  <c r="AH52" i="44"/>
  <c r="AF134" i="41"/>
  <c r="AF6" i="44"/>
  <c r="AG6" i="41"/>
  <c r="AG6" i="44" s="1"/>
  <c r="AF134" i="44"/>
  <c r="Z60" i="44"/>
  <c r="Z9" i="41"/>
  <c r="Z13" i="41"/>
  <c r="Z13" i="44" s="1"/>
  <c r="Z67" i="44"/>
  <c r="Z11" i="41"/>
  <c r="Z11" i="44" s="1"/>
  <c r="Z64" i="44"/>
  <c r="AB47" i="41"/>
  <c r="AB47" i="44" s="1"/>
  <c r="AB59" i="44"/>
  <c r="AB68" i="41"/>
  <c r="AB68" i="44" s="1"/>
  <c r="AB67" i="44"/>
  <c r="AD45" i="41"/>
  <c r="AD45" i="44" s="1"/>
  <c r="AD43" i="44"/>
  <c r="Z10" i="44"/>
  <c r="AB63" i="41"/>
  <c r="AB63" i="44" s="1"/>
  <c r="AB62" i="44"/>
  <c r="X9" i="45"/>
  <c r="X16" i="43"/>
  <c r="X16" i="46" s="1"/>
  <c r="Z8" i="44"/>
  <c r="Z25" i="43"/>
  <c r="Z12" i="43"/>
  <c r="Z140" i="41"/>
  <c r="Z140" i="44" s="1"/>
  <c r="Z8" i="42"/>
  <c r="AE43" i="41"/>
  <c r="X22" i="45"/>
  <c r="X30" i="42"/>
  <c r="X18" i="43"/>
  <c r="X18" i="46" s="1"/>
  <c r="AB64" i="41"/>
  <c r="X66" i="41"/>
  <c r="X66" i="44" s="1"/>
  <c r="AJ56" i="45"/>
  <c r="AK56" i="42"/>
  <c r="X99" i="41"/>
  <c r="X99" i="44" s="1"/>
  <c r="AU55" i="42"/>
  <c r="AU55" i="45" s="1"/>
  <c r="AN40" i="42"/>
  <c r="AM40" i="45"/>
  <c r="AO39" i="42"/>
  <c r="AN39" i="45"/>
  <c r="AP34" i="42"/>
  <c r="AO34" i="45"/>
  <c r="AP33" i="42"/>
  <c r="AO33" i="45"/>
  <c r="AO32" i="42"/>
  <c r="AN32" i="45"/>
  <c r="AO31" i="42"/>
  <c r="AN31" i="45"/>
  <c r="AL8" i="43"/>
  <c r="AL8" i="46" s="1"/>
  <c r="AK8" i="46"/>
  <c r="AM8" i="43"/>
  <c r="AM8" i="46" s="1"/>
  <c r="AM16" i="45"/>
  <c r="AN26" i="42"/>
  <c r="AM26" i="45"/>
  <c r="AP24" i="42"/>
  <c r="AO24" i="45"/>
  <c r="Y35" i="42"/>
  <c r="Y35" i="45" s="1"/>
  <c r="Y30" i="45"/>
  <c r="AO19" i="42"/>
  <c r="AN19" i="45"/>
  <c r="AO18" i="42"/>
  <c r="AN18" i="45"/>
  <c r="AN15" i="42"/>
  <c r="AM15" i="45"/>
  <c r="AL17" i="43"/>
  <c r="AL17" i="46" s="1"/>
  <c r="AN53" i="43"/>
  <c r="AM53" i="46"/>
  <c r="AO26" i="41"/>
  <c r="AN26" i="44"/>
  <c r="W17" i="44"/>
  <c r="W19" i="41"/>
  <c r="W141" i="41"/>
  <c r="W141" i="44" s="1"/>
  <c r="W35" i="42"/>
  <c r="W35" i="45" s="1"/>
  <c r="W30" i="45"/>
  <c r="X14" i="42"/>
  <c r="X7" i="46"/>
  <c r="AG155" i="41"/>
  <c r="AG155" i="44" s="1"/>
  <c r="AE30" i="44"/>
  <c r="AF30" i="41"/>
  <c r="AJ33" i="43"/>
  <c r="AF31" i="41"/>
  <c r="AF31" i="44" s="1"/>
  <c r="AE31" i="44"/>
  <c r="AH6" i="41"/>
  <c r="AH6" i="44" s="1"/>
  <c r="AH134" i="44" s="1"/>
  <c r="AO47" i="43"/>
  <c r="AO47" i="46" s="1"/>
  <c r="AO29" i="43"/>
  <c r="AO29" i="46" s="1"/>
  <c r="AO63" i="42"/>
  <c r="AO63" i="45" s="1"/>
  <c r="AP28" i="42"/>
  <c r="AP28" i="45" s="1"/>
  <c r="AM10" i="43"/>
  <c r="AM10" i="46" s="1"/>
  <c r="X130" i="41"/>
  <c r="AO69" i="41"/>
  <c r="AO69" i="44" s="1"/>
  <c r="AP165" i="41"/>
  <c r="AP165" i="44" s="1"/>
  <c r="AO168" i="41"/>
  <c r="AD46" i="41"/>
  <c r="AD46" i="44" s="1"/>
  <c r="AD5" i="41"/>
  <c r="AD5" i="44" s="1"/>
  <c r="AD62" i="41"/>
  <c r="AD62" i="44" s="1"/>
  <c r="AD59" i="41"/>
  <c r="AD59" i="44" s="1"/>
  <c r="AN172" i="41"/>
  <c r="AN18" i="41"/>
  <c r="AN18" i="44" s="1"/>
  <c r="U46" i="43"/>
  <c r="U48" i="43" s="1"/>
  <c r="U144" i="41"/>
  <c r="X144" i="41" s="1"/>
  <c r="U11" i="42"/>
  <c r="U20" i="42" s="1"/>
  <c r="AL83" i="41"/>
  <c r="AL83" i="44" s="1"/>
  <c r="AK85" i="41"/>
  <c r="AM83" i="41"/>
  <c r="AM83" i="44" s="1"/>
  <c r="AM20" i="43"/>
  <c r="AN25" i="42"/>
  <c r="Y37" i="42"/>
  <c r="Y37" i="45" s="1"/>
  <c r="AM17" i="43"/>
  <c r="AM17" i="46" s="1"/>
  <c r="AN10" i="42"/>
  <c r="AN10" i="45" s="1"/>
  <c r="AB61" i="41"/>
  <c r="AB61" i="44" s="1"/>
  <c r="AN21" i="43"/>
  <c r="AN21" i="46" s="1"/>
  <c r="AO23" i="42"/>
  <c r="AO23" i="45" s="1"/>
  <c r="AH79" i="41"/>
  <c r="AH79" i="44" s="1"/>
  <c r="AH95" i="41"/>
  <c r="AH95" i="44" s="1"/>
  <c r="AH92" i="41"/>
  <c r="AH92" i="44" s="1"/>
  <c r="AC9" i="41"/>
  <c r="AC9" i="44" s="1"/>
  <c r="AN13" i="42"/>
  <c r="AN13" i="45" s="1"/>
  <c r="AI74" i="41"/>
  <c r="AI74" i="44" s="1"/>
  <c r="AI76" i="41"/>
  <c r="AH90" i="41"/>
  <c r="AH90" i="44" s="1"/>
  <c r="AN35" i="41"/>
  <c r="AN35" i="44" s="1"/>
  <c r="AC12" i="43"/>
  <c r="AC12" i="46" s="1"/>
  <c r="AC25" i="43"/>
  <c r="AC25" i="46" s="1"/>
  <c r="AC8" i="42"/>
  <c r="AC140" i="41"/>
  <c r="AC140" i="44" s="1"/>
  <c r="AC13" i="41"/>
  <c r="AC13" i="44" s="1"/>
  <c r="AC11" i="41"/>
  <c r="AC11" i="44" s="1"/>
  <c r="AP119" i="41"/>
  <c r="AP119" i="44" s="1"/>
  <c r="AO16" i="41"/>
  <c r="AQ119" i="41"/>
  <c r="AQ119" i="44" s="1"/>
  <c r="AF41" i="41"/>
  <c r="AE57" i="41"/>
  <c r="AE57" i="44" s="1"/>
  <c r="AE97" i="41"/>
  <c r="AE93" i="41"/>
  <c r="AE93" i="44" s="1"/>
  <c r="AE100" i="41"/>
  <c r="AI153" i="41"/>
  <c r="AI153" i="44" s="1"/>
  <c r="AH155" i="41"/>
  <c r="AH155" i="44" s="1"/>
  <c r="Z35" i="43"/>
  <c r="Z35" i="46" s="1"/>
  <c r="Y37" i="43"/>
  <c r="Y37" i="46" s="1"/>
  <c r="AO27" i="42"/>
  <c r="AO27" i="45" s="1"/>
  <c r="AN19" i="43"/>
  <c r="AN19" i="46" s="1"/>
  <c r="AN16" i="42"/>
  <c r="T53" i="42"/>
  <c r="T43" i="42"/>
  <c r="AS163" i="41"/>
  <c r="AS163" i="44" s="1"/>
  <c r="AJ50" i="41"/>
  <c r="AJ50" i="44" s="1"/>
  <c r="AI52" i="41"/>
  <c r="AF22" i="36"/>
  <c r="AJ55" i="38"/>
  <c r="I46" i="39"/>
  <c r="I48" i="39" s="1"/>
  <c r="I11" i="38"/>
  <c r="I20" i="38" s="1"/>
  <c r="AE29" i="39"/>
  <c r="AF28" i="38"/>
  <c r="AE63" i="38"/>
  <c r="AE47" i="39"/>
  <c r="H53" i="38"/>
  <c r="H43" i="38"/>
  <c r="AF13" i="38"/>
  <c r="AT56" i="39"/>
  <c r="AE21" i="39"/>
  <c r="AF23" i="38"/>
  <c r="AF19" i="39"/>
  <c r="AG19" i="39" s="1"/>
  <c r="AH27" i="38"/>
  <c r="AG27" i="38"/>
  <c r="R41" i="39"/>
  <c r="N41" i="39"/>
  <c r="AJ54" i="38"/>
  <c r="AF17" i="39"/>
  <c r="AG17" i="39" s="1"/>
  <c r="AH10" i="38"/>
  <c r="AG10" i="38"/>
  <c r="K40" i="39"/>
  <c r="K41" i="39" s="1"/>
  <c r="J6" i="38"/>
  <c r="J144" i="36" s="1"/>
  <c r="AD56" i="38"/>
  <c r="AH16" i="38"/>
  <c r="AF16" i="38"/>
  <c r="AD20" i="39"/>
  <c r="AE25" i="38"/>
  <c r="AK55" i="38"/>
  <c r="AE15" i="53" l="1"/>
  <c r="AD106" i="48"/>
  <c r="AD106" i="53" s="1"/>
  <c r="AD105" i="53"/>
  <c r="AG14" i="49"/>
  <c r="AH7" i="50" s="1"/>
  <c r="AE103" i="53"/>
  <c r="AE105" i="48"/>
  <c r="AE71" i="48"/>
  <c r="AE137" i="48" s="1"/>
  <c r="AE137" i="53" s="1"/>
  <c r="AE70" i="53"/>
  <c r="AI35" i="49"/>
  <c r="AI35" i="54" s="1"/>
  <c r="AI30" i="54"/>
  <c r="AL10" i="48"/>
  <c r="AL10" i="53" s="1"/>
  <c r="AK10" i="53"/>
  <c r="AJ16" i="50"/>
  <c r="AJ16" i="55" s="1"/>
  <c r="AJ9" i="54"/>
  <c r="AE17" i="53"/>
  <c r="AE141" i="48"/>
  <c r="AE141" i="53" s="1"/>
  <c r="AE19" i="48"/>
  <c r="AL8" i="48"/>
  <c r="AL8" i="53" s="1"/>
  <c r="AL5" i="53"/>
  <c r="AL68" i="48"/>
  <c r="AL68" i="53" s="1"/>
  <c r="AL67" i="53"/>
  <c r="X148" i="48"/>
  <c r="X148" i="53" s="1"/>
  <c r="X55" i="55"/>
  <c r="AL65" i="48"/>
  <c r="AL65" i="53" s="1"/>
  <c r="AL64" i="53"/>
  <c r="AD17" i="53"/>
  <c r="AD141" i="48"/>
  <c r="AD141" i="53" s="1"/>
  <c r="AD137" i="48"/>
  <c r="AD137" i="53" s="1"/>
  <c r="AD19" i="48"/>
  <c r="AQ6" i="48"/>
  <c r="AQ6" i="53" s="1"/>
  <c r="AP6" i="53"/>
  <c r="AN8" i="48"/>
  <c r="AN8" i="53" s="1"/>
  <c r="AN5" i="53"/>
  <c r="AO46" i="48"/>
  <c r="AO46" i="53" s="1"/>
  <c r="AO5" i="48"/>
  <c r="AO62" i="48"/>
  <c r="AO62" i="53" s="1"/>
  <c r="AO59" i="48"/>
  <c r="AO59" i="53" s="1"/>
  <c r="AV155" i="48"/>
  <c r="AO79" i="48"/>
  <c r="AO79" i="53" s="1"/>
  <c r="AO95" i="48"/>
  <c r="AO95" i="53" s="1"/>
  <c r="AO92" i="48"/>
  <c r="AO92" i="53" s="1"/>
  <c r="AQ78" i="48"/>
  <c r="AQ78" i="53" s="1"/>
  <c r="AF12" i="48"/>
  <c r="AF12" i="53" s="1"/>
  <c r="AF70" i="48"/>
  <c r="AG66" i="48"/>
  <c r="AM8" i="48"/>
  <c r="AM8" i="53" s="1"/>
  <c r="AN64" i="48"/>
  <c r="AN60" i="48"/>
  <c r="AN60" i="53" s="1"/>
  <c r="AN67" i="48"/>
  <c r="AS31" i="48"/>
  <c r="AT31" i="48" s="1"/>
  <c r="AU31" i="48" s="1"/>
  <c r="X42" i="49"/>
  <c r="X42" i="54" s="1"/>
  <c r="X62" i="49"/>
  <c r="X62" i="54" s="1"/>
  <c r="AF103" i="48"/>
  <c r="AG99" i="48"/>
  <c r="AN10" i="48"/>
  <c r="AN10" i="53" s="1"/>
  <c r="AU153" i="48"/>
  <c r="AU155" i="48" s="1"/>
  <c r="AT155" i="48"/>
  <c r="AT30" i="48" s="1"/>
  <c r="AU30" i="48" s="1"/>
  <c r="AK9" i="49"/>
  <c r="AK9" i="54" s="1"/>
  <c r="AK22" i="49"/>
  <c r="AK22" i="54" s="1"/>
  <c r="AP74" i="48"/>
  <c r="AP76" i="48"/>
  <c r="AP78" i="48" s="1"/>
  <c r="AP78" i="53" s="1"/>
  <c r="AO90" i="48"/>
  <c r="AM133" i="48"/>
  <c r="AM133" i="53" s="1"/>
  <c r="AL9" i="48"/>
  <c r="AL9" i="53" s="1"/>
  <c r="AF130" i="48"/>
  <c r="AG127" i="48"/>
  <c r="AI53" i="49"/>
  <c r="AN133" i="48"/>
  <c r="AN133" i="53" s="1"/>
  <c r="AJ35" i="50"/>
  <c r="AJ35" i="55" s="1"/>
  <c r="AI37" i="50"/>
  <c r="AI37" i="55" s="1"/>
  <c r="AP134" i="48"/>
  <c r="AP134" i="53" s="1"/>
  <c r="AJ18" i="50"/>
  <c r="AJ18" i="55" s="1"/>
  <c r="AJ30" i="49"/>
  <c r="AT85" i="48"/>
  <c r="AT87" i="48" s="1"/>
  <c r="AT87" i="53" s="1"/>
  <c r="AU83" i="48"/>
  <c r="AK12" i="50"/>
  <c r="AK25" i="50"/>
  <c r="AK8" i="49"/>
  <c r="AK8" i="54" s="1"/>
  <c r="AK140" i="48"/>
  <c r="AK140" i="53" s="1"/>
  <c r="AL93" i="48"/>
  <c r="AN97" i="48"/>
  <c r="AN97" i="53" s="1"/>
  <c r="AN93" i="48"/>
  <c r="AN93" i="53" s="1"/>
  <c r="AN100" i="48"/>
  <c r="AN100" i="53" s="1"/>
  <c r="AM10" i="48"/>
  <c r="AM10" i="53" s="1"/>
  <c r="AS52" i="48"/>
  <c r="AS54" i="48" s="1"/>
  <c r="AS54" i="53" s="1"/>
  <c r="AT50" i="48"/>
  <c r="AV47" i="50"/>
  <c r="AV67" i="49"/>
  <c r="AL61" i="48"/>
  <c r="AL61" i="53" s="1"/>
  <c r="AP41" i="48"/>
  <c r="AP43" i="48"/>
  <c r="AP45" i="48" s="1"/>
  <c r="AP45" i="53" s="1"/>
  <c r="AO57" i="48"/>
  <c r="AR6" i="48"/>
  <c r="AR6" i="53" s="1"/>
  <c r="AT20" i="50"/>
  <c r="AU25" i="49"/>
  <c r="AL13" i="48"/>
  <c r="AL13" i="53" s="1"/>
  <c r="AM64" i="48"/>
  <c r="AM64" i="53" s="1"/>
  <c r="AM67" i="48"/>
  <c r="AM67" i="53" s="1"/>
  <c r="AM60" i="48"/>
  <c r="AM60" i="53" s="1"/>
  <c r="AL11" i="48"/>
  <c r="AL11" i="53" s="1"/>
  <c r="AV33" i="50"/>
  <c r="AV57" i="50" s="1"/>
  <c r="AI37" i="49"/>
  <c r="AI37" i="54" s="1"/>
  <c r="AP173" i="41"/>
  <c r="AO173" i="44"/>
  <c r="AO170" i="41"/>
  <c r="AO170" i="44" s="1"/>
  <c r="AO168" i="44"/>
  <c r="AN28" i="41"/>
  <c r="AN28" i="44" s="1"/>
  <c r="AN172" i="44"/>
  <c r="AO117" i="44"/>
  <c r="AP117" i="41"/>
  <c r="AQ117" i="41" s="1"/>
  <c r="AO118" i="41"/>
  <c r="AN118" i="44"/>
  <c r="AN120" i="41"/>
  <c r="AM121" i="41"/>
  <c r="AM121" i="44" s="1"/>
  <c r="AM120" i="44"/>
  <c r="AO102" i="44"/>
  <c r="AP102" i="41"/>
  <c r="Y144" i="41"/>
  <c r="X144" i="44"/>
  <c r="AP145" i="41"/>
  <c r="AO145" i="44"/>
  <c r="AO22" i="41"/>
  <c r="AO22" i="44" s="1"/>
  <c r="AN129" i="44"/>
  <c r="AO129" i="41"/>
  <c r="AO14" i="41" s="1"/>
  <c r="AO14" i="44" s="1"/>
  <c r="AN10" i="43"/>
  <c r="AN10" i="46" s="1"/>
  <c r="AN9" i="46"/>
  <c r="AO136" i="41"/>
  <c r="AO16" i="44"/>
  <c r="X70" i="41"/>
  <c r="X71" i="41" s="1"/>
  <c r="X71" i="44" s="1"/>
  <c r="X12" i="41"/>
  <c r="X12" i="44" s="1"/>
  <c r="AK87" i="41"/>
  <c r="AK87" i="44" s="1"/>
  <c r="AK85" i="44"/>
  <c r="AI78" i="41"/>
  <c r="AI78" i="44" s="1"/>
  <c r="AI76" i="44"/>
  <c r="AE100" i="44"/>
  <c r="AE97" i="44"/>
  <c r="AI54" i="41"/>
  <c r="AI54" i="44" s="1"/>
  <c r="AI52" i="44"/>
  <c r="AE45" i="41"/>
  <c r="AE43" i="44"/>
  <c r="X35" i="42"/>
  <c r="X35" i="45" s="1"/>
  <c r="X30" i="45"/>
  <c r="Z12" i="46"/>
  <c r="Z25" i="46"/>
  <c r="AB65" i="41"/>
  <c r="AB65" i="44" s="1"/>
  <c r="AB64" i="44"/>
  <c r="AF43" i="41"/>
  <c r="AF41" i="44"/>
  <c r="Z15" i="43"/>
  <c r="Z8" i="45"/>
  <c r="AC8" i="45"/>
  <c r="AD133" i="44"/>
  <c r="Z9" i="44"/>
  <c r="Z9" i="42"/>
  <c r="Z22" i="42"/>
  <c r="AK56" i="45"/>
  <c r="AM56" i="42"/>
  <c r="X103" i="41"/>
  <c r="X105" i="41" s="1"/>
  <c r="X105" i="44" s="1"/>
  <c r="AO40" i="42"/>
  <c r="AN40" i="45"/>
  <c r="AP39" i="42"/>
  <c r="AO39" i="45"/>
  <c r="AP34" i="45"/>
  <c r="AR34" i="42"/>
  <c r="AQ34" i="42"/>
  <c r="AQ34" i="45" s="1"/>
  <c r="AP33" i="45"/>
  <c r="AR33" i="42"/>
  <c r="AQ33" i="42"/>
  <c r="AQ33" i="45" s="1"/>
  <c r="AP32" i="42"/>
  <c r="AO32" i="45"/>
  <c r="AP31" i="42"/>
  <c r="AP29" i="43" s="1"/>
  <c r="AP29" i="46" s="1"/>
  <c r="AO31" i="45"/>
  <c r="AN8" i="43"/>
  <c r="AN8" i="46" s="1"/>
  <c r="AN16" i="45"/>
  <c r="AO26" i="42"/>
  <c r="AN26" i="45"/>
  <c r="AP24" i="45"/>
  <c r="AR24" i="42"/>
  <c r="AQ24" i="42"/>
  <c r="AQ24" i="45" s="1"/>
  <c r="AP19" i="42"/>
  <c r="AO19" i="45"/>
  <c r="AP18" i="42"/>
  <c r="AO18" i="45"/>
  <c r="AO15" i="42"/>
  <c r="AN15" i="45"/>
  <c r="AO53" i="43"/>
  <c r="AN53" i="46"/>
  <c r="AP26" i="41"/>
  <c r="AO26" i="44"/>
  <c r="W19" i="44"/>
  <c r="W142" i="41"/>
  <c r="W142" i="44" s="1"/>
  <c r="W65" i="42"/>
  <c r="X131" i="41"/>
  <c r="X131" i="44" s="1"/>
  <c r="X130" i="44"/>
  <c r="X70" i="44"/>
  <c r="X14" i="45"/>
  <c r="Y7" i="43"/>
  <c r="Y14" i="42" s="1"/>
  <c r="AJ33" i="46"/>
  <c r="AJ57" i="43"/>
  <c r="AF30" i="44"/>
  <c r="AK33" i="43"/>
  <c r="AN136" i="44"/>
  <c r="AM136" i="44"/>
  <c r="AO21" i="43"/>
  <c r="AO21" i="46" s="1"/>
  <c r="AP23" i="42"/>
  <c r="AP23" i="45" s="1"/>
  <c r="AD64" i="41"/>
  <c r="AD64" i="44" s="1"/>
  <c r="AD67" i="41"/>
  <c r="AD67" i="44" s="1"/>
  <c r="AD60" i="41"/>
  <c r="AD60" i="44" s="1"/>
  <c r="AM85" i="41"/>
  <c r="AN83" i="41"/>
  <c r="AN83" i="44" s="1"/>
  <c r="AD10" i="41"/>
  <c r="AD8" i="41"/>
  <c r="AD8" i="44" s="1"/>
  <c r="AD133" i="41"/>
  <c r="AO13" i="42"/>
  <c r="AO13" i="45" s="1"/>
  <c r="W21" i="41"/>
  <c r="W21" i="44" s="1"/>
  <c r="V23" i="41"/>
  <c r="V23" i="44" s="1"/>
  <c r="AH134" i="41"/>
  <c r="AN20" i="43"/>
  <c r="AO25" i="42"/>
  <c r="U53" i="42"/>
  <c r="U43" i="42"/>
  <c r="AI6" i="41"/>
  <c r="AO19" i="43"/>
  <c r="AO19" i="46" s="1"/>
  <c r="AP27" i="42"/>
  <c r="AP27" i="45" s="1"/>
  <c r="AO16" i="42"/>
  <c r="AO172" i="41"/>
  <c r="AO18" i="41"/>
  <c r="AO18" i="44" s="1"/>
  <c r="AR119" i="41"/>
  <c r="AR119" i="44" s="1"/>
  <c r="AP16" i="41"/>
  <c r="AR165" i="41"/>
  <c r="AR165" i="44" s="1"/>
  <c r="AP168" i="41"/>
  <c r="AJ74" i="41"/>
  <c r="AJ74" i="44" s="1"/>
  <c r="AJ76" i="41"/>
  <c r="AI90" i="41"/>
  <c r="AI90" i="44" s="1"/>
  <c r="AJ52" i="41"/>
  <c r="AK50" i="41"/>
  <c r="AK50" i="44" s="1"/>
  <c r="AC22" i="42"/>
  <c r="AC22" i="45" s="1"/>
  <c r="AC9" i="42"/>
  <c r="AO35" i="41"/>
  <c r="AO35" i="44" s="1"/>
  <c r="AH41" i="41"/>
  <c r="AG41" i="41"/>
  <c r="AF57" i="41"/>
  <c r="AH31" i="41"/>
  <c r="AH30" i="41"/>
  <c r="AH30" i="44" s="1"/>
  <c r="AJ153" i="41"/>
  <c r="AJ153" i="44" s="1"/>
  <c r="AI155" i="41"/>
  <c r="AI155" i="44" s="1"/>
  <c r="AN17" i="43"/>
  <c r="AN17" i="46" s="1"/>
  <c r="AO10" i="42"/>
  <c r="AO10" i="45" s="1"/>
  <c r="Z37" i="43"/>
  <c r="Z37" i="46" s="1"/>
  <c r="AP69" i="41"/>
  <c r="AP69" i="44" s="1"/>
  <c r="AR28" i="42"/>
  <c r="AR28" i="45" s="1"/>
  <c r="AQ28" i="42"/>
  <c r="AQ28" i="45" s="1"/>
  <c r="AP63" i="42"/>
  <c r="AP63" i="45" s="1"/>
  <c r="AI79" i="41"/>
  <c r="AI79" i="44" s="1"/>
  <c r="AI95" i="41"/>
  <c r="AI95" i="44" s="1"/>
  <c r="AI92" i="41"/>
  <c r="AI92" i="44" s="1"/>
  <c r="AO9" i="43"/>
  <c r="AO9" i="46" s="1"/>
  <c r="AH97" i="41"/>
  <c r="AH97" i="44" s="1"/>
  <c r="AH100" i="41"/>
  <c r="AH100" i="44" s="1"/>
  <c r="AH93" i="41"/>
  <c r="AH93" i="44" s="1"/>
  <c r="AT163" i="41"/>
  <c r="AT163" i="44" s="1"/>
  <c r="Z37" i="42"/>
  <c r="Z37" i="45" s="1"/>
  <c r="AL87" i="41"/>
  <c r="AL87" i="44" s="1"/>
  <c r="AH22" i="36"/>
  <c r="AF29" i="39"/>
  <c r="AG29" i="39" s="1"/>
  <c r="AF47" i="39"/>
  <c r="AF63" i="38"/>
  <c r="AG28" i="38"/>
  <c r="AH28" i="38"/>
  <c r="AF21" i="39"/>
  <c r="AG21" i="39" s="1"/>
  <c r="AH23" i="38"/>
  <c r="AG23" i="38"/>
  <c r="I53" i="38"/>
  <c r="I43" i="38"/>
  <c r="J46" i="39"/>
  <c r="J48" i="39" s="1"/>
  <c r="J11" i="38"/>
  <c r="J20" i="38" s="1"/>
  <c r="AU56" i="39"/>
  <c r="AE56" i="38"/>
  <c r="AE20" i="39"/>
  <c r="AF25" i="38"/>
  <c r="L40" i="39"/>
  <c r="L41" i="39" s="1"/>
  <c r="L6" i="38" s="1"/>
  <c r="K6" i="38"/>
  <c r="K144" i="36" s="1"/>
  <c r="AH17" i="39"/>
  <c r="AI10" i="38"/>
  <c r="AK54" i="38"/>
  <c r="O40" i="39"/>
  <c r="O41" i="39" s="1"/>
  <c r="N6" i="38"/>
  <c r="N144" i="36" s="1"/>
  <c r="W40" i="39"/>
  <c r="S40" i="39"/>
  <c r="AH8" i="39"/>
  <c r="AH13" i="38"/>
  <c r="AG13" i="38"/>
  <c r="AF8" i="39"/>
  <c r="AG8" i="39" s="1"/>
  <c r="AG16" i="38"/>
  <c r="AM55" i="38"/>
  <c r="AH19" i="39"/>
  <c r="AI27" i="38"/>
  <c r="AN55" i="38"/>
  <c r="AH7" i="55" l="1"/>
  <c r="AH66" i="48"/>
  <c r="AH66" i="53" s="1"/>
  <c r="AG14" i="54"/>
  <c r="AE71" i="53"/>
  <c r="AE72" i="48"/>
  <c r="AE72" i="53" s="1"/>
  <c r="AE105" i="53"/>
  <c r="AE106" i="48"/>
  <c r="AE106" i="53" s="1"/>
  <c r="AL25" i="50"/>
  <c r="AL56" i="50" s="1"/>
  <c r="AL56" i="55" s="1"/>
  <c r="AK25" i="55"/>
  <c r="AL140" i="48"/>
  <c r="AL140" i="53" s="1"/>
  <c r="AL12" i="50"/>
  <c r="AL12" i="55" s="1"/>
  <c r="AK12" i="55"/>
  <c r="AL65" i="50"/>
  <c r="AL65" i="55" s="1"/>
  <c r="AJ35" i="49"/>
  <c r="AJ35" i="54" s="1"/>
  <c r="AJ30" i="54"/>
  <c r="AH14" i="49"/>
  <c r="AH14" i="54" s="1"/>
  <c r="AH127" i="48"/>
  <c r="AH127" i="53" s="1"/>
  <c r="AH99" i="48"/>
  <c r="AH99" i="53" s="1"/>
  <c r="AG70" i="48"/>
  <c r="AG70" i="53" s="1"/>
  <c r="AG66" i="53"/>
  <c r="AE19" i="53"/>
  <c r="AE142" i="48"/>
  <c r="AE142" i="53" s="1"/>
  <c r="AG130" i="48"/>
  <c r="AG127" i="53"/>
  <c r="AF71" i="48"/>
  <c r="AF71" i="53" s="1"/>
  <c r="AF70" i="53"/>
  <c r="AD19" i="53"/>
  <c r="AD142" i="48"/>
  <c r="AD142" i="53" s="1"/>
  <c r="AF105" i="48"/>
  <c r="AF105" i="53" s="1"/>
  <c r="AF103" i="53"/>
  <c r="AF131" i="48"/>
  <c r="AF131" i="53" s="1"/>
  <c r="AF130" i="53"/>
  <c r="AG103" i="48"/>
  <c r="AG103" i="53" s="1"/>
  <c r="AG99" i="53"/>
  <c r="AN140" i="48"/>
  <c r="AN140" i="53" s="1"/>
  <c r="AN8" i="49"/>
  <c r="AN8" i="54" s="1"/>
  <c r="AN12" i="50"/>
  <c r="AN12" i="55" s="1"/>
  <c r="AN25" i="50"/>
  <c r="AN25" i="55" s="1"/>
  <c r="AO8" i="48"/>
  <c r="AO8" i="53" s="1"/>
  <c r="AO5" i="53"/>
  <c r="AN13" i="48"/>
  <c r="AN13" i="53" s="1"/>
  <c r="AN67" i="53"/>
  <c r="AN11" i="48"/>
  <c r="AN11" i="53" s="1"/>
  <c r="AN64" i="53"/>
  <c r="AK15" i="50"/>
  <c r="AL8" i="49"/>
  <c r="AL8" i="54" s="1"/>
  <c r="AO100" i="48"/>
  <c r="AO100" i="53" s="1"/>
  <c r="AO93" i="48"/>
  <c r="AO93" i="53" s="1"/>
  <c r="AO97" i="48"/>
  <c r="AO97" i="53" s="1"/>
  <c r="AH70" i="48"/>
  <c r="AK35" i="50"/>
  <c r="AK35" i="55" s="1"/>
  <c r="AJ37" i="50"/>
  <c r="AJ37" i="55" s="1"/>
  <c r="X17" i="49"/>
  <c r="X17" i="54" s="1"/>
  <c r="X12" i="49"/>
  <c r="X12" i="54" s="1"/>
  <c r="X7" i="49"/>
  <c r="AP46" i="48"/>
  <c r="AP46" i="53" s="1"/>
  <c r="AP5" i="48"/>
  <c r="AP5" i="53" s="1"/>
  <c r="AP62" i="48"/>
  <c r="AP62" i="53" s="1"/>
  <c r="AP59" i="48"/>
  <c r="AP59" i="53" s="1"/>
  <c r="AK18" i="50"/>
  <c r="AL22" i="49"/>
  <c r="AK30" i="49"/>
  <c r="AN9" i="48"/>
  <c r="AN9" i="53" s="1"/>
  <c r="AQ45" i="48"/>
  <c r="AT52" i="48"/>
  <c r="AT54" i="48" s="1"/>
  <c r="AT54" i="53" s="1"/>
  <c r="AU50" i="48"/>
  <c r="AU85" i="48"/>
  <c r="AU87" i="48" s="1"/>
  <c r="AU87" i="53" s="1"/>
  <c r="AV83" i="48"/>
  <c r="AK16" i="50"/>
  <c r="AL9" i="49"/>
  <c r="AL9" i="54" s="1"/>
  <c r="AO64" i="48"/>
  <c r="AO67" i="48"/>
  <c r="AO60" i="48"/>
  <c r="AO60" i="53" s="1"/>
  <c r="AS6" i="48"/>
  <c r="AO10" i="48"/>
  <c r="AO10" i="53" s="1"/>
  <c r="AQ92" i="48"/>
  <c r="AQ92" i="53" s="1"/>
  <c r="AH130" i="48"/>
  <c r="AR41" i="48"/>
  <c r="AQ41" i="48"/>
  <c r="AR43" i="48"/>
  <c r="AR45" i="48" s="1"/>
  <c r="AR45" i="53" s="1"/>
  <c r="AP57" i="48"/>
  <c r="AV57" i="48" s="1"/>
  <c r="AM25" i="50"/>
  <c r="AM25" i="55" s="1"/>
  <c r="AM12" i="50"/>
  <c r="AM12" i="55" s="1"/>
  <c r="AM8" i="49"/>
  <c r="AM140" i="48"/>
  <c r="AM140" i="53" s="1"/>
  <c r="AU20" i="50"/>
  <c r="AV20" i="50" s="1"/>
  <c r="AV25" i="49"/>
  <c r="AO133" i="48"/>
  <c r="AO133" i="53" s="1"/>
  <c r="AH103" i="48"/>
  <c r="AJ53" i="49"/>
  <c r="AM11" i="48"/>
  <c r="AM11" i="53" s="1"/>
  <c r="AJ37" i="49"/>
  <c r="AJ37" i="54" s="1"/>
  <c r="AM9" i="48"/>
  <c r="AM9" i="53" s="1"/>
  <c r="AR134" i="48"/>
  <c r="AR134" i="53" s="1"/>
  <c r="AP79" i="48"/>
  <c r="AP79" i="53" s="1"/>
  <c r="AP95" i="48"/>
  <c r="AP92" i="48"/>
  <c r="AP92" i="53" s="1"/>
  <c r="AL94" i="48"/>
  <c r="AM13" i="48"/>
  <c r="AM13" i="53" s="1"/>
  <c r="AR74" i="48"/>
  <c r="AQ74" i="48"/>
  <c r="AV139" i="48" s="1"/>
  <c r="AR76" i="48"/>
  <c r="AR78" i="48" s="1"/>
  <c r="AR78" i="53" s="1"/>
  <c r="AP90" i="48"/>
  <c r="AV90" i="48" s="1"/>
  <c r="AF15" i="48"/>
  <c r="AG12" i="48"/>
  <c r="AP47" i="43"/>
  <c r="AP47" i="46" s="1"/>
  <c r="AQ29" i="43"/>
  <c r="AQ29" i="46" s="1"/>
  <c r="AR173" i="41"/>
  <c r="AP173" i="44"/>
  <c r="AO28" i="41"/>
  <c r="AO28" i="44" s="1"/>
  <c r="AO172" i="44"/>
  <c r="AP170" i="41"/>
  <c r="AP170" i="44" s="1"/>
  <c r="AP168" i="44"/>
  <c r="AQ118" i="41"/>
  <c r="AQ117" i="44"/>
  <c r="AP102" i="44"/>
  <c r="AR102" i="41"/>
  <c r="AN121" i="41"/>
  <c r="AN121" i="44" s="1"/>
  <c r="AN120" i="44"/>
  <c r="AO118" i="44"/>
  <c r="AO120" i="41"/>
  <c r="AQ102" i="41"/>
  <c r="AQ102" i="44" s="1"/>
  <c r="AP118" i="41"/>
  <c r="AP117" i="44"/>
  <c r="AR117" i="41"/>
  <c r="AR145" i="41"/>
  <c r="AP145" i="44"/>
  <c r="AP22" i="41"/>
  <c r="Z144" i="41"/>
  <c r="Y144" i="44"/>
  <c r="AO129" i="44"/>
  <c r="AP129" i="41"/>
  <c r="AP14" i="41" s="1"/>
  <c r="X15" i="41"/>
  <c r="X17" i="41" s="1"/>
  <c r="X141" i="41" s="1"/>
  <c r="X141" i="44" s="1"/>
  <c r="AP9" i="43"/>
  <c r="AP16" i="44"/>
  <c r="X103" i="44"/>
  <c r="AM87" i="41"/>
  <c r="AM87" i="44" s="1"/>
  <c r="AM85" i="44"/>
  <c r="AJ78" i="41"/>
  <c r="AJ78" i="44" s="1"/>
  <c r="AJ76" i="44"/>
  <c r="AJ54" i="41"/>
  <c r="AJ54" i="44" s="1"/>
  <c r="AJ52" i="44"/>
  <c r="AI134" i="41"/>
  <c r="AI6" i="44"/>
  <c r="AI134" i="44"/>
  <c r="AF45" i="41"/>
  <c r="AF43" i="44"/>
  <c r="Z15" i="46"/>
  <c r="Z22" i="45"/>
  <c r="Z18" i="43"/>
  <c r="Z30" i="42"/>
  <c r="AH43" i="41"/>
  <c r="AH41" i="44"/>
  <c r="Z16" i="43"/>
  <c r="Z16" i="46" s="1"/>
  <c r="Z9" i="45"/>
  <c r="AC9" i="45"/>
  <c r="AD10" i="44"/>
  <c r="AL57" i="41"/>
  <c r="AL57" i="44" s="1"/>
  <c r="AF57" i="44"/>
  <c r="AL139" i="41"/>
  <c r="AL139" i="44" s="1"/>
  <c r="AG41" i="44"/>
  <c r="AE45" i="44"/>
  <c r="AE62" i="41"/>
  <c r="AE46" i="41"/>
  <c r="AE46" i="44" s="1"/>
  <c r="AE5" i="41"/>
  <c r="AE59" i="41"/>
  <c r="AM56" i="45"/>
  <c r="AN56" i="42"/>
  <c r="X106" i="41"/>
  <c r="X106" i="44" s="1"/>
  <c r="AP40" i="42"/>
  <c r="AO40" i="45"/>
  <c r="AP39" i="45"/>
  <c r="AR39" i="42"/>
  <c r="AQ39" i="42"/>
  <c r="AQ39" i="45" s="1"/>
  <c r="AS34" i="42"/>
  <c r="AR34" i="45"/>
  <c r="AS33" i="42"/>
  <c r="AR33" i="45"/>
  <c r="AP32" i="45"/>
  <c r="AQ32" i="42"/>
  <c r="AQ32" i="45" s="1"/>
  <c r="AR32" i="42"/>
  <c r="AP31" i="45"/>
  <c r="AQ31" i="42"/>
  <c r="AQ31" i="45" s="1"/>
  <c r="AR31" i="42"/>
  <c r="AR63" i="42" s="1"/>
  <c r="AR63" i="45" s="1"/>
  <c r="AO8" i="43"/>
  <c r="AO8" i="46" s="1"/>
  <c r="AO16" i="45"/>
  <c r="AP26" i="42"/>
  <c r="AO26" i="45"/>
  <c r="AS24" i="42"/>
  <c r="AR24" i="45"/>
  <c r="AP19" i="45"/>
  <c r="AR19" i="42"/>
  <c r="AQ19" i="42"/>
  <c r="AQ19" i="45" s="1"/>
  <c r="AP18" i="45"/>
  <c r="AR18" i="42"/>
  <c r="AQ18" i="42"/>
  <c r="AQ18" i="45" s="1"/>
  <c r="AP15" i="42"/>
  <c r="AO15" i="45"/>
  <c r="AP53" i="43"/>
  <c r="AO53" i="46"/>
  <c r="X72" i="41"/>
  <c r="X72" i="44" s="1"/>
  <c r="AR26" i="41"/>
  <c r="AP26" i="44"/>
  <c r="AQ26" i="41"/>
  <c r="AQ26" i="44" s="1"/>
  <c r="W64" i="42"/>
  <c r="W64" i="45" s="1"/>
  <c r="W65" i="45"/>
  <c r="Y14" i="45"/>
  <c r="Z7" i="43"/>
  <c r="Y7" i="46"/>
  <c r="Y66" i="41"/>
  <c r="Y127" i="41"/>
  <c r="Y99" i="41"/>
  <c r="AK33" i="46"/>
  <c r="AK57" i="43"/>
  <c r="AI31" i="41"/>
  <c r="AI31" i="44" s="1"/>
  <c r="AH31" i="44"/>
  <c r="AJ58" i="43"/>
  <c r="AJ58" i="46" s="1"/>
  <c r="AJ57" i="46"/>
  <c r="AL33" i="43"/>
  <c r="AI30" i="41"/>
  <c r="AI30" i="44" s="1"/>
  <c r="AM33" i="43"/>
  <c r="AM33" i="46" s="1"/>
  <c r="AI93" i="41"/>
  <c r="AI93" i="44" s="1"/>
  <c r="AI97" i="41"/>
  <c r="AI97" i="44" s="1"/>
  <c r="AI100" i="41"/>
  <c r="AI100" i="44" s="1"/>
  <c r="AP136" i="41"/>
  <c r="AO20" i="43"/>
  <c r="AP25" i="42"/>
  <c r="AS119" i="41"/>
  <c r="AS119" i="44" s="1"/>
  <c r="AR16" i="41"/>
  <c r="AR16" i="44" s="1"/>
  <c r="AN85" i="41"/>
  <c r="AO83" i="41"/>
  <c r="AO83" i="44" s="1"/>
  <c r="AS28" i="42"/>
  <c r="AS28" i="45" s="1"/>
  <c r="AK52" i="41"/>
  <c r="AM50" i="41"/>
  <c r="AM50" i="44" s="1"/>
  <c r="AL50" i="41"/>
  <c r="AL50" i="44" s="1"/>
  <c r="AJ6" i="41"/>
  <c r="AJ6" i="44" s="1"/>
  <c r="AJ134" i="44" s="1"/>
  <c r="AD12" i="43"/>
  <c r="AD25" i="43"/>
  <c r="AD8" i="42"/>
  <c r="AD140" i="41"/>
  <c r="AD140" i="44" s="1"/>
  <c r="AC30" i="42"/>
  <c r="AR27" i="42"/>
  <c r="AR27" i="45" s="1"/>
  <c r="AQ27" i="42"/>
  <c r="AQ27" i="45" s="1"/>
  <c r="AP19" i="43"/>
  <c r="AP19" i="46" s="1"/>
  <c r="AP16" i="42"/>
  <c r="AP16" i="45" s="1"/>
  <c r="V24" i="44"/>
  <c r="V25" i="41"/>
  <c r="V25" i="44" s="1"/>
  <c r="AD9" i="41"/>
  <c r="AD9" i="44" s="1"/>
  <c r="AS165" i="41"/>
  <c r="AS165" i="44" s="1"/>
  <c r="AR168" i="41"/>
  <c r="AJ79" i="41"/>
  <c r="AJ79" i="44" s="1"/>
  <c r="AJ95" i="41"/>
  <c r="AJ95" i="44" s="1"/>
  <c r="AJ92" i="41"/>
  <c r="AJ92" i="44" s="1"/>
  <c r="W23" i="41"/>
  <c r="W23" i="44" s="1"/>
  <c r="AD13" i="41"/>
  <c r="AO17" i="43"/>
  <c r="AO17" i="46" s="1"/>
  <c r="AP10" i="42"/>
  <c r="AP10" i="45" s="1"/>
  <c r="AP35" i="41"/>
  <c r="AP35" i="44" s="1"/>
  <c r="AQ35" i="41"/>
  <c r="AQ35" i="44" s="1"/>
  <c r="AK74" i="41"/>
  <c r="AK74" i="44" s="1"/>
  <c r="AJ90" i="41"/>
  <c r="AJ90" i="44" s="1"/>
  <c r="AD11" i="41"/>
  <c r="AD11" i="44" s="1"/>
  <c r="X53" i="42"/>
  <c r="AQ16" i="41"/>
  <c r="AQ16" i="44" s="1"/>
  <c r="AK153" i="41"/>
  <c r="AJ155" i="41"/>
  <c r="AJ155" i="44" s="1"/>
  <c r="AU163" i="41"/>
  <c r="AU163" i="44" s="1"/>
  <c r="AI41" i="41"/>
  <c r="AI41" i="44" s="1"/>
  <c r="AI43" i="41"/>
  <c r="AH57" i="41"/>
  <c r="AH57" i="44" s="1"/>
  <c r="AR69" i="41"/>
  <c r="AR69" i="44" s="1"/>
  <c r="AQ69" i="41"/>
  <c r="AQ69" i="44" s="1"/>
  <c r="AO10" i="43"/>
  <c r="AQ9" i="43"/>
  <c r="AQ9" i="46" s="1"/>
  <c r="AP172" i="41"/>
  <c r="AP18" i="41"/>
  <c r="AP18" i="44" s="1"/>
  <c r="AP13" i="42"/>
  <c r="AP13" i="45" s="1"/>
  <c r="AP21" i="43"/>
  <c r="AR23" i="42"/>
  <c r="AR23" i="45" s="1"/>
  <c r="AQ23" i="42"/>
  <c r="AQ23" i="45" s="1"/>
  <c r="AI22" i="36"/>
  <c r="L144" i="36"/>
  <c r="AF56" i="38"/>
  <c r="AH29" i="39"/>
  <c r="AH47" i="39"/>
  <c r="AH63" i="38"/>
  <c r="AI28" i="38"/>
  <c r="AG47" i="39"/>
  <c r="J53" i="38"/>
  <c r="J43" i="38"/>
  <c r="L46" i="39"/>
  <c r="L48" i="39" s="1"/>
  <c r="L11" i="38"/>
  <c r="L20" i="38" s="1"/>
  <c r="M6" i="38"/>
  <c r="AH56" i="38"/>
  <c r="AF20" i="39"/>
  <c r="AG20" i="39" s="1"/>
  <c r="AH25" i="38"/>
  <c r="AG25" i="38"/>
  <c r="S41" i="39"/>
  <c r="AN54" i="38"/>
  <c r="AI13" i="38"/>
  <c r="AI17" i="39"/>
  <c r="AJ10" i="38"/>
  <c r="N46" i="39"/>
  <c r="N48" i="39" s="1"/>
  <c r="N11" i="38"/>
  <c r="N20" i="38" s="1"/>
  <c r="AI19" i="39"/>
  <c r="AJ27" i="38"/>
  <c r="AI16" i="38"/>
  <c r="AI8" i="39" s="1"/>
  <c r="AH21" i="39"/>
  <c r="AI23" i="38"/>
  <c r="P40" i="39"/>
  <c r="P41" i="39" s="1"/>
  <c r="O6" i="38"/>
  <c r="O144" i="36" s="1"/>
  <c r="AO55" i="38"/>
  <c r="K46" i="39"/>
  <c r="K48" i="39" s="1"/>
  <c r="K11" i="38"/>
  <c r="K20" i="38" s="1"/>
  <c r="AM54" i="38"/>
  <c r="AL25" i="55" l="1"/>
  <c r="AI7" i="50"/>
  <c r="AI7" i="55" s="1"/>
  <c r="AL16" i="50"/>
  <c r="AL16" i="55" s="1"/>
  <c r="AK16" i="55"/>
  <c r="AL30" i="49"/>
  <c r="AL22" i="54"/>
  <c r="AL15" i="50"/>
  <c r="AL15" i="55" s="1"/>
  <c r="AK15" i="55"/>
  <c r="AL18" i="50"/>
  <c r="AL18" i="55" s="1"/>
  <c r="AK18" i="55"/>
  <c r="AK35" i="49"/>
  <c r="AK35" i="54" s="1"/>
  <c r="AK30" i="54"/>
  <c r="AG105" i="48"/>
  <c r="AG106" i="48" s="1"/>
  <c r="AG106" i="53" s="1"/>
  <c r="AH12" i="48"/>
  <c r="AH12" i="53" s="1"/>
  <c r="AF106" i="48"/>
  <c r="AF106" i="53" s="1"/>
  <c r="AG71" i="48"/>
  <c r="AG72" i="48" s="1"/>
  <c r="AG72" i="53" s="1"/>
  <c r="AF72" i="48"/>
  <c r="AF72" i="53" s="1"/>
  <c r="AI14" i="49"/>
  <c r="AI14" i="54" s="1"/>
  <c r="AG131" i="48"/>
  <c r="AG131" i="53" s="1"/>
  <c r="AG130" i="53"/>
  <c r="AH131" i="48"/>
  <c r="AH131" i="53" s="1"/>
  <c r="AH130" i="53"/>
  <c r="AH105" i="48"/>
  <c r="AH105" i="53" s="1"/>
  <c r="AH103" i="53"/>
  <c r="AI127" i="48"/>
  <c r="AI127" i="53" s="1"/>
  <c r="X24" i="50"/>
  <c r="X24" i="55" s="1"/>
  <c r="X7" i="54"/>
  <c r="AG15" i="48"/>
  <c r="AG12" i="53"/>
  <c r="AF17" i="48"/>
  <c r="AF17" i="53" s="1"/>
  <c r="AF15" i="53"/>
  <c r="AI66" i="48"/>
  <c r="AI66" i="53" s="1"/>
  <c r="AI99" i="48"/>
  <c r="AI99" i="53" s="1"/>
  <c r="AH71" i="48"/>
  <c r="AH71" i="53" s="1"/>
  <c r="AH70" i="53"/>
  <c r="AO140" i="48"/>
  <c r="AO140" i="53" s="1"/>
  <c r="AO25" i="50"/>
  <c r="AO25" i="55" s="1"/>
  <c r="AO12" i="50"/>
  <c r="AO12" i="55" s="1"/>
  <c r="AQ95" i="48"/>
  <c r="AP95" i="53"/>
  <c r="AO8" i="49"/>
  <c r="AO8" i="54" s="1"/>
  <c r="AO15" i="50"/>
  <c r="AO15" i="55" s="1"/>
  <c r="AQ46" i="48"/>
  <c r="AQ46" i="53" s="1"/>
  <c r="AQ45" i="53"/>
  <c r="AM15" i="50"/>
  <c r="AM15" i="55" s="1"/>
  <c r="AM8" i="54"/>
  <c r="AO13" i="48"/>
  <c r="AO13" i="53" s="1"/>
  <c r="AO67" i="53"/>
  <c r="AO11" i="48"/>
  <c r="AO11" i="53" s="1"/>
  <c r="AO64" i="53"/>
  <c r="AS134" i="48"/>
  <c r="AS134" i="53" s="1"/>
  <c r="AS6" i="53"/>
  <c r="AM35" i="50"/>
  <c r="AM35" i="55" s="1"/>
  <c r="AK37" i="50"/>
  <c r="AK37" i="55" s="1"/>
  <c r="AR79" i="48"/>
  <c r="AR79" i="53" s="1"/>
  <c r="AR95" i="48"/>
  <c r="AR95" i="53" s="1"/>
  <c r="AR92" i="48"/>
  <c r="AR92" i="53" s="1"/>
  <c r="AS74" i="48"/>
  <c r="AR90" i="48"/>
  <c r="AP64" i="48"/>
  <c r="AP64" i="53" s="1"/>
  <c r="AP67" i="48"/>
  <c r="AQ67" i="48" s="1"/>
  <c r="AP60" i="48"/>
  <c r="AP60" i="53" s="1"/>
  <c r="AQ59" i="48"/>
  <c r="AQ59" i="53" s="1"/>
  <c r="AV87" i="48"/>
  <c r="AV87" i="53" s="1"/>
  <c r="AP10" i="48"/>
  <c r="AQ62" i="48"/>
  <c r="AP8" i="48"/>
  <c r="AP8" i="53" s="1"/>
  <c r="AQ5" i="48"/>
  <c r="AK37" i="49"/>
  <c r="AK37" i="54" s="1"/>
  <c r="AK53" i="49"/>
  <c r="AH106" i="48"/>
  <c r="AH106" i="53" s="1"/>
  <c r="AU52" i="48"/>
  <c r="AU54" i="48" s="1"/>
  <c r="AU54" i="53" s="1"/>
  <c r="AV50" i="48"/>
  <c r="AP133" i="48"/>
  <c r="AP133" i="53" s="1"/>
  <c r="AN15" i="50"/>
  <c r="AN15" i="55" s="1"/>
  <c r="AI103" i="48"/>
  <c r="AT6" i="48"/>
  <c r="AR46" i="48"/>
  <c r="AR46" i="53" s="1"/>
  <c r="AR5" i="48"/>
  <c r="AR5" i="53" s="1"/>
  <c r="AR62" i="48"/>
  <c r="AR62" i="53" s="1"/>
  <c r="AR59" i="48"/>
  <c r="AR59" i="53" s="1"/>
  <c r="AM22" i="49"/>
  <c r="AM22" i="54" s="1"/>
  <c r="AM9" i="49"/>
  <c r="AP100" i="48"/>
  <c r="AP100" i="53" s="1"/>
  <c r="AP97" i="48"/>
  <c r="AP93" i="48"/>
  <c r="AP93" i="53" s="1"/>
  <c r="AN22" i="49"/>
  <c r="AN22" i="54" s="1"/>
  <c r="AN9" i="49"/>
  <c r="AN9" i="54" s="1"/>
  <c r="X26" i="50"/>
  <c r="X26" i="55" s="1"/>
  <c r="AS41" i="48"/>
  <c r="AR57" i="48"/>
  <c r="AL35" i="50"/>
  <c r="AO9" i="48"/>
  <c r="AO9" i="53" s="1"/>
  <c r="AR47" i="43"/>
  <c r="AR47" i="46" s="1"/>
  <c r="AR29" i="43"/>
  <c r="AR29" i="46" s="1"/>
  <c r="AQ67" i="42"/>
  <c r="AQ67" i="45" s="1"/>
  <c r="AQ47" i="43"/>
  <c r="AQ47" i="46" s="1"/>
  <c r="AQ18" i="41"/>
  <c r="AQ18" i="44" s="1"/>
  <c r="AS173" i="41"/>
  <c r="AR173" i="44"/>
  <c r="AP28" i="41"/>
  <c r="AP172" i="44"/>
  <c r="AR170" i="41"/>
  <c r="AR170" i="44" s="1"/>
  <c r="AR168" i="44"/>
  <c r="AR117" i="44"/>
  <c r="AR118" i="41"/>
  <c r="AS117" i="41"/>
  <c r="AP118" i="44"/>
  <c r="AP120" i="41"/>
  <c r="AO120" i="44"/>
  <c r="AO121" i="41"/>
  <c r="AO121" i="44" s="1"/>
  <c r="AR102" i="44"/>
  <c r="AS102" i="41"/>
  <c r="AQ118" i="44"/>
  <c r="AQ120" i="41"/>
  <c r="AA144" i="41"/>
  <c r="Z144" i="44"/>
  <c r="AP22" i="44"/>
  <c r="AQ22" i="41"/>
  <c r="AQ22" i="44" s="1"/>
  <c r="AS145" i="41"/>
  <c r="AR145" i="44"/>
  <c r="AR22" i="41"/>
  <c r="AR22" i="44" s="1"/>
  <c r="AP129" i="44"/>
  <c r="AR129" i="41"/>
  <c r="AR14" i="41" s="1"/>
  <c r="AR14" i="44" s="1"/>
  <c r="AQ129" i="41"/>
  <c r="AQ129" i="44" s="1"/>
  <c r="X15" i="44"/>
  <c r="AO10" i="46"/>
  <c r="AP10" i="43"/>
  <c r="AP10" i="46" s="1"/>
  <c r="AP9" i="46"/>
  <c r="AQ14" i="41"/>
  <c r="AQ14" i="44" s="1"/>
  <c r="AP14" i="44"/>
  <c r="AN87" i="41"/>
  <c r="AN87" i="44" s="1"/>
  <c r="AN85" i="44"/>
  <c r="AK54" i="41"/>
  <c r="AK52" i="44"/>
  <c r="AE59" i="44"/>
  <c r="AE64" i="41"/>
  <c r="AE60" i="41"/>
  <c r="AE67" i="41"/>
  <c r="AE8" i="41"/>
  <c r="AE5" i="44"/>
  <c r="AE133" i="41"/>
  <c r="AE133" i="44"/>
  <c r="AH45" i="41"/>
  <c r="AH43" i="44"/>
  <c r="Z35" i="42"/>
  <c r="Z35" i="45" s="1"/>
  <c r="Z30" i="45"/>
  <c r="AE10" i="41"/>
  <c r="AE62" i="44"/>
  <c r="AD15" i="43"/>
  <c r="AD15" i="46" s="1"/>
  <c r="AD8" i="45"/>
  <c r="Z18" i="46"/>
  <c r="AD25" i="46"/>
  <c r="AI45" i="41"/>
  <c r="AI45" i="44" s="1"/>
  <c r="AI43" i="44"/>
  <c r="AD13" i="44"/>
  <c r="AF45" i="44"/>
  <c r="AG45" i="41"/>
  <c r="AF46" i="41"/>
  <c r="AF46" i="44" s="1"/>
  <c r="AF62" i="41"/>
  <c r="AG62" i="41" s="1"/>
  <c r="AF59" i="41"/>
  <c r="Y53" i="42"/>
  <c r="Y53" i="45" s="1"/>
  <c r="X53" i="45"/>
  <c r="AN56" i="45"/>
  <c r="AO56" i="42"/>
  <c r="AP40" i="45"/>
  <c r="AR40" i="42"/>
  <c r="AQ40" i="42"/>
  <c r="AQ40" i="45" s="1"/>
  <c r="AS39" i="42"/>
  <c r="AR39" i="45"/>
  <c r="AT34" i="42"/>
  <c r="AS34" i="45"/>
  <c r="AT33" i="42"/>
  <c r="AS33" i="45"/>
  <c r="AS32" i="42"/>
  <c r="AR32" i="45"/>
  <c r="AS31" i="42"/>
  <c r="AS29" i="43" s="1"/>
  <c r="AS29" i="46" s="1"/>
  <c r="AR31" i="45"/>
  <c r="AQ19" i="43"/>
  <c r="AQ19" i="46" s="1"/>
  <c r="AP26" i="45"/>
  <c r="AQ26" i="42"/>
  <c r="AQ26" i="45" s="1"/>
  <c r="AR26" i="42"/>
  <c r="AT24" i="42"/>
  <c r="AS24" i="45"/>
  <c r="AQ21" i="43"/>
  <c r="AQ21" i="46" s="1"/>
  <c r="AP21" i="46"/>
  <c r="AC35" i="42"/>
  <c r="AC35" i="45" s="1"/>
  <c r="AC30" i="45"/>
  <c r="AS19" i="42"/>
  <c r="AR19" i="45"/>
  <c r="AS18" i="42"/>
  <c r="AR18" i="45"/>
  <c r="AP15" i="45"/>
  <c r="AQ15" i="42"/>
  <c r="AQ15" i="45" s="1"/>
  <c r="AR15" i="42"/>
  <c r="AD12" i="46"/>
  <c r="AR53" i="43"/>
  <c r="AP53" i="46"/>
  <c r="X19" i="41"/>
  <c r="X19" i="44" s="1"/>
  <c r="AR26" i="44"/>
  <c r="AS26" i="41"/>
  <c r="Y127" i="44"/>
  <c r="Z127" i="41"/>
  <c r="Y130" i="41"/>
  <c r="Y66" i="44"/>
  <c r="Z66" i="41"/>
  <c r="Y70" i="41"/>
  <c r="Y12" i="41"/>
  <c r="Y99" i="44"/>
  <c r="Z99" i="41"/>
  <c r="Y103" i="41"/>
  <c r="Z7" i="46"/>
  <c r="Z14" i="42"/>
  <c r="X17" i="44"/>
  <c r="X137" i="44" s="1"/>
  <c r="X137" i="41"/>
  <c r="AL57" i="43"/>
  <c r="AL57" i="46" s="1"/>
  <c r="AL33" i="46"/>
  <c r="AK155" i="41"/>
  <c r="AK155" i="44" s="1"/>
  <c r="AK153" i="44"/>
  <c r="AK58" i="43"/>
  <c r="AK57" i="46"/>
  <c r="AJ31" i="41"/>
  <c r="AJ31" i="44" s="1"/>
  <c r="AO136" i="44"/>
  <c r="Z53" i="42"/>
  <c r="Z53" i="45" s="1"/>
  <c r="AM74" i="41"/>
  <c r="AM74" i="44" s="1"/>
  <c r="AL74" i="41"/>
  <c r="AL74" i="44" s="1"/>
  <c r="AM76" i="41"/>
  <c r="AK90" i="41"/>
  <c r="AP20" i="43"/>
  <c r="AQ20" i="43" s="1"/>
  <c r="AR25" i="42"/>
  <c r="AQ25" i="42"/>
  <c r="AT165" i="41"/>
  <c r="AT165" i="44" s="1"/>
  <c r="AS168" i="41"/>
  <c r="AT119" i="41"/>
  <c r="AT119" i="44" s="1"/>
  <c r="AS136" i="41"/>
  <c r="AS16" i="41"/>
  <c r="AM153" i="41"/>
  <c r="AM153" i="44" s="1"/>
  <c r="AR172" i="41"/>
  <c r="AR18" i="41"/>
  <c r="AR18" i="44" s="1"/>
  <c r="W24" i="41"/>
  <c r="W24" i="44" s="1"/>
  <c r="V29" i="41"/>
  <c r="AT28" i="42"/>
  <c r="AT28" i="45" s="1"/>
  <c r="AP17" i="43"/>
  <c r="AR10" i="42"/>
  <c r="AR10" i="45" s="1"/>
  <c r="AQ10" i="42"/>
  <c r="AQ10" i="45" s="1"/>
  <c r="AP8" i="43"/>
  <c r="AQ16" i="42"/>
  <c r="AQ16" i="45" s="1"/>
  <c r="AS69" i="41"/>
  <c r="AS69" i="44" s="1"/>
  <c r="AR13" i="42"/>
  <c r="AR13" i="45" s="1"/>
  <c r="AQ13" i="42"/>
  <c r="AQ13" i="45" s="1"/>
  <c r="AK76" i="41"/>
  <c r="AJ97" i="41"/>
  <c r="AJ97" i="44" s="1"/>
  <c r="AJ100" i="41"/>
  <c r="AJ100" i="44" s="1"/>
  <c r="AJ93" i="41"/>
  <c r="AJ93" i="44" s="1"/>
  <c r="AR21" i="43"/>
  <c r="AR21" i="46" s="1"/>
  <c r="AS23" i="42"/>
  <c r="AS23" i="45" s="1"/>
  <c r="AJ41" i="41"/>
  <c r="AJ41" i="44" s="1"/>
  <c r="AI57" i="41"/>
  <c r="AI57" i="44" s="1"/>
  <c r="AR19" i="43"/>
  <c r="AR19" i="46" s="1"/>
  <c r="AS27" i="42"/>
  <c r="AS27" i="45" s="1"/>
  <c r="AR16" i="42"/>
  <c r="AO85" i="41"/>
  <c r="AP83" i="41"/>
  <c r="AP83" i="44" s="1"/>
  <c r="AA53" i="42"/>
  <c r="AA53" i="45" s="1"/>
  <c r="AJ134" i="41"/>
  <c r="AJ30" i="41"/>
  <c r="AJ30" i="44" s="1"/>
  <c r="AN33" i="43"/>
  <c r="AN33" i="46" s="1"/>
  <c r="AR35" i="41"/>
  <c r="AR35" i="44" s="1"/>
  <c r="AM52" i="41"/>
  <c r="AN50" i="41"/>
  <c r="AN50" i="44" s="1"/>
  <c r="AD22" i="42"/>
  <c r="AD22" i="45" s="1"/>
  <c r="AD9" i="42"/>
  <c r="AI46" i="41"/>
  <c r="AI46" i="44" s="1"/>
  <c r="AI5" i="41"/>
  <c r="AI62" i="41"/>
  <c r="AK6" i="41"/>
  <c r="AR9" i="43"/>
  <c r="AR9" i="46" s="1"/>
  <c r="V6" i="43"/>
  <c r="V6" i="46" s="1"/>
  <c r="V27" i="41"/>
  <c r="V27" i="44" s="1"/>
  <c r="AR136" i="41"/>
  <c r="AM57" i="43"/>
  <c r="AM57" i="46" s="1"/>
  <c r="AJ22" i="36"/>
  <c r="T40" i="39"/>
  <c r="T41" i="39" s="1"/>
  <c r="S6" i="38"/>
  <c r="AI29" i="39"/>
  <c r="AI47" i="39"/>
  <c r="AI63" i="38"/>
  <c r="AJ28" i="38"/>
  <c r="AH20" i="39"/>
  <c r="AI25" i="38"/>
  <c r="AJ13" i="38"/>
  <c r="AP55" i="38"/>
  <c r="AJ19" i="39"/>
  <c r="AK27" i="38"/>
  <c r="AJ16" i="38"/>
  <c r="AJ8" i="39" s="1"/>
  <c r="M46" i="39"/>
  <c r="M11" i="38"/>
  <c r="M20" i="38" s="1"/>
  <c r="M43" i="38" s="1"/>
  <c r="L53" i="38"/>
  <c r="L43" i="38"/>
  <c r="AO54" i="38"/>
  <c r="AP54" i="38" s="1"/>
  <c r="AJ17" i="39"/>
  <c r="AK10" i="38"/>
  <c r="O46" i="39"/>
  <c r="O48" i="39" s="1"/>
  <c r="O11" i="38"/>
  <c r="O20" i="38" s="1"/>
  <c r="Q40" i="39"/>
  <c r="Q41" i="39" s="1"/>
  <c r="Q6" i="38" s="1"/>
  <c r="Q144" i="36" s="1"/>
  <c r="P6" i="38"/>
  <c r="P144" i="36" s="1"/>
  <c r="AJ56" i="38"/>
  <c r="AK56" i="38" s="1"/>
  <c r="K53" i="38"/>
  <c r="K43" i="38"/>
  <c r="N53" i="38"/>
  <c r="N43" i="38"/>
  <c r="AI56" i="38"/>
  <c r="AI21" i="39"/>
  <c r="AJ23" i="38"/>
  <c r="AR55" i="38"/>
  <c r="AS55" i="38" s="1"/>
  <c r="AH72" i="48" l="1"/>
  <c r="AH72" i="53" s="1"/>
  <c r="AG105" i="53"/>
  <c r="AI12" i="48"/>
  <c r="AL35" i="49"/>
  <c r="AL35" i="54" s="1"/>
  <c r="AL30" i="54"/>
  <c r="AF137" i="48"/>
  <c r="AF137" i="53" s="1"/>
  <c r="AH15" i="48"/>
  <c r="AH15" i="53" s="1"/>
  <c r="AG71" i="53"/>
  <c r="AF19" i="48"/>
  <c r="AF19" i="53" s="1"/>
  <c r="AF141" i="48"/>
  <c r="AF141" i="53" s="1"/>
  <c r="AJ7" i="50"/>
  <c r="AJ66" i="48" s="1"/>
  <c r="AL37" i="50"/>
  <c r="AL37" i="55" s="1"/>
  <c r="AL35" i="55"/>
  <c r="AI105" i="48"/>
  <c r="AI103" i="53"/>
  <c r="AI130" i="48"/>
  <c r="AG17" i="48"/>
  <c r="AG15" i="53"/>
  <c r="AI15" i="48"/>
  <c r="AI12" i="53"/>
  <c r="AJ99" i="48"/>
  <c r="AJ99" i="53" s="1"/>
  <c r="AI70" i="48"/>
  <c r="AQ97" i="48"/>
  <c r="AP97" i="53"/>
  <c r="AQ100" i="48"/>
  <c r="AQ96" i="48"/>
  <c r="AQ96" i="53" s="1"/>
  <c r="AQ95" i="53"/>
  <c r="AM16" i="50"/>
  <c r="AM16" i="55" s="1"/>
  <c r="AM9" i="54"/>
  <c r="AP13" i="48"/>
  <c r="AP67" i="53"/>
  <c r="AQ10" i="48"/>
  <c r="AQ10" i="53" s="1"/>
  <c r="AP10" i="53"/>
  <c r="AQ68" i="48"/>
  <c r="AQ68" i="53" s="1"/>
  <c r="AQ67" i="53"/>
  <c r="AQ8" i="48"/>
  <c r="AQ5" i="53"/>
  <c r="AQ63" i="48"/>
  <c r="AQ63" i="53" s="1"/>
  <c r="AQ62" i="53"/>
  <c r="AT134" i="48"/>
  <c r="AT134" i="53" s="1"/>
  <c r="AT6" i="53"/>
  <c r="AR8" i="48"/>
  <c r="AR8" i="53" s="1"/>
  <c r="AT74" i="48"/>
  <c r="AT76" i="48" s="1"/>
  <c r="AT78" i="48" s="1"/>
  <c r="AT78" i="53" s="1"/>
  <c r="AS90" i="48"/>
  <c r="AP12" i="50"/>
  <c r="AP25" i="50"/>
  <c r="AP8" i="49"/>
  <c r="AP8" i="54" s="1"/>
  <c r="AP140" i="48"/>
  <c r="AP140" i="53" s="1"/>
  <c r="AS76" i="48"/>
  <c r="AS78" i="48" s="1"/>
  <c r="AS78" i="53" s="1"/>
  <c r="AR64" i="48"/>
  <c r="AR64" i="53" s="1"/>
  <c r="AR60" i="48"/>
  <c r="AR60" i="53" s="1"/>
  <c r="AR67" i="48"/>
  <c r="AR67" i="53" s="1"/>
  <c r="AU6" i="48"/>
  <c r="AR93" i="48"/>
  <c r="AR93" i="53" s="1"/>
  <c r="AR97" i="48"/>
  <c r="AR97" i="53" s="1"/>
  <c r="AR100" i="48"/>
  <c r="AR100" i="53" s="1"/>
  <c r="AT41" i="48"/>
  <c r="AS57" i="48"/>
  <c r="AR133" i="48"/>
  <c r="AR133" i="53" s="1"/>
  <c r="AP9" i="48"/>
  <c r="AP9" i="53" s="1"/>
  <c r="AQ60" i="48"/>
  <c r="AQ60" i="53" s="1"/>
  <c r="AN16" i="50"/>
  <c r="AN16" i="55" s="1"/>
  <c r="AN18" i="50"/>
  <c r="AN18" i="55" s="1"/>
  <c r="AN30" i="49"/>
  <c r="AP11" i="48"/>
  <c r="AM53" i="49"/>
  <c r="AN53" i="49"/>
  <c r="AQ93" i="48"/>
  <c r="AQ93" i="53" s="1"/>
  <c r="AO22" i="49"/>
  <c r="AO22" i="54" s="1"/>
  <c r="AO9" i="49"/>
  <c r="X27" i="50"/>
  <c r="AN35" i="50"/>
  <c r="AN35" i="55" s="1"/>
  <c r="AM37" i="50"/>
  <c r="AM37" i="55" s="1"/>
  <c r="AM18" i="50"/>
  <c r="AM18" i="55" s="1"/>
  <c r="AM30" i="49"/>
  <c r="AR10" i="48"/>
  <c r="AR10" i="53" s="1"/>
  <c r="AV54" i="48"/>
  <c r="AV54" i="53" s="1"/>
  <c r="AQ64" i="48"/>
  <c r="AS43" i="48"/>
  <c r="AS45" i="48" s="1"/>
  <c r="AS45" i="53" s="1"/>
  <c r="AM37" i="49"/>
  <c r="AM37" i="54" s="1"/>
  <c r="AL37" i="49"/>
  <c r="AL37" i="54" s="1"/>
  <c r="AS63" i="42"/>
  <c r="AS63" i="45" s="1"/>
  <c r="AS47" i="43"/>
  <c r="AS47" i="46" s="1"/>
  <c r="AL155" i="41"/>
  <c r="AL155" i="44" s="1"/>
  <c r="AT173" i="41"/>
  <c r="AS173" i="44"/>
  <c r="AR28" i="41"/>
  <c r="AR28" i="44" s="1"/>
  <c r="AR172" i="44"/>
  <c r="AS170" i="41"/>
  <c r="AS170" i="44" s="1"/>
  <c r="AS168" i="44"/>
  <c r="AQ28" i="41"/>
  <c r="AQ28" i="44" s="1"/>
  <c r="AP28" i="44"/>
  <c r="AQ121" i="41"/>
  <c r="AQ121" i="44" s="1"/>
  <c r="AQ120" i="44"/>
  <c r="AS102" i="44"/>
  <c r="AT102" i="41"/>
  <c r="AP121" i="41"/>
  <c r="AP121" i="44" s="1"/>
  <c r="AP120" i="44"/>
  <c r="AS118" i="41"/>
  <c r="AS117" i="44"/>
  <c r="AT117" i="41"/>
  <c r="AR118" i="44"/>
  <c r="AR120" i="41"/>
  <c r="AT145" i="41"/>
  <c r="AS145" i="44"/>
  <c r="AS22" i="41"/>
  <c r="AS22" i="44" s="1"/>
  <c r="AC144" i="41"/>
  <c r="AA144" i="44"/>
  <c r="AR129" i="44"/>
  <c r="AS129" i="41"/>
  <c r="AQ10" i="43"/>
  <c r="AQ10" i="46" s="1"/>
  <c r="AS9" i="43"/>
  <c r="AS16" i="44"/>
  <c r="AO87" i="41"/>
  <c r="AO87" i="44" s="1"/>
  <c r="AO85" i="44"/>
  <c r="AQ90" i="41"/>
  <c r="AQ90" i="44" s="1"/>
  <c r="AK90" i="44"/>
  <c r="AM78" i="41"/>
  <c r="AM78" i="44" s="1"/>
  <c r="AM76" i="44"/>
  <c r="AK76" i="44"/>
  <c r="AM54" i="41"/>
  <c r="AM54" i="44" s="1"/>
  <c r="AM52" i="44"/>
  <c r="AL6" i="41"/>
  <c r="AL6" i="44" s="1"/>
  <c r="AK6" i="44"/>
  <c r="AK54" i="44"/>
  <c r="AL54" i="41"/>
  <c r="AL54" i="44" s="1"/>
  <c r="AG63" i="41"/>
  <c r="AG63" i="44" s="1"/>
  <c r="AG62" i="44"/>
  <c r="AI8" i="41"/>
  <c r="AI8" i="44" s="1"/>
  <c r="AI5" i="44"/>
  <c r="AI133" i="44" s="1"/>
  <c r="AE10" i="44"/>
  <c r="AG46" i="41"/>
  <c r="AG46" i="44" s="1"/>
  <c r="AG45" i="44"/>
  <c r="AH45" i="44"/>
  <c r="AH46" i="41"/>
  <c r="AH46" i="44" s="1"/>
  <c r="AH62" i="41"/>
  <c r="AH5" i="41"/>
  <c r="AH59" i="41"/>
  <c r="AE8" i="44"/>
  <c r="AE25" i="43"/>
  <c r="AE8" i="42"/>
  <c r="AE140" i="41"/>
  <c r="AE140" i="44" s="1"/>
  <c r="AE12" i="43"/>
  <c r="AF62" i="44"/>
  <c r="AE13" i="41"/>
  <c r="AE67" i="44"/>
  <c r="AE60" i="44"/>
  <c r="AE9" i="41"/>
  <c r="AI10" i="41"/>
  <c r="AI10" i="44" s="1"/>
  <c r="AI62" i="44"/>
  <c r="AD16" i="43"/>
  <c r="AD16" i="46" s="1"/>
  <c r="AD9" i="45"/>
  <c r="AE11" i="41"/>
  <c r="AE64" i="44"/>
  <c r="AI59" i="41"/>
  <c r="AI59" i="44" s="1"/>
  <c r="AF59" i="44"/>
  <c r="AF67" i="41"/>
  <c r="AG67" i="41" s="1"/>
  <c r="AF64" i="41"/>
  <c r="AF60" i="41"/>
  <c r="AG60" i="41" s="1"/>
  <c r="AG59" i="41"/>
  <c r="AG59" i="44" s="1"/>
  <c r="AO56" i="45"/>
  <c r="AP56" i="42"/>
  <c r="X142" i="41"/>
  <c r="X142" i="44" s="1"/>
  <c r="AS40" i="42"/>
  <c r="AR40" i="45"/>
  <c r="AT39" i="42"/>
  <c r="AS39" i="45"/>
  <c r="AU34" i="42"/>
  <c r="AT34" i="45"/>
  <c r="AU33" i="42"/>
  <c r="AT33" i="45"/>
  <c r="AT32" i="42"/>
  <c r="AS32" i="45"/>
  <c r="AT31" i="42"/>
  <c r="AT63" i="42" s="1"/>
  <c r="AT63" i="45" s="1"/>
  <c r="AS31" i="45"/>
  <c r="AR8" i="43"/>
  <c r="AR8" i="46" s="1"/>
  <c r="AR16" i="45"/>
  <c r="AQ8" i="43"/>
  <c r="AQ8" i="46" s="1"/>
  <c r="AP8" i="46"/>
  <c r="AS26" i="42"/>
  <c r="AR26" i="45"/>
  <c r="AU24" i="42"/>
  <c r="AT24" i="45"/>
  <c r="AT19" i="42"/>
  <c r="AS19" i="45"/>
  <c r="AT18" i="42"/>
  <c r="AS18" i="45"/>
  <c r="AS15" i="42"/>
  <c r="AR15" i="45"/>
  <c r="AQ17" i="43"/>
  <c r="AQ17" i="46" s="1"/>
  <c r="AP17" i="46"/>
  <c r="AS53" i="43"/>
  <c r="AR53" i="46"/>
  <c r="AK31" i="41"/>
  <c r="AK31" i="44" s="1"/>
  <c r="AT26" i="41"/>
  <c r="AS26" i="44"/>
  <c r="Z99" i="44"/>
  <c r="Z103" i="41"/>
  <c r="Y15" i="41"/>
  <c r="Y12" i="44"/>
  <c r="Y105" i="41"/>
  <c r="Y103" i="44"/>
  <c r="Y71" i="41"/>
  <c r="Y70" i="44"/>
  <c r="Z66" i="44"/>
  <c r="Z12" i="41"/>
  <c r="Z70" i="41"/>
  <c r="Z14" i="45"/>
  <c r="AA7" i="43"/>
  <c r="AA99" i="41" s="1"/>
  <c r="Y131" i="41"/>
  <c r="Y131" i="44" s="1"/>
  <c r="Y130" i="44"/>
  <c r="V34" i="41"/>
  <c r="V29" i="44"/>
  <c r="Z127" i="44"/>
  <c r="Z130" i="41"/>
  <c r="AL58" i="43"/>
  <c r="AL58" i="46" s="1"/>
  <c r="AK58" i="46"/>
  <c r="AM134" i="44"/>
  <c r="AP136" i="44"/>
  <c r="AU119" i="41"/>
  <c r="AU119" i="44" s="1"/>
  <c r="AT16" i="41"/>
  <c r="AT16" i="44" s="1"/>
  <c r="AM79" i="41"/>
  <c r="AM79" i="44" s="1"/>
  <c r="AM95" i="41"/>
  <c r="AM95" i="44" s="1"/>
  <c r="AM92" i="41"/>
  <c r="AM92" i="44" s="1"/>
  <c r="V22" i="43"/>
  <c r="V38" i="45"/>
  <c r="W6" i="43"/>
  <c r="AS172" i="41"/>
  <c r="AN74" i="41"/>
  <c r="AN74" i="44" s="1"/>
  <c r="AM90" i="41"/>
  <c r="AM90" i="44" s="1"/>
  <c r="W143" i="41"/>
  <c r="W143" i="44" s="1"/>
  <c r="W29" i="41"/>
  <c r="W29" i="44" s="1"/>
  <c r="AU165" i="41"/>
  <c r="AT168" i="41"/>
  <c r="AI133" i="41"/>
  <c r="AR10" i="43"/>
  <c r="AR10" i="46" s="1"/>
  <c r="AD18" i="43"/>
  <c r="AD18" i="46" s="1"/>
  <c r="AD30" i="42"/>
  <c r="AR17" i="43"/>
  <c r="AR17" i="46" s="1"/>
  <c r="AS10" i="42"/>
  <c r="AS10" i="45" s="1"/>
  <c r="V33" i="41"/>
  <c r="V32" i="41"/>
  <c r="V32" i="44" s="1"/>
  <c r="AK134" i="41"/>
  <c r="AK41" i="41"/>
  <c r="AK41" i="44" s="1"/>
  <c r="AJ57" i="41"/>
  <c r="AJ57" i="44" s="1"/>
  <c r="W25" i="41"/>
  <c r="AJ43" i="41"/>
  <c r="AM6" i="41"/>
  <c r="AM6" i="44" s="1"/>
  <c r="AK30" i="41"/>
  <c r="AK30" i="44" s="1"/>
  <c r="AO33" i="43"/>
  <c r="AO33" i="46" s="1"/>
  <c r="AD53" i="42"/>
  <c r="AD53" i="45" s="1"/>
  <c r="AO50" i="41"/>
  <c r="AO50" i="44" s="1"/>
  <c r="AN52" i="41"/>
  <c r="AN57" i="43"/>
  <c r="AN57" i="46" s="1"/>
  <c r="AS19" i="43"/>
  <c r="AS19" i="46" s="1"/>
  <c r="AT27" i="42"/>
  <c r="AT27" i="45" s="1"/>
  <c r="AS16" i="42"/>
  <c r="AC53" i="42"/>
  <c r="AC53" i="45" s="1"/>
  <c r="AR20" i="43"/>
  <c r="AS25" i="42"/>
  <c r="AS13" i="42"/>
  <c r="AS13" i="45" s="1"/>
  <c r="AS35" i="41"/>
  <c r="AS21" i="43"/>
  <c r="AS21" i="46" s="1"/>
  <c r="AT23" i="42"/>
  <c r="AT23" i="45" s="1"/>
  <c r="AU28" i="42"/>
  <c r="AU28" i="45" s="1"/>
  <c r="AM155" i="41"/>
  <c r="AM155" i="44" s="1"/>
  <c r="AN153" i="41"/>
  <c r="AN153" i="44" s="1"/>
  <c r="AS14" i="41"/>
  <c r="AS14" i="44" s="1"/>
  <c r="AT69" i="41"/>
  <c r="AT69" i="44" s="1"/>
  <c r="AQ83" i="41"/>
  <c r="AQ83" i="44" s="1"/>
  <c r="AP85" i="41"/>
  <c r="AR83" i="41"/>
  <c r="AR83" i="44" s="1"/>
  <c r="AK22" i="36"/>
  <c r="AM56" i="38"/>
  <c r="S144" i="36"/>
  <c r="AJ29" i="39"/>
  <c r="AJ47" i="39"/>
  <c r="AJ63" i="38"/>
  <c r="AK28" i="38"/>
  <c r="AK19" i="39"/>
  <c r="AL19" i="39" s="1"/>
  <c r="AL27" i="38"/>
  <c r="AM27" i="38"/>
  <c r="AK16" i="38"/>
  <c r="AI20" i="39"/>
  <c r="AJ25" i="38"/>
  <c r="AJ21" i="39"/>
  <c r="AK23" i="38"/>
  <c r="O53" i="38"/>
  <c r="O43" i="38"/>
  <c r="S46" i="39"/>
  <c r="S48" i="39" s="1"/>
  <c r="S11" i="38"/>
  <c r="S20" i="38" s="1"/>
  <c r="AN56" i="38"/>
  <c r="AK17" i="39"/>
  <c r="AL17" i="39" s="1"/>
  <c r="AM10" i="38"/>
  <c r="AL10" i="38"/>
  <c r="AU55" i="38"/>
  <c r="U40" i="39"/>
  <c r="U41" i="39" s="1"/>
  <c r="T6" i="38"/>
  <c r="T144" i="36" s="1"/>
  <c r="Q46" i="39"/>
  <c r="Q48" i="39" s="1"/>
  <c r="Q11" i="38"/>
  <c r="Q20" i="38" s="1"/>
  <c r="R6" i="38"/>
  <c r="AT55" i="38"/>
  <c r="P46" i="39"/>
  <c r="P48" i="39" s="1"/>
  <c r="P11" i="38"/>
  <c r="P20" i="38" s="1"/>
  <c r="AR54" i="38"/>
  <c r="AK13" i="38"/>
  <c r="AH17" i="48" l="1"/>
  <c r="AH17" i="53" s="1"/>
  <c r="AF142" i="48"/>
  <c r="AF142" i="53" s="1"/>
  <c r="AJ66" i="53"/>
  <c r="AJ70" i="48"/>
  <c r="AJ70" i="53" s="1"/>
  <c r="AJ127" i="48"/>
  <c r="AJ127" i="53" s="1"/>
  <c r="AJ103" i="48"/>
  <c r="AJ7" i="55"/>
  <c r="AJ14" i="49"/>
  <c r="AJ14" i="54" s="1"/>
  <c r="X39" i="50"/>
  <c r="X27" i="55"/>
  <c r="AI17" i="48"/>
  <c r="AI15" i="53"/>
  <c r="AG17" i="53"/>
  <c r="AG19" i="48"/>
  <c r="AG141" i="48"/>
  <c r="AG141" i="53" s="1"/>
  <c r="AH137" i="48"/>
  <c r="AH137" i="53" s="1"/>
  <c r="AI106" i="48"/>
  <c r="AI106" i="53" s="1"/>
  <c r="AI105" i="53"/>
  <c r="AI131" i="48"/>
  <c r="AI131" i="53" s="1"/>
  <c r="AI130" i="53"/>
  <c r="AJ105" i="48"/>
  <c r="AJ103" i="53"/>
  <c r="AJ130" i="48"/>
  <c r="AI71" i="48"/>
  <c r="AI70" i="53"/>
  <c r="AQ101" i="48"/>
  <c r="AQ101" i="53" s="1"/>
  <c r="AQ100" i="53"/>
  <c r="AQ98" i="48"/>
  <c r="AQ98" i="53" s="1"/>
  <c r="AQ97" i="53"/>
  <c r="AQ11" i="48"/>
  <c r="AQ11" i="53" s="1"/>
  <c r="AP11" i="53"/>
  <c r="AN35" i="49"/>
  <c r="AN35" i="54" s="1"/>
  <c r="AN30" i="54"/>
  <c r="AQ8" i="53"/>
  <c r="AM35" i="49"/>
  <c r="AM35" i="54" s="1"/>
  <c r="AM30" i="54"/>
  <c r="AQ25" i="50"/>
  <c r="AP25" i="55"/>
  <c r="AQ12" i="50"/>
  <c r="AQ12" i="55" s="1"/>
  <c r="AP12" i="55"/>
  <c r="AQ65" i="48"/>
  <c r="AQ65" i="53" s="1"/>
  <c r="AQ64" i="53"/>
  <c r="AQ9" i="48"/>
  <c r="AQ9" i="53" s="1"/>
  <c r="AQ13" i="48"/>
  <c r="AQ13" i="53" s="1"/>
  <c r="AP13" i="53"/>
  <c r="AO16" i="50"/>
  <c r="AO16" i="55" s="1"/>
  <c r="AO9" i="54"/>
  <c r="AQ140" i="48"/>
  <c r="AQ140" i="53" s="1"/>
  <c r="AV6" i="48"/>
  <c r="AV6" i="53" s="1"/>
  <c r="AU6" i="53"/>
  <c r="AT79" i="48"/>
  <c r="AT79" i="53" s="1"/>
  <c r="AT95" i="48"/>
  <c r="AT95" i="53" s="1"/>
  <c r="AT92" i="48"/>
  <c r="AT92" i="53" s="1"/>
  <c r="AQ61" i="48"/>
  <c r="AQ61" i="53" s="1"/>
  <c r="AU134" i="48"/>
  <c r="AU134" i="53" s="1"/>
  <c r="AP22" i="49"/>
  <c r="AP22" i="54" s="1"/>
  <c r="AP9" i="49"/>
  <c r="AP9" i="54" s="1"/>
  <c r="AR13" i="48"/>
  <c r="AR13" i="53" s="1"/>
  <c r="AR9" i="48"/>
  <c r="AR9" i="53" s="1"/>
  <c r="AU74" i="48"/>
  <c r="AT90" i="48"/>
  <c r="AR11" i="48"/>
  <c r="AR11" i="53" s="1"/>
  <c r="AR12" i="50"/>
  <c r="AR12" i="55" s="1"/>
  <c r="AR25" i="50"/>
  <c r="AR25" i="55" s="1"/>
  <c r="AR8" i="49"/>
  <c r="AR140" i="48"/>
  <c r="AR140" i="53" s="1"/>
  <c r="AS46" i="48"/>
  <c r="AS46" i="53" s="1"/>
  <c r="AS5" i="48"/>
  <c r="AS5" i="53" s="1"/>
  <c r="AS62" i="48"/>
  <c r="AS62" i="53" s="1"/>
  <c r="AS59" i="48"/>
  <c r="AS59" i="53" s="1"/>
  <c r="AO35" i="50"/>
  <c r="AO35" i="55" s="1"/>
  <c r="AN37" i="50"/>
  <c r="AN37" i="55" s="1"/>
  <c r="AU41" i="48"/>
  <c r="AT57" i="48"/>
  <c r="AS79" i="48"/>
  <c r="AS79" i="53" s="1"/>
  <c r="AS95" i="48"/>
  <c r="AS95" i="53" s="1"/>
  <c r="AS92" i="48"/>
  <c r="AS92" i="53" s="1"/>
  <c r="AT43" i="48"/>
  <c r="AT45" i="48" s="1"/>
  <c r="AT45" i="53" s="1"/>
  <c r="AP15" i="50"/>
  <c r="AQ8" i="49"/>
  <c r="AQ8" i="54" s="1"/>
  <c r="AQ94" i="48"/>
  <c r="AQ94" i="53" s="1"/>
  <c r="AN37" i="49"/>
  <c r="AN37" i="54" s="1"/>
  <c r="AO53" i="49"/>
  <c r="AO18" i="50"/>
  <c r="AO18" i="55" s="1"/>
  <c r="AO30" i="49"/>
  <c r="AT29" i="43"/>
  <c r="AT29" i="46" s="1"/>
  <c r="AT47" i="43"/>
  <c r="AT47" i="46" s="1"/>
  <c r="AM31" i="41"/>
  <c r="AM31" i="44" s="1"/>
  <c r="AS18" i="41"/>
  <c r="AS18" i="44" s="1"/>
  <c r="AU173" i="41"/>
  <c r="AU173" i="44" s="1"/>
  <c r="AT173" i="44"/>
  <c r="AS28" i="41"/>
  <c r="AS28" i="44" s="1"/>
  <c r="AS172" i="44"/>
  <c r="AT170" i="41"/>
  <c r="AT170" i="44" s="1"/>
  <c r="AT168" i="44"/>
  <c r="AU168" i="41"/>
  <c r="AU165" i="44"/>
  <c r="AR121" i="41"/>
  <c r="AR121" i="44" s="1"/>
  <c r="AR120" i="44"/>
  <c r="AT117" i="44"/>
  <c r="AT118" i="41"/>
  <c r="AU117" i="41"/>
  <c r="AS118" i="44"/>
  <c r="AS120" i="41"/>
  <c r="AT102" i="44"/>
  <c r="AU102" i="41"/>
  <c r="AD144" i="41"/>
  <c r="AC144" i="44"/>
  <c r="AU145" i="41"/>
  <c r="AT145" i="44"/>
  <c r="AT22" i="41"/>
  <c r="AT22" i="44" s="1"/>
  <c r="AS129" i="44"/>
  <c r="AT129" i="41"/>
  <c r="AT14" i="41" s="1"/>
  <c r="AS10" i="43"/>
  <c r="AS10" i="46" s="1"/>
  <c r="AS9" i="46"/>
  <c r="AP87" i="41"/>
  <c r="AP85" i="44"/>
  <c r="AK134" i="44"/>
  <c r="AN54" i="41"/>
  <c r="AN54" i="44" s="1"/>
  <c r="AN52" i="44"/>
  <c r="AM134" i="41"/>
  <c r="AI8" i="42"/>
  <c r="AI8" i="45" s="1"/>
  <c r="AI12" i="43"/>
  <c r="AI12" i="46" s="1"/>
  <c r="AI140" i="41"/>
  <c r="AI140" i="44" s="1"/>
  <c r="AG68" i="41"/>
  <c r="AG68" i="44" s="1"/>
  <c r="AG67" i="44"/>
  <c r="AF64" i="44"/>
  <c r="AE13" i="44"/>
  <c r="AG60" i="44"/>
  <c r="AG61" i="41"/>
  <c r="AG61" i="44" s="1"/>
  <c r="AE9" i="44"/>
  <c r="AE9" i="42"/>
  <c r="AE22" i="42"/>
  <c r="AF67" i="44"/>
  <c r="AE12" i="46"/>
  <c r="AG64" i="41"/>
  <c r="AE8" i="45"/>
  <c r="AE15" i="43"/>
  <c r="AE11" i="44"/>
  <c r="AE25" i="46"/>
  <c r="AJ45" i="41"/>
  <c r="AJ45" i="44" s="1"/>
  <c r="AJ43" i="44"/>
  <c r="AH59" i="44"/>
  <c r="AH64" i="41"/>
  <c r="AH67" i="41"/>
  <c r="AH60" i="41"/>
  <c r="AI67" i="41"/>
  <c r="AH5" i="44"/>
  <c r="AH133" i="44" s="1"/>
  <c r="AH133" i="41"/>
  <c r="AH8" i="41"/>
  <c r="AF60" i="44"/>
  <c r="AI60" i="41"/>
  <c r="AI60" i="44" s="1"/>
  <c r="AI64" i="41"/>
  <c r="AI25" i="43"/>
  <c r="AI25" i="46" s="1"/>
  <c r="AH62" i="44"/>
  <c r="AH10" i="41"/>
  <c r="AH10" i="44" s="1"/>
  <c r="AP56" i="45"/>
  <c r="AR56" i="42"/>
  <c r="AR56" i="45" s="1"/>
  <c r="AS56" i="42"/>
  <c r="AS56" i="45" s="1"/>
  <c r="AT40" i="42"/>
  <c r="AS40" i="45"/>
  <c r="AU39" i="42"/>
  <c r="AT39" i="45"/>
  <c r="AV34" i="42"/>
  <c r="AV34" i="45" s="1"/>
  <c r="AU34" i="45"/>
  <c r="AV33" i="42"/>
  <c r="AV33" i="45" s="1"/>
  <c r="AU33" i="45"/>
  <c r="AU32" i="42"/>
  <c r="AT32" i="45"/>
  <c r="AU31" i="42"/>
  <c r="AT31" i="45"/>
  <c r="AS8" i="43"/>
  <c r="AS8" i="46" s="1"/>
  <c r="AS16" i="45"/>
  <c r="AT26" i="42"/>
  <c r="AS26" i="45"/>
  <c r="AV24" i="42"/>
  <c r="AV24" i="45" s="1"/>
  <c r="AU24" i="45"/>
  <c r="AD35" i="42"/>
  <c r="AD35" i="45" s="1"/>
  <c r="AD30" i="45"/>
  <c r="AU19" i="42"/>
  <c r="AT19" i="45"/>
  <c r="AU18" i="42"/>
  <c r="AT18" i="45"/>
  <c r="AT15" i="42"/>
  <c r="AS15" i="45"/>
  <c r="AT53" i="43"/>
  <c r="AS53" i="46"/>
  <c r="AU26" i="41"/>
  <c r="AT26" i="44"/>
  <c r="AA99" i="44"/>
  <c r="AB99" i="41"/>
  <c r="Z12" i="44"/>
  <c r="Z15" i="41"/>
  <c r="V146" i="41"/>
  <c r="V146" i="44" s="1"/>
  <c r="V33" i="44"/>
  <c r="AA127" i="41"/>
  <c r="Z71" i="41"/>
  <c r="Z70" i="44"/>
  <c r="Y71" i="44"/>
  <c r="Y72" i="41"/>
  <c r="Y72" i="44" s="1"/>
  <c r="W22" i="43"/>
  <c r="W6" i="46"/>
  <c r="W27" i="41"/>
  <c r="W27" i="44" s="1"/>
  <c r="W25" i="44"/>
  <c r="Y106" i="41"/>
  <c r="Y106" i="44" s="1"/>
  <c r="Y105" i="44"/>
  <c r="V147" i="41"/>
  <c r="V147" i="44" s="1"/>
  <c r="V34" i="44"/>
  <c r="Y17" i="41"/>
  <c r="Y137" i="41" s="1"/>
  <c r="Y15" i="44"/>
  <c r="V22" i="46"/>
  <c r="Z131" i="41"/>
  <c r="Z131" i="44" s="1"/>
  <c r="Z130" i="44"/>
  <c r="Z105" i="41"/>
  <c r="Z103" i="44"/>
  <c r="AA7" i="46"/>
  <c r="AB7" i="43"/>
  <c r="AB7" i="46" s="1"/>
  <c r="AA66" i="41"/>
  <c r="AT35" i="41"/>
  <c r="AS35" i="44"/>
  <c r="AS136" i="44"/>
  <c r="AR136" i="44"/>
  <c r="AS17" i="43"/>
  <c r="AS17" i="46" s="1"/>
  <c r="AT10" i="42"/>
  <c r="AT10" i="45" s="1"/>
  <c r="AM100" i="41"/>
  <c r="AM100" i="44" s="1"/>
  <c r="AM97" i="41"/>
  <c r="AM97" i="44" s="1"/>
  <c r="AM93" i="41"/>
  <c r="AM93" i="44" s="1"/>
  <c r="AT13" i="42"/>
  <c r="AT13" i="45" s="1"/>
  <c r="AO74" i="41"/>
  <c r="AO74" i="44" s="1"/>
  <c r="AN90" i="41"/>
  <c r="AN90" i="44" s="1"/>
  <c r="AN76" i="41"/>
  <c r="AT9" i="43"/>
  <c r="AT9" i="46" s="1"/>
  <c r="AU16" i="41"/>
  <c r="AT136" i="41"/>
  <c r="AN6" i="41"/>
  <c r="AN6" i="44" s="1"/>
  <c r="AN134" i="44" s="1"/>
  <c r="AS20" i="43"/>
  <c r="AT25" i="42"/>
  <c r="AN155" i="41"/>
  <c r="AO153" i="41"/>
  <c r="AO153" i="44" s="1"/>
  <c r="AM43" i="41"/>
  <c r="AM41" i="41"/>
  <c r="AM41" i="44" s="1"/>
  <c r="AL41" i="41"/>
  <c r="AK57" i="41"/>
  <c r="AK57" i="44" s="1"/>
  <c r="AT21" i="43"/>
  <c r="AT21" i="46" s="1"/>
  <c r="AU23" i="42"/>
  <c r="AU23" i="45" s="1"/>
  <c r="AO57" i="43"/>
  <c r="AO57" i="46" s="1"/>
  <c r="AK43" i="41"/>
  <c r="W38" i="42"/>
  <c r="V41" i="42"/>
  <c r="V41" i="45" s="1"/>
  <c r="AU69" i="41"/>
  <c r="AM30" i="41"/>
  <c r="AM30" i="44" s="1"/>
  <c r="AP33" i="43"/>
  <c r="AP33" i="46" s="1"/>
  <c r="AE53" i="42"/>
  <c r="AE53" i="45" s="1"/>
  <c r="AP50" i="41"/>
  <c r="AP50" i="44" s="1"/>
  <c r="AO52" i="41"/>
  <c r="AU47" i="43"/>
  <c r="AU47" i="46" s="1"/>
  <c r="AU29" i="43"/>
  <c r="AU29" i="46" s="1"/>
  <c r="AU63" i="42"/>
  <c r="AU63" i="45" s="1"/>
  <c r="AV28" i="42"/>
  <c r="AV28" i="45" s="1"/>
  <c r="AR85" i="41"/>
  <c r="AS83" i="41"/>
  <c r="AS83" i="44" s="1"/>
  <c r="AT19" i="43"/>
  <c r="AT19" i="46" s="1"/>
  <c r="AU27" i="42"/>
  <c r="AU27" i="45" s="1"/>
  <c r="AT16" i="42"/>
  <c r="AV119" i="41"/>
  <c r="AV119" i="44" s="1"/>
  <c r="AM22" i="36"/>
  <c r="AT54" i="38"/>
  <c r="V40" i="39"/>
  <c r="U6" i="38"/>
  <c r="AS54" i="38"/>
  <c r="R46" i="39"/>
  <c r="R11" i="38"/>
  <c r="R20" i="38" s="1"/>
  <c r="R43" i="38" s="1"/>
  <c r="AU54" i="38"/>
  <c r="AM17" i="39"/>
  <c r="AN10" i="38"/>
  <c r="P53" i="38"/>
  <c r="P43" i="38"/>
  <c r="Q53" i="38"/>
  <c r="Q43" i="38"/>
  <c r="S53" i="38"/>
  <c r="S43" i="38"/>
  <c r="AJ20" i="39"/>
  <c r="AK25" i="38"/>
  <c r="AK47" i="39"/>
  <c r="AK63" i="38"/>
  <c r="AK29" i="39"/>
  <c r="AL29" i="39" s="1"/>
  <c r="AM28" i="38"/>
  <c r="AL28" i="38"/>
  <c r="AK21" i="39"/>
  <c r="AL21" i="39" s="1"/>
  <c r="AM23" i="38"/>
  <c r="AL23" i="38"/>
  <c r="AM13" i="38"/>
  <c r="AL13" i="38"/>
  <c r="AK8" i="39"/>
  <c r="AL8" i="39" s="1"/>
  <c r="AL16" i="38"/>
  <c r="AO56" i="38"/>
  <c r="AP56" i="38" s="1"/>
  <c r="AM19" i="39"/>
  <c r="AN27" i="38"/>
  <c r="AM16" i="38"/>
  <c r="AM8" i="39" s="1"/>
  <c r="T46" i="39"/>
  <c r="T48" i="39" s="1"/>
  <c r="T11" i="38"/>
  <c r="T20" i="38" s="1"/>
  <c r="AJ71" i="48" l="1"/>
  <c r="AJ71" i="53" s="1"/>
  <c r="AH19" i="48"/>
  <c r="AH141" i="48"/>
  <c r="AH141" i="53" s="1"/>
  <c r="AK7" i="50"/>
  <c r="AK7" i="55" s="1"/>
  <c r="AJ12" i="48"/>
  <c r="AI71" i="53"/>
  <c r="AI72" i="48"/>
  <c r="AI72" i="53" s="1"/>
  <c r="AI137" i="48"/>
  <c r="AI137" i="53" s="1"/>
  <c r="AJ106" i="48"/>
  <c r="AJ106" i="53" s="1"/>
  <c r="AJ105" i="53"/>
  <c r="AI17" i="53"/>
  <c r="AI141" i="48"/>
  <c r="AI141" i="53" s="1"/>
  <c r="AI19" i="48"/>
  <c r="AG19" i="53"/>
  <c r="AG142" i="48"/>
  <c r="AG142" i="53" s="1"/>
  <c r="AG65" i="49"/>
  <c r="AK14" i="49"/>
  <c r="AK14" i="54" s="1"/>
  <c r="AJ131" i="48"/>
  <c r="AJ130" i="53"/>
  <c r="X41" i="50"/>
  <c r="X39" i="55"/>
  <c r="AQ56" i="50"/>
  <c r="AQ56" i="55" s="1"/>
  <c r="AQ25" i="55"/>
  <c r="AQ15" i="50"/>
  <c r="AQ15" i="55" s="1"/>
  <c r="AP15" i="55"/>
  <c r="AO35" i="49"/>
  <c r="AO35" i="54" s="1"/>
  <c r="AO30" i="54"/>
  <c r="AR15" i="50"/>
  <c r="AR15" i="55" s="1"/>
  <c r="AR8" i="54"/>
  <c r="AS8" i="48"/>
  <c r="AS8" i="53" s="1"/>
  <c r="AK66" i="48"/>
  <c r="AK66" i="53" s="1"/>
  <c r="AK127" i="48"/>
  <c r="AK127" i="53" s="1"/>
  <c r="AL7" i="50"/>
  <c r="AL7" i="55" s="1"/>
  <c r="AK99" i="48"/>
  <c r="AK99" i="53" s="1"/>
  <c r="AP16" i="50"/>
  <c r="AQ9" i="49"/>
  <c r="AQ9" i="54" s="1"/>
  <c r="AP18" i="50"/>
  <c r="AP30" i="49"/>
  <c r="AQ22" i="49"/>
  <c r="AV41" i="48"/>
  <c r="AU57" i="48"/>
  <c r="AO37" i="49"/>
  <c r="AO37" i="54" s="1"/>
  <c r="AU43" i="48"/>
  <c r="AU45" i="48" s="1"/>
  <c r="AU45" i="53" s="1"/>
  <c r="AP35" i="50"/>
  <c r="AP35" i="55" s="1"/>
  <c r="AO37" i="50"/>
  <c r="AO37" i="55" s="1"/>
  <c r="AP53" i="49"/>
  <c r="AT100" i="48"/>
  <c r="AT100" i="53" s="1"/>
  <c r="AT93" i="48"/>
  <c r="AT93" i="53" s="1"/>
  <c r="AT97" i="48"/>
  <c r="AT97" i="53" s="1"/>
  <c r="AS97" i="48"/>
  <c r="AS97" i="53" s="1"/>
  <c r="AS93" i="48"/>
  <c r="AS93" i="53" s="1"/>
  <c r="AS100" i="48"/>
  <c r="AS100" i="53" s="1"/>
  <c r="AT46" i="48"/>
  <c r="AT46" i="53" s="1"/>
  <c r="AT5" i="48"/>
  <c r="AT62" i="48"/>
  <c r="AT59" i="48"/>
  <c r="AT59" i="53" s="1"/>
  <c r="AV74" i="48"/>
  <c r="AU90" i="48"/>
  <c r="AS64" i="48"/>
  <c r="AS64" i="53" s="1"/>
  <c r="AS60" i="48"/>
  <c r="AS60" i="53" s="1"/>
  <c r="AS67" i="48"/>
  <c r="AS67" i="53" s="1"/>
  <c r="AU76" i="48"/>
  <c r="AU78" i="48" s="1"/>
  <c r="AU78" i="53" s="1"/>
  <c r="AS133" i="48"/>
  <c r="AS133" i="53" s="1"/>
  <c r="AS10" i="48"/>
  <c r="AS10" i="53" s="1"/>
  <c r="AR9" i="49"/>
  <c r="AR22" i="49"/>
  <c r="AR22" i="54" s="1"/>
  <c r="AT18" i="41"/>
  <c r="AT172" i="41"/>
  <c r="AU170" i="41"/>
  <c r="AU168" i="44"/>
  <c r="AT18" i="44"/>
  <c r="AT28" i="41"/>
  <c r="AT172" i="44"/>
  <c r="AV102" i="41"/>
  <c r="AV102" i="44" s="1"/>
  <c r="AU102" i="44"/>
  <c r="AS121" i="41"/>
  <c r="AS121" i="44" s="1"/>
  <c r="AS120" i="44"/>
  <c r="AU118" i="41"/>
  <c r="AU117" i="44"/>
  <c r="AV117" i="41"/>
  <c r="AT120" i="41"/>
  <c r="AT118" i="44"/>
  <c r="AU145" i="44"/>
  <c r="AU22" i="41"/>
  <c r="AU22" i="44" s="1"/>
  <c r="AE144" i="41"/>
  <c r="AD144" i="44"/>
  <c r="AT129" i="44"/>
  <c r="AU129" i="41"/>
  <c r="AU14" i="41" s="1"/>
  <c r="AU9" i="43"/>
  <c r="AU16" i="44"/>
  <c r="AU69" i="44"/>
  <c r="AT14" i="44"/>
  <c r="AR87" i="41"/>
  <c r="AR87" i="44" s="1"/>
  <c r="AR85" i="44"/>
  <c r="AP87" i="44"/>
  <c r="AQ87" i="41"/>
  <c r="AQ87" i="44" s="1"/>
  <c r="AN78" i="41"/>
  <c r="AN78" i="44" s="1"/>
  <c r="AN76" i="44"/>
  <c r="AO54" i="41"/>
  <c r="AO54" i="44" s="1"/>
  <c r="AO52" i="44"/>
  <c r="AE22" i="45"/>
  <c r="AE18" i="43"/>
  <c r="AE30" i="42"/>
  <c r="AE9" i="45"/>
  <c r="AE16" i="43"/>
  <c r="AE16" i="46" s="1"/>
  <c r="AM45" i="41"/>
  <c r="AM45" i="44" s="1"/>
  <c r="AM43" i="44"/>
  <c r="AI11" i="41"/>
  <c r="AI11" i="44" s="1"/>
  <c r="AI64" i="44"/>
  <c r="AH8" i="44"/>
  <c r="AH25" i="43"/>
  <c r="AH25" i="46" s="1"/>
  <c r="AH8" i="42"/>
  <c r="AH12" i="43"/>
  <c r="AH12" i="46" s="1"/>
  <c r="AH140" i="41"/>
  <c r="AH140" i="44" s="1"/>
  <c r="AI13" i="41"/>
  <c r="AI13" i="44" s="1"/>
  <c r="AI67" i="44"/>
  <c r="AE15" i="46"/>
  <c r="AH60" i="44"/>
  <c r="AH9" i="41"/>
  <c r="AK45" i="41"/>
  <c r="AK45" i="44" s="1"/>
  <c r="AK43" i="44"/>
  <c r="AJ59" i="41"/>
  <c r="AJ59" i="44" s="1"/>
  <c r="AH67" i="44"/>
  <c r="AH13" i="41"/>
  <c r="AH13" i="44" s="1"/>
  <c r="AG64" i="44"/>
  <c r="AG65" i="41"/>
  <c r="AG65" i="44" s="1"/>
  <c r="AJ62" i="41"/>
  <c r="AJ62" i="44" s="1"/>
  <c r="AH64" i="44"/>
  <c r="AH11" i="41"/>
  <c r="AH11" i="44" s="1"/>
  <c r="AI9" i="41"/>
  <c r="AI9" i="44" s="1"/>
  <c r="AJ5" i="41"/>
  <c r="AQ139" i="41"/>
  <c r="AQ139" i="44" s="1"/>
  <c r="AL41" i="44"/>
  <c r="AJ46" i="41"/>
  <c r="AJ46" i="44" s="1"/>
  <c r="AT56" i="42"/>
  <c r="AU40" i="42"/>
  <c r="AT40" i="45"/>
  <c r="AV39" i="42"/>
  <c r="AV39" i="45" s="1"/>
  <c r="AU39" i="45"/>
  <c r="AV32" i="42"/>
  <c r="AV32" i="45" s="1"/>
  <c r="AU32" i="45"/>
  <c r="AV31" i="42"/>
  <c r="AV31" i="45" s="1"/>
  <c r="AU31" i="45"/>
  <c r="AT8" i="43"/>
  <c r="AT8" i="46" s="1"/>
  <c r="AT16" i="45"/>
  <c r="AU26" i="42"/>
  <c r="AT26" i="45"/>
  <c r="AV19" i="42"/>
  <c r="AV19" i="45" s="1"/>
  <c r="AU19" i="45"/>
  <c r="AV18" i="42"/>
  <c r="AV18" i="45" s="1"/>
  <c r="AU18" i="45"/>
  <c r="AU15" i="42"/>
  <c r="AT15" i="45"/>
  <c r="AU53" i="43"/>
  <c r="AU53" i="46" s="1"/>
  <c r="AT53" i="46"/>
  <c r="AU26" i="44"/>
  <c r="AV26" i="41"/>
  <c r="AV26" i="44" s="1"/>
  <c r="W31" i="41"/>
  <c r="W34" i="41" s="1"/>
  <c r="W30" i="41"/>
  <c r="W32" i="41" s="1"/>
  <c r="W32" i="44" s="1"/>
  <c r="AA127" i="44"/>
  <c r="AA130" i="41"/>
  <c r="AB127" i="41"/>
  <c r="W55" i="43"/>
  <c r="W22" i="46"/>
  <c r="Z105" i="44"/>
  <c r="Z106" i="41"/>
  <c r="Z106" i="44" s="1"/>
  <c r="Z71" i="44"/>
  <c r="Z72" i="41"/>
  <c r="Z72" i="44" s="1"/>
  <c r="Z17" i="41"/>
  <c r="Z15" i="44"/>
  <c r="V148" i="41"/>
  <c r="V148" i="44" s="1"/>
  <c r="V55" i="46"/>
  <c r="AB99" i="44"/>
  <c r="Y17" i="44"/>
  <c r="Y137" i="44" s="1"/>
  <c r="Y141" i="41"/>
  <c r="Y141" i="44" s="1"/>
  <c r="Y19" i="41"/>
  <c r="AA66" i="44"/>
  <c r="AA12" i="41"/>
  <c r="AA70" i="41"/>
  <c r="AB66" i="41"/>
  <c r="AQ33" i="43"/>
  <c r="AQ33" i="46" s="1"/>
  <c r="W41" i="42"/>
  <c r="W41" i="45" s="1"/>
  <c r="W38" i="45"/>
  <c r="AN31" i="41"/>
  <c r="AN31" i="44" s="1"/>
  <c r="AN155" i="44"/>
  <c r="AU35" i="41"/>
  <c r="AT35" i="44"/>
  <c r="AU13" i="42"/>
  <c r="AU13" i="45" s="1"/>
  <c r="AJ10" i="41"/>
  <c r="AJ10" i="44" s="1"/>
  <c r="AU19" i="43"/>
  <c r="AU19" i="46" s="1"/>
  <c r="AV27" i="42"/>
  <c r="AV27" i="45" s="1"/>
  <c r="AU16" i="42"/>
  <c r="AU16" i="45" s="1"/>
  <c r="AP74" i="41"/>
  <c r="AP74" i="44" s="1"/>
  <c r="AO90" i="41"/>
  <c r="AO90" i="44" s="1"/>
  <c r="AU136" i="41"/>
  <c r="AK46" i="41"/>
  <c r="AK46" i="44" s="1"/>
  <c r="AK62" i="41"/>
  <c r="AK59" i="41"/>
  <c r="AK59" i="44" s="1"/>
  <c r="AL64" i="43"/>
  <c r="AL64" i="46" s="1"/>
  <c r="AQ57" i="41"/>
  <c r="AQ57" i="44" s="1"/>
  <c r="AN134" i="41"/>
  <c r="AO76" i="41"/>
  <c r="AJ67" i="41"/>
  <c r="AJ67" i="44" s="1"/>
  <c r="AJ60" i="41"/>
  <c r="AJ60" i="44" s="1"/>
  <c r="AP57" i="43"/>
  <c r="AP57" i="46" s="1"/>
  <c r="AN41" i="41"/>
  <c r="AN41" i="44" s="1"/>
  <c r="AN43" i="41"/>
  <c r="AM57" i="41"/>
  <c r="AM57" i="44" s="1"/>
  <c r="V42" i="42"/>
  <c r="V42" i="45" s="1"/>
  <c r="V62" i="42"/>
  <c r="V62" i="45" s="1"/>
  <c r="AS85" i="41"/>
  <c r="AT83" i="41"/>
  <c r="AT83" i="44" s="1"/>
  <c r="AM46" i="41"/>
  <c r="AM46" i="44" s="1"/>
  <c r="AM5" i="41"/>
  <c r="AM5" i="44" s="1"/>
  <c r="AM133" i="44" s="1"/>
  <c r="AM62" i="41"/>
  <c r="AM62" i="44" s="1"/>
  <c r="AM59" i="41"/>
  <c r="AM59" i="44" s="1"/>
  <c r="AV69" i="41"/>
  <c r="AV69" i="44" s="1"/>
  <c r="AN30" i="41"/>
  <c r="AN30" i="44" s="1"/>
  <c r="AR33" i="43"/>
  <c r="AR33" i="46" s="1"/>
  <c r="AU25" i="42"/>
  <c r="AT20" i="43"/>
  <c r="AF53" i="42"/>
  <c r="AO6" i="41"/>
  <c r="AO6" i="44" s="1"/>
  <c r="AU21" i="43"/>
  <c r="AV23" i="42"/>
  <c r="AV23" i="45" s="1"/>
  <c r="AV16" i="41"/>
  <c r="AV16" i="44" s="1"/>
  <c r="AV29" i="43"/>
  <c r="AV29" i="46" s="1"/>
  <c r="AP52" i="41"/>
  <c r="AQ50" i="41"/>
  <c r="AQ50" i="44" s="1"/>
  <c r="AR50" i="41"/>
  <c r="AR50" i="44" s="1"/>
  <c r="AT10" i="43"/>
  <c r="AV9" i="43"/>
  <c r="AV9" i="46" s="1"/>
  <c r="AO155" i="41"/>
  <c r="AP153" i="41"/>
  <c r="AN79" i="41"/>
  <c r="AN79" i="44" s="1"/>
  <c r="AN95" i="41"/>
  <c r="AN95" i="44" s="1"/>
  <c r="AN92" i="41"/>
  <c r="AN92" i="44" s="1"/>
  <c r="AT17" i="43"/>
  <c r="AT17" i="46" s="1"/>
  <c r="AU10" i="42"/>
  <c r="AU10" i="45" s="1"/>
  <c r="AN22" i="36"/>
  <c r="U144" i="36"/>
  <c r="AK20" i="39"/>
  <c r="AL20" i="39" s="1"/>
  <c r="AM25" i="38"/>
  <c r="AL25" i="38"/>
  <c r="AN13" i="38"/>
  <c r="AN17" i="39"/>
  <c r="AO10" i="38"/>
  <c r="AR56" i="38"/>
  <c r="U46" i="39"/>
  <c r="U48" i="39" s="1"/>
  <c r="U11" i="38"/>
  <c r="U20" i="38" s="1"/>
  <c r="AM47" i="39"/>
  <c r="AM29" i="39"/>
  <c r="AN28" i="38"/>
  <c r="AM63" i="38"/>
  <c r="AM21" i="39"/>
  <c r="AN23" i="38"/>
  <c r="T53" i="38"/>
  <c r="T43" i="38"/>
  <c r="AL47" i="39"/>
  <c r="AN19" i="39"/>
  <c r="AO27" i="38"/>
  <c r="AN16" i="38"/>
  <c r="AN8" i="39" s="1"/>
  <c r="AJ72" i="48" l="1"/>
  <c r="AJ72" i="53" s="1"/>
  <c r="AH19" i="53"/>
  <c r="AH142" i="48"/>
  <c r="AH142" i="53" s="1"/>
  <c r="AJ12" i="53"/>
  <c r="AJ15" i="48"/>
  <c r="AI19" i="53"/>
  <c r="AI142" i="48"/>
  <c r="AI142" i="53" s="1"/>
  <c r="AL14" i="49"/>
  <c r="AJ131" i="53"/>
  <c r="AG64" i="49"/>
  <c r="AG64" i="54" s="1"/>
  <c r="AG65" i="54"/>
  <c r="X41" i="55"/>
  <c r="Y40" i="50"/>
  <c r="Y40" i="55" s="1"/>
  <c r="X6" i="49"/>
  <c r="AQ16" i="50"/>
  <c r="AQ16" i="55" s="1"/>
  <c r="AP16" i="55"/>
  <c r="AQ30" i="49"/>
  <c r="AQ22" i="54"/>
  <c r="AP35" i="49"/>
  <c r="AP35" i="54" s="1"/>
  <c r="AP30" i="54"/>
  <c r="AQ18" i="50"/>
  <c r="AQ18" i="55" s="1"/>
  <c r="AP18" i="55"/>
  <c r="AT8" i="48"/>
  <c r="AT8" i="53" s="1"/>
  <c r="AT5" i="53"/>
  <c r="AR16" i="50"/>
  <c r="AR16" i="55" s="1"/>
  <c r="AR9" i="54"/>
  <c r="AT10" i="48"/>
  <c r="AT10" i="53" s="1"/>
  <c r="AT62" i="53"/>
  <c r="AR35" i="50"/>
  <c r="AR35" i="55" s="1"/>
  <c r="AP37" i="50"/>
  <c r="AP37" i="55" s="1"/>
  <c r="AS13" i="48"/>
  <c r="AS13" i="53" s="1"/>
  <c r="AS9" i="48"/>
  <c r="AS9" i="53" s="1"/>
  <c r="AR53" i="49"/>
  <c r="AU46" i="48"/>
  <c r="AU46" i="53" s="1"/>
  <c r="AU5" i="48"/>
  <c r="AU62" i="48"/>
  <c r="AV62" i="48" s="1"/>
  <c r="AU59" i="48"/>
  <c r="AU59" i="53" s="1"/>
  <c r="AK103" i="48"/>
  <c r="AL99" i="48"/>
  <c r="AT133" i="48"/>
  <c r="AT133" i="53" s="1"/>
  <c r="AQ35" i="50"/>
  <c r="AP37" i="49"/>
  <c r="AP37" i="54" s="1"/>
  <c r="AU79" i="48"/>
  <c r="AU79" i="53" s="1"/>
  <c r="AU95" i="48"/>
  <c r="AU92" i="48"/>
  <c r="AU92" i="53" s="1"/>
  <c r="AV78" i="48"/>
  <c r="AV78" i="53" s="1"/>
  <c r="AK130" i="48"/>
  <c r="AL127" i="48"/>
  <c r="AK12" i="48"/>
  <c r="AK12" i="53" s="1"/>
  <c r="AK70" i="48"/>
  <c r="AL66" i="48"/>
  <c r="AR18" i="50"/>
  <c r="AR18" i="55" s="1"/>
  <c r="AR30" i="49"/>
  <c r="AS25" i="50"/>
  <c r="AS25" i="55" s="1"/>
  <c r="AS12" i="50"/>
  <c r="AS12" i="55" s="1"/>
  <c r="AS8" i="49"/>
  <c r="AS140" i="48"/>
  <c r="AS140" i="53" s="1"/>
  <c r="AS11" i="48"/>
  <c r="AS11" i="53" s="1"/>
  <c r="AV45" i="48"/>
  <c r="AS53" i="49"/>
  <c r="AT64" i="48"/>
  <c r="AT67" i="48"/>
  <c r="AT60" i="48"/>
  <c r="AT60" i="53" s="1"/>
  <c r="W30" i="44"/>
  <c r="AV47" i="43"/>
  <c r="AV47" i="46" s="1"/>
  <c r="AV67" i="42"/>
  <c r="AV67" i="45" s="1"/>
  <c r="AV22" i="41"/>
  <c r="AV22" i="44" s="1"/>
  <c r="AT28" i="44"/>
  <c r="AU170" i="44"/>
  <c r="AU172" i="41"/>
  <c r="AU18" i="41"/>
  <c r="AU14" i="44"/>
  <c r="AV14" i="41"/>
  <c r="AV14" i="44" s="1"/>
  <c r="AT121" i="41"/>
  <c r="AT121" i="44" s="1"/>
  <c r="AT120" i="44"/>
  <c r="AV118" i="41"/>
  <c r="AV117" i="44"/>
  <c r="AU118" i="44"/>
  <c r="AU120" i="41"/>
  <c r="AQ57" i="43"/>
  <c r="AQ57" i="46" s="1"/>
  <c r="AF144" i="41"/>
  <c r="AE144" i="44"/>
  <c r="AV129" i="41"/>
  <c r="AV129" i="44" s="1"/>
  <c r="AU129" i="44"/>
  <c r="AT10" i="46"/>
  <c r="AU10" i="43"/>
  <c r="AU10" i="46" s="1"/>
  <c r="AU9" i="46"/>
  <c r="AL45" i="41"/>
  <c r="AS87" i="41"/>
  <c r="AS87" i="44" s="1"/>
  <c r="AS85" i="44"/>
  <c r="AO78" i="41"/>
  <c r="AO76" i="44"/>
  <c r="AP76" i="41"/>
  <c r="AI22" i="42"/>
  <c r="AI22" i="45" s="1"/>
  <c r="AP54" i="41"/>
  <c r="AP54" i="44" s="1"/>
  <c r="AP52" i="44"/>
  <c r="AJ64" i="41"/>
  <c r="AJ64" i="44" s="1"/>
  <c r="AO134" i="44"/>
  <c r="AI9" i="42"/>
  <c r="AL46" i="41"/>
  <c r="AL46" i="44" s="1"/>
  <c r="AL45" i="44"/>
  <c r="AJ133" i="41"/>
  <c r="AJ5" i="44"/>
  <c r="AJ133" i="44" s="1"/>
  <c r="AM133" i="41"/>
  <c r="AE30" i="45"/>
  <c r="AE35" i="42"/>
  <c r="AE35" i="45" s="1"/>
  <c r="AH8" i="45"/>
  <c r="AI15" i="43"/>
  <c r="AI15" i="46" s="1"/>
  <c r="AE18" i="46"/>
  <c r="AK62" i="44"/>
  <c r="AJ8" i="41"/>
  <c r="AJ8" i="44" s="1"/>
  <c r="AN45" i="41"/>
  <c r="AN45" i="44" s="1"/>
  <c r="AN43" i="44"/>
  <c r="AH9" i="44"/>
  <c r="AH22" i="42"/>
  <c r="AH9" i="42"/>
  <c r="AU56" i="42"/>
  <c r="AU56" i="45" s="1"/>
  <c r="AT56" i="45"/>
  <c r="AH53" i="42"/>
  <c r="AH53" i="45" s="1"/>
  <c r="AF53" i="45"/>
  <c r="AV40" i="42"/>
  <c r="AV40" i="45" s="1"/>
  <c r="AU40" i="45"/>
  <c r="AV19" i="43"/>
  <c r="AV19" i="46" s="1"/>
  <c r="AV26" i="42"/>
  <c r="AV26" i="45" s="1"/>
  <c r="AU26" i="45"/>
  <c r="AV21" i="43"/>
  <c r="AV21" i="46" s="1"/>
  <c r="AU21" i="46"/>
  <c r="AV15" i="42"/>
  <c r="AV15" i="45" s="1"/>
  <c r="AU15" i="45"/>
  <c r="W42" i="42"/>
  <c r="W42" i="45" s="1"/>
  <c r="W62" i="42"/>
  <c r="W62" i="45" s="1"/>
  <c r="W33" i="41"/>
  <c r="W33" i="44" s="1"/>
  <c r="W31" i="44"/>
  <c r="Z17" i="44"/>
  <c r="Z137" i="44" s="1"/>
  <c r="Z141" i="41"/>
  <c r="Z141" i="44" s="1"/>
  <c r="Z19" i="41"/>
  <c r="Z137" i="41"/>
  <c r="W148" i="41"/>
  <c r="W148" i="44" s="1"/>
  <c r="W55" i="46"/>
  <c r="Y19" i="44"/>
  <c r="Y142" i="41"/>
  <c r="Y142" i="44" s="1"/>
  <c r="AA71" i="41"/>
  <c r="AA70" i="44"/>
  <c r="W147" i="41"/>
  <c r="W147" i="44" s="1"/>
  <c r="W34" i="44"/>
  <c r="AB130" i="41"/>
  <c r="AB127" i="44"/>
  <c r="AA12" i="44"/>
  <c r="AB12" i="41"/>
  <c r="AA131" i="41"/>
  <c r="AA131" i="44" s="1"/>
  <c r="AA130" i="44"/>
  <c r="AB70" i="41"/>
  <c r="AB70" i="44" s="1"/>
  <c r="AB66" i="44"/>
  <c r="AP155" i="41"/>
  <c r="AP155" i="44" s="1"/>
  <c r="AP153" i="44"/>
  <c r="AQ155" i="41"/>
  <c r="AQ155" i="44" s="1"/>
  <c r="AO155" i="44"/>
  <c r="AU35" i="44"/>
  <c r="AV35" i="41"/>
  <c r="AT136" i="44"/>
  <c r="AU136" i="44"/>
  <c r="AV17" i="43"/>
  <c r="AV17" i="46" s="1"/>
  <c r="AK64" i="41"/>
  <c r="AK67" i="41"/>
  <c r="AK60" i="41"/>
  <c r="AK60" i="44" s="1"/>
  <c r="AV13" i="42"/>
  <c r="AV13" i="45" s="1"/>
  <c r="AT85" i="41"/>
  <c r="AU83" i="41"/>
  <c r="AU83" i="44" s="1"/>
  <c r="AO134" i="41"/>
  <c r="AJ9" i="41"/>
  <c r="AJ9" i="44" s="1"/>
  <c r="AO31" i="41"/>
  <c r="V17" i="45"/>
  <c r="V7" i="45"/>
  <c r="AU8" i="43"/>
  <c r="AV16" i="42"/>
  <c r="AV16" i="45" s="1"/>
  <c r="AU17" i="43"/>
  <c r="AU17" i="46" s="1"/>
  <c r="AV10" i="42"/>
  <c r="AV10" i="45" s="1"/>
  <c r="AR52" i="41"/>
  <c r="AS50" i="41"/>
  <c r="AS50" i="44" s="1"/>
  <c r="AM64" i="41"/>
  <c r="AM64" i="44" s="1"/>
  <c r="AM67" i="41"/>
  <c r="AM67" i="44" s="1"/>
  <c r="AM60" i="41"/>
  <c r="AM60" i="44" s="1"/>
  <c r="AR74" i="41"/>
  <c r="AR74" i="44" s="1"/>
  <c r="AQ74" i="41"/>
  <c r="AQ74" i="44" s="1"/>
  <c r="AR76" i="41"/>
  <c r="AP90" i="41"/>
  <c r="AI53" i="42"/>
  <c r="AN93" i="41"/>
  <c r="AN93" i="44" s="1"/>
  <c r="AN97" i="41"/>
  <c r="AN97" i="44" s="1"/>
  <c r="AN100" i="41"/>
  <c r="AN100" i="44" s="1"/>
  <c r="AM10" i="41"/>
  <c r="AM10" i="44" s="1"/>
  <c r="AO95" i="41"/>
  <c r="AO92" i="41"/>
  <c r="AO92" i="44" s="1"/>
  <c r="AJ11" i="41"/>
  <c r="AR57" i="43"/>
  <c r="AR57" i="46" s="1"/>
  <c r="AM8" i="41"/>
  <c r="AM8" i="44" s="1"/>
  <c r="AN59" i="41"/>
  <c r="AN59" i="44" s="1"/>
  <c r="AL62" i="41"/>
  <c r="AL59" i="41"/>
  <c r="AL59" i="44" s="1"/>
  <c r="AJ13" i="41"/>
  <c r="AJ13" i="44" s="1"/>
  <c r="AU20" i="43"/>
  <c r="AV20" i="43" s="1"/>
  <c r="AV25" i="42"/>
  <c r="AO30" i="41"/>
  <c r="AO30" i="44" s="1"/>
  <c r="AS33" i="43"/>
  <c r="AS33" i="46" s="1"/>
  <c r="AO41" i="41"/>
  <c r="AO41" i="44" s="1"/>
  <c r="AN57" i="41"/>
  <c r="AN57" i="44" s="1"/>
  <c r="AO22" i="36"/>
  <c r="V21" i="36"/>
  <c r="AM20" i="39"/>
  <c r="AN25" i="38"/>
  <c r="AO19" i="39"/>
  <c r="AP27" i="38"/>
  <c r="AO16" i="38"/>
  <c r="AO8" i="39" s="1"/>
  <c r="AO13" i="38"/>
  <c r="AS56" i="38"/>
  <c r="AT56" i="38" s="1"/>
  <c r="AN47" i="39"/>
  <c r="AN29" i="39"/>
  <c r="AO28" i="38"/>
  <c r="AN63" i="38"/>
  <c r="U53" i="38"/>
  <c r="U43" i="38"/>
  <c r="AO17" i="39"/>
  <c r="AP10" i="38"/>
  <c r="AN21" i="39"/>
  <c r="AO23" i="38"/>
  <c r="AJ17" i="48" l="1"/>
  <c r="AJ15" i="53"/>
  <c r="AK105" i="48"/>
  <c r="AK105" i="53" s="1"/>
  <c r="AK103" i="53"/>
  <c r="X6" i="54"/>
  <c r="X46" i="50"/>
  <c r="X11" i="49"/>
  <c r="Y21" i="48"/>
  <c r="AM7" i="50"/>
  <c r="AL14" i="54"/>
  <c r="AL103" i="48"/>
  <c r="AL103" i="53" s="1"/>
  <c r="AL99" i="53"/>
  <c r="AL70" i="48"/>
  <c r="AL70" i="53" s="1"/>
  <c r="AL66" i="53"/>
  <c r="AL130" i="48"/>
  <c r="AL127" i="53"/>
  <c r="AK71" i="48"/>
  <c r="AK71" i="53" s="1"/>
  <c r="AK70" i="53"/>
  <c r="AK131" i="48"/>
  <c r="AK131" i="53" s="1"/>
  <c r="AK130" i="53"/>
  <c r="AT140" i="48"/>
  <c r="AT140" i="53" s="1"/>
  <c r="AT8" i="49"/>
  <c r="AT8" i="54" s="1"/>
  <c r="AT12" i="50"/>
  <c r="AT12" i="55" s="1"/>
  <c r="AQ37" i="50"/>
  <c r="AQ37" i="55" s="1"/>
  <c r="AQ35" i="55"/>
  <c r="AT25" i="50"/>
  <c r="AT25" i="55" s="1"/>
  <c r="AQ35" i="49"/>
  <c r="AQ35" i="54" s="1"/>
  <c r="AQ30" i="54"/>
  <c r="AV95" i="48"/>
  <c r="AV95" i="53" s="1"/>
  <c r="AU95" i="53"/>
  <c r="AS15" i="50"/>
  <c r="AS15" i="55" s="1"/>
  <c r="AS8" i="54"/>
  <c r="AV63" i="48"/>
  <c r="AV63" i="53" s="1"/>
  <c r="AV62" i="53"/>
  <c r="AU10" i="48"/>
  <c r="AU62" i="53"/>
  <c r="AT13" i="48"/>
  <c r="AT13" i="53" s="1"/>
  <c r="AT67" i="53"/>
  <c r="AU8" i="48"/>
  <c r="AU8" i="53" s="1"/>
  <c r="AU5" i="53"/>
  <c r="AT11" i="48"/>
  <c r="AT11" i="53" s="1"/>
  <c r="AT64" i="53"/>
  <c r="AR35" i="49"/>
  <c r="AR35" i="54" s="1"/>
  <c r="AR30" i="54"/>
  <c r="AV46" i="48"/>
  <c r="AV46" i="53" s="1"/>
  <c r="AV45" i="53"/>
  <c r="AK72" i="48"/>
  <c r="AK72" i="53" s="1"/>
  <c r="AK15" i="48"/>
  <c r="AL12" i="48"/>
  <c r="AU64" i="48"/>
  <c r="AU64" i="53" s="1"/>
  <c r="AU60" i="48"/>
  <c r="AU60" i="53" s="1"/>
  <c r="AU67" i="48"/>
  <c r="AU67" i="53" s="1"/>
  <c r="AV59" i="48"/>
  <c r="AV59" i="53" s="1"/>
  <c r="AT15" i="50"/>
  <c r="AT15" i="55" s="1"/>
  <c r="AV5" i="48"/>
  <c r="AS9" i="49"/>
  <c r="AS22" i="49"/>
  <c r="AS22" i="54" s="1"/>
  <c r="AU133" i="48"/>
  <c r="AU133" i="53" s="1"/>
  <c r="AU97" i="48"/>
  <c r="AU100" i="48"/>
  <c r="AU93" i="48"/>
  <c r="AU93" i="53" s="1"/>
  <c r="AV92" i="48"/>
  <c r="AV92" i="53" s="1"/>
  <c r="AT9" i="48"/>
  <c r="AT9" i="53" s="1"/>
  <c r="AT53" i="49"/>
  <c r="AR37" i="49"/>
  <c r="AR37" i="54" s="1"/>
  <c r="AQ37" i="49"/>
  <c r="AQ37" i="54" s="1"/>
  <c r="AS35" i="50"/>
  <c r="AS35" i="55" s="1"/>
  <c r="AR37" i="50"/>
  <c r="AR37" i="55" s="1"/>
  <c r="AI16" i="43"/>
  <c r="AI16" i="46" s="1"/>
  <c r="AU18" i="44"/>
  <c r="AV18" i="41"/>
  <c r="AV18" i="44" s="1"/>
  <c r="AU28" i="41"/>
  <c r="AU172" i="44"/>
  <c r="AU121" i="41"/>
  <c r="AU121" i="44" s="1"/>
  <c r="AU120" i="44"/>
  <c r="AV118" i="44"/>
  <c r="AV120" i="41"/>
  <c r="AH144" i="41"/>
  <c r="AF144" i="44"/>
  <c r="AV10" i="43"/>
  <c r="AV10" i="46" s="1"/>
  <c r="AQ54" i="41"/>
  <c r="AQ54" i="44" s="1"/>
  <c r="AP6" i="41"/>
  <c r="AT87" i="41"/>
  <c r="AT87" i="44" s="1"/>
  <c r="AT85" i="44"/>
  <c r="AP76" i="44"/>
  <c r="AR78" i="41"/>
  <c r="AR78" i="44" s="1"/>
  <c r="AR76" i="44"/>
  <c r="AO78" i="44"/>
  <c r="AV90" i="41"/>
  <c r="AV90" i="44" s="1"/>
  <c r="AP90" i="44"/>
  <c r="AI30" i="42"/>
  <c r="AI35" i="42" s="1"/>
  <c r="AI35" i="45" s="1"/>
  <c r="AO95" i="44"/>
  <c r="AI18" i="43"/>
  <c r="AI18" i="46" s="1"/>
  <c r="AO79" i="41"/>
  <c r="AO79" i="44" s="1"/>
  <c r="AQ6" i="41"/>
  <c r="AQ6" i="44" s="1"/>
  <c r="AP6" i="44"/>
  <c r="AP134" i="44" s="1"/>
  <c r="AI9" i="45"/>
  <c r="AR54" i="41"/>
  <c r="AR54" i="44" s="1"/>
  <c r="AR52" i="44"/>
  <c r="AK67" i="44"/>
  <c r="AN62" i="41"/>
  <c r="AN5" i="41"/>
  <c r="AL63" i="41"/>
  <c r="AL63" i="44" s="1"/>
  <c r="AL62" i="44"/>
  <c r="AJ140" i="41"/>
  <c r="AJ140" i="44" s="1"/>
  <c r="AN46" i="41"/>
  <c r="AN46" i="44" s="1"/>
  <c r="AJ8" i="42"/>
  <c r="AK64" i="44"/>
  <c r="AJ12" i="43"/>
  <c r="AL60" i="41"/>
  <c r="AL60" i="44" s="1"/>
  <c r="AL64" i="41"/>
  <c r="AH9" i="45"/>
  <c r="AJ25" i="43"/>
  <c r="AJ11" i="44"/>
  <c r="AH22" i="45"/>
  <c r="AH30" i="42"/>
  <c r="AJ53" i="42"/>
  <c r="AJ53" i="45" s="1"/>
  <c r="AI53" i="45"/>
  <c r="AV8" i="43"/>
  <c r="AV8" i="46" s="1"/>
  <c r="AU8" i="46"/>
  <c r="AJ12" i="46"/>
  <c r="W146" i="41"/>
  <c r="W146" i="44" s="1"/>
  <c r="W36" i="41"/>
  <c r="W36" i="44" s="1"/>
  <c r="AB12" i="44"/>
  <c r="Z19" i="44"/>
  <c r="Z142" i="41"/>
  <c r="Z142" i="44" s="1"/>
  <c r="AB131" i="41"/>
  <c r="AB131" i="44" s="1"/>
  <c r="AB130" i="44"/>
  <c r="AA71" i="44"/>
  <c r="AA72" i="41"/>
  <c r="AA72" i="44" s="1"/>
  <c r="AB71" i="41"/>
  <c r="AV35" i="44"/>
  <c r="AR153" i="41"/>
  <c r="W12" i="42"/>
  <c r="W12" i="45" s="1"/>
  <c r="V12" i="45"/>
  <c r="AP31" i="41"/>
  <c r="AP31" i="44" s="1"/>
  <c r="AO31" i="44"/>
  <c r="AJ22" i="42"/>
  <c r="AJ22" i="45" s="1"/>
  <c r="AJ9" i="42"/>
  <c r="AR79" i="41"/>
  <c r="AR79" i="44" s="1"/>
  <c r="AR95" i="41"/>
  <c r="AR95" i="44" s="1"/>
  <c r="AR92" i="41"/>
  <c r="AR92" i="44" s="1"/>
  <c r="AP41" i="41"/>
  <c r="AP41" i="44" s="1"/>
  <c r="AP43" i="41"/>
  <c r="AO57" i="41"/>
  <c r="AO57" i="44" s="1"/>
  <c r="AO43" i="41"/>
  <c r="AS74" i="41"/>
  <c r="AS74" i="44" s="1"/>
  <c r="AR90" i="41"/>
  <c r="AR90" i="44" s="1"/>
  <c r="AO97" i="41"/>
  <c r="AO97" i="44" s="1"/>
  <c r="AO93" i="41"/>
  <c r="AO93" i="44" s="1"/>
  <c r="AO100" i="41"/>
  <c r="AM13" i="41"/>
  <c r="AM13" i="44" s="1"/>
  <c r="AR6" i="41"/>
  <c r="AR6" i="44" s="1"/>
  <c r="AR134" i="44" s="1"/>
  <c r="AU85" i="41"/>
  <c r="AV83" i="41"/>
  <c r="AV83" i="44" s="1"/>
  <c r="AM53" i="42"/>
  <c r="AM53" i="45" s="1"/>
  <c r="AN64" i="41"/>
  <c r="AN67" i="41"/>
  <c r="AN60" i="41"/>
  <c r="AN60" i="44" s="1"/>
  <c r="AS52" i="41"/>
  <c r="AT50" i="41"/>
  <c r="AT50" i="44" s="1"/>
  <c r="AK53" i="42"/>
  <c r="AK53" i="45" s="1"/>
  <c r="W17" i="42"/>
  <c r="W17" i="45" s="1"/>
  <c r="AM25" i="43"/>
  <c r="AM25" i="46" s="1"/>
  <c r="AM12" i="43"/>
  <c r="AM12" i="46" s="1"/>
  <c r="AM8" i="42"/>
  <c r="AM140" i="41"/>
  <c r="AM140" i="44" s="1"/>
  <c r="AM11" i="41"/>
  <c r="AM11" i="44" s="1"/>
  <c r="AS57" i="43"/>
  <c r="AS57" i="46" s="1"/>
  <c r="V24" i="46"/>
  <c r="W7" i="42"/>
  <c r="W7" i="45" s="1"/>
  <c r="AN133" i="41"/>
  <c r="AM9" i="41"/>
  <c r="AM9" i="44" s="1"/>
  <c r="AL67" i="41"/>
  <c r="AP134" i="41"/>
  <c r="AP30" i="41"/>
  <c r="AP30" i="44" s="1"/>
  <c r="AT33" i="43"/>
  <c r="AT33" i="46" s="1"/>
  <c r="AP22" i="36"/>
  <c r="AO47" i="39"/>
  <c r="AO29" i="39"/>
  <c r="AO63" i="38"/>
  <c r="AP28" i="38"/>
  <c r="AN20" i="39"/>
  <c r="AO25" i="38"/>
  <c r="AQ17" i="39"/>
  <c r="AP13" i="38"/>
  <c r="AP19" i="39"/>
  <c r="AQ19" i="39" s="1"/>
  <c r="AR27" i="38"/>
  <c r="AQ27" i="38"/>
  <c r="AP16" i="38"/>
  <c r="AO21" i="39"/>
  <c r="AP23" i="38"/>
  <c r="AP17" i="39"/>
  <c r="AR10" i="38"/>
  <c r="AQ10" i="38"/>
  <c r="AU56" i="38"/>
  <c r="V53" i="38"/>
  <c r="X53" i="38" s="1"/>
  <c r="AL71" i="48" l="1"/>
  <c r="AL71" i="53" s="1"/>
  <c r="AL105" i="48"/>
  <c r="AK106" i="48"/>
  <c r="AK106" i="53" s="1"/>
  <c r="AJ17" i="53"/>
  <c r="AJ137" i="48"/>
  <c r="AJ137" i="53" s="1"/>
  <c r="AJ19" i="48"/>
  <c r="AJ141" i="48"/>
  <c r="AJ141" i="53" s="1"/>
  <c r="X48" i="50"/>
  <c r="X48" i="55" s="1"/>
  <c r="X46" i="55"/>
  <c r="AL106" i="48"/>
  <c r="AL106" i="53" s="1"/>
  <c r="AL105" i="53"/>
  <c r="AM7" i="55"/>
  <c r="AM127" i="48"/>
  <c r="AM99" i="48"/>
  <c r="AM14" i="49"/>
  <c r="AM66" i="48"/>
  <c r="AL72" i="48"/>
  <c r="AL72" i="53" s="1"/>
  <c r="Y21" i="53"/>
  <c r="Y23" i="48"/>
  <c r="AK17" i="48"/>
  <c r="AK17" i="53" s="1"/>
  <c r="AK15" i="53"/>
  <c r="AL15" i="48"/>
  <c r="AL12" i="53"/>
  <c r="AL131" i="48"/>
  <c r="AL131" i="53" s="1"/>
  <c r="AL130" i="53"/>
  <c r="X20" i="49"/>
  <c r="X11" i="54"/>
  <c r="AV96" i="48"/>
  <c r="AV96" i="53" s="1"/>
  <c r="AV97" i="48"/>
  <c r="AV97" i="53" s="1"/>
  <c r="AU97" i="53"/>
  <c r="AV100" i="48"/>
  <c r="AV100" i="53" s="1"/>
  <c r="AU100" i="53"/>
  <c r="AV8" i="48"/>
  <c r="AV140" i="48" s="1"/>
  <c r="AV140" i="53" s="1"/>
  <c r="AV5" i="53"/>
  <c r="AV10" i="48"/>
  <c r="AV10" i="53" s="1"/>
  <c r="AU10" i="53"/>
  <c r="AU140" i="48"/>
  <c r="AU140" i="53" s="1"/>
  <c r="AU8" i="49"/>
  <c r="AU8" i="54" s="1"/>
  <c r="AU12" i="50"/>
  <c r="AS16" i="50"/>
  <c r="AS16" i="55" s="1"/>
  <c r="AS9" i="54"/>
  <c r="AU25" i="50"/>
  <c r="AU53" i="49"/>
  <c r="AK141" i="48"/>
  <c r="AK141" i="53" s="1"/>
  <c r="AT35" i="50"/>
  <c r="AT35" i="55" s="1"/>
  <c r="AS37" i="50"/>
  <c r="AS37" i="55" s="1"/>
  <c r="AS37" i="49"/>
  <c r="AS37" i="54" s="1"/>
  <c r="AV93" i="48"/>
  <c r="AV93" i="53" s="1"/>
  <c r="AS18" i="50"/>
  <c r="AS18" i="55" s="1"/>
  <c r="AS30" i="49"/>
  <c r="AU13" i="48"/>
  <c r="AU9" i="48"/>
  <c r="AV60" i="48"/>
  <c r="AV60" i="53" s="1"/>
  <c r="AT9" i="49"/>
  <c r="AT22" i="49"/>
  <c r="AT22" i="54" s="1"/>
  <c r="AU11" i="48"/>
  <c r="AV64" i="48"/>
  <c r="AV67" i="48"/>
  <c r="AU28" i="44"/>
  <c r="AV28" i="41"/>
  <c r="AV28" i="44" s="1"/>
  <c r="AV121" i="41"/>
  <c r="AV121" i="44" s="1"/>
  <c r="AV120" i="44"/>
  <c r="AI144" i="41"/>
  <c r="AH144" i="44"/>
  <c r="AI30" i="45"/>
  <c r="AU87" i="41"/>
  <c r="AU85" i="44"/>
  <c r="AO100" i="44"/>
  <c r="AL61" i="41"/>
  <c r="AL61" i="44" s="1"/>
  <c r="AR134" i="41"/>
  <c r="AS54" i="41"/>
  <c r="AS54" i="44" s="1"/>
  <c r="AS52" i="44"/>
  <c r="AJ16" i="43"/>
  <c r="AJ16" i="46" s="1"/>
  <c r="AJ9" i="45"/>
  <c r="AJ25" i="46"/>
  <c r="AL65" i="41"/>
  <c r="AL65" i="44" s="1"/>
  <c r="AL64" i="44"/>
  <c r="AN8" i="41"/>
  <c r="AN5" i="44"/>
  <c r="AN133" i="44" s="1"/>
  <c r="AL68" i="41"/>
  <c r="AL68" i="44" s="1"/>
  <c r="AL67" i="44"/>
  <c r="AN10" i="41"/>
  <c r="AN10" i="44" s="1"/>
  <c r="AN62" i="44"/>
  <c r="AO45" i="41"/>
  <c r="AO45" i="44" s="1"/>
  <c r="AO43" i="44"/>
  <c r="AM8" i="45"/>
  <c r="AJ15" i="43"/>
  <c r="AJ15" i="46" s="1"/>
  <c r="AJ8" i="45"/>
  <c r="AN13" i="41"/>
  <c r="AN13" i="44" s="1"/>
  <c r="AN67" i="44"/>
  <c r="AP45" i="41"/>
  <c r="AP45" i="44" s="1"/>
  <c r="AP43" i="44"/>
  <c r="AH30" i="45"/>
  <c r="AH35" i="42"/>
  <c r="AH35" i="45" s="1"/>
  <c r="AN11" i="41"/>
  <c r="AN11" i="44" s="1"/>
  <c r="AN64" i="44"/>
  <c r="AB72" i="41"/>
  <c r="AB72" i="44" s="1"/>
  <c r="AB71" i="44"/>
  <c r="W26" i="43"/>
  <c r="W26" i="46" s="1"/>
  <c r="V26" i="46"/>
  <c r="AR153" i="44"/>
  <c r="AR155" i="41"/>
  <c r="AR155" i="44" s="1"/>
  <c r="AS153" i="41"/>
  <c r="AJ18" i="43"/>
  <c r="AJ18" i="46" s="1"/>
  <c r="AJ30" i="42"/>
  <c r="AS6" i="41"/>
  <c r="AM9" i="42"/>
  <c r="AM22" i="42"/>
  <c r="AM22" i="45" s="1"/>
  <c r="AR100" i="41"/>
  <c r="AR100" i="44" s="1"/>
  <c r="AR97" i="41"/>
  <c r="AR97" i="44" s="1"/>
  <c r="AR93" i="41"/>
  <c r="AR93" i="44" s="1"/>
  <c r="AT52" i="41"/>
  <c r="AU50" i="41"/>
  <c r="AU50" i="44" s="1"/>
  <c r="AQ41" i="41"/>
  <c r="AR41" i="41"/>
  <c r="AR41" i="44" s="1"/>
  <c r="AR43" i="41"/>
  <c r="AP57" i="41"/>
  <c r="AT74" i="41"/>
  <c r="AT74" i="44" s="1"/>
  <c r="AS90" i="41"/>
  <c r="AS90" i="44" s="1"/>
  <c r="V27" i="43"/>
  <c r="W24" i="43"/>
  <c r="AU33" i="43"/>
  <c r="AU33" i="46" s="1"/>
  <c r="AS76" i="41"/>
  <c r="AN9" i="41"/>
  <c r="AN9" i="44" s="1"/>
  <c r="AT57" i="43"/>
  <c r="AT57" i="46" s="1"/>
  <c r="AN53" i="42"/>
  <c r="AO46" i="41"/>
  <c r="AO46" i="44" s="1"/>
  <c r="AO5" i="41"/>
  <c r="AO5" i="44" s="1"/>
  <c r="AR22" i="36"/>
  <c r="Y53" i="38"/>
  <c r="Z53" i="38" s="1"/>
  <c r="AR17" i="39"/>
  <c r="AS10" i="38"/>
  <c r="AR19" i="39"/>
  <c r="AS27" i="38"/>
  <c r="AR16" i="38"/>
  <c r="AR8" i="39" s="1"/>
  <c r="AP47" i="39"/>
  <c r="AP29" i="39"/>
  <c r="AR28" i="38"/>
  <c r="AQ28" i="38"/>
  <c r="AP63" i="38"/>
  <c r="AQ13" i="38"/>
  <c r="AR13" i="38"/>
  <c r="AO20" i="39"/>
  <c r="AP25" i="38"/>
  <c r="AP21" i="39"/>
  <c r="AQ21" i="39" s="1"/>
  <c r="AR23" i="38"/>
  <c r="AQ23" i="38"/>
  <c r="AP8" i="39"/>
  <c r="AQ8" i="39" s="1"/>
  <c r="AQ16" i="38"/>
  <c r="AK137" i="48" l="1"/>
  <c r="AK137" i="53" s="1"/>
  <c r="AK19" i="48"/>
  <c r="AK19" i="53" s="1"/>
  <c r="AJ19" i="53"/>
  <c r="AJ142" i="48"/>
  <c r="AJ142" i="53" s="1"/>
  <c r="AM99" i="53"/>
  <c r="AM103" i="48"/>
  <c r="X43" i="49"/>
  <c r="X43" i="54" s="1"/>
  <c r="X20" i="54"/>
  <c r="AM14" i="54"/>
  <c r="AN7" i="50"/>
  <c r="AN7" i="55" s="1"/>
  <c r="AM127" i="53"/>
  <c r="AM130" i="48"/>
  <c r="AL17" i="48"/>
  <c r="AL15" i="53"/>
  <c r="Y23" i="53"/>
  <c r="Y24" i="48"/>
  <c r="AM66" i="53"/>
  <c r="AM70" i="48"/>
  <c r="AM12" i="48"/>
  <c r="AV101" i="48"/>
  <c r="AV101" i="53" s="1"/>
  <c r="AV98" i="48"/>
  <c r="AV98" i="53" s="1"/>
  <c r="AV11" i="48"/>
  <c r="AV11" i="53" s="1"/>
  <c r="AU11" i="53"/>
  <c r="AV12" i="50"/>
  <c r="AV12" i="55" s="1"/>
  <c r="AU12" i="55"/>
  <c r="AU25" i="55"/>
  <c r="AV25" i="50"/>
  <c r="AV13" i="48"/>
  <c r="AV13" i="53" s="1"/>
  <c r="AU13" i="53"/>
  <c r="AV65" i="48"/>
  <c r="AV65" i="53" s="1"/>
  <c r="AV64" i="53"/>
  <c r="AT16" i="50"/>
  <c r="AT16" i="55" s="1"/>
  <c r="AT9" i="54"/>
  <c r="AV8" i="49"/>
  <c r="AV8" i="54" s="1"/>
  <c r="AU15" i="50"/>
  <c r="AV9" i="48"/>
  <c r="AV9" i="53" s="1"/>
  <c r="AU9" i="53"/>
  <c r="AV68" i="48"/>
  <c r="AV68" i="53" s="1"/>
  <c r="AV67" i="53"/>
  <c r="AS35" i="49"/>
  <c r="AS35" i="54" s="1"/>
  <c r="AS30" i="54"/>
  <c r="AV8" i="53"/>
  <c r="AU35" i="50"/>
  <c r="AU35" i="55" s="1"/>
  <c r="AT37" i="50"/>
  <c r="AT37" i="55" s="1"/>
  <c r="AK142" i="48"/>
  <c r="AK142" i="53" s="1"/>
  <c r="AV94" i="48"/>
  <c r="AV94" i="53" s="1"/>
  <c r="AT18" i="50"/>
  <c r="AT18" i="55" s="1"/>
  <c r="AT30" i="49"/>
  <c r="AV61" i="48"/>
  <c r="AV61" i="53" s="1"/>
  <c r="AU9" i="49"/>
  <c r="AU9" i="54" s="1"/>
  <c r="AU22" i="49"/>
  <c r="AU22" i="54" s="1"/>
  <c r="AT37" i="49"/>
  <c r="AT37" i="54" s="1"/>
  <c r="AJ144" i="41"/>
  <c r="AI144" i="44"/>
  <c r="AU87" i="44"/>
  <c r="AV87" i="41"/>
  <c r="AV87" i="44" s="1"/>
  <c r="AS78" i="41"/>
  <c r="AS78" i="44" s="1"/>
  <c r="AS76" i="44"/>
  <c r="AT54" i="41"/>
  <c r="AT54" i="44" s="1"/>
  <c r="AT52" i="44"/>
  <c r="AS134" i="41"/>
  <c r="AS6" i="44"/>
  <c r="AS134" i="44" s="1"/>
  <c r="AR45" i="41"/>
  <c r="AR45" i="44" s="1"/>
  <c r="AR43" i="44"/>
  <c r="AV139" i="41"/>
  <c r="AV139" i="44" s="1"/>
  <c r="AQ41" i="44"/>
  <c r="AN8" i="44"/>
  <c r="AN140" i="41"/>
  <c r="AN140" i="44" s="1"/>
  <c r="AN8" i="42"/>
  <c r="AN12" i="43"/>
  <c r="AN12" i="46" s="1"/>
  <c r="AN25" i="43"/>
  <c r="AN25" i="46" s="1"/>
  <c r="AO133" i="44"/>
  <c r="AO133" i="41"/>
  <c r="AP62" i="41"/>
  <c r="AQ62" i="41" s="1"/>
  <c r="AM9" i="45"/>
  <c r="AP59" i="41"/>
  <c r="AP59" i="44" s="1"/>
  <c r="AQ45" i="41"/>
  <c r="AO59" i="41"/>
  <c r="AO59" i="44" s="1"/>
  <c r="AO62" i="41"/>
  <c r="AO62" i="44" s="1"/>
  <c r="AV57" i="41"/>
  <c r="AV57" i="44" s="1"/>
  <c r="AP57" i="44"/>
  <c r="AP46" i="41"/>
  <c r="AP46" i="44" s="1"/>
  <c r="AO53" i="42"/>
  <c r="AO53" i="45" s="1"/>
  <c r="AN53" i="45"/>
  <c r="AJ35" i="42"/>
  <c r="AJ35" i="45" s="1"/>
  <c r="AJ30" i="45"/>
  <c r="AR30" i="41"/>
  <c r="AR31" i="41"/>
  <c r="AS153" i="44"/>
  <c r="AT153" i="41"/>
  <c r="AS155" i="41"/>
  <c r="AS155" i="44" s="1"/>
  <c r="W27" i="43"/>
  <c r="W24" i="46"/>
  <c r="V39" i="43"/>
  <c r="V27" i="46"/>
  <c r="AP53" i="42"/>
  <c r="AP53" i="45" s="1"/>
  <c r="AS79" i="41"/>
  <c r="AS79" i="44" s="1"/>
  <c r="AS95" i="41"/>
  <c r="AS95" i="44" s="1"/>
  <c r="AS92" i="41"/>
  <c r="AS92" i="44" s="1"/>
  <c r="AU52" i="41"/>
  <c r="AV50" i="41"/>
  <c r="AV50" i="44" s="1"/>
  <c r="AR46" i="41"/>
  <c r="AR46" i="44" s="1"/>
  <c r="AR5" i="41"/>
  <c r="AR62" i="41"/>
  <c r="AR62" i="44" s="1"/>
  <c r="AR59" i="41"/>
  <c r="AR59" i="44" s="1"/>
  <c r="AM30" i="42"/>
  <c r="AS41" i="41"/>
  <c r="AS41" i="44" s="1"/>
  <c r="AS43" i="41"/>
  <c r="AR57" i="41"/>
  <c r="AR57" i="44" s="1"/>
  <c r="AU57" i="43"/>
  <c r="AU57" i="46" s="1"/>
  <c r="AV33" i="43"/>
  <c r="AV33" i="46" s="1"/>
  <c r="AT6" i="41"/>
  <c r="AU74" i="41"/>
  <c r="AU74" i="44" s="1"/>
  <c r="AT90" i="41"/>
  <c r="AT90" i="44" s="1"/>
  <c r="AO10" i="41"/>
  <c r="AT76" i="41"/>
  <c r="AR53" i="42"/>
  <c r="AR53" i="45" s="1"/>
  <c r="AO64" i="41"/>
  <c r="AO64" i="44" s="1"/>
  <c r="AP64" i="41"/>
  <c r="AP67" i="41"/>
  <c r="AP60" i="41"/>
  <c r="AP60" i="44" s="1"/>
  <c r="AO8" i="41"/>
  <c r="AO8" i="44" s="1"/>
  <c r="AN9" i="42"/>
  <c r="AN22" i="42"/>
  <c r="AN22" i="45" s="1"/>
  <c r="AS22" i="36"/>
  <c r="AQ29" i="39"/>
  <c r="AP20" i="39"/>
  <c r="AQ25" i="38"/>
  <c r="AR25" i="38"/>
  <c r="AS19" i="39"/>
  <c r="AT27" i="38"/>
  <c r="AS16" i="38"/>
  <c r="AS8" i="39" s="1"/>
  <c r="AA53" i="38"/>
  <c r="AS17" i="39"/>
  <c r="AT10" i="38"/>
  <c r="AQ20" i="39"/>
  <c r="AQ47" i="39"/>
  <c r="AS13" i="38"/>
  <c r="AR47" i="39"/>
  <c r="AR29" i="39"/>
  <c r="AS28" i="38"/>
  <c r="AR63" i="38"/>
  <c r="AR21" i="39"/>
  <c r="AS23" i="38"/>
  <c r="Y24" i="53" l="1"/>
  <c r="Y29" i="48"/>
  <c r="AL17" i="53"/>
  <c r="AL141" i="48"/>
  <c r="AL141" i="53" s="1"/>
  <c r="AL19" i="48"/>
  <c r="AN66" i="48"/>
  <c r="Y25" i="48"/>
  <c r="AM131" i="48"/>
  <c r="AM131" i="53" s="1"/>
  <c r="AM130" i="53"/>
  <c r="AN14" i="49"/>
  <c r="AM105" i="48"/>
  <c r="AM103" i="53"/>
  <c r="AM71" i="48"/>
  <c r="AM70" i="53"/>
  <c r="AN127" i="48"/>
  <c r="AN99" i="48"/>
  <c r="AM12" i="53"/>
  <c r="AM15" i="48"/>
  <c r="AV15" i="50"/>
  <c r="AV15" i="55" s="1"/>
  <c r="AU15" i="55"/>
  <c r="AV25" i="55"/>
  <c r="AV56" i="50"/>
  <c r="AV56" i="55" s="1"/>
  <c r="AT35" i="49"/>
  <c r="AT35" i="54" s="1"/>
  <c r="AT30" i="54"/>
  <c r="AU16" i="50"/>
  <c r="AV9" i="49"/>
  <c r="AV9" i="54" s="1"/>
  <c r="AU37" i="50"/>
  <c r="AU37" i="55" s="1"/>
  <c r="AV35" i="50"/>
  <c r="AU18" i="50"/>
  <c r="AV22" i="49"/>
  <c r="AU30" i="49"/>
  <c r="AU37" i="49"/>
  <c r="AU37" i="54" s="1"/>
  <c r="AK144" i="41"/>
  <c r="AJ144" i="44"/>
  <c r="AT78" i="41"/>
  <c r="AT78" i="44" s="1"/>
  <c r="AT76" i="44"/>
  <c r="AU54" i="41"/>
  <c r="AU6" i="41" s="1"/>
  <c r="AU52" i="44"/>
  <c r="AQ59" i="41"/>
  <c r="AQ59" i="44" s="1"/>
  <c r="AT134" i="41"/>
  <c r="AT6" i="44"/>
  <c r="AT134" i="44" s="1"/>
  <c r="AO60" i="41"/>
  <c r="AO60" i="44" s="1"/>
  <c r="AO67" i="41"/>
  <c r="AO67" i="44" s="1"/>
  <c r="AS45" i="41"/>
  <c r="AS45" i="44" s="1"/>
  <c r="AS43" i="44"/>
  <c r="AQ63" i="41"/>
  <c r="AQ63" i="44" s="1"/>
  <c r="AQ62" i="44"/>
  <c r="AO10" i="44"/>
  <c r="AN8" i="45"/>
  <c r="AN15" i="43"/>
  <c r="AN15" i="46" s="1"/>
  <c r="AP62" i="44"/>
  <c r="AN16" i="43"/>
  <c r="AN16" i="46" s="1"/>
  <c r="AN9" i="45"/>
  <c r="AP64" i="44"/>
  <c r="AR133" i="41"/>
  <c r="AR5" i="44"/>
  <c r="AR133" i="44" s="1"/>
  <c r="AP67" i="44"/>
  <c r="AQ46" i="41"/>
  <c r="AQ46" i="44" s="1"/>
  <c r="AQ45" i="44"/>
  <c r="AM35" i="42"/>
  <c r="AM35" i="45" s="1"/>
  <c r="AM30" i="45"/>
  <c r="V41" i="43"/>
  <c r="V39" i="46"/>
  <c r="AT153" i="44"/>
  <c r="AU153" i="41"/>
  <c r="AT155" i="41"/>
  <c r="AR31" i="44"/>
  <c r="AS31" i="41"/>
  <c r="W39" i="43"/>
  <c r="W27" i="46"/>
  <c r="AS30" i="41"/>
  <c r="AR30" i="44"/>
  <c r="AS97" i="41"/>
  <c r="AS97" i="44" s="1"/>
  <c r="AS100" i="41"/>
  <c r="AS100" i="44" s="1"/>
  <c r="AS93" i="41"/>
  <c r="AS93" i="44" s="1"/>
  <c r="AR64" i="41"/>
  <c r="AR64" i="44" s="1"/>
  <c r="AR67" i="41"/>
  <c r="AR67" i="44" s="1"/>
  <c r="AR60" i="41"/>
  <c r="AR60" i="44" s="1"/>
  <c r="AT79" i="41"/>
  <c r="AT79" i="44" s="1"/>
  <c r="AT95" i="41"/>
  <c r="AT95" i="44" s="1"/>
  <c r="AR10" i="41"/>
  <c r="AR10" i="44" s="1"/>
  <c r="AO11" i="41"/>
  <c r="AQ64" i="41"/>
  <c r="AT41" i="41"/>
  <c r="AS57" i="41"/>
  <c r="AS57" i="44" s="1"/>
  <c r="AS53" i="42"/>
  <c r="AS53" i="45" s="1"/>
  <c r="AV74" i="41"/>
  <c r="AV74" i="44" s="1"/>
  <c r="AU90" i="41"/>
  <c r="AU90" i="44" s="1"/>
  <c r="AV57" i="43"/>
  <c r="AV57" i="46" s="1"/>
  <c r="AS46" i="41"/>
  <c r="AS46" i="44" s="1"/>
  <c r="AS5" i="41"/>
  <c r="AS62" i="41"/>
  <c r="AS59" i="41"/>
  <c r="AS59" i="44" s="1"/>
  <c r="AO9" i="41"/>
  <c r="AO9" i="44" s="1"/>
  <c r="AQ60" i="41"/>
  <c r="AQ60" i="44" s="1"/>
  <c r="AN18" i="43"/>
  <c r="AN18" i="46" s="1"/>
  <c r="AN30" i="42"/>
  <c r="AR8" i="41"/>
  <c r="AR8" i="44" s="1"/>
  <c r="AO13" i="41"/>
  <c r="AQ67" i="41"/>
  <c r="AO25" i="43"/>
  <c r="AO12" i="43"/>
  <c r="AO8" i="42"/>
  <c r="AO140" i="41"/>
  <c r="AO140" i="44" s="1"/>
  <c r="AU76" i="41"/>
  <c r="AU22" i="36"/>
  <c r="AT22" i="36"/>
  <c r="AS47" i="39"/>
  <c r="AS29" i="39"/>
  <c r="AT28" i="38"/>
  <c r="AS63" i="38"/>
  <c r="AR20" i="39"/>
  <c r="AS25" i="38"/>
  <c r="AT19" i="39"/>
  <c r="AU27" i="38"/>
  <c r="AT16" i="38"/>
  <c r="AT8" i="39" s="1"/>
  <c r="AS21" i="39"/>
  <c r="AT23" i="38"/>
  <c r="AT13" i="38"/>
  <c r="AC53" i="38"/>
  <c r="AT17" i="39"/>
  <c r="AU10" i="38"/>
  <c r="AN127" i="53" l="1"/>
  <c r="AN130" i="48"/>
  <c r="AM105" i="53"/>
  <c r="AM106" i="48"/>
  <c r="AM106" i="53" s="1"/>
  <c r="Y25" i="53"/>
  <c r="Y27" i="48"/>
  <c r="Y6" i="50"/>
  <c r="AM15" i="53"/>
  <c r="AM17" i="48"/>
  <c r="AN14" i="54"/>
  <c r="AO7" i="50"/>
  <c r="AO66" i="48" s="1"/>
  <c r="AN66" i="53"/>
  <c r="AN12" i="48"/>
  <c r="AN70" i="48"/>
  <c r="Y34" i="48"/>
  <c r="Y29" i="53"/>
  <c r="AN99" i="53"/>
  <c r="AN103" i="48"/>
  <c r="AM71" i="53"/>
  <c r="AM72" i="48"/>
  <c r="AM72" i="53" s="1"/>
  <c r="AM137" i="48"/>
  <c r="AM137" i="53" s="1"/>
  <c r="AL19" i="53"/>
  <c r="AL142" i="48"/>
  <c r="AL142" i="53" s="1"/>
  <c r="AL65" i="49"/>
  <c r="AV30" i="49"/>
  <c r="AV22" i="54"/>
  <c r="AV18" i="50"/>
  <c r="AV18" i="55" s="1"/>
  <c r="AU18" i="55"/>
  <c r="AV16" i="50"/>
  <c r="AV16" i="55" s="1"/>
  <c r="AU16" i="55"/>
  <c r="AV37" i="50"/>
  <c r="AV37" i="55" s="1"/>
  <c r="AV35" i="55"/>
  <c r="AU35" i="49"/>
  <c r="AU35" i="54" s="1"/>
  <c r="AU30" i="54"/>
  <c r="AV37" i="49"/>
  <c r="AV37" i="54" s="1"/>
  <c r="AM144" i="41"/>
  <c r="AK144" i="44"/>
  <c r="AU76" i="44"/>
  <c r="AT92" i="41"/>
  <c r="AT92" i="44" s="1"/>
  <c r="AV6" i="41"/>
  <c r="AV6" i="44" s="1"/>
  <c r="AU6" i="44"/>
  <c r="AV54" i="41"/>
  <c r="AV54" i="44" s="1"/>
  <c r="AU54" i="44"/>
  <c r="AU134" i="44" s="1"/>
  <c r="AO25" i="46"/>
  <c r="AQ68" i="41"/>
  <c r="AQ68" i="44" s="1"/>
  <c r="AQ67" i="44"/>
  <c r="AT43" i="41"/>
  <c r="AT41" i="44"/>
  <c r="AQ65" i="41"/>
  <c r="AQ65" i="44" s="1"/>
  <c r="AQ64" i="44"/>
  <c r="AO11" i="44"/>
  <c r="AS8" i="41"/>
  <c r="AS8" i="44" s="1"/>
  <c r="AS5" i="44"/>
  <c r="AS133" i="44" s="1"/>
  <c r="AO13" i="44"/>
  <c r="AO15" i="43"/>
  <c r="AO15" i="46" s="1"/>
  <c r="AO8" i="45"/>
  <c r="AS10" i="41"/>
  <c r="AS10" i="44" s="1"/>
  <c r="AS62" i="44"/>
  <c r="AN35" i="42"/>
  <c r="AN35" i="45" s="1"/>
  <c r="AN30" i="45"/>
  <c r="AO12" i="46"/>
  <c r="AS31" i="44"/>
  <c r="AT31" i="41"/>
  <c r="AT155" i="44"/>
  <c r="AT30" i="41"/>
  <c r="AS30" i="44"/>
  <c r="W41" i="43"/>
  <c r="W39" i="46"/>
  <c r="AU155" i="41"/>
  <c r="AU155" i="44" s="1"/>
  <c r="AU153" i="44"/>
  <c r="V6" i="42"/>
  <c r="V41" i="46"/>
  <c r="AS8" i="42"/>
  <c r="AT53" i="42"/>
  <c r="AT53" i="45" s="1"/>
  <c r="AR13" i="41"/>
  <c r="AR13" i="44" s="1"/>
  <c r="AQ61" i="41"/>
  <c r="AQ61" i="44" s="1"/>
  <c r="AU134" i="41"/>
  <c r="AR11" i="41"/>
  <c r="AR11" i="44" s="1"/>
  <c r="AU41" i="41"/>
  <c r="AT57" i="41"/>
  <c r="AT57" i="44" s="1"/>
  <c r="AR25" i="43"/>
  <c r="AR25" i="46" s="1"/>
  <c r="AR12" i="43"/>
  <c r="AR12" i="46" s="1"/>
  <c r="AR8" i="42"/>
  <c r="AR140" i="41"/>
  <c r="AR140" i="44" s="1"/>
  <c r="AR9" i="41"/>
  <c r="AR9" i="44" s="1"/>
  <c r="AS64" i="41"/>
  <c r="AS67" i="41"/>
  <c r="AS60" i="41"/>
  <c r="AS60" i="44" s="1"/>
  <c r="AS133" i="41"/>
  <c r="AO22" i="42"/>
  <c r="AO22" i="45" s="1"/>
  <c r="AO9" i="42"/>
  <c r="AS20" i="39"/>
  <c r="AT25" i="38"/>
  <c r="AD53" i="38"/>
  <c r="AE53" i="38" s="1"/>
  <c r="AU19" i="39"/>
  <c r="AV19" i="39" s="1"/>
  <c r="AV27" i="38"/>
  <c r="AU16" i="38"/>
  <c r="AT47" i="39"/>
  <c r="AT29" i="39"/>
  <c r="AU28" i="38"/>
  <c r="AT63" i="38"/>
  <c r="AU13" i="38"/>
  <c r="AU17" i="39"/>
  <c r="AV17" i="39" s="1"/>
  <c r="AV10" i="38"/>
  <c r="AT21" i="39"/>
  <c r="AU23" i="38"/>
  <c r="AO7" i="55" l="1"/>
  <c r="Y6" i="55"/>
  <c r="Y22" i="50"/>
  <c r="Y38" i="49"/>
  <c r="AN12" i="53"/>
  <c r="AN15" i="48"/>
  <c r="Y27" i="53"/>
  <c r="Y32" i="48"/>
  <c r="Y32" i="53" s="1"/>
  <c r="Y33" i="48"/>
  <c r="AO127" i="48"/>
  <c r="AO99" i="48"/>
  <c r="Y147" i="48"/>
  <c r="Y147" i="53" s="1"/>
  <c r="Y34" i="53"/>
  <c r="AM17" i="53"/>
  <c r="AM141" i="48"/>
  <c r="AM141" i="53" s="1"/>
  <c r="AM19" i="48"/>
  <c r="AN131" i="48"/>
  <c r="AN131" i="53" s="1"/>
  <c r="AN130" i="53"/>
  <c r="AO66" i="53"/>
  <c r="AO70" i="48"/>
  <c r="AL64" i="49"/>
  <c r="AL64" i="54" s="1"/>
  <c r="AL65" i="54"/>
  <c r="AN105" i="48"/>
  <c r="AN103" i="53"/>
  <c r="AN70" i="53"/>
  <c r="AN71" i="48"/>
  <c r="AO14" i="49"/>
  <c r="AV35" i="49"/>
  <c r="AV35" i="54" s="1"/>
  <c r="AV30" i="54"/>
  <c r="AN144" i="41"/>
  <c r="AM144" i="44"/>
  <c r="AS12" i="43"/>
  <c r="AS12" i="46" s="1"/>
  <c r="AS25" i="43"/>
  <c r="AS25" i="46" s="1"/>
  <c r="AS140" i="41"/>
  <c r="AS140" i="44" s="1"/>
  <c r="AT93" i="41"/>
  <c r="AT93" i="44" s="1"/>
  <c r="AT100" i="41"/>
  <c r="AT100" i="44" s="1"/>
  <c r="AT97" i="41"/>
  <c r="AT97" i="44" s="1"/>
  <c r="AT45" i="41"/>
  <c r="AT43" i="44"/>
  <c r="AO16" i="43"/>
  <c r="AO16" i="46" s="1"/>
  <c r="AO9" i="45"/>
  <c r="AR8" i="45"/>
  <c r="AS15" i="43"/>
  <c r="AS15" i="46" s="1"/>
  <c r="AS8" i="45"/>
  <c r="AU43" i="41"/>
  <c r="AU41" i="44"/>
  <c r="AS13" i="41"/>
  <c r="AS13" i="44" s="1"/>
  <c r="AS67" i="44"/>
  <c r="AS11" i="41"/>
  <c r="AS11" i="44" s="1"/>
  <c r="AS64" i="44"/>
  <c r="W41" i="46"/>
  <c r="X40" i="43"/>
  <c r="X40" i="46" s="1"/>
  <c r="AB40" i="43"/>
  <c r="AB40" i="46" s="1"/>
  <c r="V6" i="45"/>
  <c r="V46" i="43"/>
  <c r="V11" i="42"/>
  <c r="W6" i="42"/>
  <c r="X21" i="41"/>
  <c r="AV155" i="41"/>
  <c r="AV155" i="44" s="1"/>
  <c r="AU30" i="41"/>
  <c r="AU30" i="44" s="1"/>
  <c r="AT30" i="44"/>
  <c r="AU31" i="41"/>
  <c r="AU31" i="44" s="1"/>
  <c r="AT31" i="44"/>
  <c r="AR22" i="42"/>
  <c r="AR22" i="45" s="1"/>
  <c r="AR9" i="42"/>
  <c r="AV41" i="41"/>
  <c r="AV41" i="44" s="1"/>
  <c r="AU57" i="41"/>
  <c r="AU57" i="44" s="1"/>
  <c r="AO18" i="43"/>
  <c r="AO18" i="46" s="1"/>
  <c r="AO30" i="42"/>
  <c r="AS9" i="41"/>
  <c r="AS9" i="44" s="1"/>
  <c r="AU53" i="42"/>
  <c r="AU53" i="45" s="1"/>
  <c r="AF53" i="38"/>
  <c r="AH53" i="38" s="1"/>
  <c r="AT20" i="39"/>
  <c r="AU25" i="38"/>
  <c r="AU21" i="39"/>
  <c r="AV21" i="39" s="1"/>
  <c r="AV23" i="38"/>
  <c r="AU29" i="39"/>
  <c r="AV28" i="38"/>
  <c r="AU47" i="39"/>
  <c r="AU63" i="38"/>
  <c r="AU8" i="39"/>
  <c r="AV8" i="39" s="1"/>
  <c r="AV16" i="38"/>
  <c r="AV13" i="38"/>
  <c r="AO12" i="48" l="1"/>
  <c r="AO15" i="48" s="1"/>
  <c r="AO14" i="54"/>
  <c r="AP7" i="50"/>
  <c r="AP66" i="48" s="1"/>
  <c r="AN71" i="53"/>
  <c r="AN72" i="48"/>
  <c r="AN72" i="53" s="1"/>
  <c r="AO127" i="53"/>
  <c r="AO130" i="48"/>
  <c r="AN17" i="48"/>
  <c r="AN137" i="48" s="1"/>
  <c r="AN137" i="53" s="1"/>
  <c r="AN15" i="53"/>
  <c r="AO12" i="53"/>
  <c r="Y22" i="55"/>
  <c r="Y55" i="50"/>
  <c r="AO70" i="53"/>
  <c r="AO71" i="48"/>
  <c r="AM19" i="53"/>
  <c r="AM142" i="48"/>
  <c r="AM142" i="53" s="1"/>
  <c r="Y146" i="48"/>
  <c r="Y146" i="53" s="1"/>
  <c r="Y33" i="53"/>
  <c r="AN105" i="53"/>
  <c r="AN106" i="48"/>
  <c r="AN106" i="53" s="1"/>
  <c r="AO99" i="53"/>
  <c r="AP99" i="48"/>
  <c r="AQ99" i="48" s="1"/>
  <c r="AO103" i="48"/>
  <c r="Y38" i="54"/>
  <c r="Y41" i="49"/>
  <c r="AO144" i="41"/>
  <c r="AN144" i="44"/>
  <c r="AU45" i="41"/>
  <c r="AU43" i="44"/>
  <c r="AT45" i="44"/>
  <c r="AT62" i="41"/>
  <c r="AT59" i="41"/>
  <c r="AT46" i="41"/>
  <c r="AT46" i="44" s="1"/>
  <c r="AT5" i="41"/>
  <c r="AR9" i="45"/>
  <c r="AO35" i="42"/>
  <c r="AO35" i="45" s="1"/>
  <c r="AO30" i="45"/>
  <c r="V20" i="42"/>
  <c r="V11" i="45"/>
  <c r="X21" i="44"/>
  <c r="X23" i="41"/>
  <c r="W6" i="45"/>
  <c r="W11" i="42"/>
  <c r="W46" i="43"/>
  <c r="V48" i="43"/>
  <c r="V48" i="46" s="1"/>
  <c r="V46" i="46"/>
  <c r="AS22" i="42"/>
  <c r="AS22" i="45" s="1"/>
  <c r="AS9" i="42"/>
  <c r="AR30" i="42"/>
  <c r="AI53" i="38"/>
  <c r="AU20" i="39"/>
  <c r="AV25" i="38"/>
  <c r="AV20" i="39"/>
  <c r="AJ53" i="38"/>
  <c r="AK53" i="38" s="1"/>
  <c r="AV47" i="39"/>
  <c r="AV29" i="39"/>
  <c r="AP127" i="48" l="1"/>
  <c r="AQ127" i="48" s="1"/>
  <c r="AP14" i="49"/>
  <c r="AP14" i="54" s="1"/>
  <c r="AQ99" i="53"/>
  <c r="AQ103" i="48"/>
  <c r="AQ103" i="53" s="1"/>
  <c r="Y148" i="48"/>
  <c r="Y148" i="53" s="1"/>
  <c r="Y55" i="55"/>
  <c r="AO17" i="48"/>
  <c r="AO15" i="53"/>
  <c r="AO131" i="48"/>
  <c r="AO131" i="53" s="1"/>
  <c r="AO130" i="53"/>
  <c r="AP7" i="55"/>
  <c r="AQ7" i="50"/>
  <c r="AQ7" i="55" s="1"/>
  <c r="AQ130" i="48"/>
  <c r="AQ127" i="53"/>
  <c r="AO103" i="53"/>
  <c r="AO105" i="48"/>
  <c r="AP127" i="53"/>
  <c r="AP130" i="48"/>
  <c r="Y41" i="54"/>
  <c r="Y62" i="49"/>
  <c r="Y62" i="54" s="1"/>
  <c r="Y42" i="49"/>
  <c r="AP99" i="53"/>
  <c r="AP103" i="48"/>
  <c r="AO71" i="53"/>
  <c r="AO72" i="48"/>
  <c r="AO72" i="53" s="1"/>
  <c r="AN17" i="53"/>
  <c r="AN19" i="48"/>
  <c r="AN141" i="48"/>
  <c r="AN141" i="53" s="1"/>
  <c r="AP66" i="53"/>
  <c r="AP70" i="48"/>
  <c r="AP12" i="48"/>
  <c r="AQ66" i="48"/>
  <c r="AP144" i="41"/>
  <c r="AO144" i="44"/>
  <c r="AT62" i="44"/>
  <c r="AT10" i="41"/>
  <c r="AT8" i="41"/>
  <c r="AT5" i="44"/>
  <c r="AT133" i="44" s="1"/>
  <c r="AT133" i="41"/>
  <c r="AT59" i="44"/>
  <c r="AT67" i="41"/>
  <c r="AT64" i="41"/>
  <c r="AT60" i="41"/>
  <c r="AU45" i="44"/>
  <c r="AU59" i="41"/>
  <c r="AU62" i="41"/>
  <c r="AV62" i="41" s="1"/>
  <c r="AU46" i="41"/>
  <c r="AU46" i="44" s="1"/>
  <c r="AV45" i="41"/>
  <c r="AS16" i="43"/>
  <c r="AS16" i="46" s="1"/>
  <c r="AS9" i="45"/>
  <c r="AR35" i="42"/>
  <c r="AR35" i="45" s="1"/>
  <c r="AR30" i="45"/>
  <c r="W48" i="43"/>
  <c r="W48" i="46" s="1"/>
  <c r="W46" i="46"/>
  <c r="W20" i="42"/>
  <c r="W11" i="45"/>
  <c r="X23" i="44"/>
  <c r="X24" i="41"/>
  <c r="V43" i="42"/>
  <c r="V43" i="45" s="1"/>
  <c r="V20" i="45"/>
  <c r="AS18" i="43"/>
  <c r="AS18" i="46" s="1"/>
  <c r="AS30" i="42"/>
  <c r="AM53" i="38"/>
  <c r="AQ14" i="49" l="1"/>
  <c r="Y42" i="54"/>
  <c r="Y7" i="49"/>
  <c r="Y12" i="49"/>
  <c r="Y12" i="54" s="1"/>
  <c r="Y17" i="49"/>
  <c r="AO106" i="48"/>
  <c r="AO106" i="53" s="1"/>
  <c r="AO105" i="53"/>
  <c r="AQ131" i="48"/>
  <c r="AQ131" i="53" s="1"/>
  <c r="AQ130" i="53"/>
  <c r="AP70" i="53"/>
  <c r="AP71" i="48"/>
  <c r="AP131" i="48"/>
  <c r="AP131" i="53" s="1"/>
  <c r="AP130" i="53"/>
  <c r="AO137" i="48"/>
  <c r="AO137" i="53" s="1"/>
  <c r="AO17" i="53"/>
  <c r="AO141" i="48"/>
  <c r="AO141" i="53" s="1"/>
  <c r="AO19" i="48"/>
  <c r="AQ70" i="48"/>
  <c r="AQ70" i="53" s="1"/>
  <c r="AQ66" i="53"/>
  <c r="AP12" i="53"/>
  <c r="AP15" i="48"/>
  <c r="AQ12" i="48"/>
  <c r="AN19" i="53"/>
  <c r="AN142" i="48"/>
  <c r="AN142" i="53" s="1"/>
  <c r="AP105" i="48"/>
  <c r="AQ105" i="48" s="1"/>
  <c r="AP103" i="53"/>
  <c r="AR7" i="50"/>
  <c r="AQ14" i="54"/>
  <c r="AR144" i="41"/>
  <c r="AP144" i="44"/>
  <c r="AU59" i="44"/>
  <c r="AU67" i="41"/>
  <c r="AU60" i="41"/>
  <c r="AU64" i="41"/>
  <c r="AT67" i="44"/>
  <c r="AV67" i="41"/>
  <c r="AT13" i="41"/>
  <c r="AT8" i="44"/>
  <c r="AT12" i="43"/>
  <c r="AT8" i="42"/>
  <c r="AT140" i="41"/>
  <c r="AT140" i="44" s="1"/>
  <c r="AT25" i="43"/>
  <c r="AT25" i="46" s="1"/>
  <c r="AT60" i="44"/>
  <c r="AT9" i="41"/>
  <c r="AV62" i="44"/>
  <c r="AV63" i="41"/>
  <c r="AV63" i="44" s="1"/>
  <c r="AV46" i="41"/>
  <c r="AV46" i="44" s="1"/>
  <c r="AV45" i="44"/>
  <c r="AT10" i="44"/>
  <c r="AV59" i="41"/>
  <c r="AV59" i="44" s="1"/>
  <c r="AT11" i="41"/>
  <c r="AT11" i="44" s="1"/>
  <c r="AT64" i="44"/>
  <c r="AU62" i="44"/>
  <c r="AS35" i="42"/>
  <c r="AS35" i="45" s="1"/>
  <c r="AS30" i="45"/>
  <c r="X24" i="44"/>
  <c r="X29" i="41"/>
  <c r="W43" i="42"/>
  <c r="W43" i="45" s="1"/>
  <c r="W20" i="45"/>
  <c r="X25" i="41"/>
  <c r="AN53" i="38"/>
  <c r="AQ105" i="53" l="1"/>
  <c r="AQ106" i="48"/>
  <c r="AQ106" i="53" s="1"/>
  <c r="AR99" i="48"/>
  <c r="AR66" i="48"/>
  <c r="AR7" i="55"/>
  <c r="AR127" i="48"/>
  <c r="AR14" i="49"/>
  <c r="AP71" i="53"/>
  <c r="AP72" i="48"/>
  <c r="AP72" i="53" s="1"/>
  <c r="AQ71" i="48"/>
  <c r="Y17" i="54"/>
  <c r="Y26" i="50"/>
  <c r="Y26" i="55" s="1"/>
  <c r="AQ15" i="48"/>
  <c r="AQ12" i="53"/>
  <c r="Y7" i="54"/>
  <c r="Y24" i="50"/>
  <c r="AP105" i="53"/>
  <c r="AP106" i="48"/>
  <c r="AP106" i="53" s="1"/>
  <c r="AP15" i="53"/>
  <c r="AP17" i="48"/>
  <c r="AP137" i="48" s="1"/>
  <c r="AP137" i="53" s="1"/>
  <c r="AO19" i="53"/>
  <c r="AO142" i="48"/>
  <c r="AO142" i="53" s="1"/>
  <c r="AS144" i="41"/>
  <c r="AR144" i="44"/>
  <c r="AT9" i="44"/>
  <c r="AT22" i="42"/>
  <c r="AT9" i="42"/>
  <c r="AU64" i="44"/>
  <c r="AT13" i="44"/>
  <c r="AU60" i="44"/>
  <c r="AT15" i="43"/>
  <c r="AT8" i="45"/>
  <c r="AU67" i="44"/>
  <c r="AT12" i="46"/>
  <c r="AV68" i="41"/>
  <c r="AV68" i="44" s="1"/>
  <c r="AV67" i="44"/>
  <c r="AV60" i="41"/>
  <c r="AV64" i="41"/>
  <c r="X25" i="44"/>
  <c r="X27" i="41"/>
  <c r="X33" i="41" s="1"/>
  <c r="X6" i="43"/>
  <c r="X34" i="41"/>
  <c r="X29" i="44"/>
  <c r="AO53" i="38"/>
  <c r="AQ72" i="48" l="1"/>
  <c r="AQ72" i="53" s="1"/>
  <c r="AQ71" i="53"/>
  <c r="AR14" i="54"/>
  <c r="AS7" i="50"/>
  <c r="AS7" i="55" s="1"/>
  <c r="AR99" i="53"/>
  <c r="AR103" i="48"/>
  <c r="AR66" i="53"/>
  <c r="AR70" i="48"/>
  <c r="AR12" i="48"/>
  <c r="AQ17" i="48"/>
  <c r="AQ15" i="53"/>
  <c r="AR127" i="53"/>
  <c r="AR130" i="48"/>
  <c r="AP17" i="53"/>
  <c r="AP141" i="48"/>
  <c r="AP141" i="53" s="1"/>
  <c r="AP19" i="48"/>
  <c r="Y24" i="55"/>
  <c r="Y27" i="50"/>
  <c r="AT144" i="41"/>
  <c r="AS144" i="44"/>
  <c r="AT15" i="46"/>
  <c r="AT16" i="43"/>
  <c r="AT16" i="46" s="1"/>
  <c r="AT9" i="45"/>
  <c r="AV65" i="41"/>
  <c r="AV65" i="44" s="1"/>
  <c r="AV64" i="44"/>
  <c r="AV60" i="44"/>
  <c r="AV61" i="41"/>
  <c r="AV61" i="44" s="1"/>
  <c r="AT22" i="45"/>
  <c r="AT30" i="42"/>
  <c r="AT18" i="43"/>
  <c r="AT18" i="46" s="1"/>
  <c r="X147" i="41"/>
  <c r="X147" i="44" s="1"/>
  <c r="X34" i="44"/>
  <c r="X6" i="46"/>
  <c r="X22" i="43"/>
  <c r="X27" i="44"/>
  <c r="X32" i="41"/>
  <c r="X32" i="44" s="1"/>
  <c r="AP53" i="38"/>
  <c r="AR53" i="38" s="1"/>
  <c r="AS66" i="48" l="1"/>
  <c r="AS66" i="53" s="1"/>
  <c r="AS99" i="48"/>
  <c r="AR15" i="48"/>
  <c r="AR12" i="53"/>
  <c r="AR103" i="53"/>
  <c r="AR105" i="48"/>
  <c r="AP19" i="53"/>
  <c r="AP142" i="48"/>
  <c r="AP142" i="53" s="1"/>
  <c r="Y39" i="50"/>
  <c r="Y27" i="55"/>
  <c r="AR70" i="53"/>
  <c r="AR71" i="48"/>
  <c r="AR130" i="53"/>
  <c r="AR131" i="48"/>
  <c r="AR131" i="53" s="1"/>
  <c r="AS127" i="48"/>
  <c r="AQ141" i="48"/>
  <c r="AQ141" i="53" s="1"/>
  <c r="AQ19" i="48"/>
  <c r="AQ17" i="53"/>
  <c r="AS14" i="49"/>
  <c r="AU144" i="41"/>
  <c r="AU144" i="44" s="1"/>
  <c r="AT144" i="44"/>
  <c r="AT30" i="45"/>
  <c r="AT35" i="42"/>
  <c r="AT35" i="45" s="1"/>
  <c r="X146" i="41"/>
  <c r="X146" i="44" s="1"/>
  <c r="X33" i="44"/>
  <c r="X55" i="43"/>
  <c r="X22" i="46"/>
  <c r="X38" i="45"/>
  <c r="X41" i="42"/>
  <c r="AS53" i="38"/>
  <c r="AT53" i="38"/>
  <c r="AU53" i="38" s="1"/>
  <c r="AS70" i="48" l="1"/>
  <c r="AS70" i="53" s="1"/>
  <c r="AR105" i="53"/>
  <c r="AR106" i="48"/>
  <c r="AR106" i="53" s="1"/>
  <c r="AS99" i="53"/>
  <c r="AS103" i="48"/>
  <c r="Y41" i="50"/>
  <c r="Y39" i="55"/>
  <c r="AQ19" i="53"/>
  <c r="AQ65" i="49"/>
  <c r="AQ142" i="48"/>
  <c r="AQ142" i="53" s="1"/>
  <c r="AS14" i="54"/>
  <c r="AT7" i="50"/>
  <c r="AT14" i="49" s="1"/>
  <c r="AS130" i="48"/>
  <c r="AS127" i="53"/>
  <c r="AR71" i="53"/>
  <c r="AR72" i="48"/>
  <c r="AR72" i="53" s="1"/>
  <c r="AS12" i="48"/>
  <c r="AT66" i="48"/>
  <c r="AR17" i="48"/>
  <c r="AR15" i="53"/>
  <c r="X41" i="45"/>
  <c r="X42" i="42"/>
  <c r="X62" i="42"/>
  <c r="X62" i="45" s="1"/>
  <c r="X148" i="41"/>
  <c r="X148" i="44" s="1"/>
  <c r="X55" i="46"/>
  <c r="AR167" i="36"/>
  <c r="AR166" i="36"/>
  <c r="AR164" i="36"/>
  <c r="AM167" i="36"/>
  <c r="AM166" i="36"/>
  <c r="AM164" i="36"/>
  <c r="AH167" i="36"/>
  <c r="AH166" i="36"/>
  <c r="AH164" i="36"/>
  <c r="AC167" i="36"/>
  <c r="AC166" i="36"/>
  <c r="AC164" i="36"/>
  <c r="X164" i="36"/>
  <c r="X165" i="36"/>
  <c r="Y165" i="36" s="1"/>
  <c r="Z165" i="36" s="1"/>
  <c r="AA165" i="36" s="1"/>
  <c r="AC165" i="36" s="1"/>
  <c r="AD165" i="36" s="1"/>
  <c r="AE165" i="36" s="1"/>
  <c r="AF165" i="36" s="1"/>
  <c r="AH165" i="36" s="1"/>
  <c r="AI165" i="36" s="1"/>
  <c r="AJ165" i="36" s="1"/>
  <c r="AK165" i="36" s="1"/>
  <c r="AM165" i="36" s="1"/>
  <c r="AN165" i="36" s="1"/>
  <c r="AO165" i="36" s="1"/>
  <c r="AP165" i="36" s="1"/>
  <c r="AR165" i="36" s="1"/>
  <c r="AS165" i="36" s="1"/>
  <c r="AT165" i="36" s="1"/>
  <c r="AU165" i="36" s="1"/>
  <c r="X166" i="36"/>
  <c r="X167" i="36"/>
  <c r="V119" i="36"/>
  <c r="X119" i="36" s="1"/>
  <c r="Y119" i="36" s="1"/>
  <c r="Z119" i="36" s="1"/>
  <c r="AA119" i="36" s="1"/>
  <c r="AC119" i="36" s="1"/>
  <c r="AD119" i="36" s="1"/>
  <c r="AE119" i="36" s="1"/>
  <c r="AF119" i="36" s="1"/>
  <c r="AH119" i="36" s="1"/>
  <c r="AI119" i="36" s="1"/>
  <c r="AJ119" i="36" s="1"/>
  <c r="AK119" i="36" s="1"/>
  <c r="AM119" i="36" s="1"/>
  <c r="AN119" i="36" s="1"/>
  <c r="AO119" i="36" s="1"/>
  <c r="AP119" i="36" s="1"/>
  <c r="AR119" i="36" s="1"/>
  <c r="AS119" i="36" s="1"/>
  <c r="AT119" i="36" s="1"/>
  <c r="AU119" i="36" s="1"/>
  <c r="AU91" i="36"/>
  <c r="AT91" i="36"/>
  <c r="AS91" i="36"/>
  <c r="AR91" i="36"/>
  <c r="AP91" i="36"/>
  <c r="AO91" i="36"/>
  <c r="AN91" i="36"/>
  <c r="AM91" i="36"/>
  <c r="AK91" i="36"/>
  <c r="AJ91" i="36"/>
  <c r="AI91" i="36"/>
  <c r="AH91" i="36"/>
  <c r="AF91" i="36"/>
  <c r="AE91" i="36"/>
  <c r="AD91" i="36"/>
  <c r="AC91" i="36"/>
  <c r="AU58" i="36"/>
  <c r="AT58" i="36"/>
  <c r="AS58" i="36"/>
  <c r="AR58" i="36"/>
  <c r="AP58" i="36"/>
  <c r="AO58" i="36"/>
  <c r="AN58" i="36"/>
  <c r="AM58" i="36"/>
  <c r="AK58" i="36"/>
  <c r="AJ58" i="36"/>
  <c r="AI58" i="36"/>
  <c r="AH58" i="36"/>
  <c r="AF58" i="36"/>
  <c r="AE58" i="36"/>
  <c r="AD58" i="36"/>
  <c r="AC58" i="36"/>
  <c r="AV22" i="36"/>
  <c r="AQ22" i="36"/>
  <c r="AL22" i="36"/>
  <c r="AG22" i="36"/>
  <c r="AS71" i="48" l="1"/>
  <c r="AS72" i="48" s="1"/>
  <c r="AS72" i="53" s="1"/>
  <c r="AT127" i="48"/>
  <c r="AR141" i="48"/>
  <c r="AR141" i="53" s="1"/>
  <c r="AR17" i="53"/>
  <c r="AR19" i="48"/>
  <c r="AT66" i="53"/>
  <c r="AT70" i="48"/>
  <c r="AR137" i="48"/>
  <c r="AR137" i="53" s="1"/>
  <c r="AT14" i="54"/>
  <c r="AU7" i="50"/>
  <c r="AU7" i="55" s="1"/>
  <c r="AQ65" i="54"/>
  <c r="AQ64" i="49"/>
  <c r="AQ64" i="54" s="1"/>
  <c r="AS103" i="53"/>
  <c r="AS105" i="48"/>
  <c r="AS15" i="48"/>
  <c r="AS12" i="53"/>
  <c r="AT127" i="53"/>
  <c r="AT130" i="48"/>
  <c r="AT7" i="55"/>
  <c r="Y41" i="55"/>
  <c r="Z40" i="50"/>
  <c r="Z40" i="55" s="1"/>
  <c r="Y6" i="49"/>
  <c r="AS131" i="48"/>
  <c r="AS131" i="53" s="1"/>
  <c r="AS130" i="53"/>
  <c r="AS71" i="53"/>
  <c r="AT99" i="48"/>
  <c r="X42" i="45"/>
  <c r="X12" i="42"/>
  <c r="X12" i="45" s="1"/>
  <c r="X7" i="42"/>
  <c r="X17" i="42"/>
  <c r="X129" i="36"/>
  <c r="X102" i="36"/>
  <c r="Y102" i="36" s="1"/>
  <c r="S152" i="36"/>
  <c r="S151" i="36"/>
  <c r="T151" i="36"/>
  <c r="T152" i="36"/>
  <c r="AV7" i="50" l="1"/>
  <c r="AV7" i="55" s="1"/>
  <c r="AU14" i="49"/>
  <c r="AU14" i="54" s="1"/>
  <c r="AT99" i="53"/>
  <c r="AT103" i="48"/>
  <c r="AU99" i="48"/>
  <c r="AV14" i="49"/>
  <c r="AV14" i="54" s="1"/>
  <c r="Y6" i="54"/>
  <c r="Y46" i="50"/>
  <c r="Y11" i="49"/>
  <c r="Z21" i="48"/>
  <c r="AT70" i="53"/>
  <c r="AT71" i="48"/>
  <c r="AS106" i="48"/>
  <c r="AS106" i="53" s="1"/>
  <c r="AS105" i="53"/>
  <c r="AU66" i="48"/>
  <c r="AT130" i="53"/>
  <c r="AT131" i="48"/>
  <c r="AT131" i="53" s="1"/>
  <c r="AR19" i="53"/>
  <c r="AR142" i="48"/>
  <c r="AR142" i="53" s="1"/>
  <c r="AU127" i="48"/>
  <c r="AS15" i="53"/>
  <c r="AS17" i="48"/>
  <c r="AS137" i="48" s="1"/>
  <c r="AS137" i="53" s="1"/>
  <c r="AT12" i="48"/>
  <c r="X17" i="45"/>
  <c r="X26" i="43"/>
  <c r="X26" i="46" s="1"/>
  <c r="X24" i="43"/>
  <c r="X7" i="45"/>
  <c r="Z163" i="36"/>
  <c r="Y129" i="36"/>
  <c r="Z129" i="36" s="1"/>
  <c r="T154" i="36"/>
  <c r="S154" i="36"/>
  <c r="U172" i="36"/>
  <c r="U124" i="36"/>
  <c r="U116" i="36"/>
  <c r="U113" i="36"/>
  <c r="U111" i="36"/>
  <c r="U109" i="36"/>
  <c r="U96" i="36"/>
  <c r="U89" i="36"/>
  <c r="U63" i="36"/>
  <c r="U58" i="36"/>
  <c r="U56" i="36"/>
  <c r="T79" i="36"/>
  <c r="S79" i="36"/>
  <c r="Q79" i="36"/>
  <c r="P79" i="36"/>
  <c r="O79" i="36"/>
  <c r="N79" i="36"/>
  <c r="L79" i="36"/>
  <c r="K79" i="36"/>
  <c r="J79" i="36"/>
  <c r="I79" i="36"/>
  <c r="N76" i="36"/>
  <c r="N77" i="36" s="1"/>
  <c r="I76" i="36"/>
  <c r="I77" i="36" s="1"/>
  <c r="L76" i="36"/>
  <c r="L77" i="36" s="1"/>
  <c r="K76" i="36"/>
  <c r="K77" i="36" s="1"/>
  <c r="J76" i="36"/>
  <c r="J77" i="36" s="1"/>
  <c r="F76" i="36"/>
  <c r="F77" i="36" s="1"/>
  <c r="G76" i="36"/>
  <c r="G77" i="36" s="1"/>
  <c r="E76" i="36"/>
  <c r="E77" i="36" s="1"/>
  <c r="G43" i="36"/>
  <c r="G44" i="36" s="1"/>
  <c r="F43" i="36"/>
  <c r="F44" i="36" s="1"/>
  <c r="E43" i="36"/>
  <c r="E44" i="36" s="1"/>
  <c r="L43" i="36"/>
  <c r="L44" i="36" s="1"/>
  <c r="K43" i="36"/>
  <c r="K44" i="36" s="1"/>
  <c r="J43" i="36"/>
  <c r="J44" i="36" s="1"/>
  <c r="I43" i="36"/>
  <c r="I44" i="36" s="1"/>
  <c r="N43" i="36"/>
  <c r="N44" i="36" s="1"/>
  <c r="T46" i="36"/>
  <c r="S46" i="36"/>
  <c r="Q46" i="36"/>
  <c r="P46" i="36"/>
  <c r="O46" i="36"/>
  <c r="N46" i="36"/>
  <c r="J46" i="36"/>
  <c r="K46" i="36"/>
  <c r="L46" i="36"/>
  <c r="I46" i="36"/>
  <c r="AV154" i="36"/>
  <c r="AV20" i="36"/>
  <c r="T172" i="36"/>
  <c r="T171" i="36"/>
  <c r="S165" i="36"/>
  <c r="T124" i="36"/>
  <c r="S124" i="36"/>
  <c r="T116" i="36"/>
  <c r="S116" i="36"/>
  <c r="T113" i="36"/>
  <c r="S113" i="36"/>
  <c r="T111" i="36"/>
  <c r="S111" i="36"/>
  <c r="T109" i="36"/>
  <c r="S109" i="36"/>
  <c r="T96" i="36"/>
  <c r="S96" i="36"/>
  <c r="T89" i="36"/>
  <c r="S89" i="36"/>
  <c r="T63" i="36"/>
  <c r="S63" i="36"/>
  <c r="T56" i="36"/>
  <c r="S56" i="36"/>
  <c r="S70" i="36"/>
  <c r="V154" i="36"/>
  <c r="AU127" i="53" l="1"/>
  <c r="AU130" i="48"/>
  <c r="AV127" i="48"/>
  <c r="AT71" i="53"/>
  <c r="AT72" i="48"/>
  <c r="AT72" i="53" s="1"/>
  <c r="Y48" i="50"/>
  <c r="Y48" i="55" s="1"/>
  <c r="Y46" i="55"/>
  <c r="AV99" i="48"/>
  <c r="AU99" i="53"/>
  <c r="AU103" i="48"/>
  <c r="Y20" i="49"/>
  <c r="Y11" i="54"/>
  <c r="AT15" i="48"/>
  <c r="AT12" i="53"/>
  <c r="AV66" i="48"/>
  <c r="AU12" i="48"/>
  <c r="AV12" i="48" s="1"/>
  <c r="AU70" i="48"/>
  <c r="AU66" i="53"/>
  <c r="AT105" i="48"/>
  <c r="AT103" i="53"/>
  <c r="AS17" i="53"/>
  <c r="AS19" i="48"/>
  <c r="AS141" i="48"/>
  <c r="AS141" i="53" s="1"/>
  <c r="Z21" i="53"/>
  <c r="Z23" i="48"/>
  <c r="X24" i="46"/>
  <c r="X27" i="43"/>
  <c r="X113" i="36"/>
  <c r="Y113" i="36"/>
  <c r="Y111" i="36"/>
  <c r="Z111" i="36"/>
  <c r="Z113" i="36"/>
  <c r="Y116" i="36"/>
  <c r="Z116" i="36"/>
  <c r="U187" i="36"/>
  <c r="U181" i="36"/>
  <c r="Z96" i="36"/>
  <c r="X96" i="36"/>
  <c r="Y96" i="36"/>
  <c r="X116" i="36"/>
  <c r="X111" i="36"/>
  <c r="Z117" i="36"/>
  <c r="Z69" i="36"/>
  <c r="AA163" i="36"/>
  <c r="AC163" i="36" s="1"/>
  <c r="Z102" i="36"/>
  <c r="AA102" i="36" s="1"/>
  <c r="W154" i="36"/>
  <c r="V34" i="39"/>
  <c r="W34" i="39" s="1"/>
  <c r="Q172" i="36"/>
  <c r="Q171" i="36"/>
  <c r="Q8" i="36"/>
  <c r="Q15" i="36"/>
  <c r="Q168" i="36"/>
  <c r="Q170" i="36" s="1"/>
  <c r="Q18" i="36" s="1"/>
  <c r="R5" i="36"/>
  <c r="R6" i="36"/>
  <c r="R7" i="36"/>
  <c r="R10" i="36"/>
  <c r="R11" i="36"/>
  <c r="R12" i="36"/>
  <c r="R13" i="36"/>
  <c r="R14" i="36"/>
  <c r="R9" i="36"/>
  <c r="R16" i="36"/>
  <c r="R20" i="36"/>
  <c r="R21" i="36"/>
  <c r="R22" i="36"/>
  <c r="R24" i="36"/>
  <c r="T26" i="36"/>
  <c r="V26" i="36" s="1"/>
  <c r="W26" i="36" s="1"/>
  <c r="O124" i="36"/>
  <c r="P124" i="36"/>
  <c r="Q124" i="36"/>
  <c r="Q116" i="36"/>
  <c r="Q113" i="36"/>
  <c r="Q111" i="36"/>
  <c r="Q109" i="36"/>
  <c r="Q103" i="36"/>
  <c r="Q96" i="36"/>
  <c r="Q89" i="36"/>
  <c r="Q63" i="36"/>
  <c r="Q56" i="36"/>
  <c r="P15" i="36"/>
  <c r="V55" i="36"/>
  <c r="AA55" i="36" s="1"/>
  <c r="AF55" i="36" s="1"/>
  <c r="AK55" i="36" s="1"/>
  <c r="AP55" i="36" s="1"/>
  <c r="AU55" i="36" s="1"/>
  <c r="V88" i="36"/>
  <c r="AA88" i="36" s="1"/>
  <c r="AF88" i="36" s="1"/>
  <c r="V108" i="36"/>
  <c r="AA108" i="36" s="1"/>
  <c r="AF108" i="36" s="1"/>
  <c r="AK108" i="36" s="1"/>
  <c r="AP108" i="36" s="1"/>
  <c r="AU108" i="36" s="1"/>
  <c r="Q59" i="36"/>
  <c r="Q61" i="36" s="1"/>
  <c r="Q70" i="36"/>
  <c r="R78" i="36"/>
  <c r="R87" i="36"/>
  <c r="R88" i="36"/>
  <c r="Q92" i="36"/>
  <c r="Q94" i="36" s="1"/>
  <c r="R93" i="36"/>
  <c r="R95" i="36"/>
  <c r="R97" i="36"/>
  <c r="R99" i="36"/>
  <c r="R100" i="36"/>
  <c r="R104" i="36"/>
  <c r="R108" i="36"/>
  <c r="R110" i="36"/>
  <c r="R112" i="36"/>
  <c r="R114" i="36"/>
  <c r="R115" i="36"/>
  <c r="Q118" i="36"/>
  <c r="Q120" i="36" s="1"/>
  <c r="R119" i="36"/>
  <c r="R123" i="36"/>
  <c r="R125" i="36"/>
  <c r="R126" i="36"/>
  <c r="R127" i="36"/>
  <c r="R128" i="36"/>
  <c r="R129" i="36"/>
  <c r="Q130" i="36"/>
  <c r="Q133" i="36"/>
  <c r="Q134" i="36"/>
  <c r="Q135" i="36"/>
  <c r="Q136" i="36"/>
  <c r="R26" i="36"/>
  <c r="O50" i="36"/>
  <c r="P50" i="36" s="1"/>
  <c r="P52" i="36" s="1"/>
  <c r="P53" i="36" s="1"/>
  <c r="O83" i="36"/>
  <c r="P83" i="36" s="1"/>
  <c r="D63" i="36"/>
  <c r="E63" i="36"/>
  <c r="F63" i="36"/>
  <c r="G63" i="36"/>
  <c r="N96" i="36"/>
  <c r="S181" i="36" s="1"/>
  <c r="O96" i="36"/>
  <c r="T181" i="36" s="1"/>
  <c r="P96" i="36"/>
  <c r="P59" i="36"/>
  <c r="N92" i="36"/>
  <c r="O92" i="36"/>
  <c r="O94" i="36" s="1"/>
  <c r="P92" i="36"/>
  <c r="P101" i="36" s="1"/>
  <c r="D59" i="36"/>
  <c r="D61" i="36" s="1"/>
  <c r="E59" i="36"/>
  <c r="E65" i="36" s="1"/>
  <c r="F59" i="36"/>
  <c r="F68" i="36" s="1"/>
  <c r="G59" i="36"/>
  <c r="G65" i="36" s="1"/>
  <c r="I59" i="36"/>
  <c r="I65" i="36" s="1"/>
  <c r="J59" i="36"/>
  <c r="J61" i="36" s="1"/>
  <c r="K59" i="36"/>
  <c r="K68" i="36" s="1"/>
  <c r="L59" i="36"/>
  <c r="L65" i="36" s="1"/>
  <c r="N59" i="36"/>
  <c r="N61" i="36" s="1"/>
  <c r="O59" i="36"/>
  <c r="O65" i="36" s="1"/>
  <c r="P116" i="36"/>
  <c r="P111" i="36"/>
  <c r="U185" i="36" s="1"/>
  <c r="H8" i="36"/>
  <c r="H15" i="36"/>
  <c r="M5" i="36"/>
  <c r="M6" i="36"/>
  <c r="M7" i="36"/>
  <c r="M10" i="36"/>
  <c r="M11" i="36"/>
  <c r="M12" i="36"/>
  <c r="M13" i="36"/>
  <c r="M14" i="36"/>
  <c r="M9" i="36"/>
  <c r="M16" i="36"/>
  <c r="M21" i="36"/>
  <c r="M22" i="36"/>
  <c r="M20" i="36"/>
  <c r="M24" i="36"/>
  <c r="N8" i="36"/>
  <c r="N15" i="36"/>
  <c r="O8" i="36"/>
  <c r="O15" i="36"/>
  <c r="P8" i="36"/>
  <c r="I8" i="36"/>
  <c r="I15" i="36"/>
  <c r="J8" i="36"/>
  <c r="J15" i="36"/>
  <c r="K8" i="36"/>
  <c r="K15" i="36"/>
  <c r="P155" i="36"/>
  <c r="Q155" i="36"/>
  <c r="S50" i="36"/>
  <c r="S83" i="36"/>
  <c r="X88" i="36"/>
  <c r="AC88" i="36" s="1"/>
  <c r="I168" i="36"/>
  <c r="I170" i="36" s="1"/>
  <c r="I18" i="36" s="1"/>
  <c r="J168" i="36"/>
  <c r="J170" i="36" s="1"/>
  <c r="K163" i="36"/>
  <c r="L168" i="36"/>
  <c r="L170" i="36" s="1"/>
  <c r="L18" i="36" s="1"/>
  <c r="N168" i="36"/>
  <c r="N170" i="36" s="1"/>
  <c r="O168" i="36"/>
  <c r="O170" i="36" s="1"/>
  <c r="P168" i="36"/>
  <c r="P170" i="36" s="1"/>
  <c r="P18" i="36" s="1"/>
  <c r="L8" i="36"/>
  <c r="G9" i="36"/>
  <c r="L15" i="36"/>
  <c r="O41" i="36"/>
  <c r="O74" i="36"/>
  <c r="Z55" i="36"/>
  <c r="AE55" i="36" s="1"/>
  <c r="AJ55" i="36" s="1"/>
  <c r="AO55" i="36" s="1"/>
  <c r="AT55" i="36" s="1"/>
  <c r="Z88" i="36"/>
  <c r="AE88" i="36" s="1"/>
  <c r="Z108" i="36"/>
  <c r="AE108" i="36" s="1"/>
  <c r="AJ108" i="36" s="1"/>
  <c r="AO108" i="36" s="1"/>
  <c r="AT108" i="36" s="1"/>
  <c r="X55" i="36"/>
  <c r="AC55" i="36" s="1"/>
  <c r="AH55" i="36" s="1"/>
  <c r="AM55" i="36" s="1"/>
  <c r="AR55" i="36" s="1"/>
  <c r="X108" i="36"/>
  <c r="AC108" i="36" s="1"/>
  <c r="Y55" i="36"/>
  <c r="AD55" i="36" s="1"/>
  <c r="AI55" i="36" s="1"/>
  <c r="AN55" i="36" s="1"/>
  <c r="AS55" i="36" s="1"/>
  <c r="W20" i="36"/>
  <c r="AB20" i="36"/>
  <c r="AG20" i="36"/>
  <c r="AL20" i="36"/>
  <c r="AQ20" i="36"/>
  <c r="G5" i="36"/>
  <c r="G6" i="36"/>
  <c r="G134" i="36" s="1"/>
  <c r="G7" i="36"/>
  <c r="G135" i="36" s="1"/>
  <c r="F8" i="36"/>
  <c r="E8" i="36"/>
  <c r="D8" i="36"/>
  <c r="G10" i="36"/>
  <c r="G11" i="36"/>
  <c r="G12" i="36"/>
  <c r="G13" i="36"/>
  <c r="G14" i="36"/>
  <c r="G16" i="36"/>
  <c r="G136" i="36" s="1"/>
  <c r="G21" i="36"/>
  <c r="G144" i="36" s="1"/>
  <c r="G22" i="36"/>
  <c r="G145" i="36" s="1"/>
  <c r="G20" i="36"/>
  <c r="G24" i="36"/>
  <c r="F15" i="36"/>
  <c r="E15" i="36"/>
  <c r="D15" i="36"/>
  <c r="M26" i="36"/>
  <c r="P172" i="36"/>
  <c r="P28" i="36" s="1"/>
  <c r="O172" i="36"/>
  <c r="O28" i="36" s="1"/>
  <c r="N172" i="36"/>
  <c r="N28" i="36" s="1"/>
  <c r="K172" i="36"/>
  <c r="K28" i="36" s="1"/>
  <c r="G163" i="36"/>
  <c r="G165" i="36"/>
  <c r="F168" i="36"/>
  <c r="E168" i="36"/>
  <c r="E170" i="36" s="1"/>
  <c r="D163" i="36"/>
  <c r="D164" i="36"/>
  <c r="D165" i="36"/>
  <c r="F171" i="36"/>
  <c r="E171" i="36"/>
  <c r="H166" i="36"/>
  <c r="H167" i="36"/>
  <c r="F161" i="36"/>
  <c r="E161" i="36"/>
  <c r="E158" i="36"/>
  <c r="D157" i="36"/>
  <c r="N155" i="36"/>
  <c r="O155" i="36"/>
  <c r="I155" i="36"/>
  <c r="J155" i="36"/>
  <c r="K155" i="36"/>
  <c r="L155" i="36"/>
  <c r="E155" i="36"/>
  <c r="F154" i="36"/>
  <c r="G155" i="36"/>
  <c r="AQ154" i="36"/>
  <c r="AL154" i="36"/>
  <c r="AG154" i="36"/>
  <c r="AB154" i="36"/>
  <c r="R154" i="36"/>
  <c r="M154" i="36"/>
  <c r="I28" i="36"/>
  <c r="J28" i="36"/>
  <c r="L28" i="36"/>
  <c r="D28" i="36"/>
  <c r="G28" i="36"/>
  <c r="G26" i="36"/>
  <c r="P70" i="36"/>
  <c r="P103" i="36"/>
  <c r="P118" i="36"/>
  <c r="P120" i="36" s="1"/>
  <c r="P130" i="36"/>
  <c r="P131" i="36" s="1"/>
  <c r="O70" i="36"/>
  <c r="O103" i="36"/>
  <c r="O118" i="36"/>
  <c r="O120" i="36" s="1"/>
  <c r="O130" i="36"/>
  <c r="O131" i="36" s="1"/>
  <c r="N70" i="36"/>
  <c r="N103" i="36"/>
  <c r="N118" i="36"/>
  <c r="N130" i="36"/>
  <c r="N131" i="36" s="1"/>
  <c r="L70" i="36"/>
  <c r="L92" i="36"/>
  <c r="L101" i="36" s="1"/>
  <c r="L103" i="36"/>
  <c r="L118" i="36"/>
  <c r="L130" i="36"/>
  <c r="K70" i="36"/>
  <c r="K92" i="36"/>
  <c r="K101" i="36" s="1"/>
  <c r="K103" i="36"/>
  <c r="K118" i="36"/>
  <c r="K120" i="36" s="1"/>
  <c r="K121" i="36" s="1"/>
  <c r="K130" i="36"/>
  <c r="J70" i="36"/>
  <c r="J92" i="36"/>
  <c r="J103" i="36"/>
  <c r="J118" i="36"/>
  <c r="J120" i="36" s="1"/>
  <c r="J121" i="36" s="1"/>
  <c r="J130" i="36"/>
  <c r="I70" i="36"/>
  <c r="I92" i="36"/>
  <c r="I94" i="36" s="1"/>
  <c r="I103" i="36"/>
  <c r="I118" i="36"/>
  <c r="I130" i="36"/>
  <c r="I131" i="36" s="1"/>
  <c r="G70" i="36"/>
  <c r="G92" i="36"/>
  <c r="G98" i="36" s="1"/>
  <c r="G103" i="36"/>
  <c r="G118" i="36"/>
  <c r="G120" i="36" s="1"/>
  <c r="G126" i="36"/>
  <c r="G130" i="36" s="1"/>
  <c r="F70" i="36"/>
  <c r="F92" i="36"/>
  <c r="F101" i="36" s="1"/>
  <c r="F103" i="36"/>
  <c r="F118" i="36"/>
  <c r="F130" i="36"/>
  <c r="E70" i="36"/>
  <c r="E92" i="36"/>
  <c r="E98" i="36" s="1"/>
  <c r="E103" i="36"/>
  <c r="E118" i="36"/>
  <c r="E120" i="36" s="1"/>
  <c r="E121" i="36" s="1"/>
  <c r="E130" i="36"/>
  <c r="E131" i="36" s="1"/>
  <c r="D70" i="36"/>
  <c r="D92" i="36"/>
  <c r="D101" i="36" s="1"/>
  <c r="D103" i="36"/>
  <c r="D118" i="36"/>
  <c r="D120" i="36" s="1"/>
  <c r="D121" i="36" s="1"/>
  <c r="D130" i="36"/>
  <c r="P136" i="36"/>
  <c r="O136" i="36"/>
  <c r="N136" i="36"/>
  <c r="L136" i="36"/>
  <c r="K136" i="36"/>
  <c r="J136" i="36"/>
  <c r="I136" i="36"/>
  <c r="F136" i="36"/>
  <c r="E136" i="36"/>
  <c r="D136" i="36"/>
  <c r="P135" i="36"/>
  <c r="O135" i="36"/>
  <c r="N135" i="36"/>
  <c r="L135" i="36"/>
  <c r="K135" i="36"/>
  <c r="J135" i="36"/>
  <c r="I135" i="36"/>
  <c r="F135" i="36"/>
  <c r="E135" i="36"/>
  <c r="D135" i="36"/>
  <c r="P134" i="36"/>
  <c r="O134" i="36"/>
  <c r="N134" i="36"/>
  <c r="L134" i="36"/>
  <c r="K134" i="36"/>
  <c r="J134" i="36"/>
  <c r="I134" i="36"/>
  <c r="F134" i="36"/>
  <c r="E134" i="36"/>
  <c r="D134" i="36"/>
  <c r="P133" i="36"/>
  <c r="O133" i="36"/>
  <c r="N133" i="36"/>
  <c r="L133" i="36"/>
  <c r="K133" i="36"/>
  <c r="J133" i="36"/>
  <c r="I133" i="36"/>
  <c r="F133" i="36"/>
  <c r="E133" i="36"/>
  <c r="D133" i="36"/>
  <c r="M123" i="36"/>
  <c r="M125" i="36"/>
  <c r="M126" i="36"/>
  <c r="M127" i="36"/>
  <c r="M128" i="36"/>
  <c r="M129" i="36"/>
  <c r="N124" i="36"/>
  <c r="H123" i="36"/>
  <c r="L124" i="36"/>
  <c r="K124" i="36"/>
  <c r="J124" i="36"/>
  <c r="I124" i="36"/>
  <c r="W117" i="36"/>
  <c r="R117" i="36"/>
  <c r="M108" i="36"/>
  <c r="M110" i="36"/>
  <c r="M112" i="36"/>
  <c r="M114" i="36"/>
  <c r="M115" i="36"/>
  <c r="M117" i="36"/>
  <c r="M119" i="36"/>
  <c r="H108" i="36"/>
  <c r="H110" i="36"/>
  <c r="H112" i="36"/>
  <c r="H114" i="36"/>
  <c r="H115" i="36"/>
  <c r="H117" i="36"/>
  <c r="H119" i="36"/>
  <c r="O116" i="36"/>
  <c r="T187" i="36" s="1"/>
  <c r="N116" i="36"/>
  <c r="S187" i="36" s="1"/>
  <c r="L116" i="36"/>
  <c r="K116" i="36"/>
  <c r="J116" i="36"/>
  <c r="I116" i="36"/>
  <c r="G116" i="36"/>
  <c r="F116" i="36"/>
  <c r="E116" i="36"/>
  <c r="D116" i="36"/>
  <c r="P113" i="36"/>
  <c r="U186" i="36" s="1"/>
  <c r="O113" i="36"/>
  <c r="T186" i="36" s="1"/>
  <c r="N113" i="36"/>
  <c r="S186" i="36" s="1"/>
  <c r="L113" i="36"/>
  <c r="K113" i="36"/>
  <c r="J113" i="36"/>
  <c r="I113" i="36"/>
  <c r="G113" i="36"/>
  <c r="F113" i="36"/>
  <c r="E113" i="36"/>
  <c r="D113" i="36"/>
  <c r="O111" i="36"/>
  <c r="T185" i="36" s="1"/>
  <c r="N111" i="36"/>
  <c r="S185" i="36" s="1"/>
  <c r="L111" i="36"/>
  <c r="K111" i="36"/>
  <c r="J111" i="36"/>
  <c r="I111" i="36"/>
  <c r="G111" i="36"/>
  <c r="F111" i="36"/>
  <c r="E111" i="36"/>
  <c r="D111" i="36"/>
  <c r="P109" i="36"/>
  <c r="O109" i="36"/>
  <c r="N109" i="36"/>
  <c r="L109" i="36"/>
  <c r="K109" i="36"/>
  <c r="J109" i="36"/>
  <c r="I109" i="36"/>
  <c r="M104" i="36"/>
  <c r="H104" i="36"/>
  <c r="W102" i="36"/>
  <c r="R102" i="36"/>
  <c r="M93" i="36"/>
  <c r="M95" i="36"/>
  <c r="M97" i="36"/>
  <c r="M99" i="36"/>
  <c r="M100" i="36"/>
  <c r="M102" i="36"/>
  <c r="H93" i="36"/>
  <c r="H95" i="36"/>
  <c r="H97" i="36"/>
  <c r="H99" i="36"/>
  <c r="H100" i="36"/>
  <c r="H102" i="36"/>
  <c r="M78" i="36"/>
  <c r="L96" i="36"/>
  <c r="K96" i="36"/>
  <c r="J96" i="36"/>
  <c r="I96" i="36"/>
  <c r="H78" i="36"/>
  <c r="G96" i="36"/>
  <c r="F96" i="36"/>
  <c r="E96" i="36"/>
  <c r="D96" i="36"/>
  <c r="W84" i="36"/>
  <c r="W75" i="36"/>
  <c r="V91" i="36"/>
  <c r="U91" i="36"/>
  <c r="T91" i="36"/>
  <c r="S91" i="36"/>
  <c r="R84" i="36"/>
  <c r="R75" i="36"/>
  <c r="Q91" i="36"/>
  <c r="P91" i="36"/>
  <c r="O91" i="36"/>
  <c r="N91" i="36"/>
  <c r="I84" i="36"/>
  <c r="J84" i="36"/>
  <c r="K84" i="36"/>
  <c r="I75" i="36"/>
  <c r="J75" i="36"/>
  <c r="K75" i="36"/>
  <c r="L75" i="36"/>
  <c r="D84" i="36"/>
  <c r="E84" i="36"/>
  <c r="F84" i="36"/>
  <c r="G84" i="36"/>
  <c r="D75" i="36"/>
  <c r="E75" i="36"/>
  <c r="F75" i="36"/>
  <c r="G75" i="36"/>
  <c r="N90" i="36"/>
  <c r="L90" i="36"/>
  <c r="K90" i="36"/>
  <c r="J90" i="36"/>
  <c r="I90" i="36"/>
  <c r="G90" i="36"/>
  <c r="F90" i="36"/>
  <c r="E90" i="36"/>
  <c r="D90" i="36"/>
  <c r="P89" i="36"/>
  <c r="O89" i="36"/>
  <c r="N89" i="36"/>
  <c r="L89" i="36"/>
  <c r="K89" i="36"/>
  <c r="J89" i="36"/>
  <c r="I89" i="36"/>
  <c r="M88" i="36"/>
  <c r="H88" i="36"/>
  <c r="M87" i="36"/>
  <c r="H87" i="36"/>
  <c r="N85" i="36"/>
  <c r="L85" i="36"/>
  <c r="K85" i="36"/>
  <c r="K86" i="36" s="1"/>
  <c r="J85" i="36"/>
  <c r="I85" i="36"/>
  <c r="G85" i="36"/>
  <c r="F85" i="36"/>
  <c r="F86" i="36" s="1"/>
  <c r="E85" i="36"/>
  <c r="D85" i="36"/>
  <c r="R83" i="36"/>
  <c r="M83" i="36"/>
  <c r="H83" i="36"/>
  <c r="M74" i="36"/>
  <c r="H74" i="36"/>
  <c r="W69" i="36"/>
  <c r="H70" i="36"/>
  <c r="P63" i="36"/>
  <c r="O63" i="36"/>
  <c r="N63" i="36"/>
  <c r="L63" i="36"/>
  <c r="K63" i="36"/>
  <c r="J63" i="36"/>
  <c r="I63" i="36"/>
  <c r="S58" i="36"/>
  <c r="Q58" i="36"/>
  <c r="P58" i="36"/>
  <c r="O58" i="36"/>
  <c r="N58" i="36"/>
  <c r="I51" i="36"/>
  <c r="J51" i="36"/>
  <c r="K51" i="36"/>
  <c r="I42" i="36"/>
  <c r="J42" i="36"/>
  <c r="K42" i="36"/>
  <c r="L42" i="36"/>
  <c r="D51" i="36"/>
  <c r="E51" i="36"/>
  <c r="F51" i="36"/>
  <c r="G51" i="36"/>
  <c r="D42" i="36"/>
  <c r="E42" i="36"/>
  <c r="F42" i="36"/>
  <c r="G42" i="36"/>
  <c r="N57" i="36"/>
  <c r="L57" i="36"/>
  <c r="K57" i="36"/>
  <c r="J57" i="36"/>
  <c r="I57" i="36"/>
  <c r="G57" i="36"/>
  <c r="F57" i="36"/>
  <c r="E57" i="36"/>
  <c r="D57" i="36"/>
  <c r="P56" i="36"/>
  <c r="O56" i="36"/>
  <c r="N56" i="36"/>
  <c r="L56" i="36"/>
  <c r="K56" i="36"/>
  <c r="J56" i="36"/>
  <c r="I56" i="36"/>
  <c r="N52" i="36"/>
  <c r="N53" i="36" s="1"/>
  <c r="L52" i="36"/>
  <c r="K52" i="36"/>
  <c r="J52" i="36"/>
  <c r="J53" i="36" s="1"/>
  <c r="I52" i="36"/>
  <c r="I53" i="36" s="1"/>
  <c r="G52" i="36"/>
  <c r="F52" i="36"/>
  <c r="E52" i="36"/>
  <c r="E53" i="36" s="1"/>
  <c r="D52" i="36"/>
  <c r="D53" i="36" s="1"/>
  <c r="H45" i="36"/>
  <c r="L35" i="36"/>
  <c r="H35" i="36"/>
  <c r="AT106" i="48" l="1"/>
  <c r="AT106" i="53" s="1"/>
  <c r="AT105" i="53"/>
  <c r="AV66" i="53"/>
  <c r="AV70" i="48"/>
  <c r="AV70" i="53" s="1"/>
  <c r="AS142" i="48"/>
  <c r="AS142" i="53" s="1"/>
  <c r="AS19" i="53"/>
  <c r="AV12" i="53"/>
  <c r="AV15" i="48"/>
  <c r="Y43" i="49"/>
  <c r="Y43" i="54" s="1"/>
  <c r="Y20" i="54"/>
  <c r="AV127" i="53"/>
  <c r="AV130" i="48"/>
  <c r="AV99" i="53"/>
  <c r="AV103" i="48"/>
  <c r="AV103" i="53" s="1"/>
  <c r="Z23" i="53"/>
  <c r="Z24" i="48"/>
  <c r="Z25" i="48" s="1"/>
  <c r="AU71" i="48"/>
  <c r="AU70" i="53"/>
  <c r="AU105" i="48"/>
  <c r="AV105" i="48" s="1"/>
  <c r="AU103" i="53"/>
  <c r="AU130" i="53"/>
  <c r="AU131" i="48"/>
  <c r="AU131" i="53" s="1"/>
  <c r="AU15" i="48"/>
  <c r="AU12" i="53"/>
  <c r="AT15" i="53"/>
  <c r="AT17" i="48"/>
  <c r="AT137" i="48" s="1"/>
  <c r="AT137" i="53" s="1"/>
  <c r="X39" i="43"/>
  <c r="X27" i="46"/>
  <c r="AE96" i="36"/>
  <c r="Z181" i="36"/>
  <c r="AE116" i="36"/>
  <c r="Z187" i="36"/>
  <c r="AD116" i="36"/>
  <c r="Y187" i="36"/>
  <c r="V96" i="36"/>
  <c r="Q181" i="36"/>
  <c r="AA69" i="36"/>
  <c r="AB69" i="36" s="1"/>
  <c r="AE113" i="36"/>
  <c r="Z186" i="36"/>
  <c r="AA117" i="36"/>
  <c r="Q180" i="36"/>
  <c r="V94" i="36"/>
  <c r="V111" i="36"/>
  <c r="Q185" i="36"/>
  <c r="Z185" i="36"/>
  <c r="AE111" i="36"/>
  <c r="Q186" i="36"/>
  <c r="V113" i="36"/>
  <c r="AC111" i="36"/>
  <c r="X185" i="36"/>
  <c r="Q187" i="36"/>
  <c r="V116" i="36"/>
  <c r="AD111" i="36"/>
  <c r="Y185" i="36"/>
  <c r="AC116" i="36"/>
  <c r="X187" i="36"/>
  <c r="AD113" i="36"/>
  <c r="Y186" i="36"/>
  <c r="Y181" i="36"/>
  <c r="AD96" i="36"/>
  <c r="AC96" i="36"/>
  <c r="X181" i="36"/>
  <c r="AC113" i="36"/>
  <c r="X186" i="36"/>
  <c r="AD163" i="36"/>
  <c r="AE163" i="36" s="1"/>
  <c r="AF163" i="36" s="1"/>
  <c r="AH163" i="36" s="1"/>
  <c r="AC102" i="36"/>
  <c r="AD102" i="36" s="1"/>
  <c r="AE102" i="36" s="1"/>
  <c r="AF102" i="36" s="1"/>
  <c r="AA129" i="36"/>
  <c r="AC129" i="36" s="1"/>
  <c r="AD129" i="36" s="1"/>
  <c r="AE129" i="36" s="1"/>
  <c r="AF129" i="36" s="1"/>
  <c r="AB102" i="36"/>
  <c r="G152" i="36"/>
  <c r="G151" i="36"/>
  <c r="E151" i="36"/>
  <c r="E152" i="36"/>
  <c r="K151" i="36"/>
  <c r="K152" i="36"/>
  <c r="J152" i="36"/>
  <c r="J151" i="36"/>
  <c r="I151" i="36"/>
  <c r="I152" i="36"/>
  <c r="O53" i="39"/>
  <c r="O56" i="39"/>
  <c r="N53" i="39"/>
  <c r="N56" i="39"/>
  <c r="H56" i="39"/>
  <c r="H53" i="39"/>
  <c r="D53" i="39"/>
  <c r="D56" i="39"/>
  <c r="N35" i="36"/>
  <c r="R35" i="36" s="1"/>
  <c r="E53" i="39"/>
  <c r="E56" i="39"/>
  <c r="F56" i="39"/>
  <c r="F53" i="39"/>
  <c r="K56" i="39"/>
  <c r="K53" i="39"/>
  <c r="L56" i="39"/>
  <c r="L53" i="39"/>
  <c r="J56" i="39"/>
  <c r="J53" i="39"/>
  <c r="Q53" i="39"/>
  <c r="Q56" i="39"/>
  <c r="I56" i="39"/>
  <c r="I53" i="39"/>
  <c r="P53" i="39"/>
  <c r="P56" i="39"/>
  <c r="AH108" i="36"/>
  <c r="AM108" i="36" s="1"/>
  <c r="AR108" i="36" s="1"/>
  <c r="AH88" i="36"/>
  <c r="AJ88" i="36"/>
  <c r="AK88" i="36"/>
  <c r="Q151" i="36"/>
  <c r="Q152" i="36"/>
  <c r="P151" i="36"/>
  <c r="P152" i="36"/>
  <c r="O151" i="36"/>
  <c r="O152" i="36"/>
  <c r="N152" i="36"/>
  <c r="N151" i="36"/>
  <c r="L152" i="36"/>
  <c r="L151" i="36"/>
  <c r="L94" i="36"/>
  <c r="P74" i="36"/>
  <c r="Q74" i="36" s="1"/>
  <c r="O76" i="36"/>
  <c r="O77" i="36" s="1"/>
  <c r="K65" i="36"/>
  <c r="O85" i="36"/>
  <c r="O86" i="36" s="1"/>
  <c r="O43" i="36"/>
  <c r="O44" i="36" s="1"/>
  <c r="L98" i="36"/>
  <c r="F65" i="36"/>
  <c r="K105" i="36"/>
  <c r="K106" i="36" s="1"/>
  <c r="E71" i="36"/>
  <c r="E72" i="36" s="1"/>
  <c r="D98" i="36"/>
  <c r="D94" i="36"/>
  <c r="M35" i="36"/>
  <c r="O52" i="36"/>
  <c r="O53" i="36" s="1"/>
  <c r="J65" i="36"/>
  <c r="O57" i="36"/>
  <c r="K91" i="36"/>
  <c r="J140" i="36"/>
  <c r="I91" i="36"/>
  <c r="E101" i="36"/>
  <c r="Q85" i="36"/>
  <c r="Q86" i="36" s="1"/>
  <c r="V86" i="36" s="1"/>
  <c r="AA86" i="36" s="1"/>
  <c r="AF86" i="36" s="1"/>
  <c r="AK86" i="36" s="1"/>
  <c r="AP86" i="36" s="1"/>
  <c r="AU86" i="36" s="1"/>
  <c r="P85" i="36"/>
  <c r="P86" i="36" s="1"/>
  <c r="E58" i="36"/>
  <c r="O90" i="36"/>
  <c r="M113" i="36"/>
  <c r="D71" i="36"/>
  <c r="D72" i="36" s="1"/>
  <c r="O140" i="36"/>
  <c r="N140" i="36"/>
  <c r="D65" i="36"/>
  <c r="F17" i="36"/>
  <c r="F141" i="36" s="1"/>
  <c r="V123" i="36"/>
  <c r="V7" i="36" s="1"/>
  <c r="V135" i="36" s="1"/>
  <c r="D68" i="36"/>
  <c r="Q71" i="36"/>
  <c r="Q72" i="36" s="1"/>
  <c r="Q17" i="36"/>
  <c r="Q141" i="36" s="1"/>
  <c r="N65" i="36"/>
  <c r="F94" i="36"/>
  <c r="F98" i="36"/>
  <c r="K98" i="36"/>
  <c r="I140" i="36"/>
  <c r="K140" i="36"/>
  <c r="L71" i="36"/>
  <c r="L72" i="36" s="1"/>
  <c r="G168" i="36"/>
  <c r="G170" i="36" s="1"/>
  <c r="R96" i="36"/>
  <c r="F58" i="36"/>
  <c r="P140" i="36"/>
  <c r="K94" i="36"/>
  <c r="J71" i="36"/>
  <c r="J72" i="36" s="1"/>
  <c r="R8" i="36"/>
  <c r="E173" i="36"/>
  <c r="E18" i="36"/>
  <c r="M155" i="36"/>
  <c r="P71" i="36"/>
  <c r="P72" i="36" s="1"/>
  <c r="R155" i="36"/>
  <c r="M84" i="36"/>
  <c r="K58" i="36"/>
  <c r="J58" i="36"/>
  <c r="D91" i="36"/>
  <c r="H165" i="36"/>
  <c r="N105" i="36"/>
  <c r="N106" i="36" s="1"/>
  <c r="P61" i="36"/>
  <c r="N17" i="36"/>
  <c r="N141" i="36" s="1"/>
  <c r="Q28" i="36"/>
  <c r="R28" i="36" s="1"/>
  <c r="O17" i="36"/>
  <c r="O141" i="36" s="1"/>
  <c r="F61" i="36"/>
  <c r="K17" i="36"/>
  <c r="K141" i="36" s="1"/>
  <c r="H111" i="36"/>
  <c r="H113" i="36"/>
  <c r="H59" i="36"/>
  <c r="P98" i="36"/>
  <c r="M109" i="36"/>
  <c r="M8" i="36"/>
  <c r="H116" i="36"/>
  <c r="G101" i="36"/>
  <c r="Q105" i="36"/>
  <c r="Q106" i="36" s="1"/>
  <c r="H92" i="36"/>
  <c r="H98" i="36" s="1"/>
  <c r="M15" i="36"/>
  <c r="G94" i="36"/>
  <c r="E17" i="36"/>
  <c r="E23" i="36" s="1"/>
  <c r="R15" i="36"/>
  <c r="H51" i="36"/>
  <c r="E86" i="36"/>
  <c r="M124" i="36"/>
  <c r="F105" i="36"/>
  <c r="L120" i="36"/>
  <c r="D17" i="36"/>
  <c r="P41" i="36"/>
  <c r="G15" i="36"/>
  <c r="E94" i="36"/>
  <c r="R109" i="36"/>
  <c r="F53" i="36"/>
  <c r="H84" i="36"/>
  <c r="I101" i="36"/>
  <c r="F71" i="36"/>
  <c r="I120" i="36"/>
  <c r="O105" i="36"/>
  <c r="L173" i="36"/>
  <c r="G86" i="36"/>
  <c r="J101" i="36"/>
  <c r="M116" i="36"/>
  <c r="O121" i="36"/>
  <c r="M130" i="36"/>
  <c r="H154" i="36"/>
  <c r="G53" i="36"/>
  <c r="I58" i="36"/>
  <c r="P121" i="36"/>
  <c r="I105" i="36"/>
  <c r="K131" i="36"/>
  <c r="O71" i="36"/>
  <c r="M28" i="36"/>
  <c r="F170" i="36"/>
  <c r="N173" i="36"/>
  <c r="W55" i="36"/>
  <c r="D58" i="36"/>
  <c r="I86" i="36"/>
  <c r="M92" i="36"/>
  <c r="M98" i="36" s="1"/>
  <c r="E105" i="36"/>
  <c r="G131" i="36"/>
  <c r="G8" i="36"/>
  <c r="Q140" i="36"/>
  <c r="S85" i="36"/>
  <c r="S86" i="36" s="1"/>
  <c r="T83" i="36"/>
  <c r="J94" i="36"/>
  <c r="H103" i="36"/>
  <c r="H164" i="36"/>
  <c r="AB55" i="36"/>
  <c r="Y108" i="36"/>
  <c r="AD108" i="36" s="1"/>
  <c r="AI108" i="36" s="1"/>
  <c r="AN108" i="36" s="1"/>
  <c r="AS108" i="36" s="1"/>
  <c r="L58" i="36"/>
  <c r="J86" i="36"/>
  <c r="D131" i="36"/>
  <c r="I71" i="36"/>
  <c r="N120" i="36"/>
  <c r="H163" i="36"/>
  <c r="O173" i="36"/>
  <c r="G58" i="36"/>
  <c r="J91" i="36"/>
  <c r="I61" i="36"/>
  <c r="I68" i="36"/>
  <c r="E91" i="36"/>
  <c r="I98" i="36"/>
  <c r="G121" i="36"/>
  <c r="R124" i="36"/>
  <c r="O18" i="36"/>
  <c r="G61" i="36"/>
  <c r="G68" i="36"/>
  <c r="K53" i="36"/>
  <c r="H42" i="36"/>
  <c r="F91" i="36"/>
  <c r="L91" i="36"/>
  <c r="J98" i="36"/>
  <c r="M111" i="36"/>
  <c r="G105" i="36"/>
  <c r="J131" i="36"/>
  <c r="P105" i="36"/>
  <c r="N18" i="36"/>
  <c r="P173" i="36"/>
  <c r="L17" i="36"/>
  <c r="G91" i="36"/>
  <c r="M75" i="36"/>
  <c r="M118" i="36"/>
  <c r="D105" i="36"/>
  <c r="F131" i="36"/>
  <c r="K71" i="36"/>
  <c r="N71" i="36"/>
  <c r="F28" i="36"/>
  <c r="I173" i="36"/>
  <c r="E28" i="36"/>
  <c r="D168" i="36"/>
  <c r="J17" i="36"/>
  <c r="D86" i="36"/>
  <c r="H75" i="36"/>
  <c r="H96" i="36"/>
  <c r="H118" i="36"/>
  <c r="G133" i="36"/>
  <c r="F120" i="36"/>
  <c r="G71" i="36"/>
  <c r="L131" i="36"/>
  <c r="J18" i="36"/>
  <c r="F155" i="36"/>
  <c r="D158" i="36"/>
  <c r="J173" i="36"/>
  <c r="K168" i="36"/>
  <c r="J105" i="36"/>
  <c r="E61" i="36"/>
  <c r="O101" i="36"/>
  <c r="I17" i="36"/>
  <c r="H17" i="36"/>
  <c r="P94" i="36"/>
  <c r="N101" i="36"/>
  <c r="O98" i="36"/>
  <c r="P68" i="36"/>
  <c r="E68" i="36"/>
  <c r="Q52" i="36"/>
  <c r="Q53" i="36" s="1"/>
  <c r="V53" i="36" s="1"/>
  <c r="W88" i="36"/>
  <c r="N94" i="36"/>
  <c r="O68" i="36"/>
  <c r="N98" i="36"/>
  <c r="O61" i="36"/>
  <c r="N68" i="36"/>
  <c r="P65" i="36"/>
  <c r="Y88" i="36"/>
  <c r="P17" i="36"/>
  <c r="K61" i="36"/>
  <c r="J68" i="36"/>
  <c r="X26" i="36"/>
  <c r="Q173" i="36"/>
  <c r="T136" i="36"/>
  <c r="W108" i="36"/>
  <c r="W91" i="36"/>
  <c r="R91" i="36"/>
  <c r="L86" i="36"/>
  <c r="N86" i="36"/>
  <c r="W51" i="36"/>
  <c r="S52" i="36"/>
  <c r="S53" i="36" s="1"/>
  <c r="T50" i="36"/>
  <c r="T52" i="36" s="1"/>
  <c r="T53" i="36" s="1"/>
  <c r="Y53" i="36" s="1"/>
  <c r="L53" i="36"/>
  <c r="S168" i="36"/>
  <c r="R130" i="36"/>
  <c r="Q131" i="36"/>
  <c r="R116" i="36"/>
  <c r="R113" i="36"/>
  <c r="R118" i="36"/>
  <c r="R120" i="36" s="1"/>
  <c r="R111" i="36"/>
  <c r="Q121" i="36"/>
  <c r="R103" i="36"/>
  <c r="R92" i="36"/>
  <c r="Q98" i="36"/>
  <c r="Q101" i="36"/>
  <c r="M96" i="36"/>
  <c r="M103" i="36"/>
  <c r="L105" i="36"/>
  <c r="Q65" i="36"/>
  <c r="Q68" i="36"/>
  <c r="L61" i="36"/>
  <c r="L68" i="36"/>
  <c r="AV105" i="53" l="1"/>
  <c r="AV106" i="48"/>
  <c r="AV106" i="53" s="1"/>
  <c r="Z25" i="53"/>
  <c r="Z27" i="48"/>
  <c r="Z6" i="50"/>
  <c r="AU17" i="48"/>
  <c r="AU137" i="48" s="1"/>
  <c r="AU137" i="53" s="1"/>
  <c r="AU15" i="53"/>
  <c r="AU106" i="48"/>
  <c r="AU106" i="53" s="1"/>
  <c r="AU105" i="53"/>
  <c r="Z24" i="53"/>
  <c r="Z29" i="48"/>
  <c r="AV130" i="53"/>
  <c r="AV131" i="48"/>
  <c r="AV131" i="53" s="1"/>
  <c r="AV17" i="48"/>
  <c r="AV15" i="53"/>
  <c r="AU72" i="48"/>
  <c r="AU72" i="53" s="1"/>
  <c r="AV71" i="48"/>
  <c r="AU71" i="53"/>
  <c r="AT19" i="48"/>
  <c r="AT141" i="48"/>
  <c r="AT141" i="53" s="1"/>
  <c r="AT17" i="53"/>
  <c r="X41" i="43"/>
  <c r="X39" i="46"/>
  <c r="AC117" i="36"/>
  <c r="AB117" i="36"/>
  <c r="AE186" i="36"/>
  <c r="AJ113" i="36"/>
  <c r="AC187" i="36"/>
  <c r="AH116" i="36"/>
  <c r="AD185" i="36"/>
  <c r="AI111" i="36"/>
  <c r="V187" i="36"/>
  <c r="AA116" i="36"/>
  <c r="AC69" i="36"/>
  <c r="AD69" i="36" s="1"/>
  <c r="AE69" i="36" s="1"/>
  <c r="AF69" i="36" s="1"/>
  <c r="AA96" i="36"/>
  <c r="V181" i="36"/>
  <c r="AH69" i="36"/>
  <c r="AI69" i="36" s="1"/>
  <c r="AJ69" i="36" s="1"/>
  <c r="AK69" i="36" s="1"/>
  <c r="AC185" i="36"/>
  <c r="AH111" i="36"/>
  <c r="V180" i="36"/>
  <c r="AA94" i="36"/>
  <c r="V186" i="36"/>
  <c r="AA113" i="36"/>
  <c r="AD187" i="36"/>
  <c r="AI116" i="36"/>
  <c r="AH113" i="36"/>
  <c r="AC186" i="36"/>
  <c r="AJ111" i="36"/>
  <c r="AE185" i="36"/>
  <c r="AE187" i="36"/>
  <c r="AJ116" i="36"/>
  <c r="V185" i="36"/>
  <c r="AA111" i="36"/>
  <c r="AI113" i="36"/>
  <c r="AD186" i="36"/>
  <c r="Q182" i="36"/>
  <c r="V98" i="36"/>
  <c r="AH96" i="36"/>
  <c r="AC181" i="36"/>
  <c r="Q183" i="36"/>
  <c r="V101" i="36"/>
  <c r="AI96" i="36"/>
  <c r="AD181" i="36"/>
  <c r="AJ96" i="36"/>
  <c r="AE181" i="36"/>
  <c r="AI163" i="36"/>
  <c r="AJ163" i="36" s="1"/>
  <c r="AK163" i="36" s="1"/>
  <c r="AM163" i="36" s="1"/>
  <c r="AH129" i="36"/>
  <c r="AI129" i="36" s="1"/>
  <c r="AJ129" i="36" s="1"/>
  <c r="AK129" i="36" s="1"/>
  <c r="AH102" i="36"/>
  <c r="AI102" i="36" s="1"/>
  <c r="AJ102" i="36" s="1"/>
  <c r="AK102" i="36" s="1"/>
  <c r="X86" i="36"/>
  <c r="AC86" i="36" s="1"/>
  <c r="AH86" i="36" s="1"/>
  <c r="AM86" i="36" s="1"/>
  <c r="AR86" i="36" s="1"/>
  <c r="R82" i="36"/>
  <c r="AD53" i="36"/>
  <c r="AI53" i="36" s="1"/>
  <c r="AN53" i="36" s="1"/>
  <c r="AS53" i="36" s="1"/>
  <c r="X53" i="36"/>
  <c r="AC53" i="36" s="1"/>
  <c r="AH53" i="36" s="1"/>
  <c r="AM53" i="36" s="1"/>
  <c r="AR53" i="36" s="1"/>
  <c r="AA53" i="36"/>
  <c r="AF53" i="36" s="1"/>
  <c r="F151" i="36"/>
  <c r="F152" i="36"/>
  <c r="M140" i="36"/>
  <c r="M53" i="39"/>
  <c r="M56" i="39"/>
  <c r="R53" i="39"/>
  <c r="R56" i="39"/>
  <c r="G56" i="39"/>
  <c r="G53" i="39"/>
  <c r="AB88" i="36"/>
  <c r="AD88" i="36"/>
  <c r="AP88" i="36"/>
  <c r="AO88" i="36"/>
  <c r="AM88" i="36"/>
  <c r="H155" i="36"/>
  <c r="P76" i="36"/>
  <c r="P77" i="36" s="1"/>
  <c r="U83" i="36"/>
  <c r="U85" i="36" s="1"/>
  <c r="T85" i="36"/>
  <c r="T86" i="36" s="1"/>
  <c r="S74" i="36"/>
  <c r="S76" i="36" s="1"/>
  <c r="S77" i="36" s="1"/>
  <c r="X77" i="36" s="1"/>
  <c r="P90" i="36"/>
  <c r="Q76" i="36"/>
  <c r="Q77" i="36" s="1"/>
  <c r="V77" i="36" s="1"/>
  <c r="AA77" i="36" s="1"/>
  <c r="AF77" i="36" s="1"/>
  <c r="AK77" i="36" s="1"/>
  <c r="AP77" i="36" s="1"/>
  <c r="AU77" i="36" s="1"/>
  <c r="F23" i="36"/>
  <c r="F143" i="36" s="1"/>
  <c r="P43" i="36"/>
  <c r="P44" i="36" s="1"/>
  <c r="N23" i="36"/>
  <c r="N25" i="36" s="1"/>
  <c r="M101" i="36"/>
  <c r="M94" i="36"/>
  <c r="W123" i="36"/>
  <c r="R74" i="36"/>
  <c r="Q90" i="36"/>
  <c r="W90" i="36" s="1"/>
  <c r="R17" i="36"/>
  <c r="Q23" i="36"/>
  <c r="Q25" i="36" s="1"/>
  <c r="M91" i="36"/>
  <c r="Q19" i="36"/>
  <c r="Q29" i="36" s="1"/>
  <c r="H94" i="36"/>
  <c r="K23" i="36"/>
  <c r="K25" i="36" s="1"/>
  <c r="O23" i="36"/>
  <c r="O25" i="36" s="1"/>
  <c r="P137" i="36"/>
  <c r="AB108" i="36"/>
  <c r="AB109" i="36" s="1"/>
  <c r="R140" i="36"/>
  <c r="D137" i="36"/>
  <c r="R105" i="36"/>
  <c r="R106" i="36" s="1"/>
  <c r="M17" i="36"/>
  <c r="H101" i="36"/>
  <c r="E19" i="36"/>
  <c r="E142" i="36" s="1"/>
  <c r="E141" i="36"/>
  <c r="L137" i="36"/>
  <c r="H28" i="36"/>
  <c r="P23" i="36"/>
  <c r="P141" i="36"/>
  <c r="P19" i="36"/>
  <c r="H23" i="36"/>
  <c r="H141" i="36"/>
  <c r="K170" i="36"/>
  <c r="J141" i="36"/>
  <c r="J19" i="36"/>
  <c r="J23" i="36"/>
  <c r="G173" i="36"/>
  <c r="G18" i="36"/>
  <c r="G17" i="36"/>
  <c r="G137" i="36" s="1"/>
  <c r="L121" i="36"/>
  <c r="N72" i="36"/>
  <c r="N137" i="36"/>
  <c r="H168" i="36"/>
  <c r="F173" i="36"/>
  <c r="F18" i="36"/>
  <c r="F106" i="36"/>
  <c r="K72" i="36"/>
  <c r="K137" i="36"/>
  <c r="E137" i="36"/>
  <c r="E106" i="36"/>
  <c r="O137" i="36"/>
  <c r="O72" i="36"/>
  <c r="O106" i="36"/>
  <c r="D106" i="36"/>
  <c r="H105" i="36"/>
  <c r="R18" i="36"/>
  <c r="N121" i="36"/>
  <c r="I121" i="36"/>
  <c r="Q41" i="36"/>
  <c r="P57" i="36"/>
  <c r="M131" i="36"/>
  <c r="I23" i="36"/>
  <c r="I141" i="36"/>
  <c r="I19" i="36"/>
  <c r="G72" i="36"/>
  <c r="M120" i="36"/>
  <c r="P106" i="36"/>
  <c r="I72" i="36"/>
  <c r="I137" i="36"/>
  <c r="I106" i="36"/>
  <c r="F72" i="36"/>
  <c r="F137" i="36"/>
  <c r="H58" i="36"/>
  <c r="R131" i="36"/>
  <c r="Y26" i="36"/>
  <c r="J137" i="36"/>
  <c r="J106" i="36"/>
  <c r="F121" i="36"/>
  <c r="H120" i="36"/>
  <c r="N19" i="36"/>
  <c r="Q137" i="36"/>
  <c r="S136" i="36"/>
  <c r="G106" i="36"/>
  <c r="E25" i="36"/>
  <c r="E143" i="36"/>
  <c r="H91" i="36"/>
  <c r="D170" i="36"/>
  <c r="D23" i="36"/>
  <c r="D141" i="36"/>
  <c r="H71" i="36"/>
  <c r="L140" i="36"/>
  <c r="L141" i="36"/>
  <c r="L23" i="36"/>
  <c r="L19" i="36"/>
  <c r="X35" i="36"/>
  <c r="O19" i="36"/>
  <c r="W35" i="36"/>
  <c r="W109" i="36"/>
  <c r="T135" i="36"/>
  <c r="S135" i="36"/>
  <c r="S92" i="36"/>
  <c r="T58" i="36"/>
  <c r="U50" i="36"/>
  <c r="S170" i="36"/>
  <c r="S173" i="36" s="1"/>
  <c r="W128" i="36"/>
  <c r="R121" i="36"/>
  <c r="AG108" i="36"/>
  <c r="W104" i="36"/>
  <c r="R101" i="36"/>
  <c r="R98" i="36"/>
  <c r="R94" i="36"/>
  <c r="M105" i="36"/>
  <c r="M106" i="36" s="1"/>
  <c r="L106" i="36"/>
  <c r="AG55" i="36"/>
  <c r="Z27" i="53" l="1"/>
  <c r="Z32" i="48"/>
  <c r="Z32" i="53" s="1"/>
  <c r="Z33" i="48"/>
  <c r="Z34" i="48"/>
  <c r="Z29" i="53"/>
  <c r="AV19" i="48"/>
  <c r="AV17" i="53"/>
  <c r="AV141" i="48"/>
  <c r="AV141" i="53" s="1"/>
  <c r="AU141" i="48"/>
  <c r="AU141" i="53" s="1"/>
  <c r="AU19" i="48"/>
  <c r="AU17" i="53"/>
  <c r="AT19" i="53"/>
  <c r="AT142" i="48"/>
  <c r="AT142" i="53" s="1"/>
  <c r="AV72" i="48"/>
  <c r="AV72" i="53" s="1"/>
  <c r="AV71" i="53"/>
  <c r="Z6" i="55"/>
  <c r="Z38" i="49"/>
  <c r="Z22" i="50"/>
  <c r="X41" i="46"/>
  <c r="X6" i="42"/>
  <c r="Y40" i="43"/>
  <c r="Y40" i="46" s="1"/>
  <c r="AG69" i="36"/>
  <c r="AM69" i="36"/>
  <c r="AO116" i="36"/>
  <c r="AJ187" i="36"/>
  <c r="AF96" i="36"/>
  <c r="AA181" i="36"/>
  <c r="AF111" i="36"/>
  <c r="AA185" i="36"/>
  <c r="AA187" i="36"/>
  <c r="AF116" i="36"/>
  <c r="AJ181" i="36"/>
  <c r="AO96" i="36"/>
  <c r="AJ185" i="36"/>
  <c r="AO111" i="36"/>
  <c r="AI185" i="36"/>
  <c r="AN111" i="36"/>
  <c r="AI181" i="36"/>
  <c r="AN96" i="36"/>
  <c r="AH186" i="36"/>
  <c r="AM113" i="36"/>
  <c r="V183" i="36"/>
  <c r="AA101" i="36"/>
  <c r="AN116" i="36"/>
  <c r="AI187" i="36"/>
  <c r="AH187" i="36"/>
  <c r="AM116" i="36"/>
  <c r="AM111" i="36"/>
  <c r="AH185" i="36"/>
  <c r="AM96" i="36"/>
  <c r="AH181" i="36"/>
  <c r="AA186" i="36"/>
  <c r="AF113" i="36"/>
  <c r="V182" i="36"/>
  <c r="AA98" i="36"/>
  <c r="AA180" i="36"/>
  <c r="AF94" i="36"/>
  <c r="AI186" i="36"/>
  <c r="AN113" i="36"/>
  <c r="AJ186" i="36"/>
  <c r="AO113" i="36"/>
  <c r="AD117" i="36"/>
  <c r="AE117" i="36" s="1"/>
  <c r="AF117" i="36" s="1"/>
  <c r="AH117" i="36" s="1"/>
  <c r="AL69" i="36"/>
  <c r="AN163" i="36"/>
  <c r="AO163" i="36" s="1"/>
  <c r="AP163" i="36" s="1"/>
  <c r="AR163" i="36" s="1"/>
  <c r="AM129" i="36"/>
  <c r="AN129" i="36" s="1"/>
  <c r="AO129" i="36" s="1"/>
  <c r="AP129" i="36" s="1"/>
  <c r="AM102" i="36"/>
  <c r="AN102" i="36" s="1"/>
  <c r="AO102" i="36" s="1"/>
  <c r="AP102" i="36" s="1"/>
  <c r="AG102" i="36"/>
  <c r="Y86" i="36"/>
  <c r="AD86" i="36" s="1"/>
  <c r="AI86" i="36" s="1"/>
  <c r="AN86" i="36" s="1"/>
  <c r="AS86" i="36" s="1"/>
  <c r="AC77" i="36"/>
  <c r="AH77" i="36" s="1"/>
  <c r="AM77" i="36" s="1"/>
  <c r="AR77" i="36" s="1"/>
  <c r="AK53" i="36"/>
  <c r="AP53" i="36" s="1"/>
  <c r="AU53" i="36" s="1"/>
  <c r="AU88" i="36"/>
  <c r="AR88" i="36"/>
  <c r="AT88" i="36"/>
  <c r="AI88" i="36"/>
  <c r="AG88" i="36"/>
  <c r="S90" i="36"/>
  <c r="V83" i="36"/>
  <c r="W83" i="36" s="1"/>
  <c r="F25" i="36"/>
  <c r="T74" i="36"/>
  <c r="T76" i="36" s="1"/>
  <c r="T77" i="36" s="1"/>
  <c r="Y77" i="36" s="1"/>
  <c r="K143" i="36"/>
  <c r="Q43" i="36"/>
  <c r="Q44" i="36" s="1"/>
  <c r="V44" i="36" s="1"/>
  <c r="AA44" i="36" s="1"/>
  <c r="AF44" i="36" s="1"/>
  <c r="U135" i="36"/>
  <c r="R23" i="36"/>
  <c r="R143" i="36" s="1"/>
  <c r="M141" i="36"/>
  <c r="N143" i="36"/>
  <c r="R141" i="36"/>
  <c r="Q142" i="36"/>
  <c r="Q143" i="36"/>
  <c r="M23" i="36"/>
  <c r="M143" i="36" s="1"/>
  <c r="O143" i="36"/>
  <c r="X123" i="36"/>
  <c r="X7" i="36" s="1"/>
  <c r="X135" i="36" s="1"/>
  <c r="S101" i="36"/>
  <c r="S98" i="36"/>
  <c r="S94" i="36"/>
  <c r="E29" i="36"/>
  <c r="E34" i="36" s="1"/>
  <c r="V115" i="36"/>
  <c r="W115" i="36" s="1"/>
  <c r="V16" i="36"/>
  <c r="V9" i="39" s="1"/>
  <c r="E27" i="36"/>
  <c r="O27" i="36"/>
  <c r="M121" i="36"/>
  <c r="N27" i="36"/>
  <c r="U155" i="36"/>
  <c r="V153" i="36"/>
  <c r="P143" i="36"/>
  <c r="P25" i="36"/>
  <c r="Q27" i="36"/>
  <c r="P29" i="36"/>
  <c r="P142" i="36"/>
  <c r="F19" i="36"/>
  <c r="L29" i="36"/>
  <c r="L142" i="36"/>
  <c r="I142" i="36"/>
  <c r="I29" i="36"/>
  <c r="Q57" i="36"/>
  <c r="S41" i="36"/>
  <c r="L25" i="36"/>
  <c r="D173" i="36"/>
  <c r="D18" i="36"/>
  <c r="H121" i="36"/>
  <c r="K27" i="36"/>
  <c r="J25" i="36"/>
  <c r="J143" i="36"/>
  <c r="H25" i="36"/>
  <c r="H143" i="36"/>
  <c r="I25" i="36"/>
  <c r="I143" i="36"/>
  <c r="J29" i="36"/>
  <c r="J142" i="36"/>
  <c r="H72" i="36"/>
  <c r="Z26" i="36"/>
  <c r="D143" i="36"/>
  <c r="D25" i="36"/>
  <c r="G141" i="36"/>
  <c r="G19" i="36"/>
  <c r="G23" i="36"/>
  <c r="O142" i="36"/>
  <c r="O29" i="36"/>
  <c r="H106" i="36"/>
  <c r="Q34" i="36"/>
  <c r="K18" i="36"/>
  <c r="K173" i="36"/>
  <c r="R19" i="36"/>
  <c r="R65" i="38" s="1"/>
  <c r="R64" i="38" s="1"/>
  <c r="Y35" i="36"/>
  <c r="N142" i="36"/>
  <c r="N29" i="36"/>
  <c r="T133" i="36"/>
  <c r="S133" i="36"/>
  <c r="W42" i="36"/>
  <c r="W58" i="36" s="1"/>
  <c r="V58" i="36"/>
  <c r="S59" i="36"/>
  <c r="S134" i="36"/>
  <c r="U52" i="36"/>
  <c r="V50" i="36"/>
  <c r="V14" i="36"/>
  <c r="W129" i="36"/>
  <c r="S18" i="36"/>
  <c r="W126" i="36"/>
  <c r="W125" i="36"/>
  <c r="W124" i="36"/>
  <c r="Y123" i="36"/>
  <c r="V110" i="36"/>
  <c r="X115" i="36"/>
  <c r="AG109" i="36"/>
  <c r="AL108" i="36"/>
  <c r="V112" i="36"/>
  <c r="U136" i="36"/>
  <c r="AL55" i="36"/>
  <c r="Z147" i="48" l="1"/>
  <c r="Z147" i="53" s="1"/>
  <c r="Z34" i="53"/>
  <c r="Z146" i="48"/>
  <c r="Z146" i="53" s="1"/>
  <c r="Z33" i="53"/>
  <c r="Z22" i="55"/>
  <c r="Z55" i="50"/>
  <c r="AU19" i="53"/>
  <c r="AU142" i="48"/>
  <c r="AU142" i="53" s="1"/>
  <c r="AV65" i="49"/>
  <c r="AV142" i="48"/>
  <c r="AV142" i="53" s="1"/>
  <c r="AV19" i="53"/>
  <c r="Z38" i="54"/>
  <c r="Z41" i="49"/>
  <c r="X6" i="45"/>
  <c r="X11" i="42"/>
  <c r="X46" i="43"/>
  <c r="Y21" i="41"/>
  <c r="AT111" i="36"/>
  <c r="AT185" i="36" s="1"/>
  <c r="AO185" i="36"/>
  <c r="AR96" i="36"/>
  <c r="AR181" i="36" s="1"/>
  <c r="AM181" i="36"/>
  <c r="AN185" i="36"/>
  <c r="AS111" i="36"/>
  <c r="AS185" i="36" s="1"/>
  <c r="AR69" i="36"/>
  <c r="AT96" i="36"/>
  <c r="AT181" i="36" s="1"/>
  <c r="AO181" i="36"/>
  <c r="AR111" i="36"/>
  <c r="AR185" i="36" s="1"/>
  <c r="AM185" i="36"/>
  <c r="X94" i="36"/>
  <c r="S180" i="36"/>
  <c r="AG117" i="36"/>
  <c r="AM187" i="36"/>
  <c r="AR116" i="36"/>
  <c r="AR187" i="36" s="1"/>
  <c r="AK116" i="36"/>
  <c r="AF187" i="36"/>
  <c r="AI117" i="36"/>
  <c r="AJ117" i="36" s="1"/>
  <c r="AK117" i="36" s="1"/>
  <c r="AM117" i="36" s="1"/>
  <c r="S183" i="36"/>
  <c r="X101" i="36"/>
  <c r="AT113" i="36"/>
  <c r="AT186" i="36" s="1"/>
  <c r="AO186" i="36"/>
  <c r="AK113" i="36"/>
  <c r="AF186" i="36"/>
  <c r="AS113" i="36"/>
  <c r="AS186" i="36" s="1"/>
  <c r="AN186" i="36"/>
  <c r="AA183" i="36"/>
  <c r="AF101" i="36"/>
  <c r="X98" i="36"/>
  <c r="S182" i="36"/>
  <c r="AK96" i="36"/>
  <c r="AF181" i="36"/>
  <c r="AF185" i="36"/>
  <c r="AK111" i="36"/>
  <c r="AK94" i="36"/>
  <c r="AF180" i="36"/>
  <c r="AT116" i="36"/>
  <c r="AT187" i="36" s="1"/>
  <c r="AO187" i="36"/>
  <c r="AN187" i="36"/>
  <c r="AS116" i="36"/>
  <c r="AS187" i="36" s="1"/>
  <c r="AR113" i="36"/>
  <c r="AR186" i="36" s="1"/>
  <c r="AM186" i="36"/>
  <c r="AA182" i="36"/>
  <c r="AF98" i="36"/>
  <c r="AN181" i="36"/>
  <c r="AS96" i="36"/>
  <c r="AS181" i="36" s="1"/>
  <c r="AN69" i="36"/>
  <c r="AO69" i="36" s="1"/>
  <c r="AP69" i="36" s="1"/>
  <c r="AS163" i="36"/>
  <c r="AT163" i="36" s="1"/>
  <c r="AU163" i="36" s="1"/>
  <c r="AR129" i="36"/>
  <c r="AR102" i="36"/>
  <c r="W57" i="36"/>
  <c r="AD77" i="36"/>
  <c r="AI77" i="36" s="1"/>
  <c r="AN77" i="36" s="1"/>
  <c r="AS77" i="36" s="1"/>
  <c r="V10" i="39"/>
  <c r="W10" i="39" s="1"/>
  <c r="W9" i="39"/>
  <c r="U151" i="36"/>
  <c r="U152" i="36"/>
  <c r="V85" i="36"/>
  <c r="V87" i="36" s="1"/>
  <c r="AN88" i="36"/>
  <c r="T90" i="36"/>
  <c r="U74" i="36"/>
  <c r="U76" i="36" s="1"/>
  <c r="R25" i="36"/>
  <c r="W7" i="36"/>
  <c r="F27" i="36"/>
  <c r="F32" i="36" s="1"/>
  <c r="S43" i="36"/>
  <c r="S44" i="36" s="1"/>
  <c r="X44" i="36" s="1"/>
  <c r="AC44" i="36" s="1"/>
  <c r="M25" i="36"/>
  <c r="V136" i="36"/>
  <c r="S61" i="36"/>
  <c r="S68" i="36"/>
  <c r="S65" i="36"/>
  <c r="AV55" i="36"/>
  <c r="AV108" i="36"/>
  <c r="W119" i="36"/>
  <c r="Z35" i="36"/>
  <c r="Q32" i="36"/>
  <c r="Q33" i="36"/>
  <c r="K33" i="36"/>
  <c r="K32" i="36"/>
  <c r="S57" i="36"/>
  <c r="T41" i="36"/>
  <c r="O33" i="36"/>
  <c r="O32" i="36"/>
  <c r="G25" i="36"/>
  <c r="G143" i="36"/>
  <c r="J34" i="36"/>
  <c r="I27" i="36"/>
  <c r="I34" i="36"/>
  <c r="N34" i="36"/>
  <c r="P27" i="36"/>
  <c r="O34" i="36"/>
  <c r="AA26" i="36"/>
  <c r="H18" i="36"/>
  <c r="D19" i="36"/>
  <c r="N32" i="36"/>
  <c r="N33" i="36"/>
  <c r="E32" i="36"/>
  <c r="E33" i="36"/>
  <c r="F142" i="36"/>
  <c r="F29" i="36"/>
  <c r="V155" i="36"/>
  <c r="H27" i="36"/>
  <c r="L34" i="36"/>
  <c r="G142" i="36"/>
  <c r="G29" i="36"/>
  <c r="AL88" i="36"/>
  <c r="T92" i="36"/>
  <c r="R29" i="36"/>
  <c r="R142" i="36"/>
  <c r="P34" i="36"/>
  <c r="K19" i="36"/>
  <c r="M18" i="36"/>
  <c r="D27" i="36"/>
  <c r="J27" i="36"/>
  <c r="L27" i="36"/>
  <c r="X83" i="36"/>
  <c r="AB84" i="36"/>
  <c r="X50" i="36"/>
  <c r="V52" i="36"/>
  <c r="W50" i="36"/>
  <c r="T134" i="36"/>
  <c r="T59" i="36"/>
  <c r="S8" i="36"/>
  <c r="S28" i="36"/>
  <c r="X14" i="36"/>
  <c r="W14" i="36"/>
  <c r="T168" i="36"/>
  <c r="Z123" i="36"/>
  <c r="Y7" i="36"/>
  <c r="W110" i="36"/>
  <c r="W111" i="36" s="1"/>
  <c r="X112" i="36"/>
  <c r="AQ108" i="36"/>
  <c r="AL109" i="36"/>
  <c r="W116" i="36"/>
  <c r="Y115" i="36"/>
  <c r="W112" i="36"/>
  <c r="X110" i="36"/>
  <c r="W16" i="36"/>
  <c r="AQ55" i="36"/>
  <c r="Z148" i="48" l="1"/>
  <c r="Z148" i="53" s="1"/>
  <c r="Z55" i="55"/>
  <c r="Z41" i="54"/>
  <c r="Z42" i="49"/>
  <c r="Z62" i="49"/>
  <c r="Z62" i="54" s="1"/>
  <c r="AV64" i="49"/>
  <c r="AV64" i="54" s="1"/>
  <c r="AV65" i="54"/>
  <c r="Y21" i="44"/>
  <c r="Y23" i="41"/>
  <c r="X48" i="43"/>
  <c r="X48" i="46" s="1"/>
  <c r="X46" i="46"/>
  <c r="X20" i="42"/>
  <c r="X11" i="45"/>
  <c r="AC94" i="36"/>
  <c r="X180" i="36"/>
  <c r="AK98" i="36"/>
  <c r="AF182" i="36"/>
  <c r="AP113" i="36"/>
  <c r="AK186" i="36"/>
  <c r="AK101" i="36"/>
  <c r="AF183" i="36"/>
  <c r="AS69" i="36"/>
  <c r="AT69" i="36" s="1"/>
  <c r="AU69" i="36" s="1"/>
  <c r="X182" i="36"/>
  <c r="AC98" i="36"/>
  <c r="AS102" i="36"/>
  <c r="AT102" i="36" s="1"/>
  <c r="AU102" i="36" s="1"/>
  <c r="AK180" i="36"/>
  <c r="AP94" i="36"/>
  <c r="AC101" i="36"/>
  <c r="X183" i="36"/>
  <c r="AS129" i="36"/>
  <c r="AT129" i="36" s="1"/>
  <c r="AU129" i="36" s="1"/>
  <c r="AK185" i="36"/>
  <c r="AP111" i="36"/>
  <c r="AL117" i="36"/>
  <c r="AN117" i="36"/>
  <c r="AO117" i="36" s="1"/>
  <c r="AP117" i="36" s="1"/>
  <c r="AR117" i="36" s="1"/>
  <c r="AQ69" i="36"/>
  <c r="AK181" i="36"/>
  <c r="AP96" i="36"/>
  <c r="AP116" i="36"/>
  <c r="AK187" i="36"/>
  <c r="AL102" i="36"/>
  <c r="S53" i="39"/>
  <c r="S56" i="39"/>
  <c r="AS88" i="36"/>
  <c r="AV88" i="36" s="1"/>
  <c r="U90" i="36"/>
  <c r="V74" i="36"/>
  <c r="V90" i="36" s="1"/>
  <c r="R27" i="36"/>
  <c r="R31" i="36" s="1"/>
  <c r="X91" i="36"/>
  <c r="F33" i="36"/>
  <c r="K146" i="36" s="1"/>
  <c r="V76" i="36"/>
  <c r="V78" i="36" s="1"/>
  <c r="Z91" i="36"/>
  <c r="AA91" i="36"/>
  <c r="Y91" i="36"/>
  <c r="T43" i="36"/>
  <c r="T44" i="36" s="1"/>
  <c r="Y44" i="36" s="1"/>
  <c r="AD44" i="36" s="1"/>
  <c r="M27" i="36"/>
  <c r="M31" i="36" s="1"/>
  <c r="M48" i="39" s="1"/>
  <c r="T98" i="36"/>
  <c r="T94" i="36"/>
  <c r="T101" i="36"/>
  <c r="AV109" i="36"/>
  <c r="T61" i="36"/>
  <c r="T68" i="36"/>
  <c r="T65" i="36"/>
  <c r="U168" i="36"/>
  <c r="X16" i="36"/>
  <c r="X9" i="39" s="1"/>
  <c r="J33" i="36"/>
  <c r="J146" i="36" s="1"/>
  <c r="J32" i="36"/>
  <c r="F34" i="36"/>
  <c r="H19" i="36"/>
  <c r="P32" i="36"/>
  <c r="P33" i="36"/>
  <c r="P146" i="36" s="1"/>
  <c r="T57" i="36"/>
  <c r="U41" i="36"/>
  <c r="D29" i="36"/>
  <c r="D142" i="36"/>
  <c r="G34" i="36"/>
  <c r="L147" i="36" s="1"/>
  <c r="AC26" i="36"/>
  <c r="AB26" i="36"/>
  <c r="J147" i="36"/>
  <c r="D32" i="36"/>
  <c r="D33" i="36"/>
  <c r="O147" i="36"/>
  <c r="I33" i="36"/>
  <c r="I146" i="36" s="1"/>
  <c r="I32" i="36"/>
  <c r="AQ88" i="36"/>
  <c r="G27" i="36"/>
  <c r="H32" i="36"/>
  <c r="H33" i="36"/>
  <c r="M19" i="36"/>
  <c r="M65" i="38" s="1"/>
  <c r="M64" i="38" s="1"/>
  <c r="Q147" i="36"/>
  <c r="K29" i="36"/>
  <c r="K142" i="36"/>
  <c r="X155" i="36"/>
  <c r="L33" i="36"/>
  <c r="L32" i="36"/>
  <c r="W155" i="36"/>
  <c r="N147" i="36"/>
  <c r="AB51" i="36"/>
  <c r="W22" i="36"/>
  <c r="X85" i="36"/>
  <c r="Y83" i="36"/>
  <c r="S140" i="36"/>
  <c r="T8" i="36"/>
  <c r="Y50" i="36"/>
  <c r="X52" i="36"/>
  <c r="V54" i="36"/>
  <c r="T170" i="36"/>
  <c r="T173" i="36" s="1"/>
  <c r="Y14" i="36"/>
  <c r="AA123" i="36"/>
  <c r="AB123" i="36" s="1"/>
  <c r="Y135" i="36"/>
  <c r="Z7" i="36"/>
  <c r="Z135" i="36" s="1"/>
  <c r="Z115" i="36"/>
  <c r="Y112" i="36"/>
  <c r="Y110" i="36"/>
  <c r="W113" i="36"/>
  <c r="AQ109" i="36"/>
  <c r="Y16" i="36"/>
  <c r="Y9" i="39" s="1"/>
  <c r="Y10" i="39" s="1"/>
  <c r="Z42" i="54" l="1"/>
  <c r="Z17" i="49"/>
  <c r="Z12" i="49"/>
  <c r="Z12" i="54" s="1"/>
  <c r="Z7" i="49"/>
  <c r="X43" i="42"/>
  <c r="X43" i="45" s="1"/>
  <c r="X20" i="45"/>
  <c r="Y23" i="44"/>
  <c r="Y24" i="41"/>
  <c r="Y25" i="41" s="1"/>
  <c r="AQ117" i="36"/>
  <c r="AV69" i="36"/>
  <c r="T183" i="36"/>
  <c r="Y101" i="36"/>
  <c r="AH98" i="36"/>
  <c r="AC182" i="36"/>
  <c r="Y94" i="36"/>
  <c r="T180" i="36"/>
  <c r="AP187" i="36"/>
  <c r="AU116" i="36"/>
  <c r="AU187" i="36" s="1"/>
  <c r="AK183" i="36"/>
  <c r="AP101" i="36"/>
  <c r="AS117" i="36"/>
  <c r="AT117" i="36" s="1"/>
  <c r="AU117" i="36" s="1"/>
  <c r="AP186" i="36"/>
  <c r="AU113" i="36"/>
  <c r="AU186" i="36" s="1"/>
  <c r="AH101" i="36"/>
  <c r="AC183" i="36"/>
  <c r="AU94" i="36"/>
  <c r="AU180" i="36" s="1"/>
  <c r="AP180" i="36"/>
  <c r="T182" i="36"/>
  <c r="Y98" i="36"/>
  <c r="AP185" i="36"/>
  <c r="AU111" i="36"/>
  <c r="AU185" i="36" s="1"/>
  <c r="AU96" i="36"/>
  <c r="AU181" i="36" s="1"/>
  <c r="AP181" i="36"/>
  <c r="AK182" i="36"/>
  <c r="AP98" i="36"/>
  <c r="AH94" i="36"/>
  <c r="AC180" i="36"/>
  <c r="X10" i="39"/>
  <c r="R33" i="36"/>
  <c r="R36" i="36" s="1"/>
  <c r="R48" i="39"/>
  <c r="T56" i="39"/>
  <c r="T53" i="39"/>
  <c r="O146" i="36"/>
  <c r="AC115" i="36"/>
  <c r="W74" i="36"/>
  <c r="Q146" i="36"/>
  <c r="R30" i="36"/>
  <c r="R32" i="36" s="1"/>
  <c r="N146" i="36"/>
  <c r="X74" i="36"/>
  <c r="X76" i="36" s="1"/>
  <c r="X78" i="36" s="1"/>
  <c r="V79" i="36"/>
  <c r="V95" i="36"/>
  <c r="V92" i="36"/>
  <c r="AB75" i="36"/>
  <c r="AB91" i="36" s="1"/>
  <c r="U43" i="36"/>
  <c r="M30" i="36"/>
  <c r="M32" i="36" s="1"/>
  <c r="X136" i="36"/>
  <c r="AB35" i="36"/>
  <c r="Y136" i="36"/>
  <c r="R34" i="36"/>
  <c r="V168" i="36"/>
  <c r="S71" i="36"/>
  <c r="V30" i="36"/>
  <c r="V33" i="39" s="1"/>
  <c r="K34" i="36"/>
  <c r="AD26" i="36"/>
  <c r="V31" i="36"/>
  <c r="S130" i="36"/>
  <c r="S118" i="36"/>
  <c r="Y155" i="36"/>
  <c r="S103" i="36"/>
  <c r="H36" i="36"/>
  <c r="AC35" i="36"/>
  <c r="M33" i="36"/>
  <c r="M146" i="36" s="1"/>
  <c r="D34" i="36"/>
  <c r="G33" i="36"/>
  <c r="L146" i="36" s="1"/>
  <c r="G32" i="36"/>
  <c r="M142" i="36"/>
  <c r="M29" i="36"/>
  <c r="V41" i="36"/>
  <c r="V43" i="36" s="1"/>
  <c r="V45" i="36" s="1"/>
  <c r="U57" i="36"/>
  <c r="H29" i="36"/>
  <c r="H142" i="36"/>
  <c r="Y85" i="36"/>
  <c r="Z83" i="36"/>
  <c r="X87" i="36"/>
  <c r="V6" i="36"/>
  <c r="W6" i="36" s="1"/>
  <c r="T140" i="36"/>
  <c r="X54" i="36"/>
  <c r="Z50" i="36"/>
  <c r="Y52" i="36"/>
  <c r="Z14" i="36"/>
  <c r="U170" i="36"/>
  <c r="T18" i="36"/>
  <c r="AB125" i="36"/>
  <c r="AB124" i="36"/>
  <c r="AC123" i="36"/>
  <c r="AA7" i="36"/>
  <c r="AA115" i="36"/>
  <c r="Z110" i="36"/>
  <c r="Z112" i="36"/>
  <c r="Z16" i="36"/>
  <c r="Z9" i="39" s="1"/>
  <c r="Z10" i="39" s="1"/>
  <c r="AB104" i="36"/>
  <c r="Z24" i="50" l="1"/>
  <c r="Z7" i="54"/>
  <c r="Z17" i="54"/>
  <c r="Z26" i="50"/>
  <c r="Z26" i="55" s="1"/>
  <c r="Y25" i="44"/>
  <c r="Y6" i="43"/>
  <c r="Y27" i="41"/>
  <c r="Y24" i="44"/>
  <c r="Y29" i="41"/>
  <c r="AM101" i="36"/>
  <c r="AH183" i="36"/>
  <c r="AP183" i="36"/>
  <c r="AU101" i="36"/>
  <c r="AU183" i="36" s="1"/>
  <c r="AV117" i="36"/>
  <c r="AU98" i="36"/>
  <c r="AU182" i="36" s="1"/>
  <c r="AP182" i="36"/>
  <c r="Y180" i="36"/>
  <c r="AD94" i="36"/>
  <c r="Y182" i="36"/>
  <c r="AD98" i="36"/>
  <c r="AH182" i="36"/>
  <c r="AM98" i="36"/>
  <c r="Y183" i="36"/>
  <c r="AD101" i="36"/>
  <c r="AM94" i="36"/>
  <c r="AH180" i="36"/>
  <c r="AQ102" i="36"/>
  <c r="AK44" i="36"/>
  <c r="AH44" i="36"/>
  <c r="V57" i="39"/>
  <c r="W33" i="39"/>
  <c r="W57" i="39" s="1"/>
  <c r="AB90" i="36"/>
  <c r="AC112" i="36"/>
  <c r="AC110" i="36"/>
  <c r="AD115" i="36"/>
  <c r="Y74" i="36"/>
  <c r="Z74" i="36" s="1"/>
  <c r="AA74" i="36" s="1"/>
  <c r="X95" i="36"/>
  <c r="R146" i="36"/>
  <c r="X79" i="36"/>
  <c r="X90" i="36"/>
  <c r="U8" i="36"/>
  <c r="AA58" i="36"/>
  <c r="Z136" i="36"/>
  <c r="S72" i="36"/>
  <c r="M36" i="36"/>
  <c r="X31" i="36"/>
  <c r="H34" i="36"/>
  <c r="W41" i="36"/>
  <c r="V57" i="36"/>
  <c r="S15" i="36"/>
  <c r="S120" i="36"/>
  <c r="S131" i="36"/>
  <c r="S105" i="36"/>
  <c r="Z155" i="36"/>
  <c r="M34" i="36"/>
  <c r="X30" i="36"/>
  <c r="AE26" i="36"/>
  <c r="AD35" i="36"/>
  <c r="K147" i="36"/>
  <c r="P147" i="36"/>
  <c r="I147" i="36"/>
  <c r="X92" i="36"/>
  <c r="AA83" i="36"/>
  <c r="AC83" i="36" s="1"/>
  <c r="Z85" i="36"/>
  <c r="Y87" i="36"/>
  <c r="AA50" i="36"/>
  <c r="AC50" i="36" s="1"/>
  <c r="Z52" i="36"/>
  <c r="V134" i="36"/>
  <c r="X6" i="36"/>
  <c r="X134" i="36" s="1"/>
  <c r="Y54" i="36"/>
  <c r="V170" i="36"/>
  <c r="U18" i="36"/>
  <c r="T28" i="36"/>
  <c r="AA14" i="36"/>
  <c r="AB129" i="36"/>
  <c r="AB128" i="36"/>
  <c r="AB126" i="36"/>
  <c r="AB7" i="36"/>
  <c r="AC7" i="36"/>
  <c r="AC135" i="36" s="1"/>
  <c r="AA135" i="36"/>
  <c r="AD123" i="36"/>
  <c r="AB119" i="36"/>
  <c r="AB115" i="36"/>
  <c r="AA112" i="36"/>
  <c r="AA110" i="36"/>
  <c r="AB110" i="36" s="1"/>
  <c r="AA16" i="36"/>
  <c r="AA9" i="39" s="1"/>
  <c r="AA10" i="39" s="1"/>
  <c r="AB10" i="39" s="1"/>
  <c r="Z24" i="55" l="1"/>
  <c r="Z27" i="50"/>
  <c r="Y27" i="44"/>
  <c r="Y33" i="41"/>
  <c r="Y32" i="41"/>
  <c r="Y32" i="44" s="1"/>
  <c r="Y34" i="41"/>
  <c r="Y29" i="44"/>
  <c r="Y6" i="46"/>
  <c r="Y22" i="43"/>
  <c r="Y38" i="42"/>
  <c r="AM180" i="36"/>
  <c r="AR94" i="36"/>
  <c r="AR180" i="36" s="1"/>
  <c r="AM182" i="36"/>
  <c r="AR98" i="36"/>
  <c r="AR182" i="36" s="1"/>
  <c r="AI101" i="36"/>
  <c r="AD183" i="36"/>
  <c r="AI94" i="36"/>
  <c r="AD180" i="36"/>
  <c r="AI98" i="36"/>
  <c r="AD182" i="36"/>
  <c r="AM183" i="36"/>
  <c r="AR101" i="36"/>
  <c r="AR183" i="36" s="1"/>
  <c r="AC118" i="36"/>
  <c r="AC120" i="36" s="1"/>
  <c r="AC121" i="36" s="1"/>
  <c r="AB9" i="39"/>
  <c r="Y76" i="36"/>
  <c r="Y78" i="36" s="1"/>
  <c r="Y95" i="36" s="1"/>
  <c r="AM44" i="36"/>
  <c r="AP44" i="36"/>
  <c r="AI44" i="36"/>
  <c r="AC33" i="39"/>
  <c r="X33" i="39"/>
  <c r="U53" i="39"/>
  <c r="V53" i="39" s="1"/>
  <c r="X53" i="39" s="1"/>
  <c r="Y53" i="39" s="1"/>
  <c r="Z53" i="39" s="1"/>
  <c r="AA53" i="39" s="1"/>
  <c r="AC53" i="39" s="1"/>
  <c r="AD53" i="39" s="1"/>
  <c r="AE53" i="39" s="1"/>
  <c r="AF53" i="39" s="1"/>
  <c r="AH53" i="39" s="1"/>
  <c r="AI53" i="39" s="1"/>
  <c r="AJ53" i="39" s="1"/>
  <c r="AK53" i="39" s="1"/>
  <c r="AM53" i="39" s="1"/>
  <c r="AN53" i="39" s="1"/>
  <c r="AO53" i="39" s="1"/>
  <c r="AP53" i="39" s="1"/>
  <c r="AR53" i="39" s="1"/>
  <c r="AS53" i="39" s="1"/>
  <c r="AT53" i="39" s="1"/>
  <c r="AU53" i="39" s="1"/>
  <c r="U56" i="39"/>
  <c r="Z76" i="36"/>
  <c r="Y90" i="36"/>
  <c r="Z90" i="36"/>
  <c r="AE115" i="36"/>
  <c r="AD110" i="36"/>
  <c r="AD112" i="36"/>
  <c r="AC85" i="36"/>
  <c r="AC87" i="36" s="1"/>
  <c r="AD83" i="36"/>
  <c r="AC74" i="36"/>
  <c r="AC76" i="36" s="1"/>
  <c r="AC78" i="36" s="1"/>
  <c r="AD50" i="36"/>
  <c r="AC52" i="36"/>
  <c r="AC54" i="36" s="1"/>
  <c r="AA76" i="36"/>
  <c r="AA78" i="36" s="1"/>
  <c r="U140" i="36"/>
  <c r="V46" i="36"/>
  <c r="V5" i="36"/>
  <c r="V133" i="36" s="1"/>
  <c r="V62" i="36"/>
  <c r="V59" i="36"/>
  <c r="AA136" i="36"/>
  <c r="AE35" i="36"/>
  <c r="M147" i="36"/>
  <c r="R147" i="36"/>
  <c r="S121" i="36"/>
  <c r="Y31" i="36"/>
  <c r="S17" i="36"/>
  <c r="S137" i="36" s="1"/>
  <c r="AF26" i="36"/>
  <c r="AG26" i="36" s="1"/>
  <c r="S106" i="36"/>
  <c r="Y58" i="36"/>
  <c r="X58" i="36"/>
  <c r="AB42" i="36"/>
  <c r="X41" i="36"/>
  <c r="AA155" i="36"/>
  <c r="Z58" i="36"/>
  <c r="Y30" i="36"/>
  <c r="AB74" i="36"/>
  <c r="AA90" i="36"/>
  <c r="AB83" i="36"/>
  <c r="AA85" i="36"/>
  <c r="Y6" i="36"/>
  <c r="Y134" i="36" s="1"/>
  <c r="AB50" i="36"/>
  <c r="AA52" i="36"/>
  <c r="AB14" i="36"/>
  <c r="AC14" i="36"/>
  <c r="X168" i="36"/>
  <c r="V18" i="36"/>
  <c r="AD7" i="36"/>
  <c r="AE123" i="36"/>
  <c r="AB111" i="36"/>
  <c r="AB112" i="36"/>
  <c r="AB116" i="36"/>
  <c r="AC16" i="36"/>
  <c r="AC9" i="39" s="1"/>
  <c r="AB16" i="36"/>
  <c r="Z39" i="50" l="1"/>
  <c r="Z27" i="55"/>
  <c r="Y38" i="45"/>
  <c r="Y41" i="42"/>
  <c r="Y55" i="43"/>
  <c r="Y22" i="46"/>
  <c r="Y146" i="41"/>
  <c r="Y146" i="44" s="1"/>
  <c r="Y33" i="44"/>
  <c r="Y147" i="41"/>
  <c r="Y147" i="44" s="1"/>
  <c r="Y34" i="44"/>
  <c r="AI182" i="36"/>
  <c r="AN98" i="36"/>
  <c r="AN101" i="36"/>
  <c r="AI183" i="36"/>
  <c r="AN94" i="36"/>
  <c r="AI180" i="36"/>
  <c r="Y79" i="36"/>
  <c r="AV102" i="36"/>
  <c r="Y92" i="36"/>
  <c r="AC10" i="39"/>
  <c r="AN44" i="36"/>
  <c r="AU44" i="36"/>
  <c r="AR44" i="36"/>
  <c r="AD33" i="39"/>
  <c r="AD57" i="39" s="1"/>
  <c r="Y33" i="39"/>
  <c r="Y57" i="39" s="1"/>
  <c r="X57" i="39"/>
  <c r="X58" i="39" s="1"/>
  <c r="AC57" i="39"/>
  <c r="AE110" i="36"/>
  <c r="AF115" i="36"/>
  <c r="AE112" i="36"/>
  <c r="AD118" i="36"/>
  <c r="AD120" i="36" s="1"/>
  <c r="AD121" i="36" s="1"/>
  <c r="AD85" i="36"/>
  <c r="AD87" i="36" s="1"/>
  <c r="AE83" i="36"/>
  <c r="AD74" i="36"/>
  <c r="AC90" i="36"/>
  <c r="AC95" i="36"/>
  <c r="AC92" i="36"/>
  <c r="AC79" i="36"/>
  <c r="AD52" i="36"/>
  <c r="AD54" i="36" s="1"/>
  <c r="AE50" i="36"/>
  <c r="AA79" i="36"/>
  <c r="AA95" i="36"/>
  <c r="X43" i="36"/>
  <c r="X45" i="36" s="1"/>
  <c r="V67" i="36"/>
  <c r="V60" i="36"/>
  <c r="V10" i="36"/>
  <c r="W10" i="36" s="1"/>
  <c r="W5" i="36"/>
  <c r="W8" i="36" s="1"/>
  <c r="V8" i="36"/>
  <c r="Z31" i="36"/>
  <c r="S141" i="36"/>
  <c r="S19" i="36"/>
  <c r="AB155" i="36"/>
  <c r="AH26" i="36"/>
  <c r="Z30" i="36"/>
  <c r="X57" i="36"/>
  <c r="Y41" i="36"/>
  <c r="AB58" i="36"/>
  <c r="AB139" i="36" s="1"/>
  <c r="W18" i="36"/>
  <c r="AG51" i="36"/>
  <c r="AB22" i="36"/>
  <c r="AG75" i="36"/>
  <c r="AA87" i="36"/>
  <c r="AG84" i="36"/>
  <c r="AA54" i="36"/>
  <c r="T130" i="36"/>
  <c r="T70" i="36"/>
  <c r="T103" i="36"/>
  <c r="T118" i="36"/>
  <c r="X170" i="36"/>
  <c r="AD14" i="36"/>
  <c r="AD135" i="36"/>
  <c r="AE7" i="36"/>
  <c r="AE135" i="36" s="1"/>
  <c r="AF123" i="36"/>
  <c r="AG123" i="36" s="1"/>
  <c r="AB113" i="36"/>
  <c r="AC136" i="36"/>
  <c r="AD16" i="36"/>
  <c r="AD9" i="39" s="1"/>
  <c r="AD10" i="39" s="1"/>
  <c r="Z41" i="50" l="1"/>
  <c r="Z39" i="55"/>
  <c r="Y148" i="41"/>
  <c r="Y148" i="44" s="1"/>
  <c r="Y55" i="46"/>
  <c r="Y41" i="45"/>
  <c r="Y62" i="42"/>
  <c r="Y62" i="45" s="1"/>
  <c r="Y42" i="42"/>
  <c r="AN180" i="36"/>
  <c r="AS94" i="36"/>
  <c r="AS180" i="36" s="1"/>
  <c r="AN183" i="36"/>
  <c r="AS101" i="36"/>
  <c r="AS183" i="36" s="1"/>
  <c r="AN182" i="36"/>
  <c r="AS98" i="36"/>
  <c r="AS182" i="36" s="1"/>
  <c r="V70" i="36"/>
  <c r="V71" i="36" s="1"/>
  <c r="W140" i="36"/>
  <c r="Y58" i="39"/>
  <c r="AS44" i="36"/>
  <c r="AE33" i="39"/>
  <c r="Z33" i="39"/>
  <c r="X46" i="36"/>
  <c r="V25" i="39"/>
  <c r="V8" i="38"/>
  <c r="V12" i="39"/>
  <c r="AH115" i="36"/>
  <c r="AE118" i="36"/>
  <c r="AE120" i="36" s="1"/>
  <c r="AE121" i="36" s="1"/>
  <c r="AF112" i="36"/>
  <c r="AF110" i="36"/>
  <c r="AF83" i="36"/>
  <c r="AE85" i="36"/>
  <c r="AC93" i="36"/>
  <c r="AC97" i="36"/>
  <c r="AC100" i="36"/>
  <c r="AE74" i="36"/>
  <c r="AE76" i="36" s="1"/>
  <c r="AD90" i="36"/>
  <c r="AD76" i="36"/>
  <c r="AD78" i="36" s="1"/>
  <c r="AE52" i="36"/>
  <c r="AF50" i="36"/>
  <c r="AB57" i="36"/>
  <c r="Y43" i="36"/>
  <c r="Y45" i="36" s="1"/>
  <c r="V140" i="36"/>
  <c r="U118" i="36"/>
  <c r="Y57" i="36"/>
  <c r="Z41" i="36"/>
  <c r="S142" i="36"/>
  <c r="AA31" i="36"/>
  <c r="AI26" i="36"/>
  <c r="AH35" i="36"/>
  <c r="AG35" i="36"/>
  <c r="AC153" i="36" s="1"/>
  <c r="AA30" i="36"/>
  <c r="AG91" i="36"/>
  <c r="AA92" i="36"/>
  <c r="U130" i="36"/>
  <c r="T71" i="36"/>
  <c r="T15" i="36"/>
  <c r="T105" i="36"/>
  <c r="AA6" i="36"/>
  <c r="AL51" i="36"/>
  <c r="T120" i="36"/>
  <c r="T131" i="36"/>
  <c r="AG129" i="36"/>
  <c r="AE14" i="36"/>
  <c r="Y168" i="36"/>
  <c r="X18" i="36"/>
  <c r="AG128" i="36"/>
  <c r="AG126" i="36"/>
  <c r="AG124" i="36"/>
  <c r="AF7" i="36"/>
  <c r="AH123" i="36"/>
  <c r="AG119" i="36"/>
  <c r="AG104" i="36"/>
  <c r="AE16" i="36"/>
  <c r="AE9" i="39" s="1"/>
  <c r="AE10" i="39" s="1"/>
  <c r="AD136" i="36"/>
  <c r="Z41" i="55" l="1"/>
  <c r="AA40" i="50"/>
  <c r="AA40" i="55" s="1"/>
  <c r="Z6" i="49"/>
  <c r="Y42" i="45"/>
  <c r="Y17" i="42"/>
  <c r="Y7" i="42"/>
  <c r="Y12" i="42"/>
  <c r="Y12" i="45" s="1"/>
  <c r="AD153" i="36"/>
  <c r="AC155" i="36"/>
  <c r="AC30" i="36" s="1"/>
  <c r="AH33" i="39" s="1"/>
  <c r="AH57" i="39" s="1"/>
  <c r="AF118" i="36"/>
  <c r="AF120" i="36" s="1"/>
  <c r="AF121" i="36" s="1"/>
  <c r="Z57" i="39"/>
  <c r="Z58" i="39" s="1"/>
  <c r="AF33" i="39"/>
  <c r="AF57" i="39" s="1"/>
  <c r="AA33" i="39"/>
  <c r="AA57" i="39" s="1"/>
  <c r="AE57" i="39"/>
  <c r="AG33" i="39"/>
  <c r="AG57" i="39" s="1"/>
  <c r="Y46" i="36"/>
  <c r="V35" i="39"/>
  <c r="V37" i="38" s="1"/>
  <c r="W12" i="39"/>
  <c r="W8" i="38"/>
  <c r="V15" i="39"/>
  <c r="W15" i="39" s="1"/>
  <c r="W25" i="39"/>
  <c r="W56" i="39" s="1"/>
  <c r="V14" i="38"/>
  <c r="AG90" i="36"/>
  <c r="AH110" i="36"/>
  <c r="AH112" i="36"/>
  <c r="AI115" i="36"/>
  <c r="AH83" i="36"/>
  <c r="AF85" i="36"/>
  <c r="AF87" i="36" s="1"/>
  <c r="AF74" i="36"/>
  <c r="AE90" i="36"/>
  <c r="AD95" i="36"/>
  <c r="AD92" i="36"/>
  <c r="AD79" i="36"/>
  <c r="AH50" i="36"/>
  <c r="AF52" i="36"/>
  <c r="AF54" i="36" s="1"/>
  <c r="Z43" i="36"/>
  <c r="AI35" i="36"/>
  <c r="X59" i="36"/>
  <c r="X62" i="36"/>
  <c r="X5" i="36"/>
  <c r="AJ26" i="36"/>
  <c r="Z57" i="36"/>
  <c r="AA41" i="36"/>
  <c r="AC41" i="36" s="1"/>
  <c r="AA134" i="36"/>
  <c r="U131" i="36"/>
  <c r="AC6" i="36"/>
  <c r="T106" i="36"/>
  <c r="U120" i="36"/>
  <c r="T121" i="36"/>
  <c r="T17" i="36"/>
  <c r="T72" i="36"/>
  <c r="Y170" i="36"/>
  <c r="AF14" i="36"/>
  <c r="AG125" i="36"/>
  <c r="AI123" i="36"/>
  <c r="AF135" i="36"/>
  <c r="AG7" i="36"/>
  <c r="AH7" i="36"/>
  <c r="AH135" i="36" s="1"/>
  <c r="AG115" i="36"/>
  <c r="AE136" i="36"/>
  <c r="AF16" i="36"/>
  <c r="AF9" i="39" s="1"/>
  <c r="AF10" i="39" s="1"/>
  <c r="AG10" i="39" s="1"/>
  <c r="Z6" i="54" l="1"/>
  <c r="Z11" i="49"/>
  <c r="Z46" i="50"/>
  <c r="AA21" i="48"/>
  <c r="Y24" i="43"/>
  <c r="Y24" i="46" s="1"/>
  <c r="Y7" i="45"/>
  <c r="Y17" i="45"/>
  <c r="Y26" i="43"/>
  <c r="AC31" i="36"/>
  <c r="AE153" i="36"/>
  <c r="AD155" i="36"/>
  <c r="AG9" i="39"/>
  <c r="AH118" i="36"/>
  <c r="AH120" i="36" s="1"/>
  <c r="AH121" i="36" s="1"/>
  <c r="AB33" i="39"/>
  <c r="AB57" i="39" s="1"/>
  <c r="AA58" i="39"/>
  <c r="AC58" i="39" s="1"/>
  <c r="W14" i="38"/>
  <c r="X7" i="39" s="1"/>
  <c r="W37" i="38"/>
  <c r="W35" i="39"/>
  <c r="W37" i="39" s="1"/>
  <c r="V37" i="39"/>
  <c r="AJ115" i="36"/>
  <c r="AI112" i="36"/>
  <c r="AI110" i="36"/>
  <c r="AH85" i="36"/>
  <c r="AH87" i="36" s="1"/>
  <c r="AI83" i="36"/>
  <c r="AD100" i="36"/>
  <c r="AD93" i="36"/>
  <c r="AD97" i="36"/>
  <c r="AH74" i="36"/>
  <c r="AF90" i="36"/>
  <c r="AF76" i="36"/>
  <c r="AF78" i="36" s="1"/>
  <c r="AH52" i="36"/>
  <c r="AH54" i="36" s="1"/>
  <c r="AI50" i="36"/>
  <c r="AC43" i="36"/>
  <c r="AC45" i="36" s="1"/>
  <c r="AC57" i="36"/>
  <c r="AD41" i="36"/>
  <c r="AD43" i="36" s="1"/>
  <c r="AD45" i="36" s="1"/>
  <c r="AA43" i="36"/>
  <c r="AA45" i="36" s="1"/>
  <c r="AF136" i="36"/>
  <c r="V12" i="36"/>
  <c r="Y59" i="36"/>
  <c r="Y5" i="36"/>
  <c r="Y133" i="36" s="1"/>
  <c r="Y62" i="36"/>
  <c r="AJ35" i="36"/>
  <c r="AK35" i="36" s="1"/>
  <c r="X133" i="36"/>
  <c r="X8" i="36"/>
  <c r="X10" i="36"/>
  <c r="X60" i="36"/>
  <c r="AD30" i="36"/>
  <c r="AI33" i="39" s="1"/>
  <c r="AI57" i="39" s="1"/>
  <c r="AA57" i="36"/>
  <c r="AB41" i="36"/>
  <c r="AK26" i="36"/>
  <c r="AL26" i="36" s="1"/>
  <c r="AG16" i="36"/>
  <c r="U15" i="36"/>
  <c r="AG74" i="36"/>
  <c r="AL75" i="36"/>
  <c r="AG83" i="36"/>
  <c r="AL84" i="36"/>
  <c r="T137" i="36"/>
  <c r="T19" i="36"/>
  <c r="T141" i="36"/>
  <c r="AG50" i="36"/>
  <c r="U121" i="36"/>
  <c r="AD6" i="36"/>
  <c r="AC134" i="36"/>
  <c r="W99" i="36"/>
  <c r="V118" i="36"/>
  <c r="W114" i="36"/>
  <c r="V130" i="36"/>
  <c r="W127" i="36"/>
  <c r="Z168" i="36"/>
  <c r="AH14" i="36"/>
  <c r="Y18" i="36"/>
  <c r="AG14" i="36"/>
  <c r="AI7" i="36"/>
  <c r="AI135" i="36" s="1"/>
  <c r="AJ123" i="36"/>
  <c r="AG116" i="36"/>
  <c r="AG112" i="36"/>
  <c r="AG110" i="36"/>
  <c r="AH16" i="36"/>
  <c r="AH9" i="39" s="1"/>
  <c r="Z48" i="50" l="1"/>
  <c r="Z48" i="55" s="1"/>
  <c r="Z46" i="55"/>
  <c r="AA21" i="53"/>
  <c r="AA23" i="48"/>
  <c r="AB21" i="48"/>
  <c r="Z20" i="49"/>
  <c r="Z11" i="54"/>
  <c r="Y27" i="43"/>
  <c r="Y26" i="46"/>
  <c r="AD31" i="36"/>
  <c r="AF153" i="36"/>
  <c r="AF155" i="36" s="1"/>
  <c r="AE155" i="36"/>
  <c r="AE30" i="36" s="1"/>
  <c r="AJ33" i="39" s="1"/>
  <c r="AJ57" i="39" s="1"/>
  <c r="X127" i="36"/>
  <c r="X99" i="36"/>
  <c r="X66" i="36"/>
  <c r="AH10" i="39"/>
  <c r="AI118" i="36"/>
  <c r="AI120" i="36" s="1"/>
  <c r="AI121" i="36" s="1"/>
  <c r="AD58" i="39"/>
  <c r="AE58" i="39" s="1"/>
  <c r="AF58" i="39" s="1"/>
  <c r="AG58" i="39" s="1"/>
  <c r="AB58" i="39"/>
  <c r="AA46" i="36"/>
  <c r="X8" i="38"/>
  <c r="X25" i="39"/>
  <c r="X12" i="39"/>
  <c r="AJ112" i="36"/>
  <c r="AJ110" i="36"/>
  <c r="AK115" i="36"/>
  <c r="AJ83" i="36"/>
  <c r="AI85" i="36"/>
  <c r="AI87" i="36" s="1"/>
  <c r="AI74" i="36"/>
  <c r="AH90" i="36"/>
  <c r="AF95" i="36"/>
  <c r="AF92" i="36"/>
  <c r="AF79" i="36"/>
  <c r="AH76" i="36"/>
  <c r="AH78" i="36" s="1"/>
  <c r="AI52" i="36"/>
  <c r="AI54" i="36" s="1"/>
  <c r="AJ50" i="36"/>
  <c r="AE41" i="36"/>
  <c r="AD57" i="36"/>
  <c r="AD59" i="36"/>
  <c r="AD46" i="36"/>
  <c r="AD62" i="36"/>
  <c r="AC46" i="36"/>
  <c r="AC62" i="36"/>
  <c r="AC59" i="36"/>
  <c r="AH136" i="36"/>
  <c r="W66" i="36"/>
  <c r="AM26" i="36"/>
  <c r="X140" i="36"/>
  <c r="Y10" i="36"/>
  <c r="Y8" i="36"/>
  <c r="Y60" i="36"/>
  <c r="AE31" i="36"/>
  <c r="AG42" i="36"/>
  <c r="U17" i="36"/>
  <c r="U141" i="36" s="1"/>
  <c r="AL91" i="36"/>
  <c r="V131" i="36"/>
  <c r="W118" i="36"/>
  <c r="V120" i="36"/>
  <c r="AD134" i="36"/>
  <c r="W12" i="36"/>
  <c r="T142" i="36"/>
  <c r="W130" i="36"/>
  <c r="AI14" i="36"/>
  <c r="Z170" i="36"/>
  <c r="AJ7" i="36"/>
  <c r="AJ135" i="36" s="1"/>
  <c r="AK123" i="36"/>
  <c r="AG113" i="36"/>
  <c r="AG111" i="36"/>
  <c r="AI16" i="36"/>
  <c r="AI9" i="39" s="1"/>
  <c r="AI10" i="39" s="1"/>
  <c r="Z43" i="49" l="1"/>
  <c r="Z43" i="54" s="1"/>
  <c r="Z20" i="54"/>
  <c r="AA23" i="53"/>
  <c r="AA24" i="48"/>
  <c r="AB21" i="53"/>
  <c r="AB23" i="48"/>
  <c r="Y39" i="43"/>
  <c r="Y27" i="46"/>
  <c r="AG155" i="36"/>
  <c r="AJ118" i="36"/>
  <c r="AJ120" i="36" s="1"/>
  <c r="AJ121" i="36" s="1"/>
  <c r="AH58" i="39"/>
  <c r="AI58" i="39" s="1"/>
  <c r="Y8" i="38"/>
  <c r="Y15" i="39" s="1"/>
  <c r="Y25" i="39"/>
  <c r="Y12" i="39"/>
  <c r="X35" i="39"/>
  <c r="X14" i="38"/>
  <c r="X15" i="39"/>
  <c r="AL90" i="36"/>
  <c r="AK112" i="36"/>
  <c r="AM115" i="36"/>
  <c r="AK110" i="36"/>
  <c r="AJ85" i="36"/>
  <c r="AK83" i="36"/>
  <c r="AH95" i="36"/>
  <c r="AH92" i="36"/>
  <c r="AH79" i="36"/>
  <c r="AF93" i="36"/>
  <c r="AF97" i="36"/>
  <c r="AF100" i="36"/>
  <c r="AJ74" i="36"/>
  <c r="AJ76" i="36" s="1"/>
  <c r="AI90" i="36"/>
  <c r="AI76" i="36"/>
  <c r="AI78" i="36" s="1"/>
  <c r="AJ52" i="36"/>
  <c r="AK50" i="36"/>
  <c r="AE57" i="36"/>
  <c r="AF41" i="36"/>
  <c r="AC60" i="36"/>
  <c r="AC64" i="36"/>
  <c r="AC67" i="36"/>
  <c r="AD67" i="36"/>
  <c r="AD60" i="36"/>
  <c r="AD64" i="36"/>
  <c r="AE43" i="36"/>
  <c r="AI136" i="36"/>
  <c r="AM35" i="36"/>
  <c r="AL35" i="36"/>
  <c r="AH153" i="36" s="1"/>
  <c r="Y140" i="36"/>
  <c r="AF31" i="36"/>
  <c r="AG58" i="36"/>
  <c r="AF30" i="36"/>
  <c r="AK33" i="39" s="1"/>
  <c r="AK57" i="39" s="1"/>
  <c r="AN26" i="36"/>
  <c r="AA62" i="36"/>
  <c r="AA59" i="36"/>
  <c r="AA5" i="36"/>
  <c r="U19" i="36"/>
  <c r="U142" i="36" s="1"/>
  <c r="AQ75" i="36"/>
  <c r="AF6" i="36"/>
  <c r="W120" i="36"/>
  <c r="AQ51" i="36"/>
  <c r="W131" i="36"/>
  <c r="V121" i="36"/>
  <c r="Z18" i="36"/>
  <c r="AL129" i="36"/>
  <c r="AJ14" i="36"/>
  <c r="AA168" i="36"/>
  <c r="AL126" i="36"/>
  <c r="AL125" i="36"/>
  <c r="AM123" i="36"/>
  <c r="AK7" i="36"/>
  <c r="AL7" i="36" s="1"/>
  <c r="AL123" i="36"/>
  <c r="AL119" i="36"/>
  <c r="AL104" i="36"/>
  <c r="AJ16" i="36"/>
  <c r="AJ9" i="39" s="1"/>
  <c r="AJ10" i="39" s="1"/>
  <c r="AA25" i="48" l="1"/>
  <c r="AA24" i="53"/>
  <c r="AB24" i="48"/>
  <c r="AB25" i="48" s="1"/>
  <c r="AA29" i="48"/>
  <c r="AB23" i="53"/>
  <c r="Y41" i="43"/>
  <c r="Y39" i="46"/>
  <c r="AI153" i="36"/>
  <c r="AH155" i="36"/>
  <c r="AH30" i="36" s="1"/>
  <c r="AM33" i="39" s="1"/>
  <c r="AK118" i="36"/>
  <c r="AK120" i="36" s="1"/>
  <c r="AK121" i="36" s="1"/>
  <c r="AJ58" i="39"/>
  <c r="Y35" i="39"/>
  <c r="X37" i="39"/>
  <c r="X37" i="38"/>
  <c r="Y7" i="39"/>
  <c r="AL33" i="39"/>
  <c r="AG57" i="36"/>
  <c r="AG139" i="36"/>
  <c r="AM110" i="36"/>
  <c r="AM112" i="36"/>
  <c r="AN115" i="36"/>
  <c r="AM83" i="36"/>
  <c r="AK85" i="36"/>
  <c r="AK87" i="36" s="1"/>
  <c r="AI95" i="36"/>
  <c r="AI79" i="36"/>
  <c r="AI92" i="36"/>
  <c r="AK74" i="36"/>
  <c r="AK76" i="36" s="1"/>
  <c r="AK78" i="36" s="1"/>
  <c r="AJ90" i="36"/>
  <c r="AH93" i="36"/>
  <c r="AH97" i="36"/>
  <c r="AH100" i="36"/>
  <c r="AM50" i="36"/>
  <c r="AK52" i="36"/>
  <c r="AK54" i="36" s="1"/>
  <c r="AF43" i="36"/>
  <c r="AF45" i="36" s="1"/>
  <c r="AH41" i="36"/>
  <c r="AH43" i="36" s="1"/>
  <c r="AH45" i="36" s="1"/>
  <c r="AF57" i="36"/>
  <c r="AV51" i="36"/>
  <c r="AA133" i="36"/>
  <c r="AO26" i="36"/>
  <c r="AN35" i="36"/>
  <c r="AA10" i="36"/>
  <c r="AA8" i="36"/>
  <c r="AA60" i="36"/>
  <c r="AC5" i="36"/>
  <c r="AQ84" i="36"/>
  <c r="AH6" i="36"/>
  <c r="AH134" i="36" s="1"/>
  <c r="W121" i="36"/>
  <c r="X118" i="36"/>
  <c r="X130" i="36"/>
  <c r="X12" i="36"/>
  <c r="AF134" i="36"/>
  <c r="AA170" i="36"/>
  <c r="AK14" i="36"/>
  <c r="AL14" i="36" s="1"/>
  <c r="AL128" i="36"/>
  <c r="AM7" i="36"/>
  <c r="AL124" i="36"/>
  <c r="AN123" i="36"/>
  <c r="AK135" i="36"/>
  <c r="AL115" i="36"/>
  <c r="AL116" i="36" s="1"/>
  <c r="AK16" i="36"/>
  <c r="AK9" i="39" s="1"/>
  <c r="AK10" i="39" s="1"/>
  <c r="AL10" i="39" s="1"/>
  <c r="AJ136" i="36"/>
  <c r="AA34" i="48" l="1"/>
  <c r="AA29" i="53"/>
  <c r="AB24" i="53"/>
  <c r="AB143" i="48"/>
  <c r="AB29" i="48"/>
  <c r="AB27" i="48"/>
  <c r="AB25" i="53"/>
  <c r="AA25" i="53"/>
  <c r="AA6" i="50"/>
  <c r="AA27" i="48"/>
  <c r="Y41" i="46"/>
  <c r="Z40" i="43"/>
  <c r="Z40" i="46" s="1"/>
  <c r="Y6" i="42"/>
  <c r="AH31" i="36"/>
  <c r="AJ153" i="36"/>
  <c r="AI155" i="36"/>
  <c r="AI30" i="36" s="1"/>
  <c r="AN33" i="39" s="1"/>
  <c r="Y14" i="38"/>
  <c r="Y99" i="36"/>
  <c r="Y127" i="36"/>
  <c r="Y66" i="36"/>
  <c r="AL9" i="39"/>
  <c r="AK58" i="39"/>
  <c r="AL58" i="39" s="1"/>
  <c r="Y37" i="38"/>
  <c r="AA8" i="38"/>
  <c r="AA25" i="39"/>
  <c r="AA12" i="39"/>
  <c r="Z7" i="39"/>
  <c r="Z99" i="36" s="1"/>
  <c r="Y37" i="39"/>
  <c r="AM57" i="39"/>
  <c r="AL57" i="39"/>
  <c r="AN112" i="36"/>
  <c r="AO115" i="36"/>
  <c r="AM118" i="36"/>
  <c r="AM120" i="36" s="1"/>
  <c r="AM121" i="36" s="1"/>
  <c r="AN110" i="36"/>
  <c r="AN83" i="36"/>
  <c r="AM85" i="36"/>
  <c r="AM87" i="36" s="1"/>
  <c r="AI93" i="36"/>
  <c r="AI97" i="36"/>
  <c r="AI100" i="36"/>
  <c r="AK79" i="36"/>
  <c r="AK95" i="36"/>
  <c r="AK92" i="36"/>
  <c r="AM74" i="36"/>
  <c r="AK90" i="36"/>
  <c r="AL64" i="39" s="1"/>
  <c r="AM52" i="36"/>
  <c r="AM54" i="36" s="1"/>
  <c r="AN50" i="36"/>
  <c r="AH57" i="36"/>
  <c r="AI41" i="36"/>
  <c r="AI43" i="36" s="1"/>
  <c r="AI45" i="36" s="1"/>
  <c r="AH59" i="36"/>
  <c r="AH46" i="36"/>
  <c r="AH62" i="36"/>
  <c r="AF46" i="36"/>
  <c r="AF62" i="36"/>
  <c r="AF59" i="36"/>
  <c r="AK136" i="36"/>
  <c r="AV75" i="36"/>
  <c r="AP26" i="36"/>
  <c r="AR26" i="36" s="1"/>
  <c r="AC133" i="36"/>
  <c r="AC8" i="36"/>
  <c r="AG41" i="36"/>
  <c r="AA140" i="36"/>
  <c r="AL42" i="36"/>
  <c r="AC10" i="36"/>
  <c r="AO35" i="36"/>
  <c r="AP35" i="36" s="1"/>
  <c r="AD5" i="36"/>
  <c r="AL16" i="36"/>
  <c r="AL74" i="36"/>
  <c r="AL83" i="36"/>
  <c r="AQ91" i="36"/>
  <c r="Y118" i="36"/>
  <c r="AL50" i="36"/>
  <c r="X120" i="36"/>
  <c r="X131" i="36"/>
  <c r="AI6" i="36"/>
  <c r="AI134" i="36" s="1"/>
  <c r="AM14" i="36"/>
  <c r="AC168" i="36"/>
  <c r="AA18" i="36"/>
  <c r="AM135" i="36"/>
  <c r="AN7" i="36"/>
  <c r="AO123" i="36"/>
  <c r="AL112" i="36"/>
  <c r="AL110" i="36"/>
  <c r="AM16" i="36"/>
  <c r="AM9" i="39" s="1"/>
  <c r="F18" i="52" l="1"/>
  <c r="AB143" i="53"/>
  <c r="AA27" i="53"/>
  <c r="AA32" i="48"/>
  <c r="AA32" i="53" s="1"/>
  <c r="AA33" i="48"/>
  <c r="AB27" i="53"/>
  <c r="AB30" i="48"/>
  <c r="AB31" i="48"/>
  <c r="AA6" i="55"/>
  <c r="AA22" i="50"/>
  <c r="AB6" i="50"/>
  <c r="AA38" i="49"/>
  <c r="AB29" i="53"/>
  <c r="AA147" i="48"/>
  <c r="AA147" i="53" s="1"/>
  <c r="AA34" i="53"/>
  <c r="C11" i="52"/>
  <c r="C29" i="52" s="1"/>
  <c r="Y6" i="45"/>
  <c r="Z21" i="41"/>
  <c r="Y46" i="43"/>
  <c r="Y11" i="42"/>
  <c r="AI31" i="36"/>
  <c r="AK153" i="36"/>
  <c r="AK155" i="36" s="1"/>
  <c r="AJ155" i="36"/>
  <c r="Z127" i="36"/>
  <c r="Z66" i="36"/>
  <c r="AM10" i="39"/>
  <c r="AN118" i="36"/>
  <c r="AN120" i="36" s="1"/>
  <c r="AN121" i="36" s="1"/>
  <c r="AC25" i="39"/>
  <c r="AC8" i="38"/>
  <c r="AC15" i="39" s="1"/>
  <c r="AC12" i="39"/>
  <c r="AB8" i="38"/>
  <c r="AN57" i="39"/>
  <c r="AQ90" i="36"/>
  <c r="AP115" i="36"/>
  <c r="AO110" i="36"/>
  <c r="AO112" i="36"/>
  <c r="AO83" i="36"/>
  <c r="AN85" i="36"/>
  <c r="AN87" i="36" s="1"/>
  <c r="AN74" i="36"/>
  <c r="AN76" i="36" s="1"/>
  <c r="AN78" i="36" s="1"/>
  <c r="AM90" i="36"/>
  <c r="AK100" i="36"/>
  <c r="AK93" i="36"/>
  <c r="AK97" i="36"/>
  <c r="AM76" i="36"/>
  <c r="AM78" i="36" s="1"/>
  <c r="AN52" i="36"/>
  <c r="AN54" i="36" s="1"/>
  <c r="AO50" i="36"/>
  <c r="AF67" i="36"/>
  <c r="AF60" i="36"/>
  <c r="AF64" i="36"/>
  <c r="AI62" i="36"/>
  <c r="AI46" i="36"/>
  <c r="AI59" i="36"/>
  <c r="AH64" i="36"/>
  <c r="AH60" i="36"/>
  <c r="AH67" i="36"/>
  <c r="AJ41" i="36"/>
  <c r="AI57" i="36"/>
  <c r="AJ43" i="36"/>
  <c r="AV84" i="36"/>
  <c r="AV91" i="36" s="1"/>
  <c r="AS26" i="36"/>
  <c r="AT26" i="36" s="1"/>
  <c r="AU26" i="36" s="1"/>
  <c r="AV26" i="36" s="1"/>
  <c r="AR123" i="36"/>
  <c r="AD10" i="36"/>
  <c r="AQ26" i="36"/>
  <c r="AL58" i="36"/>
  <c r="AJ30" i="36"/>
  <c r="AO33" i="39" s="1"/>
  <c r="AD8" i="36"/>
  <c r="AC140" i="36"/>
  <c r="AD133" i="36"/>
  <c r="Y12" i="36"/>
  <c r="Y120" i="36"/>
  <c r="Y130" i="36"/>
  <c r="X121" i="36"/>
  <c r="AN14" i="36"/>
  <c r="AC170" i="36"/>
  <c r="AB18" i="36"/>
  <c r="AN135" i="36"/>
  <c r="AP123" i="36"/>
  <c r="AQ123" i="36" s="1"/>
  <c r="AO7" i="36"/>
  <c r="AO135" i="36" s="1"/>
  <c r="AL111" i="36"/>
  <c r="AL113" i="36"/>
  <c r="AN16" i="36"/>
  <c r="AN9" i="39" s="1"/>
  <c r="AN10" i="39" s="1"/>
  <c r="AM136" i="36"/>
  <c r="AA38" i="54" l="1"/>
  <c r="AB38" i="49"/>
  <c r="AA41" i="49"/>
  <c r="AB22" i="50"/>
  <c r="AB6" i="55"/>
  <c r="AB32" i="48"/>
  <c r="AB32" i="53" s="1"/>
  <c r="AB30" i="53"/>
  <c r="AB33" i="48"/>
  <c r="AB31" i="53"/>
  <c r="AB34" i="48"/>
  <c r="AA22" i="55"/>
  <c r="AA42" i="50"/>
  <c r="AA42" i="55" s="1"/>
  <c r="AA55" i="50"/>
  <c r="AA146" i="48"/>
  <c r="AA146" i="53" s="1"/>
  <c r="AA33" i="53"/>
  <c r="E42" i="50"/>
  <c r="E42" i="55" s="1"/>
  <c r="I42" i="50"/>
  <c r="F42" i="50"/>
  <c r="F42" i="55" s="1"/>
  <c r="Q42" i="50"/>
  <c r="Q42" i="55" s="1"/>
  <c r="Z42" i="50"/>
  <c r="Z42" i="55" s="1"/>
  <c r="P42" i="50"/>
  <c r="P42" i="55" s="1"/>
  <c r="D42" i="50"/>
  <c r="N42" i="50"/>
  <c r="J42" i="50"/>
  <c r="J42" i="55" s="1"/>
  <c r="K42" i="50"/>
  <c r="K42" i="55" s="1"/>
  <c r="V42" i="50"/>
  <c r="V42" i="55" s="1"/>
  <c r="S42" i="50"/>
  <c r="G42" i="50"/>
  <c r="G42" i="55" s="1"/>
  <c r="F19" i="52"/>
  <c r="O42" i="50"/>
  <c r="O42" i="55" s="1"/>
  <c r="U42" i="50"/>
  <c r="U42" i="55" s="1"/>
  <c r="L42" i="50"/>
  <c r="L42" i="55" s="1"/>
  <c r="X42" i="50"/>
  <c r="T42" i="50"/>
  <c r="T42" i="55" s="1"/>
  <c r="Y42" i="50"/>
  <c r="Y42" i="55" s="1"/>
  <c r="Z21" i="44"/>
  <c r="Z23" i="41"/>
  <c r="Y20" i="42"/>
  <c r="Y11" i="45"/>
  <c r="Y48" i="43"/>
  <c r="Y48" i="46" s="1"/>
  <c r="Y46" i="46"/>
  <c r="AJ31" i="36"/>
  <c r="AK31" i="36" s="1"/>
  <c r="AL155" i="36"/>
  <c r="AD25" i="39"/>
  <c r="AD8" i="38"/>
  <c r="AD15" i="39" s="1"/>
  <c r="AD12" i="39"/>
  <c r="AO57" i="39"/>
  <c r="AL57" i="36"/>
  <c r="AL139" i="36"/>
  <c r="AO118" i="36"/>
  <c r="AO120" i="36" s="1"/>
  <c r="AO121" i="36" s="1"/>
  <c r="AP112" i="36"/>
  <c r="AP110" i="36"/>
  <c r="AR115" i="36"/>
  <c r="AO85" i="36"/>
  <c r="AP83" i="36"/>
  <c r="AM79" i="36"/>
  <c r="AM95" i="36"/>
  <c r="AM92" i="36"/>
  <c r="AN95" i="36"/>
  <c r="AN79" i="36"/>
  <c r="AN92" i="36"/>
  <c r="AO74" i="36"/>
  <c r="AO76" i="36" s="1"/>
  <c r="AN90" i="36"/>
  <c r="AO52" i="36"/>
  <c r="AP50" i="36"/>
  <c r="AJ57" i="36"/>
  <c r="AK41" i="36"/>
  <c r="AI60" i="36"/>
  <c r="AI67" i="36"/>
  <c r="AI64" i="36"/>
  <c r="AN136" i="36"/>
  <c r="AQ35" i="36"/>
  <c r="AM153" i="36" s="1"/>
  <c r="AR35" i="36"/>
  <c r="AS123" i="36"/>
  <c r="AR7" i="36"/>
  <c r="AK30" i="36"/>
  <c r="AP33" i="39" s="1"/>
  <c r="AD140" i="36"/>
  <c r="AF5" i="36"/>
  <c r="AF133" i="36" s="1"/>
  <c r="Z118" i="36"/>
  <c r="Z120" i="36" s="1"/>
  <c r="AK6" i="36"/>
  <c r="AK134" i="36" s="1"/>
  <c r="Y121" i="36"/>
  <c r="Z12" i="36"/>
  <c r="Y131" i="36"/>
  <c r="Z130" i="36"/>
  <c r="AC18" i="36"/>
  <c r="AO14" i="36"/>
  <c r="AD168" i="36"/>
  <c r="AP7" i="36"/>
  <c r="AP135" i="36" s="1"/>
  <c r="AQ124" i="36"/>
  <c r="AO16" i="36"/>
  <c r="AO9" i="39" s="1"/>
  <c r="AO10" i="39" s="1"/>
  <c r="AB55" i="50" l="1"/>
  <c r="AB22" i="55"/>
  <c r="S42" i="55"/>
  <c r="W42" i="50"/>
  <c r="N42" i="55"/>
  <c r="R42" i="50"/>
  <c r="R42" i="55" s="1"/>
  <c r="AA41" i="54"/>
  <c r="AA62" i="49"/>
  <c r="AA62" i="54" s="1"/>
  <c r="AA42" i="49"/>
  <c r="D42" i="55"/>
  <c r="H42" i="50"/>
  <c r="H42" i="55" s="1"/>
  <c r="AB147" i="48"/>
  <c r="AB147" i="53" s="1"/>
  <c r="AB34" i="53"/>
  <c r="AB41" i="49"/>
  <c r="AB38" i="54"/>
  <c r="AB33" i="53"/>
  <c r="AB36" i="48"/>
  <c r="AB36" i="53" s="1"/>
  <c r="AB146" i="48"/>
  <c r="AB146" i="53" s="1"/>
  <c r="X42" i="55"/>
  <c r="AB42" i="50"/>
  <c r="F20" i="52"/>
  <c r="F32" i="52"/>
  <c r="M42" i="50"/>
  <c r="M42" i="55" s="1"/>
  <c r="I42" i="55"/>
  <c r="AA148" i="48"/>
  <c r="AA148" i="53" s="1"/>
  <c r="AA55" i="55"/>
  <c r="Z23" i="44"/>
  <c r="Z24" i="41"/>
  <c r="Z25" i="41" s="1"/>
  <c r="Y43" i="42"/>
  <c r="Y43" i="45" s="1"/>
  <c r="Y20" i="45"/>
  <c r="AN153" i="36"/>
  <c r="AM155" i="36"/>
  <c r="AP118" i="36"/>
  <c r="AP120" i="36" s="1"/>
  <c r="AP121" i="36" s="1"/>
  <c r="AP57" i="39"/>
  <c r="AQ33" i="39"/>
  <c r="AS115" i="36"/>
  <c r="AR112" i="36"/>
  <c r="AR110" i="36"/>
  <c r="AR83" i="36"/>
  <c r="AP85" i="36"/>
  <c r="AP87" i="36" s="1"/>
  <c r="AO90" i="36"/>
  <c r="AP74" i="36"/>
  <c r="AM100" i="36"/>
  <c r="AM97" i="36"/>
  <c r="AM93" i="36"/>
  <c r="AN97" i="36"/>
  <c r="AN100" i="36"/>
  <c r="AN93" i="36"/>
  <c r="AR50" i="36"/>
  <c r="AP52" i="36"/>
  <c r="AP54" i="36" s="1"/>
  <c r="AK43" i="36"/>
  <c r="AK45" i="36" s="1"/>
  <c r="AM41" i="36"/>
  <c r="AM43" i="36" s="1"/>
  <c r="AM45" i="36" s="1"/>
  <c r="AK57" i="36"/>
  <c r="AO136" i="36"/>
  <c r="AQ125" i="36"/>
  <c r="AR135" i="36"/>
  <c r="AS35" i="36"/>
  <c r="AR16" i="36"/>
  <c r="AR9" i="39" s="1"/>
  <c r="AR14" i="36"/>
  <c r="AV126" i="36"/>
  <c r="AQ128" i="36"/>
  <c r="AS7" i="36"/>
  <c r="AS135" i="36" s="1"/>
  <c r="AU123" i="36"/>
  <c r="AU7" i="36" s="1"/>
  <c r="AU135" i="36" s="1"/>
  <c r="AT123" i="36"/>
  <c r="AT7" i="36" s="1"/>
  <c r="AT135" i="36" s="1"/>
  <c r="AH5" i="36"/>
  <c r="AQ126" i="36"/>
  <c r="AM31" i="36"/>
  <c r="AM30" i="36"/>
  <c r="AR33" i="39" s="1"/>
  <c r="AF10" i="36"/>
  <c r="AF8" i="36"/>
  <c r="AQ115" i="36"/>
  <c r="AQ116" i="36" s="1"/>
  <c r="Z131" i="36"/>
  <c r="AM6" i="36"/>
  <c r="Z121" i="36"/>
  <c r="AD170" i="36"/>
  <c r="AP14" i="36"/>
  <c r="AQ129" i="36"/>
  <c r="AQ7" i="36"/>
  <c r="AQ119" i="36"/>
  <c r="AP16" i="36"/>
  <c r="AP9" i="39" s="1"/>
  <c r="AP10" i="39" s="1"/>
  <c r="AQ10" i="39" s="1"/>
  <c r="AQ104" i="36"/>
  <c r="AB42" i="49" l="1"/>
  <c r="AB42" i="54" s="1"/>
  <c r="AB41" i="54"/>
  <c r="W42" i="55"/>
  <c r="W44" i="50"/>
  <c r="W44" i="55" s="1"/>
  <c r="AB42" i="55"/>
  <c r="AB44" i="50"/>
  <c r="AB44" i="55" s="1"/>
  <c r="AA42" i="54"/>
  <c r="AA17" i="49"/>
  <c r="AA7" i="49"/>
  <c r="AA12" i="49"/>
  <c r="AB148" i="48"/>
  <c r="AB148" i="53" s="1"/>
  <c r="AB55" i="55"/>
  <c r="Z25" i="44"/>
  <c r="Z27" i="41"/>
  <c r="Z6" i="43"/>
  <c r="Z24" i="44"/>
  <c r="Z29" i="41"/>
  <c r="AO153" i="36"/>
  <c r="AN155" i="36"/>
  <c r="AN30" i="36" s="1"/>
  <c r="AS33" i="39" s="1"/>
  <c r="AR118" i="36"/>
  <c r="AR120" i="36" s="1"/>
  <c r="AR121" i="36" s="1"/>
  <c r="AQ9" i="39"/>
  <c r="AR10" i="39"/>
  <c r="AF25" i="39"/>
  <c r="AF8" i="38"/>
  <c r="AF12" i="39"/>
  <c r="AR57" i="39"/>
  <c r="AQ57" i="39"/>
  <c r="AS110" i="36"/>
  <c r="AS112" i="36"/>
  <c r="AS118" i="36" s="1"/>
  <c r="AS120" i="36" s="1"/>
  <c r="AS121" i="36" s="1"/>
  <c r="AT115" i="36"/>
  <c r="AU115" i="36"/>
  <c r="AR85" i="36"/>
  <c r="AR87" i="36" s="1"/>
  <c r="AS83" i="36"/>
  <c r="AP76" i="36"/>
  <c r="AP78" i="36" s="1"/>
  <c r="AR74" i="36"/>
  <c r="AP90" i="36"/>
  <c r="AV90" i="36" s="1"/>
  <c r="AR52" i="36"/>
  <c r="AR54" i="36" s="1"/>
  <c r="AS50" i="36"/>
  <c r="AM46" i="36"/>
  <c r="AM62" i="36"/>
  <c r="AM59" i="36"/>
  <c r="AN41" i="36"/>
  <c r="AN43" i="36"/>
  <c r="AN45" i="36" s="1"/>
  <c r="AM57" i="36"/>
  <c r="AK62" i="36"/>
  <c r="AK46" i="36"/>
  <c r="AK59" i="36"/>
  <c r="AR136" i="36"/>
  <c r="AQ16" i="36"/>
  <c r="AV123" i="36"/>
  <c r="AV124" i="36" s="1"/>
  <c r="AV7" i="36"/>
  <c r="AS16" i="36"/>
  <c r="AS9" i="39" s="1"/>
  <c r="AS10" i="39" s="1"/>
  <c r="AS14" i="36"/>
  <c r="AT35" i="36"/>
  <c r="AU35" i="36" s="1"/>
  <c r="AH10" i="36"/>
  <c r="AQ42" i="36"/>
  <c r="AH133" i="36"/>
  <c r="AH8" i="36"/>
  <c r="AI5" i="36"/>
  <c r="AI133" i="36" s="1"/>
  <c r="AF140" i="36"/>
  <c r="AN31" i="36"/>
  <c r="AL41" i="36"/>
  <c r="AP136" i="36"/>
  <c r="AQ74" i="36"/>
  <c r="AQ83" i="36"/>
  <c r="AM134" i="36"/>
  <c r="AN6" i="36"/>
  <c r="AQ50" i="36"/>
  <c r="AE168" i="36"/>
  <c r="AQ14" i="36"/>
  <c r="AD18" i="36"/>
  <c r="AQ112" i="36"/>
  <c r="AQ110" i="36"/>
  <c r="AB12" i="49" l="1"/>
  <c r="AB12" i="54" s="1"/>
  <c r="AA12" i="54"/>
  <c r="AA17" i="54"/>
  <c r="AB17" i="49"/>
  <c r="AB17" i="54" s="1"/>
  <c r="AA26" i="50"/>
  <c r="AA7" i="54"/>
  <c r="AA24" i="50"/>
  <c r="AB7" i="49"/>
  <c r="AB7" i="54" s="1"/>
  <c r="Z27" i="44"/>
  <c r="Z32" i="41"/>
  <c r="Z32" i="44" s="1"/>
  <c r="Z33" i="41"/>
  <c r="Z34" i="41"/>
  <c r="Z29" i="44"/>
  <c r="Z6" i="46"/>
  <c r="Z22" i="43"/>
  <c r="Z38" i="42"/>
  <c r="AP153" i="36"/>
  <c r="AO155" i="36"/>
  <c r="AH25" i="39"/>
  <c r="AH8" i="38"/>
  <c r="AH15" i="39" s="1"/>
  <c r="AH12" i="39"/>
  <c r="AG8" i="38"/>
  <c r="AS57" i="39"/>
  <c r="AT110" i="36"/>
  <c r="AU110" i="36"/>
  <c r="AU112" i="36"/>
  <c r="AT112" i="36"/>
  <c r="AS85" i="36"/>
  <c r="AS87" i="36" s="1"/>
  <c r="AT83" i="36"/>
  <c r="AS74" i="36"/>
  <c r="AS76" i="36" s="1"/>
  <c r="AS78" i="36" s="1"/>
  <c r="AR90" i="36"/>
  <c r="AR76" i="36"/>
  <c r="AR78" i="36" s="1"/>
  <c r="AP95" i="36"/>
  <c r="AP79" i="36"/>
  <c r="AP92" i="36"/>
  <c r="AS52" i="36"/>
  <c r="AS54" i="36" s="1"/>
  <c r="AT50" i="36"/>
  <c r="AK60" i="36"/>
  <c r="AK64" i="36"/>
  <c r="AK67" i="36"/>
  <c r="AN46" i="36"/>
  <c r="AN62" i="36"/>
  <c r="AN59" i="36"/>
  <c r="AO41" i="36"/>
  <c r="AN57" i="36"/>
  <c r="AM67" i="36"/>
  <c r="AM60" i="36"/>
  <c r="AM64" i="36"/>
  <c r="AV115" i="36"/>
  <c r="AV116" i="36" s="1"/>
  <c r="AT16" i="36"/>
  <c r="AT9" i="39" s="1"/>
  <c r="AT10" i="39" s="1"/>
  <c r="AV104" i="36"/>
  <c r="AV128" i="36"/>
  <c r="AV119" i="36"/>
  <c r="AR6" i="36"/>
  <c r="AR134" i="36" s="1"/>
  <c r="AS136" i="36"/>
  <c r="AU14" i="36"/>
  <c r="AT14" i="36"/>
  <c r="AQ58" i="36"/>
  <c r="AO31" i="36"/>
  <c r="AH140" i="36"/>
  <c r="AO30" i="36"/>
  <c r="AT33" i="39" s="1"/>
  <c r="AI8" i="36"/>
  <c r="AI10" i="36"/>
  <c r="S23" i="36"/>
  <c r="S143" i="36" s="1"/>
  <c r="AN134" i="36"/>
  <c r="AE170" i="36"/>
  <c r="AQ111" i="36"/>
  <c r="AQ113" i="36"/>
  <c r="AA24" i="55" l="1"/>
  <c r="AB24" i="50"/>
  <c r="AA27" i="50"/>
  <c r="AB26" i="50"/>
  <c r="AB26" i="55" s="1"/>
  <c r="AA26" i="55"/>
  <c r="Z38" i="45"/>
  <c r="Z41" i="42"/>
  <c r="Z146" i="41"/>
  <c r="Z146" i="44" s="1"/>
  <c r="Z33" i="44"/>
  <c r="Z55" i="43"/>
  <c r="Z22" i="46"/>
  <c r="Z147" i="41"/>
  <c r="Z147" i="44" s="1"/>
  <c r="Z34" i="44"/>
  <c r="AP155" i="36"/>
  <c r="AQ155" i="36" s="1"/>
  <c r="AI25" i="39"/>
  <c r="AI8" i="38"/>
  <c r="AI15" i="39" s="1"/>
  <c r="AI12" i="39"/>
  <c r="AT57" i="39"/>
  <c r="AQ57" i="36"/>
  <c r="AQ139" i="36"/>
  <c r="AU118" i="36"/>
  <c r="AU120" i="36" s="1"/>
  <c r="AU121" i="36" s="1"/>
  <c r="AT118" i="36"/>
  <c r="AT120" i="36" s="1"/>
  <c r="AT121" i="36" s="1"/>
  <c r="AT85" i="36"/>
  <c r="AU83" i="36"/>
  <c r="AU85" i="36" s="1"/>
  <c r="AU87" i="36" s="1"/>
  <c r="AS79" i="36"/>
  <c r="AS95" i="36"/>
  <c r="AS92" i="36"/>
  <c r="AP100" i="36"/>
  <c r="AP93" i="36"/>
  <c r="AP97" i="36"/>
  <c r="AR95" i="36"/>
  <c r="AR79" i="36"/>
  <c r="AR92" i="36"/>
  <c r="AT74" i="36"/>
  <c r="AT76" i="36" s="1"/>
  <c r="AS90" i="36"/>
  <c r="AU50" i="36"/>
  <c r="AU52" i="36" s="1"/>
  <c r="AU54" i="36" s="1"/>
  <c r="AT52" i="36"/>
  <c r="AN64" i="36"/>
  <c r="AN60" i="36"/>
  <c r="AN67" i="36"/>
  <c r="AP41" i="36"/>
  <c r="AO57" i="36"/>
  <c r="AO43" i="36"/>
  <c r="AV129" i="36"/>
  <c r="AV35" i="36"/>
  <c r="AR153" i="36" s="1"/>
  <c r="AR155" i="36" s="1"/>
  <c r="AT136" i="36"/>
  <c r="AV112" i="36"/>
  <c r="AV113" i="36" s="1"/>
  <c r="AV110" i="36"/>
  <c r="AV111" i="36" s="1"/>
  <c r="AV14" i="36"/>
  <c r="AU16" i="36"/>
  <c r="AU9" i="39" s="1"/>
  <c r="AU10" i="39" s="1"/>
  <c r="AV10" i="39" s="1"/>
  <c r="AS6" i="36"/>
  <c r="AS134" i="36" s="1"/>
  <c r="AP31" i="36"/>
  <c r="AI140" i="36"/>
  <c r="AP30" i="36"/>
  <c r="AU33" i="39" s="1"/>
  <c r="AK5" i="36"/>
  <c r="AK133" i="36" s="1"/>
  <c r="AP6" i="36"/>
  <c r="AP134" i="36" s="1"/>
  <c r="AE18" i="36"/>
  <c r="AF168" i="36"/>
  <c r="AA39" i="50" l="1"/>
  <c r="AA27" i="55"/>
  <c r="AB27" i="50"/>
  <c r="AB24" i="55"/>
  <c r="Z148" i="41"/>
  <c r="Z148" i="44" s="1"/>
  <c r="Z55" i="46"/>
  <c r="Z41" i="45"/>
  <c r="Z42" i="42"/>
  <c r="Z62" i="42"/>
  <c r="Z62" i="45" s="1"/>
  <c r="AR31" i="36"/>
  <c r="AS153" i="36"/>
  <c r="AV9" i="39"/>
  <c r="AU57" i="39"/>
  <c r="AV33" i="39"/>
  <c r="AU74" i="36"/>
  <c r="AU90" i="36" s="1"/>
  <c r="AT90" i="36"/>
  <c r="AR100" i="36"/>
  <c r="AR97" i="36"/>
  <c r="AR93" i="36"/>
  <c r="AS100" i="36"/>
  <c r="AS97" i="36"/>
  <c r="AS93" i="36"/>
  <c r="AP43" i="36"/>
  <c r="AP45" i="36" s="1"/>
  <c r="AR41" i="36"/>
  <c r="AR43" i="36"/>
  <c r="AR45" i="36" s="1"/>
  <c r="AP57" i="36"/>
  <c r="AR30" i="36"/>
  <c r="AV16" i="36"/>
  <c r="AU136" i="36"/>
  <c r="AV50" i="36"/>
  <c r="AV83" i="36"/>
  <c r="AV125" i="36"/>
  <c r="AV42" i="36"/>
  <c r="AV58" i="36" s="1"/>
  <c r="S25" i="36"/>
  <c r="S29" i="36"/>
  <c r="AK10" i="36"/>
  <c r="AM5" i="36"/>
  <c r="AK8" i="36"/>
  <c r="AF170" i="36"/>
  <c r="AB39" i="50" l="1"/>
  <c r="AB27" i="55"/>
  <c r="AA41" i="50"/>
  <c r="AA39" i="55"/>
  <c r="Z42" i="45"/>
  <c r="Z7" i="42"/>
  <c r="Z17" i="42"/>
  <c r="Z12" i="42"/>
  <c r="Z12" i="45" s="1"/>
  <c r="AT153" i="36"/>
  <c r="AS155" i="36"/>
  <c r="AK8" i="38"/>
  <c r="AK25" i="39"/>
  <c r="AK12" i="39"/>
  <c r="AV57" i="39"/>
  <c r="AU76" i="36"/>
  <c r="AU78" i="36" s="1"/>
  <c r="AV57" i="36"/>
  <c r="AR59" i="36"/>
  <c r="AR62" i="36"/>
  <c r="AR46" i="36"/>
  <c r="AR57" i="36"/>
  <c r="AS41" i="36"/>
  <c r="AP46" i="36"/>
  <c r="AP62" i="36"/>
  <c r="AP59" i="36"/>
  <c r="AU6" i="36"/>
  <c r="AU134" i="36" s="1"/>
  <c r="AV74" i="36"/>
  <c r="AM8" i="36"/>
  <c r="AQ41" i="36"/>
  <c r="AV139" i="36" s="1"/>
  <c r="AK140" i="36"/>
  <c r="S34" i="36"/>
  <c r="AN5" i="36"/>
  <c r="AN133" i="36" s="1"/>
  <c r="S27" i="36"/>
  <c r="AM133" i="36"/>
  <c r="AM10" i="36"/>
  <c r="AH168" i="36"/>
  <c r="AF18" i="36"/>
  <c r="AA6" i="49" l="1"/>
  <c r="AA41" i="55"/>
  <c r="AB41" i="50"/>
  <c r="AB39" i="55"/>
  <c r="Z24" i="43"/>
  <c r="Z7" i="45"/>
  <c r="Z17" i="45"/>
  <c r="Z26" i="43"/>
  <c r="Z26" i="46" s="1"/>
  <c r="AS31" i="36"/>
  <c r="AS30" i="36"/>
  <c r="AU153" i="36"/>
  <c r="AU155" i="36" s="1"/>
  <c r="AT155" i="36"/>
  <c r="AU79" i="36"/>
  <c r="AM25" i="39"/>
  <c r="AM8" i="38"/>
  <c r="AM15" i="39" s="1"/>
  <c r="AM12" i="39"/>
  <c r="AL8" i="38"/>
  <c r="AU92" i="36"/>
  <c r="AU93" i="36" s="1"/>
  <c r="AU95" i="36"/>
  <c r="AT41" i="36"/>
  <c r="AT43" i="36"/>
  <c r="AS57" i="36"/>
  <c r="AS43" i="36"/>
  <c r="AS45" i="36" s="1"/>
  <c r="AP60" i="36"/>
  <c r="AP64" i="36"/>
  <c r="AP67" i="36"/>
  <c r="AR67" i="36"/>
  <c r="AR64" i="36"/>
  <c r="AR60" i="36"/>
  <c r="AN10" i="36"/>
  <c r="AM140" i="36"/>
  <c r="S147" i="36"/>
  <c r="S32" i="36"/>
  <c r="S33" i="36"/>
  <c r="S146" i="36" s="1"/>
  <c r="AN8" i="36"/>
  <c r="AG18" i="36"/>
  <c r="AH170" i="36"/>
  <c r="AB41" i="55" l="1"/>
  <c r="AC40" i="50"/>
  <c r="AC40" i="55" s="1"/>
  <c r="AG40" i="50"/>
  <c r="AG40" i="55" s="1"/>
  <c r="AA6" i="54"/>
  <c r="AA46" i="50"/>
  <c r="AA11" i="49"/>
  <c r="AC21" i="48"/>
  <c r="AB6" i="49"/>
  <c r="Z24" i="46"/>
  <c r="Z27" i="43"/>
  <c r="AT30" i="36"/>
  <c r="AU30" i="36" s="1"/>
  <c r="AV155" i="36"/>
  <c r="AT31" i="36"/>
  <c r="AU31" i="36" s="1"/>
  <c r="AU100" i="36"/>
  <c r="AU97" i="36"/>
  <c r="AN8" i="38"/>
  <c r="AN15" i="39" s="1"/>
  <c r="AN25" i="39"/>
  <c r="AN12" i="39"/>
  <c r="AS46" i="36"/>
  <c r="AS62" i="36"/>
  <c r="AS10" i="36" s="1"/>
  <c r="AS59" i="36"/>
  <c r="AT57" i="36"/>
  <c r="AU41" i="36"/>
  <c r="AU57" i="36" s="1"/>
  <c r="AR5" i="36"/>
  <c r="AR8" i="36" s="1"/>
  <c r="AR10" i="36"/>
  <c r="AS5" i="36"/>
  <c r="AP5" i="36"/>
  <c r="AN140" i="36"/>
  <c r="AI168" i="36"/>
  <c r="AH18" i="36"/>
  <c r="AB6" i="54" l="1"/>
  <c r="AB46" i="50"/>
  <c r="AB11" i="49"/>
  <c r="AC21" i="53"/>
  <c r="AC23" i="48"/>
  <c r="AA20" i="49"/>
  <c r="AA11" i="54"/>
  <c r="AA48" i="50"/>
  <c r="AA48" i="55" s="1"/>
  <c r="AA46" i="55"/>
  <c r="Z39" i="43"/>
  <c r="Z27" i="46"/>
  <c r="AR25" i="39"/>
  <c r="AR8" i="38"/>
  <c r="AR12" i="39"/>
  <c r="AU43" i="36"/>
  <c r="AU45" i="36" s="1"/>
  <c r="AS67" i="36"/>
  <c r="AS64" i="36"/>
  <c r="AS60" i="36"/>
  <c r="AR140" i="36"/>
  <c r="AR133" i="36"/>
  <c r="AS133" i="36"/>
  <c r="AS8" i="36"/>
  <c r="AV41" i="36"/>
  <c r="AP133" i="36"/>
  <c r="AP8" i="36"/>
  <c r="AP10" i="36"/>
  <c r="AI170" i="36"/>
  <c r="AA43" i="49" l="1"/>
  <c r="AA43" i="54" s="1"/>
  <c r="AA20" i="54"/>
  <c r="AB20" i="49"/>
  <c r="AB11" i="54"/>
  <c r="AB48" i="50"/>
  <c r="AB48" i="55" s="1"/>
  <c r="AB46" i="55"/>
  <c r="AC23" i="53"/>
  <c r="AC24" i="48"/>
  <c r="Z41" i="43"/>
  <c r="Z39" i="46"/>
  <c r="AS8" i="38"/>
  <c r="AS15" i="39" s="1"/>
  <c r="AS25" i="39"/>
  <c r="AS12" i="39"/>
  <c r="AP25" i="39"/>
  <c r="AP8" i="38"/>
  <c r="AP12" i="39"/>
  <c r="AU62" i="36"/>
  <c r="AU10" i="36" s="1"/>
  <c r="AU46" i="36"/>
  <c r="AU59" i="36"/>
  <c r="AS140" i="36"/>
  <c r="AU5" i="36"/>
  <c r="AU133" i="36" s="1"/>
  <c r="AP140" i="36"/>
  <c r="AJ168" i="36"/>
  <c r="AI18" i="36"/>
  <c r="AB43" i="49" l="1"/>
  <c r="AB43" i="54" s="1"/>
  <c r="AB20" i="54"/>
  <c r="AC24" i="53"/>
  <c r="AC29" i="48"/>
  <c r="AC25" i="48"/>
  <c r="Z41" i="46"/>
  <c r="Z6" i="42"/>
  <c r="AA40" i="43"/>
  <c r="AA40" i="46" s="1"/>
  <c r="AQ8" i="38"/>
  <c r="AR15" i="39"/>
  <c r="AU67" i="36"/>
  <c r="AU64" i="36"/>
  <c r="AU60" i="36"/>
  <c r="AU8" i="36"/>
  <c r="AJ170" i="36"/>
  <c r="AC34" i="48" l="1"/>
  <c r="AC29" i="53"/>
  <c r="AC25" i="53"/>
  <c r="AC27" i="48"/>
  <c r="AC6" i="50"/>
  <c r="Z6" i="45"/>
  <c r="AA21" i="41"/>
  <c r="Z46" i="43"/>
  <c r="Z11" i="42"/>
  <c r="AU8" i="38"/>
  <c r="AU25" i="39"/>
  <c r="AU12" i="39"/>
  <c r="AU140" i="36"/>
  <c r="AJ18" i="36"/>
  <c r="AK168" i="36"/>
  <c r="AC27" i="53" l="1"/>
  <c r="AC33" i="48"/>
  <c r="AC32" i="48"/>
  <c r="AC32" i="53" s="1"/>
  <c r="AC6" i="55"/>
  <c r="AC22" i="50"/>
  <c r="AC38" i="49"/>
  <c r="AC147" i="48"/>
  <c r="AC147" i="53" s="1"/>
  <c r="AC34" i="53"/>
  <c r="AA21" i="44"/>
  <c r="AB21" i="41"/>
  <c r="AB23" i="41" s="1"/>
  <c r="Z20" i="42"/>
  <c r="Z11" i="45"/>
  <c r="Z48" i="43"/>
  <c r="Z48" i="46" s="1"/>
  <c r="Z46" i="46"/>
  <c r="AV8" i="38"/>
  <c r="AK170" i="36"/>
  <c r="AC38" i="54" l="1"/>
  <c r="AC41" i="49"/>
  <c r="AC146" i="48"/>
  <c r="AC146" i="53" s="1"/>
  <c r="AC33" i="53"/>
  <c r="AC22" i="55"/>
  <c r="AC55" i="50"/>
  <c r="AC42" i="50"/>
  <c r="AC42" i="55" s="1"/>
  <c r="AB21" i="44"/>
  <c r="Z43" i="42"/>
  <c r="Z43" i="45" s="1"/>
  <c r="Z20" i="45"/>
  <c r="AM168" i="36"/>
  <c r="AK18" i="36"/>
  <c r="AC148" i="48" l="1"/>
  <c r="AC148" i="53" s="1"/>
  <c r="AC55" i="55"/>
  <c r="AC41" i="54"/>
  <c r="AC42" i="49"/>
  <c r="AC62" i="49"/>
  <c r="AC62" i="54" s="1"/>
  <c r="AL18" i="36"/>
  <c r="AM170" i="36"/>
  <c r="AC42" i="54" l="1"/>
  <c r="AC17" i="49"/>
  <c r="AC12" i="49"/>
  <c r="AC12" i="54" s="1"/>
  <c r="AC7" i="49"/>
  <c r="AN168" i="36"/>
  <c r="AM18" i="36"/>
  <c r="AC17" i="54" l="1"/>
  <c r="AC26" i="50"/>
  <c r="AC26" i="55" s="1"/>
  <c r="AC24" i="50"/>
  <c r="AC7" i="54"/>
  <c r="T23" i="36"/>
  <c r="T143" i="36" s="1"/>
  <c r="AN170" i="36"/>
  <c r="AC24" i="55" l="1"/>
  <c r="AC27" i="50"/>
  <c r="AN18" i="36"/>
  <c r="AO168" i="36"/>
  <c r="AC39" i="50" l="1"/>
  <c r="AC27" i="55"/>
  <c r="T25" i="36"/>
  <c r="T29" i="36"/>
  <c r="AO170" i="36"/>
  <c r="AC41" i="50" l="1"/>
  <c r="AC39" i="55"/>
  <c r="T34" i="36"/>
  <c r="T27" i="36"/>
  <c r="AP168" i="36"/>
  <c r="AO18" i="36"/>
  <c r="AC41" i="55" l="1"/>
  <c r="AD40" i="50"/>
  <c r="AD40" i="55" s="1"/>
  <c r="AC6" i="49"/>
  <c r="AR168" i="36"/>
  <c r="AR170" i="36" s="1"/>
  <c r="T147" i="36"/>
  <c r="T32" i="36"/>
  <c r="T33" i="36"/>
  <c r="T146" i="36" s="1"/>
  <c r="AP170" i="36"/>
  <c r="AC6" i="54" l="1"/>
  <c r="AC46" i="50"/>
  <c r="AC11" i="49"/>
  <c r="AD21" i="48"/>
  <c r="AS168" i="36"/>
  <c r="AS170" i="36" s="1"/>
  <c r="AS18" i="36" s="1"/>
  <c r="AT168" i="36"/>
  <c r="AT170" i="36" s="1"/>
  <c r="AR18" i="36"/>
  <c r="AP18" i="36"/>
  <c r="AD21" i="53" l="1"/>
  <c r="AD23" i="48"/>
  <c r="AC48" i="50"/>
  <c r="AC48" i="55" s="1"/>
  <c r="AC46" i="55"/>
  <c r="AC20" i="49"/>
  <c r="AC11" i="54"/>
  <c r="AU168" i="36"/>
  <c r="AU170" i="36" s="1"/>
  <c r="AT18" i="36"/>
  <c r="AQ18" i="36"/>
  <c r="AC43" i="49" l="1"/>
  <c r="AC43" i="54" s="1"/>
  <c r="AC20" i="54"/>
  <c r="AD23" i="53"/>
  <c r="AD24" i="48"/>
  <c r="AD25" i="48" s="1"/>
  <c r="AU18" i="36"/>
  <c r="AV18" i="36"/>
  <c r="AD25" i="53" l="1"/>
  <c r="AD6" i="50"/>
  <c r="AD27" i="48"/>
  <c r="AD24" i="53"/>
  <c r="AD29" i="48"/>
  <c r="U23" i="36"/>
  <c r="U143" i="36" s="1"/>
  <c r="AD27" i="53" l="1"/>
  <c r="AD33" i="48"/>
  <c r="AD32" i="48"/>
  <c r="AD32" i="53" s="1"/>
  <c r="AD6" i="55"/>
  <c r="AD22" i="50"/>
  <c r="AD38" i="49"/>
  <c r="AD34" i="48"/>
  <c r="AD29" i="53"/>
  <c r="AC143" i="36"/>
  <c r="AD143" i="36" s="1"/>
  <c r="U25" i="36"/>
  <c r="AD147" i="48" l="1"/>
  <c r="AD147" i="53" s="1"/>
  <c r="AD34" i="53"/>
  <c r="AD38" i="54"/>
  <c r="AD41" i="49"/>
  <c r="AD146" i="48"/>
  <c r="AD146" i="53" s="1"/>
  <c r="AD33" i="53"/>
  <c r="AD22" i="55"/>
  <c r="AD55" i="50"/>
  <c r="AD42" i="50"/>
  <c r="AD42" i="55" s="1"/>
  <c r="AE143" i="36"/>
  <c r="AF143" i="36" s="1"/>
  <c r="U27" i="36"/>
  <c r="AD41" i="54" l="1"/>
  <c r="AD42" i="49"/>
  <c r="AD62" i="49"/>
  <c r="AD62" i="54" s="1"/>
  <c r="AD148" i="48"/>
  <c r="AD148" i="53" s="1"/>
  <c r="AD55" i="55"/>
  <c r="AH143" i="36"/>
  <c r="U33" i="36"/>
  <c r="U146" i="36" s="1"/>
  <c r="U32" i="36"/>
  <c r="AD42" i="54" l="1"/>
  <c r="AD12" i="49"/>
  <c r="AD12" i="54" s="1"/>
  <c r="AD7" i="49"/>
  <c r="AD17" i="49"/>
  <c r="AI143" i="36"/>
  <c r="AD17" i="54" l="1"/>
  <c r="AD26" i="50"/>
  <c r="AD24" i="50"/>
  <c r="AD24" i="55" s="1"/>
  <c r="AD7" i="54"/>
  <c r="AJ143" i="36"/>
  <c r="AK143" i="36"/>
  <c r="AD27" i="50" l="1"/>
  <c r="AD26" i="55"/>
  <c r="AM143" i="36"/>
  <c r="AN143" i="36" s="1"/>
  <c r="AD39" i="50" l="1"/>
  <c r="AD27" i="55"/>
  <c r="AO143" i="36"/>
  <c r="AP143" i="36" s="1"/>
  <c r="AD41" i="50" l="1"/>
  <c r="AD39" i="55"/>
  <c r="AR143" i="36"/>
  <c r="AD41" i="55" l="1"/>
  <c r="AE40" i="50"/>
  <c r="AE40" i="55" s="1"/>
  <c r="AD6" i="49"/>
  <c r="AS143" i="36"/>
  <c r="AT143" i="36" s="1"/>
  <c r="AD6" i="54" l="1"/>
  <c r="AD46" i="50"/>
  <c r="AE21" i="48"/>
  <c r="AD11" i="49"/>
  <c r="AU143" i="36"/>
  <c r="AD20" i="49" l="1"/>
  <c r="AD11" i="54"/>
  <c r="AE21" i="53"/>
  <c r="AE23" i="48"/>
  <c r="AD48" i="50"/>
  <c r="AD48" i="55" s="1"/>
  <c r="AD46" i="55"/>
  <c r="W21" i="36"/>
  <c r="AE23" i="53" l="1"/>
  <c r="AE24" i="48"/>
  <c r="AE25" i="48" s="1"/>
  <c r="AD43" i="49"/>
  <c r="AD43" i="54" s="1"/>
  <c r="AD20" i="54"/>
  <c r="W62" i="36"/>
  <c r="W45" i="36"/>
  <c r="W46" i="36" s="1"/>
  <c r="U44" i="36"/>
  <c r="Z44" i="36" s="1"/>
  <c r="AE44" i="36" s="1"/>
  <c r="U46" i="36"/>
  <c r="AE25" i="53" l="1"/>
  <c r="AE27" i="48"/>
  <c r="AE6" i="50"/>
  <c r="AE24" i="53"/>
  <c r="AE29" i="48"/>
  <c r="W63" i="36"/>
  <c r="U59" i="36"/>
  <c r="U53" i="36"/>
  <c r="W54" i="36"/>
  <c r="AE6" i="55" l="1"/>
  <c r="AE22" i="50"/>
  <c r="AE38" i="49"/>
  <c r="AE34" i="48"/>
  <c r="AE29" i="53"/>
  <c r="AE27" i="53"/>
  <c r="AE32" i="48"/>
  <c r="AE32" i="53" s="1"/>
  <c r="AE33" i="48"/>
  <c r="Z53" i="36"/>
  <c r="AE53" i="36" s="1"/>
  <c r="Z45" i="36"/>
  <c r="U68" i="36"/>
  <c r="U65" i="36"/>
  <c r="U61" i="36"/>
  <c r="Z54" i="36"/>
  <c r="W60" i="36"/>
  <c r="W67" i="36"/>
  <c r="W59" i="36"/>
  <c r="AE38" i="54" l="1"/>
  <c r="AE41" i="49"/>
  <c r="AE22" i="55"/>
  <c r="AE55" i="50"/>
  <c r="AE42" i="50"/>
  <c r="AE42" i="55" s="1"/>
  <c r="AE146" i="48"/>
  <c r="AE146" i="53" s="1"/>
  <c r="AE33" i="53"/>
  <c r="AE147" i="48"/>
  <c r="AE147" i="53" s="1"/>
  <c r="AE34" i="53"/>
  <c r="AJ53" i="36"/>
  <c r="AO53" i="36" s="1"/>
  <c r="AT53" i="36" s="1"/>
  <c r="AE54" i="36"/>
  <c r="Z62" i="36"/>
  <c r="AB45" i="36"/>
  <c r="AB46" i="36" s="1"/>
  <c r="Z46" i="36"/>
  <c r="AJ44" i="36"/>
  <c r="AE45" i="36"/>
  <c r="V64" i="36"/>
  <c r="Y67" i="36"/>
  <c r="AA67" i="36"/>
  <c r="X67" i="36"/>
  <c r="U70" i="36"/>
  <c r="U71" i="36" s="1"/>
  <c r="W68" i="36"/>
  <c r="W61" i="36"/>
  <c r="Z59" i="36"/>
  <c r="AB54" i="36"/>
  <c r="AE41" i="54" l="1"/>
  <c r="AE42" i="49"/>
  <c r="AE62" i="49"/>
  <c r="AE62" i="54" s="1"/>
  <c r="AE148" i="48"/>
  <c r="AE148" i="53" s="1"/>
  <c r="AE55" i="55"/>
  <c r="AJ54" i="36"/>
  <c r="AT54" i="36"/>
  <c r="AO54" i="36"/>
  <c r="AE46" i="36"/>
  <c r="AE59" i="36"/>
  <c r="AE62" i="36"/>
  <c r="AG45" i="36"/>
  <c r="AG46" i="36" s="1"/>
  <c r="AO44" i="36"/>
  <c r="AJ45" i="36"/>
  <c r="AB62" i="36"/>
  <c r="AB63" i="36" s="1"/>
  <c r="W71" i="36"/>
  <c r="W72" i="36" s="1"/>
  <c r="W64" i="36"/>
  <c r="X64" i="36"/>
  <c r="Z67" i="36"/>
  <c r="AB59" i="36"/>
  <c r="AB47" i="36" s="1"/>
  <c r="Z60" i="36"/>
  <c r="AG54" i="36"/>
  <c r="U72" i="36"/>
  <c r="AE42" i="54" l="1"/>
  <c r="AE12" i="49"/>
  <c r="AE12" i="54" s="1"/>
  <c r="AE7" i="49"/>
  <c r="AE17" i="49"/>
  <c r="AT44" i="36"/>
  <c r="AO45" i="36"/>
  <c r="AG62" i="36"/>
  <c r="AG63" i="36" s="1"/>
  <c r="AJ62" i="36"/>
  <c r="AJ59" i="36"/>
  <c r="AJ46" i="36"/>
  <c r="AL45" i="36"/>
  <c r="AL46" i="36" s="1"/>
  <c r="AE64" i="36"/>
  <c r="AE67" i="36"/>
  <c r="AE60" i="36"/>
  <c r="Y64" i="36"/>
  <c r="W65" i="36"/>
  <c r="W70" i="36"/>
  <c r="V72" i="36"/>
  <c r="X70" i="36"/>
  <c r="X71" i="36" s="1"/>
  <c r="X72" i="36" s="1"/>
  <c r="AL54" i="36"/>
  <c r="AG59" i="36"/>
  <c r="AB60" i="36"/>
  <c r="AB67" i="36"/>
  <c r="AB68" i="36" s="1"/>
  <c r="AE24" i="50" l="1"/>
  <c r="AE7" i="54"/>
  <c r="AE17" i="54"/>
  <c r="AE26" i="50"/>
  <c r="AE26" i="55" s="1"/>
  <c r="AJ60" i="36"/>
  <c r="AJ64" i="36"/>
  <c r="AJ67" i="36"/>
  <c r="AO59" i="36"/>
  <c r="AO62" i="36"/>
  <c r="AO46" i="36"/>
  <c r="AQ45" i="36"/>
  <c r="AQ46" i="36" s="1"/>
  <c r="AT45" i="36"/>
  <c r="AL62" i="36"/>
  <c r="AL63" i="36" s="1"/>
  <c r="Y70" i="36"/>
  <c r="Y71" i="36" s="1"/>
  <c r="Z64" i="36"/>
  <c r="AQ54" i="36"/>
  <c r="AG67" i="36"/>
  <c r="AG68" i="36" s="1"/>
  <c r="AV54" i="36"/>
  <c r="AL59" i="36"/>
  <c r="AG60" i="36"/>
  <c r="AB61" i="36"/>
  <c r="AE24" i="55" l="1"/>
  <c r="AE27" i="50"/>
  <c r="AQ62" i="36"/>
  <c r="AQ63" i="36" s="1"/>
  <c r="AT59" i="36"/>
  <c r="AV59" i="36" s="1"/>
  <c r="AT46" i="36"/>
  <c r="AT62" i="36"/>
  <c r="AV45" i="36"/>
  <c r="AV46" i="36" s="1"/>
  <c r="AO60" i="36"/>
  <c r="AO67" i="36"/>
  <c r="AO64" i="36"/>
  <c r="Z70" i="36"/>
  <c r="Z71" i="36" s="1"/>
  <c r="Z72" i="36" s="1"/>
  <c r="AA64" i="36"/>
  <c r="Y72" i="36"/>
  <c r="AL67" i="36"/>
  <c r="AL68" i="36" s="1"/>
  <c r="AQ59" i="36"/>
  <c r="AG61" i="36"/>
  <c r="AE39" i="50" l="1"/>
  <c r="AE27" i="55"/>
  <c r="AV62" i="36"/>
  <c r="AV63" i="36" s="1"/>
  <c r="AT60" i="36"/>
  <c r="AT64" i="36"/>
  <c r="AT67" i="36"/>
  <c r="AB64" i="36"/>
  <c r="AB65" i="36" s="1"/>
  <c r="AL60" i="36"/>
  <c r="AQ67" i="36"/>
  <c r="AQ68" i="36" s="1"/>
  <c r="AE41" i="50" l="1"/>
  <c r="AE39" i="55"/>
  <c r="AV67" i="36"/>
  <c r="AV68" i="36" s="1"/>
  <c r="AQ60" i="36"/>
  <c r="AL61" i="36"/>
  <c r="AE41" i="55" l="1"/>
  <c r="AE6" i="49"/>
  <c r="AF40" i="50"/>
  <c r="AF40" i="55" s="1"/>
  <c r="AQ61" i="36"/>
  <c r="AE6" i="54" l="1"/>
  <c r="AE46" i="50"/>
  <c r="AE11" i="49"/>
  <c r="AF21" i="48"/>
  <c r="AV60" i="36"/>
  <c r="AE20" i="49" l="1"/>
  <c r="AE11" i="54"/>
  <c r="AF21" i="53"/>
  <c r="AF23" i="48"/>
  <c r="AG21" i="48"/>
  <c r="AE48" i="50"/>
  <c r="AE48" i="55" s="1"/>
  <c r="AE46" i="55"/>
  <c r="AG64" i="36"/>
  <c r="AG65" i="36" s="1"/>
  <c r="AV61" i="36"/>
  <c r="AF23" i="53" l="1"/>
  <c r="AF24" i="48"/>
  <c r="AF25" i="48" s="1"/>
  <c r="AG21" i="53"/>
  <c r="AG23" i="48"/>
  <c r="AE43" i="49"/>
  <c r="AE43" i="54" s="1"/>
  <c r="AE20" i="54"/>
  <c r="W95" i="36"/>
  <c r="U133" i="36"/>
  <c r="W78" i="36"/>
  <c r="W79" i="36" s="1"/>
  <c r="U77" i="36"/>
  <c r="Z77" i="36" s="1"/>
  <c r="U79" i="36"/>
  <c r="AF25" i="53" l="1"/>
  <c r="AF27" i="48"/>
  <c r="AF6" i="50"/>
  <c r="AF24" i="53"/>
  <c r="AG24" i="48"/>
  <c r="AG25" i="48" s="1"/>
  <c r="AF29" i="48"/>
  <c r="AG23" i="53"/>
  <c r="AE77" i="36"/>
  <c r="Z78" i="36"/>
  <c r="W96" i="36"/>
  <c r="U92" i="36"/>
  <c r="U134" i="36"/>
  <c r="U86" i="36"/>
  <c r="Z86" i="36" s="1"/>
  <c r="AE86" i="36" s="1"/>
  <c r="W87" i="36"/>
  <c r="AF6" i="55" l="1"/>
  <c r="AF22" i="50"/>
  <c r="AG6" i="50"/>
  <c r="AF38" i="49"/>
  <c r="AF27" i="53"/>
  <c r="AF32" i="48"/>
  <c r="AF32" i="53" s="1"/>
  <c r="AF33" i="48"/>
  <c r="AG27" i="48"/>
  <c r="AG25" i="53"/>
  <c r="AF34" i="48"/>
  <c r="AF29" i="53"/>
  <c r="AG24" i="53"/>
  <c r="AG143" i="48"/>
  <c r="AG143" i="53" s="1"/>
  <c r="AG29" i="48"/>
  <c r="AJ86" i="36"/>
  <c r="AO86" i="36" s="1"/>
  <c r="AT86" i="36" s="1"/>
  <c r="AE87" i="36"/>
  <c r="AB78" i="36"/>
  <c r="AB79" i="36" s="1"/>
  <c r="Z95" i="36"/>
  <c r="Z5" i="36"/>
  <c r="AB5" i="36" s="1"/>
  <c r="Z79" i="36"/>
  <c r="AJ77" i="36"/>
  <c r="AO77" i="36" s="1"/>
  <c r="AT77" i="36" s="1"/>
  <c r="AE78" i="36"/>
  <c r="Z87" i="36"/>
  <c r="AB87" i="36" s="1"/>
  <c r="U101" i="36"/>
  <c r="U98" i="36"/>
  <c r="U94" i="36"/>
  <c r="AL64" i="36"/>
  <c r="AL65" i="36" s="1"/>
  <c r="AG87" i="36"/>
  <c r="AE6" i="36"/>
  <c r="AE134" i="36" s="1"/>
  <c r="W92" i="36"/>
  <c r="W82" i="36" s="1"/>
  <c r="AF38" i="54" l="1"/>
  <c r="AF41" i="49"/>
  <c r="AG38" i="49"/>
  <c r="AF146" i="48"/>
  <c r="AF146" i="53" s="1"/>
  <c r="AF33" i="53"/>
  <c r="AG22" i="50"/>
  <c r="AG6" i="55"/>
  <c r="AG27" i="53"/>
  <c r="AG30" i="48"/>
  <c r="AG31" i="48"/>
  <c r="AF147" i="48"/>
  <c r="AF147" i="53" s="1"/>
  <c r="AF34" i="53"/>
  <c r="AF22" i="55"/>
  <c r="AF55" i="50"/>
  <c r="AF42" i="50"/>
  <c r="AG34" i="48"/>
  <c r="AG29" i="53"/>
  <c r="Z94" i="36"/>
  <c r="U180" i="36"/>
  <c r="U182" i="36"/>
  <c r="Z98" i="36"/>
  <c r="Z101" i="36"/>
  <c r="U183" i="36"/>
  <c r="Z133" i="36"/>
  <c r="AE79" i="36"/>
  <c r="AE95" i="36"/>
  <c r="AG78" i="36"/>
  <c r="AG79" i="36" s="1"/>
  <c r="AE5" i="36"/>
  <c r="AG5" i="36" s="1"/>
  <c r="AJ78" i="36"/>
  <c r="AB95" i="36"/>
  <c r="AB96" i="36" s="1"/>
  <c r="Z10" i="36"/>
  <c r="AB10" i="36" s="1"/>
  <c r="AE92" i="36"/>
  <c r="Z6" i="36"/>
  <c r="Z8" i="36" s="1"/>
  <c r="AJ87" i="36"/>
  <c r="Z92" i="36"/>
  <c r="AB92" i="36" s="1"/>
  <c r="AB82" i="36" s="1"/>
  <c r="V100" i="36"/>
  <c r="V93" i="36"/>
  <c r="V97" i="36"/>
  <c r="U103" i="36"/>
  <c r="U105" i="36" s="1"/>
  <c r="AG6" i="36"/>
  <c r="AG42" i="50" l="1"/>
  <c r="AF42" i="55"/>
  <c r="AF148" i="48"/>
  <c r="AF148" i="53" s="1"/>
  <c r="AF55" i="55"/>
  <c r="AG33" i="48"/>
  <c r="AG31" i="53"/>
  <c r="AG55" i="50"/>
  <c r="AG22" i="55"/>
  <c r="AG41" i="49"/>
  <c r="AG38" i="54"/>
  <c r="AG32" i="48"/>
  <c r="AG32" i="53" s="1"/>
  <c r="AG30" i="53"/>
  <c r="AF41" i="54"/>
  <c r="AF62" i="49"/>
  <c r="AF62" i="54" s="1"/>
  <c r="AF42" i="49"/>
  <c r="AG147" i="48"/>
  <c r="AG147" i="53" s="1"/>
  <c r="AG34" i="53"/>
  <c r="AE98" i="36"/>
  <c r="Z182" i="36"/>
  <c r="AE101" i="36"/>
  <c r="Z183" i="36"/>
  <c r="AJ92" i="36"/>
  <c r="Z180" i="36"/>
  <c r="AE94" i="36"/>
  <c r="AE133" i="36"/>
  <c r="AE8" i="36"/>
  <c r="AE140" i="36" s="1"/>
  <c r="AG8" i="36"/>
  <c r="AB6" i="36"/>
  <c r="AB8" i="36" s="1"/>
  <c r="AB140" i="36" s="1"/>
  <c r="AE97" i="36"/>
  <c r="AE100" i="36"/>
  <c r="AT78" i="36"/>
  <c r="AO78" i="36"/>
  <c r="AT87" i="36"/>
  <c r="AO87" i="36"/>
  <c r="AG92" i="36"/>
  <c r="AG82" i="36" s="1"/>
  <c r="Z134" i="36"/>
  <c r="AJ95" i="36"/>
  <c r="AJ79" i="36"/>
  <c r="AL78" i="36"/>
  <c r="AL79" i="36" s="1"/>
  <c r="AJ5" i="36"/>
  <c r="AL5" i="36" s="1"/>
  <c r="AG95" i="36"/>
  <c r="AG96" i="36" s="1"/>
  <c r="AE10" i="36"/>
  <c r="AG10" i="36" s="1"/>
  <c r="AE25" i="39"/>
  <c r="AG25" i="39" s="1"/>
  <c r="AG56" i="39" s="1"/>
  <c r="AE8" i="38"/>
  <c r="AE12" i="39"/>
  <c r="AG12" i="39" s="1"/>
  <c r="Z8" i="38"/>
  <c r="Z25" i="39"/>
  <c r="Z12" i="39"/>
  <c r="V11" i="36"/>
  <c r="W11" i="36" s="1"/>
  <c r="W97" i="36"/>
  <c r="W98" i="36" s="1"/>
  <c r="X100" i="36"/>
  <c r="X13" i="36" s="1"/>
  <c r="V13" i="36"/>
  <c r="W13" i="36" s="1"/>
  <c r="W100" i="36"/>
  <c r="W101" i="36" s="1"/>
  <c r="X97" i="36"/>
  <c r="X11" i="36" s="1"/>
  <c r="V9" i="36"/>
  <c r="V103" i="36"/>
  <c r="V105" i="36" s="1"/>
  <c r="W93" i="36"/>
  <c r="X93" i="36"/>
  <c r="U137" i="36"/>
  <c r="U106" i="36"/>
  <c r="AG140" i="36"/>
  <c r="Z140" i="36"/>
  <c r="AJ6" i="36"/>
  <c r="AJ134" i="36" s="1"/>
  <c r="AL87" i="36"/>
  <c r="AF42" i="54" l="1"/>
  <c r="AF12" i="49"/>
  <c r="AF7" i="49"/>
  <c r="AF17" i="49"/>
  <c r="AG148" i="48"/>
  <c r="AG148" i="53" s="1"/>
  <c r="AG55" i="55"/>
  <c r="AG42" i="49"/>
  <c r="AG42" i="54" s="1"/>
  <c r="AG41" i="54"/>
  <c r="AG33" i="53"/>
  <c r="AG36" i="48"/>
  <c r="AG36" i="53" s="1"/>
  <c r="AG146" i="48"/>
  <c r="AG146" i="53" s="1"/>
  <c r="AG44" i="50"/>
  <c r="AG44" i="55" s="1"/>
  <c r="AG42" i="55"/>
  <c r="AE180" i="36"/>
  <c r="AJ94" i="36"/>
  <c r="AJ101" i="36"/>
  <c r="AE183" i="36"/>
  <c r="AE93" i="36"/>
  <c r="AJ98" i="36"/>
  <c r="AE182" i="36"/>
  <c r="AT92" i="36"/>
  <c r="AJ133" i="36"/>
  <c r="AO92" i="36"/>
  <c r="AO95" i="36"/>
  <c r="AO79" i="36"/>
  <c r="AQ78" i="36"/>
  <c r="AO5" i="36"/>
  <c r="AQ5" i="36" s="1"/>
  <c r="AT95" i="36"/>
  <c r="AT79" i="36"/>
  <c r="AV78" i="36"/>
  <c r="AT5" i="36"/>
  <c r="AV5" i="36" s="1"/>
  <c r="AL95" i="36"/>
  <c r="AL96" i="36" s="1"/>
  <c r="AJ10" i="36"/>
  <c r="AL10" i="36" s="1"/>
  <c r="AE15" i="39"/>
  <c r="AF15" i="39"/>
  <c r="AB12" i="39"/>
  <c r="Z35" i="39"/>
  <c r="Z37" i="38" s="1"/>
  <c r="AB25" i="39"/>
  <c r="AB56" i="39" s="1"/>
  <c r="Z14" i="38"/>
  <c r="AA7" i="39" s="1"/>
  <c r="Z15" i="39"/>
  <c r="AA15" i="39"/>
  <c r="V9" i="38"/>
  <c r="V22" i="38"/>
  <c r="W9" i="36"/>
  <c r="W15" i="36" s="1"/>
  <c r="W17" i="36" s="1"/>
  <c r="V15" i="36"/>
  <c r="V106" i="36"/>
  <c r="Y97" i="36"/>
  <c r="W103" i="36"/>
  <c r="W94" i="36"/>
  <c r="W105" i="36"/>
  <c r="W106" i="36" s="1"/>
  <c r="X9" i="36"/>
  <c r="X103" i="36"/>
  <c r="X105" i="36" s="1"/>
  <c r="X106" i="36" s="1"/>
  <c r="Y100" i="36"/>
  <c r="Y93" i="36"/>
  <c r="AO6" i="36"/>
  <c r="AO134" i="36" s="1"/>
  <c r="AQ87" i="36"/>
  <c r="AL92" i="36"/>
  <c r="AL82" i="36" s="1"/>
  <c r="AJ8" i="36"/>
  <c r="AL6" i="36"/>
  <c r="AL8" i="36" s="1"/>
  <c r="AL65" i="39" s="1"/>
  <c r="AT6" i="36"/>
  <c r="AT134" i="36" s="1"/>
  <c r="AV87" i="36"/>
  <c r="AF7" i="54" l="1"/>
  <c r="AG7" i="49"/>
  <c r="AG7" i="54" s="1"/>
  <c r="AF24" i="50"/>
  <c r="AF17" i="54"/>
  <c r="AG17" i="49"/>
  <c r="AG17" i="54" s="1"/>
  <c r="AF26" i="50"/>
  <c r="AG12" i="49"/>
  <c r="AG12" i="54" s="1"/>
  <c r="AF12" i="54"/>
  <c r="AO133" i="36"/>
  <c r="AJ182" i="36"/>
  <c r="AO98" i="36"/>
  <c r="AJ97" i="36"/>
  <c r="AO101" i="36"/>
  <c r="AJ183" i="36"/>
  <c r="AJ100" i="36"/>
  <c r="AO94" i="36"/>
  <c r="AJ180" i="36"/>
  <c r="AJ93" i="36"/>
  <c r="AA99" i="36"/>
  <c r="AA127" i="36"/>
  <c r="AA66" i="36"/>
  <c r="AO100" i="36"/>
  <c r="AT133" i="36"/>
  <c r="AV95" i="36"/>
  <c r="AV96" i="36" s="1"/>
  <c r="AT10" i="36"/>
  <c r="AV10" i="36" s="1"/>
  <c r="AQ95" i="36"/>
  <c r="AQ96" i="36" s="1"/>
  <c r="AO10" i="36"/>
  <c r="AQ10" i="36" s="1"/>
  <c r="AJ8" i="38"/>
  <c r="AJ25" i="39"/>
  <c r="AL25" i="39" s="1"/>
  <c r="AL56" i="39" s="1"/>
  <c r="AJ12" i="39"/>
  <c r="AL12" i="39" s="1"/>
  <c r="AG15" i="39"/>
  <c r="AA14" i="38"/>
  <c r="AB14" i="38" s="1"/>
  <c r="AC7" i="39" s="1"/>
  <c r="AC14" i="38" s="1"/>
  <c r="AB7" i="39"/>
  <c r="AB15" i="39"/>
  <c r="AA35" i="39"/>
  <c r="AB35" i="39" s="1"/>
  <c r="AB37" i="39" s="1"/>
  <c r="Z37" i="39"/>
  <c r="X22" i="38"/>
  <c r="X18" i="39" s="1"/>
  <c r="X9" i="38"/>
  <c r="X16" i="39" s="1"/>
  <c r="V18" i="39"/>
  <c r="W18" i="39" s="1"/>
  <c r="W22" i="38"/>
  <c r="W30" i="38" s="1"/>
  <c r="W35" i="38" s="1"/>
  <c r="V30" i="38"/>
  <c r="V35" i="38" s="1"/>
  <c r="V16" i="39"/>
  <c r="W16" i="39" s="1"/>
  <c r="W9" i="38"/>
  <c r="Z100" i="36"/>
  <c r="Z13" i="36" s="1"/>
  <c r="Y11" i="36"/>
  <c r="Z97" i="36"/>
  <c r="Z11" i="36" s="1"/>
  <c r="AQ64" i="36"/>
  <c r="AQ65" i="36" s="1"/>
  <c r="Y9" i="36"/>
  <c r="Y103" i="36"/>
  <c r="Y105" i="36" s="1"/>
  <c r="X15" i="36"/>
  <c r="Z93" i="36"/>
  <c r="W19" i="36"/>
  <c r="W141" i="36"/>
  <c r="W23" i="36"/>
  <c r="V17" i="36"/>
  <c r="Y13" i="36"/>
  <c r="AL140" i="36"/>
  <c r="AO8" i="36"/>
  <c r="AQ6" i="36"/>
  <c r="AQ8" i="36" s="1"/>
  <c r="AJ140" i="36"/>
  <c r="AQ92" i="36"/>
  <c r="AV92" i="36"/>
  <c r="AV6" i="36"/>
  <c r="AV8" i="36" s="1"/>
  <c r="AT8" i="36"/>
  <c r="AF24" i="55" l="1"/>
  <c r="AF27" i="50"/>
  <c r="AG24" i="50"/>
  <c r="AG26" i="50"/>
  <c r="AG26" i="55" s="1"/>
  <c r="AF26" i="55"/>
  <c r="AO183" i="36"/>
  <c r="AT101" i="36"/>
  <c r="AO180" i="36"/>
  <c r="AT94" i="36"/>
  <c r="AO182" i="36"/>
  <c r="AT98" i="36"/>
  <c r="AO93" i="36"/>
  <c r="AO97" i="36"/>
  <c r="W142" i="36"/>
  <c r="W65" i="38"/>
  <c r="W64" i="38" s="1"/>
  <c r="AC99" i="36"/>
  <c r="AC127" i="36"/>
  <c r="AC66" i="36"/>
  <c r="AT25" i="39"/>
  <c r="AV25" i="39" s="1"/>
  <c r="AV56" i="39" s="1"/>
  <c r="AT8" i="38"/>
  <c r="AT12" i="39"/>
  <c r="AV12" i="39" s="1"/>
  <c r="AO25" i="39"/>
  <c r="AQ25" i="39" s="1"/>
  <c r="AQ56" i="39" s="1"/>
  <c r="AO8" i="38"/>
  <c r="AO12" i="39"/>
  <c r="AQ12" i="39" s="1"/>
  <c r="AJ15" i="39"/>
  <c r="AK15" i="39"/>
  <c r="AA37" i="38"/>
  <c r="AB37" i="38" s="1"/>
  <c r="Y22" i="38"/>
  <c r="Y30" i="38" s="1"/>
  <c r="Y35" i="38" s="1"/>
  <c r="Y9" i="38"/>
  <c r="Y16" i="39" s="1"/>
  <c r="AC35" i="39"/>
  <c r="AA37" i="39"/>
  <c r="AD7" i="39"/>
  <c r="AD14" i="38" s="1"/>
  <c r="AE7" i="39" s="1"/>
  <c r="AE14" i="38" s="1"/>
  <c r="X30" i="38"/>
  <c r="X35" i="38" s="1"/>
  <c r="Y106" i="36"/>
  <c r="Y15" i="36"/>
  <c r="AA97" i="36"/>
  <c r="AA11" i="36" s="1"/>
  <c r="AB11" i="36" s="1"/>
  <c r="Z103" i="36"/>
  <c r="Z105" i="36" s="1"/>
  <c r="Z106" i="36" s="1"/>
  <c r="Z9" i="36"/>
  <c r="AA93" i="36"/>
  <c r="V141" i="36"/>
  <c r="V19" i="36"/>
  <c r="V142" i="36" s="1"/>
  <c r="V23" i="36"/>
  <c r="V24" i="36" s="1"/>
  <c r="V137" i="36"/>
  <c r="X17" i="36"/>
  <c r="AA100" i="36"/>
  <c r="AQ140" i="36"/>
  <c r="AO140" i="36"/>
  <c r="AV140" i="36"/>
  <c r="AT140" i="36"/>
  <c r="AG27" i="50" l="1"/>
  <c r="AG24" i="55"/>
  <c r="AF39" i="50"/>
  <c r="AF27" i="55"/>
  <c r="AT180" i="36"/>
  <c r="AT93" i="36"/>
  <c r="AT183" i="36"/>
  <c r="AT100" i="36"/>
  <c r="AT182" i="36"/>
  <c r="AT97" i="36"/>
  <c r="AD127" i="36"/>
  <c r="AD99" i="36"/>
  <c r="AD66" i="36"/>
  <c r="AE127" i="36" s="1"/>
  <c r="AL15" i="39"/>
  <c r="Y18" i="39"/>
  <c r="AT15" i="39"/>
  <c r="AU15" i="39"/>
  <c r="AO15" i="39"/>
  <c r="AP15" i="39"/>
  <c r="AF7" i="39"/>
  <c r="AG7" i="39" s="1"/>
  <c r="AC37" i="39"/>
  <c r="AD35" i="39"/>
  <c r="AC103" i="36"/>
  <c r="AC105" i="36" s="1"/>
  <c r="AC106" i="36" s="1"/>
  <c r="AC37" i="38"/>
  <c r="Z22" i="38"/>
  <c r="Z9" i="38"/>
  <c r="Z16" i="39" s="1"/>
  <c r="AA13" i="36"/>
  <c r="AB13" i="36" s="1"/>
  <c r="AB100" i="36"/>
  <c r="AB101" i="36" s="1"/>
  <c r="X137" i="36"/>
  <c r="X19" i="36"/>
  <c r="X142" i="36" s="1"/>
  <c r="X141" i="36"/>
  <c r="Y17" i="36"/>
  <c r="V25" i="36"/>
  <c r="V6" i="39" s="1"/>
  <c r="W24" i="36"/>
  <c r="AB97" i="36"/>
  <c r="AB98" i="36" s="1"/>
  <c r="Z15" i="36"/>
  <c r="AA9" i="36"/>
  <c r="AB93" i="36"/>
  <c r="AB94" i="36" s="1"/>
  <c r="AB114" i="36"/>
  <c r="AB118" i="36" s="1"/>
  <c r="AB120" i="36" s="1"/>
  <c r="AB121" i="36" s="1"/>
  <c r="AA118" i="36"/>
  <c r="AA120" i="36" s="1"/>
  <c r="AA121" i="36" s="1"/>
  <c r="AB99" i="36"/>
  <c r="AA103" i="36"/>
  <c r="AA105" i="36" s="1"/>
  <c r="AB66" i="36"/>
  <c r="AB70" i="36" s="1"/>
  <c r="AA70" i="36"/>
  <c r="AA71" i="36" s="1"/>
  <c r="AA12" i="36"/>
  <c r="AB127" i="36"/>
  <c r="AB130" i="36" s="1"/>
  <c r="AB131" i="36" s="1"/>
  <c r="AA130" i="36"/>
  <c r="AA131" i="36" s="1"/>
  <c r="AF41" i="50" l="1"/>
  <c r="AF39" i="55"/>
  <c r="AG39" i="50"/>
  <c r="AG27" i="55"/>
  <c r="AE99" i="36"/>
  <c r="AE66" i="36"/>
  <c r="AF127" i="36" s="1"/>
  <c r="AD37" i="38"/>
  <c r="AF14" i="38"/>
  <c r="AV15" i="39"/>
  <c r="AQ15" i="39"/>
  <c r="Z18" i="39"/>
  <c r="Z30" i="38"/>
  <c r="Z35" i="38" s="1"/>
  <c r="AD37" i="39"/>
  <c r="AE35" i="39"/>
  <c r="AE37" i="38" s="1"/>
  <c r="AD103" i="36"/>
  <c r="AD105" i="36" s="1"/>
  <c r="AD106" i="36" s="1"/>
  <c r="AG14" i="38"/>
  <c r="AH7" i="39" s="1"/>
  <c r="AH14" i="38" s="1"/>
  <c r="AA22" i="38"/>
  <c r="AA9" i="38"/>
  <c r="W6" i="39"/>
  <c r="W22" i="39" s="1"/>
  <c r="V38" i="38"/>
  <c r="V22" i="39"/>
  <c r="V55" i="39" s="1"/>
  <c r="V148" i="36" s="1"/>
  <c r="AB103" i="36"/>
  <c r="AD13" i="36"/>
  <c r="AC9" i="36"/>
  <c r="AB9" i="36"/>
  <c r="AC13" i="36"/>
  <c r="AV64" i="36"/>
  <c r="AV65" i="36" s="1"/>
  <c r="Y19" i="36"/>
  <c r="Y142" i="36" s="1"/>
  <c r="Y141" i="36"/>
  <c r="Y137" i="36"/>
  <c r="Z17" i="36"/>
  <c r="W143" i="36"/>
  <c r="W25" i="36"/>
  <c r="AC11" i="36"/>
  <c r="AD9" i="36"/>
  <c r="V27" i="36"/>
  <c r="AD11" i="36"/>
  <c r="AB12" i="36"/>
  <c r="AA15" i="36"/>
  <c r="AA106" i="36"/>
  <c r="AB105" i="36"/>
  <c r="AB106" i="36" s="1"/>
  <c r="AB71" i="36"/>
  <c r="AB72" i="36" s="1"/>
  <c r="AA72" i="36"/>
  <c r="AG41" i="50" l="1"/>
  <c r="AG39" i="55"/>
  <c r="AF6" i="49"/>
  <c r="AF41" i="55"/>
  <c r="AF99" i="36"/>
  <c r="AF66" i="36"/>
  <c r="AH127" i="36" s="1"/>
  <c r="AD9" i="38"/>
  <c r="AD22" i="38"/>
  <c r="AC9" i="38"/>
  <c r="AC16" i="39" s="1"/>
  <c r="AC22" i="38"/>
  <c r="AC30" i="38" s="1"/>
  <c r="AC35" i="38" s="1"/>
  <c r="AA18" i="39"/>
  <c r="AB22" i="38"/>
  <c r="AB30" i="38" s="1"/>
  <c r="AB35" i="38" s="1"/>
  <c r="AA30" i="38"/>
  <c r="AA35" i="38" s="1"/>
  <c r="AE103" i="36"/>
  <c r="AE105" i="36" s="1"/>
  <c r="AE106" i="36" s="1"/>
  <c r="AI7" i="39"/>
  <c r="AI14" i="38" s="1"/>
  <c r="AE37" i="39"/>
  <c r="AF35" i="39"/>
  <c r="AB18" i="39"/>
  <c r="AB9" i="38"/>
  <c r="AA16" i="39"/>
  <c r="AB16" i="39" s="1"/>
  <c r="W38" i="38"/>
  <c r="W41" i="38" s="1"/>
  <c r="V41" i="38"/>
  <c r="W55" i="39"/>
  <c r="W148" i="36" s="1"/>
  <c r="AE9" i="36"/>
  <c r="V33" i="36"/>
  <c r="V146" i="36" s="1"/>
  <c r="V32" i="36"/>
  <c r="AE11" i="36"/>
  <c r="Z19" i="36"/>
  <c r="Z142" i="36" s="1"/>
  <c r="Z141" i="36"/>
  <c r="Z137" i="36"/>
  <c r="AB15" i="36"/>
  <c r="AB17" i="36" s="1"/>
  <c r="AB19" i="36" s="1"/>
  <c r="AB65" i="38" s="1"/>
  <c r="AB64" i="38" s="1"/>
  <c r="W27" i="36"/>
  <c r="AC12" i="36"/>
  <c r="AC70" i="36"/>
  <c r="AC71" i="36" s="1"/>
  <c r="AA17" i="36"/>
  <c r="AC130" i="36"/>
  <c r="AC131" i="36" s="1"/>
  <c r="AF6" i="54" l="1"/>
  <c r="AF11" i="49"/>
  <c r="AG6" i="49"/>
  <c r="AH21" i="48"/>
  <c r="AF46" i="50"/>
  <c r="AG41" i="55"/>
  <c r="AL40" i="50"/>
  <c r="AL40" i="55" s="1"/>
  <c r="AH40" i="50"/>
  <c r="AH40" i="55" s="1"/>
  <c r="AC18" i="39"/>
  <c r="AH99" i="36"/>
  <c r="AH66" i="36"/>
  <c r="AI127" i="36" s="1"/>
  <c r="AE9" i="38"/>
  <c r="AE16" i="39" s="1"/>
  <c r="AE22" i="38"/>
  <c r="AD18" i="39"/>
  <c r="AD30" i="38"/>
  <c r="AD35" i="38" s="1"/>
  <c r="AD16" i="39"/>
  <c r="AF37" i="39"/>
  <c r="AH35" i="39"/>
  <c r="AG35" i="39"/>
  <c r="AG37" i="39" s="1"/>
  <c r="AF103" i="36"/>
  <c r="AF105" i="36" s="1"/>
  <c r="AF106" i="36" s="1"/>
  <c r="AF37" i="38"/>
  <c r="AJ7" i="39"/>
  <c r="AJ14" i="38" s="1"/>
  <c r="V42" i="38"/>
  <c r="V62" i="38"/>
  <c r="W62" i="38"/>
  <c r="W42" i="38"/>
  <c r="AB141" i="36"/>
  <c r="AF11" i="36"/>
  <c r="AG11" i="36" s="1"/>
  <c r="W31" i="36"/>
  <c r="W33" i="36" s="1"/>
  <c r="W146" i="36" s="1"/>
  <c r="W30" i="36"/>
  <c r="W32" i="36" s="1"/>
  <c r="AD70" i="36"/>
  <c r="AD71" i="36" s="1"/>
  <c r="AE13" i="36"/>
  <c r="AF13" i="36"/>
  <c r="AC72" i="36"/>
  <c r="AC15" i="36"/>
  <c r="AD130" i="36"/>
  <c r="AD131" i="36" s="1"/>
  <c r="AA19" i="36"/>
  <c r="AA141" i="36"/>
  <c r="AA137" i="36"/>
  <c r="AB142" i="36"/>
  <c r="AG6" i="54" l="1"/>
  <c r="AG11" i="49"/>
  <c r="AG46" i="50"/>
  <c r="AF20" i="49"/>
  <c r="AF11" i="54"/>
  <c r="AH21" i="53"/>
  <c r="AH23" i="48"/>
  <c r="AF48" i="50"/>
  <c r="AF48" i="55" s="1"/>
  <c r="AF46" i="55"/>
  <c r="AI99" i="36"/>
  <c r="AI66" i="36"/>
  <c r="AJ127" i="36" s="1"/>
  <c r="AE18" i="39"/>
  <c r="AE30" i="38"/>
  <c r="AE35" i="38" s="1"/>
  <c r="AK7" i="39"/>
  <c r="AL7" i="39" s="1"/>
  <c r="AG37" i="38"/>
  <c r="AH37" i="38"/>
  <c r="AH103" i="36"/>
  <c r="AH105" i="36" s="1"/>
  <c r="AH106" i="36" s="1"/>
  <c r="AH37" i="39"/>
  <c r="AI35" i="39"/>
  <c r="V17" i="38"/>
  <c r="V7" i="38"/>
  <c r="V12" i="38"/>
  <c r="W12" i="38" s="1"/>
  <c r="AG100" i="36"/>
  <c r="AG101" i="36" s="1"/>
  <c r="AG97" i="36"/>
  <c r="AG98" i="36" s="1"/>
  <c r="AD12" i="36"/>
  <c r="AD15" i="36" s="1"/>
  <c r="AD17" i="36" s="1"/>
  <c r="AG13" i="36"/>
  <c r="AF9" i="36"/>
  <c r="AG93" i="36"/>
  <c r="AG94" i="36" s="1"/>
  <c r="W36" i="36"/>
  <c r="AA142" i="36"/>
  <c r="AC17" i="36"/>
  <c r="AD72" i="36"/>
  <c r="AH23" i="53" l="1"/>
  <c r="AH24" i="48"/>
  <c r="AH25" i="48" s="1"/>
  <c r="AG48" i="50"/>
  <c r="AG48" i="55" s="1"/>
  <c r="AG46" i="55"/>
  <c r="AG20" i="49"/>
  <c r="AG11" i="54"/>
  <c r="AF43" i="49"/>
  <c r="AF43" i="54" s="1"/>
  <c r="AF20" i="54"/>
  <c r="AJ99" i="36"/>
  <c r="AJ66" i="36"/>
  <c r="AK127" i="36" s="1"/>
  <c r="AK14" i="38"/>
  <c r="AL14" i="38" s="1"/>
  <c r="AM7" i="39" s="1"/>
  <c r="AM14" i="38" s="1"/>
  <c r="AF9" i="38"/>
  <c r="AF22" i="38"/>
  <c r="AJ35" i="39"/>
  <c r="AI37" i="39"/>
  <c r="AI37" i="38"/>
  <c r="AI103" i="36"/>
  <c r="AI105" i="36" s="1"/>
  <c r="AI106" i="36" s="1"/>
  <c r="AK99" i="36"/>
  <c r="V24" i="39"/>
  <c r="W7" i="38"/>
  <c r="V26" i="39"/>
  <c r="W26" i="39" s="1"/>
  <c r="W17" i="38"/>
  <c r="AH11" i="36"/>
  <c r="AI13" i="36"/>
  <c r="AH9" i="36"/>
  <c r="AI9" i="36"/>
  <c r="AI11" i="36"/>
  <c r="AH13" i="36"/>
  <c r="AG9" i="36"/>
  <c r="AE130" i="36"/>
  <c r="AE131" i="36" s="1"/>
  <c r="AC19" i="36"/>
  <c r="AC141" i="36"/>
  <c r="AC137" i="36"/>
  <c r="AE70" i="36"/>
  <c r="AE71" i="36" s="1"/>
  <c r="AE12" i="36"/>
  <c r="AD19" i="36"/>
  <c r="AD141" i="36"/>
  <c r="AD137" i="36"/>
  <c r="AH25" i="53" l="1"/>
  <c r="AH6" i="50"/>
  <c r="AH27" i="48"/>
  <c r="AG43" i="49"/>
  <c r="AG43" i="54" s="1"/>
  <c r="AG20" i="54"/>
  <c r="AH24" i="53"/>
  <c r="AH29" i="48"/>
  <c r="AK66" i="36"/>
  <c r="AM127" i="36" s="1"/>
  <c r="AJ37" i="38"/>
  <c r="AI9" i="38"/>
  <c r="AI22" i="38"/>
  <c r="AH22" i="38"/>
  <c r="AH30" i="38" s="1"/>
  <c r="AH35" i="38" s="1"/>
  <c r="AH9" i="38"/>
  <c r="AH16" i="39" s="1"/>
  <c r="AF18" i="39"/>
  <c r="AG18" i="39" s="1"/>
  <c r="AG22" i="38"/>
  <c r="AG30" i="38" s="1"/>
  <c r="AG35" i="38" s="1"/>
  <c r="AF30" i="38"/>
  <c r="AF35" i="38" s="1"/>
  <c r="AF16" i="39"/>
  <c r="AG16" i="39" s="1"/>
  <c r="AG9" i="38"/>
  <c r="AJ103" i="36"/>
  <c r="AJ105" i="36" s="1"/>
  <c r="AJ106" i="36" s="1"/>
  <c r="AK35" i="39"/>
  <c r="AK37" i="38" s="1"/>
  <c r="AJ37" i="39"/>
  <c r="AN7" i="39"/>
  <c r="W24" i="39"/>
  <c r="W27" i="39" s="1"/>
  <c r="W39" i="39" s="1"/>
  <c r="W41" i="39" s="1"/>
  <c r="V27" i="39"/>
  <c r="V39" i="39" s="1"/>
  <c r="V41" i="39" s="1"/>
  <c r="V6" i="38" s="1"/>
  <c r="AJ11" i="36"/>
  <c r="AJ9" i="36"/>
  <c r="AE72" i="36"/>
  <c r="AC142" i="36"/>
  <c r="AE15" i="36"/>
  <c r="AD142" i="36"/>
  <c r="AH27" i="53" l="1"/>
  <c r="AH32" i="48"/>
  <c r="AH32" i="53" s="1"/>
  <c r="AH33" i="48"/>
  <c r="AH6" i="55"/>
  <c r="AH22" i="50"/>
  <c r="AH38" i="49"/>
  <c r="AH34" i="48"/>
  <c r="AH29" i="53"/>
  <c r="AM99" i="36"/>
  <c r="AM66" i="36"/>
  <c r="AN127" i="36" s="1"/>
  <c r="AH18" i="39"/>
  <c r="AJ9" i="38"/>
  <c r="AJ16" i="39" s="1"/>
  <c r="AJ22" i="38"/>
  <c r="AL35" i="39"/>
  <c r="AL37" i="39" s="1"/>
  <c r="AI18" i="39"/>
  <c r="AI30" i="38"/>
  <c r="AI35" i="38" s="1"/>
  <c r="AI16" i="39"/>
  <c r="AL37" i="38"/>
  <c r="AN14" i="38"/>
  <c r="AO7" i="39" s="1"/>
  <c r="AO14" i="38" s="1"/>
  <c r="AM35" i="39"/>
  <c r="AK37" i="39"/>
  <c r="AK103" i="36"/>
  <c r="AK105" i="36" s="1"/>
  <c r="AK106" i="36" s="1"/>
  <c r="X21" i="36"/>
  <c r="W6" i="38"/>
  <c r="V46" i="39"/>
  <c r="V48" i="39" s="1"/>
  <c r="V11" i="38"/>
  <c r="V20" i="38" s="1"/>
  <c r="V43" i="38" s="1"/>
  <c r="X40" i="39"/>
  <c r="AB40" i="39"/>
  <c r="AK9" i="36"/>
  <c r="AK13" i="36"/>
  <c r="AK11" i="36"/>
  <c r="AL11" i="36" s="1"/>
  <c r="AL97" i="36"/>
  <c r="AL98" i="36" s="1"/>
  <c r="AJ13" i="36"/>
  <c r="AL13" i="36" s="1"/>
  <c r="AL100" i="36"/>
  <c r="AL101" i="36" s="1"/>
  <c r="AF130" i="36"/>
  <c r="AF131" i="36" s="1"/>
  <c r="AG127" i="36"/>
  <c r="AG130" i="36" s="1"/>
  <c r="AG131" i="36" s="1"/>
  <c r="AE17" i="36"/>
  <c r="AF70" i="36"/>
  <c r="AF71" i="36" s="1"/>
  <c r="AF12" i="36"/>
  <c r="AG66" i="36"/>
  <c r="AG70" i="36" s="1"/>
  <c r="AG99" i="36"/>
  <c r="AG103" i="36" s="1"/>
  <c r="AG114" i="36"/>
  <c r="AG118" i="36" s="1"/>
  <c r="AG120" i="36" s="1"/>
  <c r="AG121" i="36" s="1"/>
  <c r="AH147" i="48" l="1"/>
  <c r="AH147" i="53" s="1"/>
  <c r="AH34" i="53"/>
  <c r="AH38" i="54"/>
  <c r="AH41" i="49"/>
  <c r="AH146" i="48"/>
  <c r="AH146" i="53" s="1"/>
  <c r="AH33" i="53"/>
  <c r="AH22" i="55"/>
  <c r="AH55" i="50"/>
  <c r="AH42" i="50"/>
  <c r="AH42" i="55" s="1"/>
  <c r="AN99" i="36"/>
  <c r="AN66" i="36"/>
  <c r="AO127" i="36" s="1"/>
  <c r="AJ18" i="39"/>
  <c r="AJ30" i="38"/>
  <c r="AJ35" i="38" s="1"/>
  <c r="AL9" i="36"/>
  <c r="AK9" i="38"/>
  <c r="AK22" i="38"/>
  <c r="AN35" i="39"/>
  <c r="AM37" i="39"/>
  <c r="AM37" i="38"/>
  <c r="AM103" i="36"/>
  <c r="AM105" i="36" s="1"/>
  <c r="AM106" i="36" s="1"/>
  <c r="AP7" i="39"/>
  <c r="AP14" i="38" s="1"/>
  <c r="W46" i="39"/>
  <c r="W48" i="39" s="1"/>
  <c r="W11" i="38"/>
  <c r="W20" i="38" s="1"/>
  <c r="W43" i="38" s="1"/>
  <c r="AL93" i="36"/>
  <c r="AL94" i="36" s="1"/>
  <c r="X23" i="36"/>
  <c r="AF15" i="36"/>
  <c r="AG12" i="36"/>
  <c r="AG15" i="36" s="1"/>
  <c r="AG17" i="36" s="1"/>
  <c r="AE141" i="36"/>
  <c r="AE19" i="36"/>
  <c r="AE137" i="36"/>
  <c r="AF72" i="36"/>
  <c r="AG71" i="36"/>
  <c r="AG72" i="36" s="1"/>
  <c r="AG105" i="36"/>
  <c r="AG106" i="36" s="1"/>
  <c r="AH41" i="54" l="1"/>
  <c r="AH42" i="49"/>
  <c r="AH62" i="49"/>
  <c r="AH62" i="54" s="1"/>
  <c r="AH148" i="48"/>
  <c r="AH148" i="53" s="1"/>
  <c r="AH55" i="55"/>
  <c r="AO99" i="36"/>
  <c r="AO66" i="36"/>
  <c r="AP127" i="36" s="1"/>
  <c r="AN37" i="38"/>
  <c r="AQ7" i="39"/>
  <c r="AL9" i="38"/>
  <c r="AK16" i="39"/>
  <c r="AL16" i="39" s="1"/>
  <c r="AK18" i="39"/>
  <c r="AL18" i="39" s="1"/>
  <c r="AL22" i="38"/>
  <c r="AL30" i="38" s="1"/>
  <c r="AL35" i="38" s="1"/>
  <c r="AK30" i="38"/>
  <c r="AK35" i="38" s="1"/>
  <c r="AQ14" i="38"/>
  <c r="AR7" i="39" s="1"/>
  <c r="AR14" i="38" s="1"/>
  <c r="AN103" i="36"/>
  <c r="AN105" i="36" s="1"/>
  <c r="AN106" i="36" s="1"/>
  <c r="AP66" i="36"/>
  <c r="AN37" i="39"/>
  <c r="AO35" i="39"/>
  <c r="X24" i="36"/>
  <c r="X25" i="36" s="1"/>
  <c r="X6" i="39" s="1"/>
  <c r="AM9" i="36"/>
  <c r="AM13" i="36"/>
  <c r="AN13" i="36"/>
  <c r="AN9" i="36"/>
  <c r="AM11" i="36"/>
  <c r="AN11" i="36"/>
  <c r="AG19" i="36"/>
  <c r="AG65" i="38" s="1"/>
  <c r="AG64" i="38" s="1"/>
  <c r="AG141" i="36"/>
  <c r="AF17" i="36"/>
  <c r="AH70" i="36"/>
  <c r="AH71" i="36" s="1"/>
  <c r="AH12" i="36"/>
  <c r="AE142" i="36"/>
  <c r="AH130" i="36"/>
  <c r="AH131" i="36" s="1"/>
  <c r="AH42" i="54" l="1"/>
  <c r="AH7" i="49"/>
  <c r="AH12" i="49"/>
  <c r="AH12" i="54" s="1"/>
  <c r="AH17" i="49"/>
  <c r="AP99" i="36"/>
  <c r="AR127" i="36" s="1"/>
  <c r="AM9" i="38"/>
  <c r="AM16" i="39" s="1"/>
  <c r="AM22" i="38"/>
  <c r="AN9" i="38"/>
  <c r="AN16" i="39" s="1"/>
  <c r="AN22" i="38"/>
  <c r="AO37" i="39"/>
  <c r="AP35" i="39"/>
  <c r="AQ35" i="39" s="1"/>
  <c r="AQ37" i="39" s="1"/>
  <c r="AO103" i="36"/>
  <c r="AO105" i="36" s="1"/>
  <c r="AO106" i="36" s="1"/>
  <c r="AR99" i="36"/>
  <c r="AO37" i="38"/>
  <c r="AP37" i="38" s="1"/>
  <c r="AS7" i="39"/>
  <c r="AS14" i="38" s="1"/>
  <c r="X38" i="38"/>
  <c r="X41" i="38" s="1"/>
  <c r="X22" i="39"/>
  <c r="X55" i="39" s="1"/>
  <c r="X148" i="36" s="1"/>
  <c r="AO13" i="36"/>
  <c r="X27" i="36"/>
  <c r="AF19" i="36"/>
  <c r="AF141" i="36"/>
  <c r="AF137" i="36"/>
  <c r="AG142" i="36"/>
  <c r="AH72" i="36"/>
  <c r="AH15" i="36"/>
  <c r="AH17" i="54" l="1"/>
  <c r="AH26" i="50"/>
  <c r="AH26" i="55" s="1"/>
  <c r="AH7" i="54"/>
  <c r="AH24" i="50"/>
  <c r="AR66" i="36"/>
  <c r="AS127" i="36" s="1"/>
  <c r="AN18" i="39"/>
  <c r="AN30" i="38"/>
  <c r="AN35" i="38" s="1"/>
  <c r="AM30" i="38"/>
  <c r="AM35" i="38" s="1"/>
  <c r="AM18" i="39"/>
  <c r="AT7" i="39"/>
  <c r="AT14" i="38" s="1"/>
  <c r="AQ37" i="38"/>
  <c r="AP37" i="39"/>
  <c r="AR35" i="39"/>
  <c r="AS66" i="36"/>
  <c r="AP103" i="36"/>
  <c r="AP105" i="36" s="1"/>
  <c r="AP106" i="36" s="1"/>
  <c r="X42" i="38"/>
  <c r="X62" i="38"/>
  <c r="AO11" i="36"/>
  <c r="AO9" i="36"/>
  <c r="AP9" i="36"/>
  <c r="X32" i="36"/>
  <c r="X33" i="36"/>
  <c r="X146" i="36" s="1"/>
  <c r="AP11" i="36"/>
  <c r="AI130" i="36"/>
  <c r="AI131" i="36" s="1"/>
  <c r="AI70" i="36"/>
  <c r="AI71" i="36" s="1"/>
  <c r="AI12" i="36"/>
  <c r="AF142" i="36"/>
  <c r="AH17" i="36"/>
  <c r="AH24" i="55" l="1"/>
  <c r="AH27" i="50"/>
  <c r="AS99" i="36"/>
  <c r="AT127" i="36" s="1"/>
  <c r="AP9" i="38"/>
  <c r="AP22" i="38"/>
  <c r="AO9" i="38"/>
  <c r="AO16" i="39" s="1"/>
  <c r="AO22" i="38"/>
  <c r="AS35" i="39"/>
  <c r="AR37" i="39"/>
  <c r="AR103" i="36"/>
  <c r="AR105" i="36" s="1"/>
  <c r="AR106" i="36" s="1"/>
  <c r="AR37" i="38"/>
  <c r="AS37" i="38" s="1"/>
  <c r="AU7" i="39"/>
  <c r="AV7" i="39" s="1"/>
  <c r="X17" i="38"/>
  <c r="X26" i="39" s="1"/>
  <c r="X7" i="38"/>
  <c r="X12" i="38"/>
  <c r="AQ93" i="36"/>
  <c r="AQ94" i="36" s="1"/>
  <c r="AQ9" i="36"/>
  <c r="AQ97" i="36"/>
  <c r="AQ98" i="36" s="1"/>
  <c r="AP13" i="36"/>
  <c r="AQ13" i="36" s="1"/>
  <c r="AQ100" i="36"/>
  <c r="AQ101" i="36" s="1"/>
  <c r="AQ11" i="36"/>
  <c r="AI15" i="36"/>
  <c r="AI72" i="36"/>
  <c r="AJ70" i="36"/>
  <c r="AJ71" i="36" s="1"/>
  <c r="AJ12" i="36"/>
  <c r="AJ15" i="36" s="1"/>
  <c r="AH141" i="36"/>
  <c r="AH19" i="36"/>
  <c r="AH137" i="36"/>
  <c r="AJ130" i="36"/>
  <c r="AJ131" i="36" s="1"/>
  <c r="AH39" i="50" l="1"/>
  <c r="AH27" i="55"/>
  <c r="AT99" i="36"/>
  <c r="AT66" i="36"/>
  <c r="AU127" i="36" s="1"/>
  <c r="AO18" i="39"/>
  <c r="AO30" i="38"/>
  <c r="AO35" i="38" s="1"/>
  <c r="AQ9" i="38"/>
  <c r="AP16" i="39"/>
  <c r="AQ16" i="39" s="1"/>
  <c r="AQ22" i="38"/>
  <c r="AQ30" i="38" s="1"/>
  <c r="AQ35" i="38" s="1"/>
  <c r="AP18" i="39"/>
  <c r="AP30" i="38"/>
  <c r="AP35" i="38" s="1"/>
  <c r="AU14" i="38"/>
  <c r="AV14" i="38" s="1"/>
  <c r="AS103" i="36"/>
  <c r="AS105" i="36" s="1"/>
  <c r="AS106" i="36" s="1"/>
  <c r="AT35" i="39"/>
  <c r="AT37" i="38" s="1"/>
  <c r="AS37" i="39"/>
  <c r="X24" i="39"/>
  <c r="X27" i="39" s="1"/>
  <c r="AR13" i="36"/>
  <c r="AR9" i="36"/>
  <c r="AS9" i="36"/>
  <c r="AR11" i="36"/>
  <c r="AS13" i="36"/>
  <c r="AS11" i="36"/>
  <c r="AH142" i="36"/>
  <c r="AJ17" i="36"/>
  <c r="AL114" i="36"/>
  <c r="AL118" i="36" s="1"/>
  <c r="AL120" i="36" s="1"/>
  <c r="AL121" i="36" s="1"/>
  <c r="AL99" i="36"/>
  <c r="AL103" i="36" s="1"/>
  <c r="AJ72" i="36"/>
  <c r="AK70" i="36"/>
  <c r="AK71" i="36" s="1"/>
  <c r="AL71" i="36" s="1"/>
  <c r="AL72" i="36" s="1"/>
  <c r="AK12" i="36"/>
  <c r="AK15" i="36" s="1"/>
  <c r="AL66" i="36"/>
  <c r="AL70" i="36" s="1"/>
  <c r="AK130" i="36"/>
  <c r="AK131" i="36" s="1"/>
  <c r="AL127" i="36"/>
  <c r="AL130" i="36" s="1"/>
  <c r="AL131" i="36" s="1"/>
  <c r="AI17" i="36"/>
  <c r="AH41" i="50" l="1"/>
  <c r="AH39" i="55"/>
  <c r="AU99" i="36"/>
  <c r="AU66" i="36"/>
  <c r="AS9" i="38"/>
  <c r="AS22" i="38"/>
  <c r="AR9" i="38"/>
  <c r="AR16" i="39" s="1"/>
  <c r="AR22" i="38"/>
  <c r="AQ18" i="39"/>
  <c r="AT37" i="39"/>
  <c r="AU35" i="39"/>
  <c r="AU37" i="39" s="1"/>
  <c r="AU103" i="36"/>
  <c r="AU105" i="36" s="1"/>
  <c r="AU106" i="36" s="1"/>
  <c r="AT103" i="36"/>
  <c r="AT105" i="36" s="1"/>
  <c r="AT106" i="36" s="1"/>
  <c r="X39" i="39"/>
  <c r="X41" i="39" s="1"/>
  <c r="AU9" i="36"/>
  <c r="AT9" i="36"/>
  <c r="AU11" i="36"/>
  <c r="AV93" i="36"/>
  <c r="AV94" i="36" s="1"/>
  <c r="AU13" i="36"/>
  <c r="AL12" i="36"/>
  <c r="AL15" i="36" s="1"/>
  <c r="AL17" i="36" s="1"/>
  <c r="AL105" i="36"/>
  <c r="AL106" i="36" s="1"/>
  <c r="AK17" i="36"/>
  <c r="AM130" i="36"/>
  <c r="AM131" i="36" s="1"/>
  <c r="AI141" i="36"/>
  <c r="AI19" i="36"/>
  <c r="AI137" i="36"/>
  <c r="AJ141" i="36"/>
  <c r="AJ19" i="36"/>
  <c r="AK72" i="36"/>
  <c r="AM12" i="36"/>
  <c r="AM70" i="36"/>
  <c r="AM71" i="36" s="1"/>
  <c r="AJ137" i="36"/>
  <c r="AH41" i="55" l="1"/>
  <c r="AI40" i="50"/>
  <c r="AI40" i="55" s="1"/>
  <c r="AH6" i="49"/>
  <c r="AK137" i="36"/>
  <c r="AL19" i="36"/>
  <c r="AL65" i="38" s="1"/>
  <c r="AL64" i="38" s="1"/>
  <c r="AV35" i="39"/>
  <c r="AV37" i="39" s="1"/>
  <c r="AR30" i="38"/>
  <c r="AR35" i="38" s="1"/>
  <c r="AR18" i="39"/>
  <c r="AU22" i="38"/>
  <c r="AU9" i="38"/>
  <c r="AS18" i="39"/>
  <c r="AS30" i="38"/>
  <c r="AS35" i="38" s="1"/>
  <c r="AT22" i="38"/>
  <c r="AT9" i="38"/>
  <c r="AT16" i="39" s="1"/>
  <c r="AS16" i="39"/>
  <c r="AU37" i="38"/>
  <c r="AV37" i="38" s="1"/>
  <c r="Y40" i="39"/>
  <c r="X6" i="38"/>
  <c r="Y21" i="36" s="1"/>
  <c r="AV9" i="36"/>
  <c r="AT13" i="36"/>
  <c r="AV13" i="36" s="1"/>
  <c r="AV100" i="36"/>
  <c r="AV101" i="36" s="1"/>
  <c r="AT11" i="36"/>
  <c r="AV11" i="36" s="1"/>
  <c r="AV97" i="36"/>
  <c r="AV98" i="36" s="1"/>
  <c r="AL141" i="36"/>
  <c r="AN130" i="36"/>
  <c r="AN131" i="36" s="1"/>
  <c r="AK141" i="36"/>
  <c r="AK19" i="36"/>
  <c r="AM72" i="36"/>
  <c r="AM15" i="36"/>
  <c r="AI142" i="36"/>
  <c r="AJ142" i="36"/>
  <c r="AL142" i="36"/>
  <c r="AH6" i="54" l="1"/>
  <c r="AH46" i="50"/>
  <c r="AH11" i="49"/>
  <c r="AI21" i="48"/>
  <c r="X46" i="39"/>
  <c r="X48" i="39" s="1"/>
  <c r="X11" i="38"/>
  <c r="X20" i="38" s="1"/>
  <c r="X43" i="38" s="1"/>
  <c r="AT18" i="39"/>
  <c r="AT30" i="38"/>
  <c r="AT35" i="38" s="1"/>
  <c r="AV9" i="38"/>
  <c r="AU16" i="39"/>
  <c r="AV16" i="39" s="1"/>
  <c r="AV22" i="38"/>
  <c r="AV30" i="38" s="1"/>
  <c r="AV35" i="38" s="1"/>
  <c r="AU18" i="39"/>
  <c r="AV18" i="39" s="1"/>
  <c r="AU30" i="38"/>
  <c r="AU35" i="38" s="1"/>
  <c r="AK142" i="36"/>
  <c r="AM17" i="36"/>
  <c r="AN70" i="36"/>
  <c r="AN71" i="36" s="1"/>
  <c r="AN12" i="36"/>
  <c r="AI21" i="53" l="1"/>
  <c r="AI23" i="48"/>
  <c r="AH48" i="50"/>
  <c r="AH48" i="55" s="1"/>
  <c r="AH46" i="55"/>
  <c r="AH20" i="49"/>
  <c r="AH11" i="54"/>
  <c r="AO70" i="36"/>
  <c r="AO71" i="36" s="1"/>
  <c r="AN15" i="36"/>
  <c r="AM141" i="36"/>
  <c r="AM19" i="36"/>
  <c r="AM137" i="36"/>
  <c r="AN72" i="36"/>
  <c r="AI23" i="53" l="1"/>
  <c r="AI24" i="48"/>
  <c r="AI25" i="48" s="1"/>
  <c r="AH43" i="49"/>
  <c r="AH43" i="54" s="1"/>
  <c r="AH20" i="54"/>
  <c r="Y23" i="36"/>
  <c r="AQ114" i="36"/>
  <c r="AQ118" i="36" s="1"/>
  <c r="AQ120" i="36" s="1"/>
  <c r="AQ121" i="36" s="1"/>
  <c r="AQ127" i="36"/>
  <c r="AQ130" i="36" s="1"/>
  <c r="AQ131" i="36" s="1"/>
  <c r="AO130" i="36"/>
  <c r="AO131" i="36" s="1"/>
  <c r="AO72" i="36"/>
  <c r="AO12" i="36"/>
  <c r="AN17" i="36"/>
  <c r="AM142" i="36"/>
  <c r="AI25" i="53" l="1"/>
  <c r="AI6" i="50"/>
  <c r="AI27" i="48"/>
  <c r="AI24" i="53"/>
  <c r="AI29" i="48"/>
  <c r="Y24" i="36"/>
  <c r="Y25" i="36" s="1"/>
  <c r="Y6" i="39" s="1"/>
  <c r="AN141" i="36"/>
  <c r="AN19" i="36"/>
  <c r="AN137" i="36"/>
  <c r="AP12" i="36"/>
  <c r="AP15" i="36" s="1"/>
  <c r="AP70" i="36"/>
  <c r="AP71" i="36" s="1"/>
  <c r="AQ66" i="36"/>
  <c r="AQ70" i="36" s="1"/>
  <c r="AO15" i="36"/>
  <c r="AQ12" i="36"/>
  <c r="AQ15" i="36" s="1"/>
  <c r="AQ17" i="36" s="1"/>
  <c r="AP130" i="36"/>
  <c r="AP131" i="36" s="1"/>
  <c r="AQ99" i="36"/>
  <c r="AQ103" i="36" s="1"/>
  <c r="AI6" i="55" l="1"/>
  <c r="AI22" i="50"/>
  <c r="AI38" i="49"/>
  <c r="AI27" i="53"/>
  <c r="AI33" i="48"/>
  <c r="AI32" i="48"/>
  <c r="AI32" i="53" s="1"/>
  <c r="AI34" i="48"/>
  <c r="AI29" i="53"/>
  <c r="Y38" i="38"/>
  <c r="Y22" i="39"/>
  <c r="Y27" i="36"/>
  <c r="AR130" i="36"/>
  <c r="AR131" i="36" s="1"/>
  <c r="AQ141" i="36"/>
  <c r="AQ19" i="36"/>
  <c r="AQ65" i="38" s="1"/>
  <c r="AQ64" i="38" s="1"/>
  <c r="AR12" i="36"/>
  <c r="AR70" i="36"/>
  <c r="AR71" i="36" s="1"/>
  <c r="AN142" i="36"/>
  <c r="AO17" i="36"/>
  <c r="AP72" i="36"/>
  <c r="AQ71" i="36"/>
  <c r="AQ72" i="36" s="1"/>
  <c r="AP17" i="36"/>
  <c r="AQ105" i="36"/>
  <c r="AQ106" i="36" s="1"/>
  <c r="AI22" i="55" l="1"/>
  <c r="AI55" i="50"/>
  <c r="AI42" i="50"/>
  <c r="AI42" i="55" s="1"/>
  <c r="AI147" i="48"/>
  <c r="AI147" i="53" s="1"/>
  <c r="AI34" i="53"/>
  <c r="AI38" i="54"/>
  <c r="AI41" i="49"/>
  <c r="AI146" i="48"/>
  <c r="AI146" i="53" s="1"/>
  <c r="AI33" i="53"/>
  <c r="AP137" i="36"/>
  <c r="Y55" i="39"/>
  <c r="Y148" i="36" s="1"/>
  <c r="Y41" i="38"/>
  <c r="Y32" i="36"/>
  <c r="Y33" i="36"/>
  <c r="Y146" i="36" s="1"/>
  <c r="AQ142" i="36"/>
  <c r="AO19" i="36"/>
  <c r="AO141" i="36"/>
  <c r="AO137" i="36"/>
  <c r="AP141" i="36"/>
  <c r="AP19" i="36"/>
  <c r="AR72" i="36"/>
  <c r="AS70" i="36"/>
  <c r="AS71" i="36" s="1"/>
  <c r="AR15" i="36"/>
  <c r="AR17" i="36" s="1"/>
  <c r="AI41" i="54" l="1"/>
  <c r="AI42" i="49"/>
  <c r="AI62" i="49"/>
  <c r="AI62" i="54" s="1"/>
  <c r="AI148" i="48"/>
  <c r="AI148" i="53" s="1"/>
  <c r="AI55" i="55"/>
  <c r="AR137" i="36"/>
  <c r="Y62" i="38"/>
  <c r="Y42" i="38"/>
  <c r="AS130" i="36"/>
  <c r="AS131" i="36" s="1"/>
  <c r="AO142" i="36"/>
  <c r="AR19" i="36"/>
  <c r="AR141" i="36"/>
  <c r="AS72" i="36"/>
  <c r="AS12" i="36"/>
  <c r="AP142" i="36"/>
  <c r="AI42" i="54" l="1"/>
  <c r="AI12" i="49"/>
  <c r="AI12" i="54" s="1"/>
  <c r="AI7" i="49"/>
  <c r="AI17" i="49"/>
  <c r="Y17" i="38"/>
  <c r="Y7" i="38"/>
  <c r="Y12" i="38"/>
  <c r="AR142" i="36"/>
  <c r="AS15" i="36"/>
  <c r="AS17" i="36" s="1"/>
  <c r="AI17" i="54" l="1"/>
  <c r="AI26" i="50"/>
  <c r="AI26" i="55" s="1"/>
  <c r="AI24" i="50"/>
  <c r="AI7" i="54"/>
  <c r="AS137" i="36"/>
  <c r="Y24" i="39"/>
  <c r="Y26" i="39"/>
  <c r="AV114" i="36"/>
  <c r="AV118" i="36" s="1"/>
  <c r="AV120" i="36" s="1"/>
  <c r="AV121" i="36" s="1"/>
  <c r="AT130" i="36"/>
  <c r="AT131" i="36" s="1"/>
  <c r="AU130" i="36"/>
  <c r="AU131" i="36" s="1"/>
  <c r="AS19" i="36"/>
  <c r="AS141" i="36"/>
  <c r="AV66" i="36"/>
  <c r="AV70" i="36" s="1"/>
  <c r="AT70" i="36"/>
  <c r="AT71" i="36" s="1"/>
  <c r="AT12" i="36"/>
  <c r="AI24" i="55" l="1"/>
  <c r="AI27" i="50"/>
  <c r="Y27" i="39"/>
  <c r="Y39" i="39" s="1"/>
  <c r="Y41" i="39" s="1"/>
  <c r="AS142" i="36"/>
  <c r="AV99" i="36"/>
  <c r="AV103" i="36" s="1"/>
  <c r="AV127" i="36"/>
  <c r="AV130" i="36" s="1"/>
  <c r="AV131" i="36" s="1"/>
  <c r="AT15" i="36"/>
  <c r="AT17" i="36" s="1"/>
  <c r="AT137" i="36" s="1"/>
  <c r="AT72" i="36"/>
  <c r="AU12" i="36"/>
  <c r="AU15" i="36" s="1"/>
  <c r="AU17" i="36" s="1"/>
  <c r="AU70" i="36"/>
  <c r="AU71" i="36" s="1"/>
  <c r="AV71" i="36" s="1"/>
  <c r="AV72" i="36" s="1"/>
  <c r="AI39" i="50" l="1"/>
  <c r="AI27" i="55"/>
  <c r="Y6" i="38"/>
  <c r="Z40" i="39"/>
  <c r="AV12" i="36"/>
  <c r="AV15" i="36" s="1"/>
  <c r="AV17" i="36" s="1"/>
  <c r="AU141" i="36"/>
  <c r="AU19" i="36"/>
  <c r="AT141" i="36"/>
  <c r="AT19" i="36"/>
  <c r="AV105" i="36"/>
  <c r="AV106" i="36" s="1"/>
  <c r="AU72" i="36"/>
  <c r="AU137" i="36"/>
  <c r="AI41" i="50" l="1"/>
  <c r="AI39" i="55"/>
  <c r="Z21" i="36"/>
  <c r="Y46" i="39"/>
  <c r="Y48" i="39" s="1"/>
  <c r="Y11" i="38"/>
  <c r="Y20" i="38" s="1"/>
  <c r="Y43" i="38" s="1"/>
  <c r="AT142" i="36"/>
  <c r="AU142" i="36"/>
  <c r="AV19" i="36"/>
  <c r="AV65" i="38" s="1"/>
  <c r="AV64" i="38" s="1"/>
  <c r="AV141" i="36"/>
  <c r="AI41" i="55" l="1"/>
  <c r="AJ40" i="50"/>
  <c r="AJ40" i="55" s="1"/>
  <c r="AI6" i="49"/>
  <c r="Z23" i="36"/>
  <c r="Z24" i="36" s="1"/>
  <c r="AV142" i="36"/>
  <c r="AI6" i="54" l="1"/>
  <c r="AJ21" i="48"/>
  <c r="AI46" i="50"/>
  <c r="AI11" i="49"/>
  <c r="Z25" i="36"/>
  <c r="Z6" i="39" s="1"/>
  <c r="AI20" i="49" l="1"/>
  <c r="AI11" i="54"/>
  <c r="AI48" i="50"/>
  <c r="AI48" i="55" s="1"/>
  <c r="AI46" i="55"/>
  <c r="AJ21" i="53"/>
  <c r="AJ23" i="48"/>
  <c r="Z22" i="39"/>
  <c r="Z38" i="38"/>
  <c r="Z27" i="36"/>
  <c r="AJ23" i="53" l="1"/>
  <c r="AJ24" i="48"/>
  <c r="AI43" i="49"/>
  <c r="AI43" i="54" s="1"/>
  <c r="AI20" i="54"/>
  <c r="Z41" i="38"/>
  <c r="Z55" i="39"/>
  <c r="Z148" i="36" s="1"/>
  <c r="Z32" i="36"/>
  <c r="Z33" i="36"/>
  <c r="Z146" i="36" s="1"/>
  <c r="AJ24" i="53" l="1"/>
  <c r="AJ29" i="48"/>
  <c r="AJ25" i="48"/>
  <c r="Z42" i="38"/>
  <c r="Z62" i="38"/>
  <c r="AJ34" i="48" l="1"/>
  <c r="AJ29" i="53"/>
  <c r="AJ25" i="53"/>
  <c r="AJ6" i="50"/>
  <c r="AJ27" i="48"/>
  <c r="Z7" i="38"/>
  <c r="Z12" i="38"/>
  <c r="Z17" i="38"/>
  <c r="AJ27" i="53" l="1"/>
  <c r="AJ32" i="48"/>
  <c r="AJ32" i="53" s="1"/>
  <c r="AJ33" i="48"/>
  <c r="AJ6" i="55"/>
  <c r="AJ22" i="50"/>
  <c r="AJ38" i="49"/>
  <c r="AJ147" i="48"/>
  <c r="AJ147" i="53" s="1"/>
  <c r="AJ34" i="53"/>
  <c r="Z26" i="39"/>
  <c r="Z24" i="39"/>
  <c r="AJ38" i="54" l="1"/>
  <c r="AJ41" i="49"/>
  <c r="AJ146" i="48"/>
  <c r="AJ146" i="53" s="1"/>
  <c r="AJ33" i="53"/>
  <c r="AJ22" i="55"/>
  <c r="AJ42" i="50"/>
  <c r="AJ42" i="55" s="1"/>
  <c r="AJ55" i="50"/>
  <c r="Z27" i="39"/>
  <c r="Z39" i="39" s="1"/>
  <c r="Z41" i="39" s="1"/>
  <c r="AJ148" i="48" l="1"/>
  <c r="AJ148" i="53" s="1"/>
  <c r="AJ55" i="55"/>
  <c r="AJ41" i="54"/>
  <c r="AJ42" i="49"/>
  <c r="AJ62" i="49"/>
  <c r="AJ62" i="54" s="1"/>
  <c r="Z6" i="38"/>
  <c r="AA40" i="39"/>
  <c r="AJ42" i="54" l="1"/>
  <c r="AJ12" i="49"/>
  <c r="AJ12" i="54" s="1"/>
  <c r="AJ7" i="49"/>
  <c r="AJ17" i="49"/>
  <c r="AA21" i="36"/>
  <c r="Z46" i="39"/>
  <c r="Z48" i="39" s="1"/>
  <c r="Z11" i="38"/>
  <c r="Z20" i="38" s="1"/>
  <c r="Z43" i="38" s="1"/>
  <c r="AJ17" i="54" l="1"/>
  <c r="AJ26" i="50"/>
  <c r="AJ24" i="50"/>
  <c r="AJ7" i="54"/>
  <c r="AA23" i="36"/>
  <c r="AB21" i="36"/>
  <c r="AB23" i="36" s="1"/>
  <c r="AJ24" i="55" l="1"/>
  <c r="AJ27" i="50"/>
  <c r="AJ26" i="55"/>
  <c r="AA24" i="36"/>
  <c r="AB24" i="36" s="1"/>
  <c r="AB143" i="36" s="1"/>
  <c r="AJ39" i="50" l="1"/>
  <c r="AJ27" i="55"/>
  <c r="AA25" i="36"/>
  <c r="AA6" i="39" s="1"/>
  <c r="AB6" i="39" s="1"/>
  <c r="AB22" i="39" s="1"/>
  <c r="AB55" i="39" s="1"/>
  <c r="AB148" i="36" s="1"/>
  <c r="AB25" i="36"/>
  <c r="AB27" i="36" s="1"/>
  <c r="AJ41" i="50" l="1"/>
  <c r="AJ39" i="55"/>
  <c r="AA27" i="36"/>
  <c r="AB31" i="36" s="1"/>
  <c r="AB33" i="36" s="1"/>
  <c r="AB36" i="36" s="1"/>
  <c r="AA22" i="39"/>
  <c r="AA38" i="38"/>
  <c r="AJ41" i="55" l="1"/>
  <c r="AK40" i="50"/>
  <c r="AK40" i="55" s="1"/>
  <c r="AJ6" i="49"/>
  <c r="AA33" i="36"/>
  <c r="AA146" i="36" s="1"/>
  <c r="AA32" i="36"/>
  <c r="AB30" i="36"/>
  <c r="AB32" i="36" s="1"/>
  <c r="AB38" i="38"/>
  <c r="AB41" i="38" s="1"/>
  <c r="AB42" i="38" s="1"/>
  <c r="AA41" i="38"/>
  <c r="AA55" i="39"/>
  <c r="AA148" i="36" s="1"/>
  <c r="AB146" i="36"/>
  <c r="AJ6" i="54" l="1"/>
  <c r="AK21" i="48"/>
  <c r="AJ46" i="50"/>
  <c r="AJ11" i="49"/>
  <c r="AA62" i="38"/>
  <c r="AA42" i="38"/>
  <c r="AJ20" i="49" l="1"/>
  <c r="AJ11" i="54"/>
  <c r="AJ48" i="50"/>
  <c r="AJ48" i="55" s="1"/>
  <c r="AJ46" i="55"/>
  <c r="AK21" i="53"/>
  <c r="AK23" i="48"/>
  <c r="AL21" i="48"/>
  <c r="AA12" i="38"/>
  <c r="AB12" i="38" s="1"/>
  <c r="AA7" i="38"/>
  <c r="AA17" i="38"/>
  <c r="AK23" i="53" l="1"/>
  <c r="AK24" i="48"/>
  <c r="AK25" i="48" s="1"/>
  <c r="AL21" i="53"/>
  <c r="AL23" i="48"/>
  <c r="AJ43" i="49"/>
  <c r="AJ43" i="54" s="1"/>
  <c r="AJ20" i="54"/>
  <c r="AA26" i="39"/>
  <c r="AB26" i="39" s="1"/>
  <c r="AB17" i="38"/>
  <c r="AA24" i="39"/>
  <c r="AB7" i="38"/>
  <c r="AL23" i="53" l="1"/>
  <c r="AK25" i="53"/>
  <c r="AK6" i="50"/>
  <c r="AK27" i="48"/>
  <c r="AK24" i="53"/>
  <c r="AL24" i="48"/>
  <c r="AK29" i="48"/>
  <c r="AA27" i="39"/>
  <c r="AA39" i="39" s="1"/>
  <c r="AA41" i="39" s="1"/>
  <c r="AA6" i="38" s="1"/>
  <c r="AB24" i="39"/>
  <c r="AB27" i="39" s="1"/>
  <c r="AB39" i="39" s="1"/>
  <c r="AB41" i="39" s="1"/>
  <c r="AK34" i="48" l="1"/>
  <c r="AK29" i="53"/>
  <c r="AL24" i="53"/>
  <c r="AL143" i="48"/>
  <c r="AL143" i="53" s="1"/>
  <c r="AL29" i="48"/>
  <c r="AL25" i="48"/>
  <c r="AK6" i="55"/>
  <c r="AK22" i="50"/>
  <c r="AL6" i="50"/>
  <c r="AK38" i="49"/>
  <c r="AK27" i="53"/>
  <c r="AK32" i="48"/>
  <c r="AK32" i="53" s="1"/>
  <c r="AK33" i="48"/>
  <c r="AC40" i="39"/>
  <c r="AG40" i="39"/>
  <c r="AC21" i="36"/>
  <c r="AA46" i="39"/>
  <c r="AA48" i="39" s="1"/>
  <c r="AA11" i="38"/>
  <c r="AA20" i="38" s="1"/>
  <c r="AA43" i="38" s="1"/>
  <c r="AB6" i="38"/>
  <c r="AK38" i="54" l="1"/>
  <c r="AL38" i="49"/>
  <c r="AK41" i="49"/>
  <c r="AL27" i="48"/>
  <c r="AL25" i="53"/>
  <c r="AK22" i="55"/>
  <c r="AK42" i="50"/>
  <c r="AK55" i="50"/>
  <c r="AK146" i="48"/>
  <c r="AK146" i="53" s="1"/>
  <c r="AK33" i="53"/>
  <c r="AL22" i="50"/>
  <c r="AL6" i="55"/>
  <c r="AL29" i="53"/>
  <c r="AK147" i="48"/>
  <c r="AK147" i="53" s="1"/>
  <c r="AK34" i="53"/>
  <c r="AB46" i="39"/>
  <c r="AB48" i="39" s="1"/>
  <c r="AB11" i="38"/>
  <c r="AB20" i="38" s="1"/>
  <c r="AB43" i="38" s="1"/>
  <c r="AC23" i="36"/>
  <c r="AC24" i="36" s="1"/>
  <c r="AC25" i="36" s="1"/>
  <c r="AL42" i="50" l="1"/>
  <c r="AK42" i="55"/>
  <c r="AK41" i="54"/>
  <c r="AK62" i="49"/>
  <c r="AK62" i="54" s="1"/>
  <c r="AK42" i="49"/>
  <c r="AL55" i="50"/>
  <c r="AL22" i="55"/>
  <c r="AL41" i="49"/>
  <c r="AL38" i="54"/>
  <c r="AK148" i="48"/>
  <c r="AK148" i="53" s="1"/>
  <c r="AK55" i="55"/>
  <c r="AL27" i="53"/>
  <c r="AL31" i="48"/>
  <c r="AL30" i="48"/>
  <c r="AC27" i="36"/>
  <c r="AC33" i="36" s="1"/>
  <c r="AC146" i="36" s="1"/>
  <c r="AC6" i="39"/>
  <c r="AL42" i="49" l="1"/>
  <c r="AL42" i="54" s="1"/>
  <c r="AL41" i="54"/>
  <c r="AL32" i="48"/>
  <c r="AL32" i="53" s="1"/>
  <c r="AL30" i="53"/>
  <c r="AL148" i="48"/>
  <c r="AL148" i="53" s="1"/>
  <c r="AL55" i="55"/>
  <c r="AL33" i="48"/>
  <c r="AL31" i="53"/>
  <c r="AL34" i="48"/>
  <c r="AK42" i="54"/>
  <c r="AK12" i="49"/>
  <c r="AK7" i="49"/>
  <c r="AK17" i="49"/>
  <c r="AL44" i="50"/>
  <c r="AL44" i="55" s="1"/>
  <c r="AL42" i="55"/>
  <c r="AC32" i="36"/>
  <c r="AC22" i="39"/>
  <c r="AC55" i="39" s="1"/>
  <c r="AC148" i="36" s="1"/>
  <c r="AC38" i="38"/>
  <c r="AC41" i="38" s="1"/>
  <c r="AL12" i="49" l="1"/>
  <c r="AL12" i="54" s="1"/>
  <c r="AK12" i="54"/>
  <c r="AL33" i="53"/>
  <c r="AL36" i="48"/>
  <c r="AL36" i="53" s="1"/>
  <c r="AL146" i="48"/>
  <c r="AL146" i="53" s="1"/>
  <c r="AK7" i="54"/>
  <c r="AL7" i="49"/>
  <c r="AL7" i="54" s="1"/>
  <c r="AK24" i="50"/>
  <c r="AK17" i="54"/>
  <c r="AL17" i="49"/>
  <c r="AL17" i="54" s="1"/>
  <c r="AK26" i="50"/>
  <c r="AL34" i="53"/>
  <c r="AL59" i="50"/>
  <c r="AL147" i="48"/>
  <c r="AL147" i="53" s="1"/>
  <c r="AL149" i="48"/>
  <c r="AL149" i="53" s="1"/>
  <c r="AC42" i="38"/>
  <c r="AC62" i="38"/>
  <c r="AK24" i="55" l="1"/>
  <c r="AK27" i="50"/>
  <c r="AL24" i="50"/>
  <c r="AL26" i="50"/>
  <c r="AL26" i="55" s="1"/>
  <c r="AK26" i="55"/>
  <c r="AL61" i="50"/>
  <c r="AL61" i="55" s="1"/>
  <c r="AL59" i="55"/>
  <c r="AC7" i="38"/>
  <c r="AC17" i="38"/>
  <c r="AC26" i="39" s="1"/>
  <c r="AC12" i="38"/>
  <c r="AL27" i="50" l="1"/>
  <c r="AL24" i="55"/>
  <c r="AK39" i="50"/>
  <c r="AK27" i="55"/>
  <c r="AC24" i="39"/>
  <c r="AC27" i="39" s="1"/>
  <c r="AC39" i="39" s="1"/>
  <c r="AC41" i="39" s="1"/>
  <c r="AK41" i="50" l="1"/>
  <c r="AK39" i="55"/>
  <c r="AL39" i="50"/>
  <c r="AL27" i="55"/>
  <c r="AD40" i="39"/>
  <c r="AC6" i="38"/>
  <c r="AL41" i="50" l="1"/>
  <c r="AL39" i="55"/>
  <c r="AK6" i="49"/>
  <c r="AK41" i="55"/>
  <c r="AC11" i="38"/>
  <c r="AC20" i="38" s="1"/>
  <c r="AC43" i="38" s="1"/>
  <c r="AC46" i="39"/>
  <c r="AC48" i="39" s="1"/>
  <c r="AD21" i="36"/>
  <c r="AD23" i="36" s="1"/>
  <c r="AK6" i="54" l="1"/>
  <c r="AK11" i="49"/>
  <c r="AL6" i="49"/>
  <c r="AM21" i="48"/>
  <c r="AK46" i="50"/>
  <c r="AL41" i="55"/>
  <c r="AQ40" i="50"/>
  <c r="AQ40" i="55" s="1"/>
  <c r="AM40" i="50"/>
  <c r="AD24" i="36"/>
  <c r="AD25" i="36" s="1"/>
  <c r="AM21" i="53" l="1"/>
  <c r="AM23" i="48"/>
  <c r="AL6" i="54"/>
  <c r="AL46" i="50"/>
  <c r="AL11" i="49"/>
  <c r="AK20" i="49"/>
  <c r="AK11" i="54"/>
  <c r="AM40" i="55"/>
  <c r="AK48" i="50"/>
  <c r="AK48" i="55" s="1"/>
  <c r="AK46" i="55"/>
  <c r="AD27" i="36"/>
  <c r="AD6" i="39"/>
  <c r="AK43" i="49" l="1"/>
  <c r="AK43" i="54" s="1"/>
  <c r="AK20" i="54"/>
  <c r="AL20" i="49"/>
  <c r="AL11" i="54"/>
  <c r="AM23" i="53"/>
  <c r="AM24" i="48"/>
  <c r="AM25" i="48" s="1"/>
  <c r="AL48" i="50"/>
  <c r="AL48" i="55" s="1"/>
  <c r="AL46" i="55"/>
  <c r="AD38" i="38"/>
  <c r="AD41" i="38" s="1"/>
  <c r="AD22" i="39"/>
  <c r="AD55" i="39" s="1"/>
  <c r="AD148" i="36" s="1"/>
  <c r="AD33" i="36"/>
  <c r="AD146" i="36" s="1"/>
  <c r="AD32" i="36"/>
  <c r="AM25" i="53" l="1"/>
  <c r="AM27" i="48"/>
  <c r="AM6" i="50"/>
  <c r="AL43" i="49"/>
  <c r="AL43" i="54" s="1"/>
  <c r="AL20" i="54"/>
  <c r="AM24" i="53"/>
  <c r="AM29" i="48"/>
  <c r="AD42" i="38"/>
  <c r="AD62" i="38"/>
  <c r="AM29" i="53" l="1"/>
  <c r="AM34" i="48"/>
  <c r="AM6" i="55"/>
  <c r="AM22" i="50"/>
  <c r="AM38" i="49"/>
  <c r="AM27" i="53"/>
  <c r="AM32" i="48"/>
  <c r="AM32" i="53" s="1"/>
  <c r="AM33" i="48"/>
  <c r="AD12" i="38"/>
  <c r="AD7" i="38"/>
  <c r="AD17" i="38"/>
  <c r="AD26" i="39" s="1"/>
  <c r="AM22" i="55" l="1"/>
  <c r="AM42" i="50"/>
  <c r="AM42" i="55" s="1"/>
  <c r="AM55" i="50"/>
  <c r="AM146" i="48"/>
  <c r="AM146" i="53" s="1"/>
  <c r="AM33" i="53"/>
  <c r="AM147" i="48"/>
  <c r="AM147" i="53" s="1"/>
  <c r="AM34" i="53"/>
  <c r="AM38" i="54"/>
  <c r="AM41" i="49"/>
  <c r="AD24" i="39"/>
  <c r="AD27" i="39" s="1"/>
  <c r="AD39" i="39" s="1"/>
  <c r="AD41" i="39" s="1"/>
  <c r="AM148" i="48" l="1"/>
  <c r="AM148" i="53" s="1"/>
  <c r="AM55" i="55"/>
  <c r="AM41" i="54"/>
  <c r="AM42" i="49"/>
  <c r="AM62" i="49"/>
  <c r="AM62" i="54" s="1"/>
  <c r="AE40" i="39"/>
  <c r="AD6" i="38"/>
  <c r="AD11" i="38" s="1"/>
  <c r="AD20" i="38" s="1"/>
  <c r="AD43" i="38" s="1"/>
  <c r="AM42" i="54" l="1"/>
  <c r="AM7" i="49"/>
  <c r="AM12" i="49"/>
  <c r="AM12" i="54" s="1"/>
  <c r="AM17" i="49"/>
  <c r="AD46" i="39"/>
  <c r="AD48" i="39" s="1"/>
  <c r="AE21" i="36"/>
  <c r="AE23" i="36" s="1"/>
  <c r="AE24" i="36" s="1"/>
  <c r="AE25" i="36" s="1"/>
  <c r="AE27" i="36" s="1"/>
  <c r="AM7" i="54" l="1"/>
  <c r="AM24" i="50"/>
  <c r="AM17" i="54"/>
  <c r="AM26" i="50"/>
  <c r="AM26" i="55" s="1"/>
  <c r="AE6" i="39"/>
  <c r="AE38" i="38" s="1"/>
  <c r="AE41" i="38" s="1"/>
  <c r="AE42" i="38" s="1"/>
  <c r="AE33" i="36"/>
  <c r="AE146" i="36" s="1"/>
  <c r="AE32" i="36"/>
  <c r="AM24" i="55" l="1"/>
  <c r="AM27" i="50"/>
  <c r="AE22" i="39"/>
  <c r="AE55" i="39" s="1"/>
  <c r="AE148" i="36" s="1"/>
  <c r="AE62" i="38"/>
  <c r="AE12" i="38"/>
  <c r="AE7" i="38"/>
  <c r="AE17" i="38"/>
  <c r="AM39" i="50" l="1"/>
  <c r="AM27" i="55"/>
  <c r="AE24" i="39"/>
  <c r="AE26" i="39"/>
  <c r="AM39" i="55" l="1"/>
  <c r="AM41" i="50"/>
  <c r="AE27" i="39"/>
  <c r="AE39" i="39" s="1"/>
  <c r="AE41" i="39" s="1"/>
  <c r="AF40" i="39" s="1"/>
  <c r="AN40" i="50" l="1"/>
  <c r="AM41" i="55"/>
  <c r="AM6" i="49"/>
  <c r="AE6" i="38"/>
  <c r="AE46" i="39" s="1"/>
  <c r="AE48" i="39" s="1"/>
  <c r="AM6" i="54" l="1"/>
  <c r="AM46" i="50"/>
  <c r="AM11" i="49"/>
  <c r="AN21" i="48"/>
  <c r="AN40" i="55"/>
  <c r="AF21" i="36"/>
  <c r="AF23" i="36" s="1"/>
  <c r="AE11" i="38"/>
  <c r="AE20" i="38" s="1"/>
  <c r="AE43" i="38" s="1"/>
  <c r="AN21" i="53" l="1"/>
  <c r="AN23" i="48"/>
  <c r="AM20" i="49"/>
  <c r="AM11" i="54"/>
  <c r="AM46" i="55"/>
  <c r="AM48" i="50"/>
  <c r="AM48" i="55" s="1"/>
  <c r="AG21" i="36"/>
  <c r="AG23" i="36" s="1"/>
  <c r="AF24" i="36"/>
  <c r="AG24" i="36" s="1"/>
  <c r="AM20" i="54" l="1"/>
  <c r="AM43" i="49"/>
  <c r="AM43" i="54" s="1"/>
  <c r="AN23" i="53"/>
  <c r="AN24" i="48"/>
  <c r="AG143" i="36"/>
  <c r="AF25" i="36"/>
  <c r="AG25" i="36"/>
  <c r="AG27" i="36" s="1"/>
  <c r="AN25" i="48" l="1"/>
  <c r="AN24" i="53"/>
  <c r="AN29" i="48"/>
  <c r="AF27" i="36"/>
  <c r="AG31" i="36" s="1"/>
  <c r="AG33" i="36" s="1"/>
  <c r="AF6" i="39"/>
  <c r="AG6" i="39" s="1"/>
  <c r="AG22" i="39" s="1"/>
  <c r="AG55" i="39" s="1"/>
  <c r="AG148" i="36" s="1"/>
  <c r="AN34" i="48" l="1"/>
  <c r="AN29" i="53"/>
  <c r="AN6" i="50"/>
  <c r="AN27" i="48"/>
  <c r="AN25" i="53"/>
  <c r="AG146" i="36"/>
  <c r="AG36" i="36"/>
  <c r="AF22" i="39"/>
  <c r="AF38" i="38"/>
  <c r="AF32" i="36"/>
  <c r="AF33" i="36"/>
  <c r="AF146" i="36" s="1"/>
  <c r="AG30" i="36"/>
  <c r="AG32" i="36" s="1"/>
  <c r="AN33" i="48" l="1"/>
  <c r="AN27" i="53"/>
  <c r="AN32" i="48"/>
  <c r="AN32" i="53" s="1"/>
  <c r="AN22" i="50"/>
  <c r="AN6" i="55"/>
  <c r="AN38" i="49"/>
  <c r="AN147" i="48"/>
  <c r="AN147" i="53" s="1"/>
  <c r="AN34" i="53"/>
  <c r="AF55" i="39"/>
  <c r="AF148" i="36" s="1"/>
  <c r="AG38" i="38"/>
  <c r="AG41" i="38" s="1"/>
  <c r="AG42" i="38" s="1"/>
  <c r="AF41" i="38"/>
  <c r="AN55" i="50" l="1"/>
  <c r="AN42" i="50"/>
  <c r="AN22" i="55"/>
  <c r="AN41" i="49"/>
  <c r="AN38" i="54"/>
  <c r="AN146" i="48"/>
  <c r="AN146" i="53" s="1"/>
  <c r="AN33" i="53"/>
  <c r="AF42" i="38"/>
  <c r="AF62" i="38"/>
  <c r="AN41" i="54" l="1"/>
  <c r="AN62" i="49"/>
  <c r="AN62" i="54" s="1"/>
  <c r="AN42" i="49"/>
  <c r="AN42" i="55"/>
  <c r="AN148" i="48"/>
  <c r="AN148" i="53" s="1"/>
  <c r="AN55" i="55"/>
  <c r="AF12" i="38"/>
  <c r="AG12" i="38" s="1"/>
  <c r="AF7" i="38"/>
  <c r="AF17" i="38"/>
  <c r="AN42" i="54" l="1"/>
  <c r="AN7" i="49"/>
  <c r="AN12" i="49"/>
  <c r="AN12" i="54" s="1"/>
  <c r="AN17" i="49"/>
  <c r="AG17" i="38"/>
  <c r="AF26" i="39"/>
  <c r="AG26" i="39" s="1"/>
  <c r="AG7" i="38"/>
  <c r="AF24" i="39"/>
  <c r="AN7" i="54" l="1"/>
  <c r="AN24" i="50"/>
  <c r="AN17" i="54"/>
  <c r="AN26" i="50"/>
  <c r="AF27" i="39"/>
  <c r="AF39" i="39" s="1"/>
  <c r="AF41" i="39" s="1"/>
  <c r="AF6" i="38" s="1"/>
  <c r="AG24" i="39"/>
  <c r="AG27" i="39" s="1"/>
  <c r="AG39" i="39" s="1"/>
  <c r="AG41" i="39" s="1"/>
  <c r="AN26" i="55" l="1"/>
  <c r="AN24" i="55"/>
  <c r="AN27" i="50"/>
  <c r="AH21" i="36"/>
  <c r="AH23" i="36" s="1"/>
  <c r="AH24" i="36" s="1"/>
  <c r="AH25" i="36" s="1"/>
  <c r="AF46" i="39"/>
  <c r="AF48" i="39" s="1"/>
  <c r="AF11" i="38"/>
  <c r="AF20" i="38" s="1"/>
  <c r="AF43" i="38" s="1"/>
  <c r="AG6" i="38"/>
  <c r="AH40" i="39"/>
  <c r="AL40" i="39"/>
  <c r="AN39" i="50" l="1"/>
  <c r="AN27" i="55"/>
  <c r="AH27" i="36"/>
  <c r="AH33" i="36" s="1"/>
  <c r="AH146" i="36" s="1"/>
  <c r="AH6" i="39"/>
  <c r="AG11" i="38"/>
  <c r="AG20" i="38" s="1"/>
  <c r="AG43" i="38" s="1"/>
  <c r="AG46" i="39"/>
  <c r="AG48" i="39" s="1"/>
  <c r="AN39" i="55" l="1"/>
  <c r="AN41" i="50"/>
  <c r="AH32" i="36"/>
  <c r="AH22" i="39"/>
  <c r="AH55" i="39" s="1"/>
  <c r="AH148" i="36" s="1"/>
  <c r="AH38" i="38"/>
  <c r="AH41" i="38" s="1"/>
  <c r="AN6" i="49" l="1"/>
  <c r="AN41" i="55"/>
  <c r="AO40" i="50"/>
  <c r="AH62" i="38"/>
  <c r="AH42" i="38"/>
  <c r="AO40" i="55" l="1"/>
  <c r="AN46" i="50"/>
  <c r="AN6" i="54"/>
  <c r="AO21" i="48"/>
  <c r="AN11" i="49"/>
  <c r="AH17" i="38"/>
  <c r="AH26" i="39" s="1"/>
  <c r="AH7" i="38"/>
  <c r="AH12" i="38"/>
  <c r="AN48" i="50" l="1"/>
  <c r="AN48" i="55" s="1"/>
  <c r="AN46" i="55"/>
  <c r="AN20" i="49"/>
  <c r="AN11" i="54"/>
  <c r="AO21" i="53"/>
  <c r="AO23" i="48"/>
  <c r="AH24" i="39"/>
  <c r="AH27" i="39" s="1"/>
  <c r="AH39" i="39" s="1"/>
  <c r="AH41" i="39" s="1"/>
  <c r="AN20" i="54" l="1"/>
  <c r="AN43" i="49"/>
  <c r="AN43" i="54" s="1"/>
  <c r="AO24" i="48"/>
  <c r="AO23" i="53"/>
  <c r="AI40" i="39"/>
  <c r="AH6" i="38"/>
  <c r="AO25" i="48" l="1"/>
  <c r="AO24" i="53"/>
  <c r="AO29" i="48"/>
  <c r="AI21" i="36"/>
  <c r="AI23" i="36" s="1"/>
  <c r="AI24" i="36" s="1"/>
  <c r="AI25" i="36" s="1"/>
  <c r="AH11" i="38"/>
  <c r="AH20" i="38" s="1"/>
  <c r="AH43" i="38" s="1"/>
  <c r="AH46" i="39"/>
  <c r="AH48" i="39" s="1"/>
  <c r="AO34" i="48" l="1"/>
  <c r="AO29" i="53"/>
  <c r="AO25" i="53"/>
  <c r="AO27" i="48"/>
  <c r="AO6" i="50"/>
  <c r="AI27" i="36"/>
  <c r="AI6" i="39"/>
  <c r="AO33" i="48" l="1"/>
  <c r="AO27" i="53"/>
  <c r="AO32" i="48"/>
  <c r="AO32" i="53" s="1"/>
  <c r="AO6" i="55"/>
  <c r="AO22" i="50"/>
  <c r="AO38" i="49"/>
  <c r="AO34" i="53"/>
  <c r="AO147" i="48"/>
  <c r="AO147" i="53" s="1"/>
  <c r="AI22" i="39"/>
  <c r="AI55" i="39" s="1"/>
  <c r="AI148" i="36" s="1"/>
  <c r="AI38" i="38"/>
  <c r="AI41" i="38" s="1"/>
  <c r="AI33" i="36"/>
  <c r="AI146" i="36" s="1"/>
  <c r="AI32" i="36"/>
  <c r="AO41" i="49" l="1"/>
  <c r="AO38" i="54"/>
  <c r="AO22" i="55"/>
  <c r="AO55" i="50"/>
  <c r="AO42" i="50"/>
  <c r="AO146" i="48"/>
  <c r="AO146" i="53" s="1"/>
  <c r="AO33" i="53"/>
  <c r="AI42" i="38"/>
  <c r="AI62" i="38"/>
  <c r="AO42" i="55" l="1"/>
  <c r="AO55" i="55"/>
  <c r="AO148" i="48"/>
  <c r="AO148" i="53" s="1"/>
  <c r="AO41" i="54"/>
  <c r="AO62" i="49"/>
  <c r="AO62" i="54" s="1"/>
  <c r="AO42" i="49"/>
  <c r="AI12" i="38"/>
  <c r="AI7" i="38"/>
  <c r="AI17" i="38"/>
  <c r="AI26" i="39" s="1"/>
  <c r="AO42" i="54" l="1"/>
  <c r="AO7" i="49"/>
  <c r="AO12" i="49"/>
  <c r="AO12" i="54" s="1"/>
  <c r="AO17" i="49"/>
  <c r="AI24" i="39"/>
  <c r="AI27" i="39" s="1"/>
  <c r="AI39" i="39" s="1"/>
  <c r="AI41" i="39" s="1"/>
  <c r="AO7" i="54" l="1"/>
  <c r="AO24" i="50"/>
  <c r="AO26" i="50"/>
  <c r="AO17" i="54"/>
  <c r="AI6" i="38"/>
  <c r="AJ21" i="36" s="1"/>
  <c r="AJ23" i="36" s="1"/>
  <c r="AJ24" i="36" s="1"/>
  <c r="AJ25" i="36" s="1"/>
  <c r="AJ40" i="39"/>
  <c r="AO26" i="55" l="1"/>
  <c r="AO24" i="55"/>
  <c r="AO27" i="50"/>
  <c r="AI46" i="39"/>
  <c r="AI48" i="39" s="1"/>
  <c r="AI11" i="38"/>
  <c r="AI20" i="38" s="1"/>
  <c r="AI43" i="38" s="1"/>
  <c r="AJ27" i="36"/>
  <c r="AJ6" i="39"/>
  <c r="AO39" i="50" l="1"/>
  <c r="AO27" i="55"/>
  <c r="AJ22" i="39"/>
  <c r="AJ55" i="39" s="1"/>
  <c r="AJ148" i="36" s="1"/>
  <c r="AJ38" i="38"/>
  <c r="AJ41" i="38" s="1"/>
  <c r="AJ42" i="38" s="1"/>
  <c r="AJ33" i="36"/>
  <c r="AJ146" i="36" s="1"/>
  <c r="AJ32" i="36"/>
  <c r="AO39" i="55" l="1"/>
  <c r="AO41" i="50"/>
  <c r="AJ62" i="38"/>
  <c r="AJ7" i="38"/>
  <c r="AJ12" i="38"/>
  <c r="AJ17" i="38"/>
  <c r="AO41" i="55" l="1"/>
  <c r="AO6" i="49"/>
  <c r="AP40" i="50"/>
  <c r="AJ26" i="39"/>
  <c r="AJ24" i="39"/>
  <c r="AP40" i="55" l="1"/>
  <c r="AO46" i="50"/>
  <c r="AO11" i="49"/>
  <c r="AO6" i="54"/>
  <c r="AP21" i="48"/>
  <c r="AJ27" i="39"/>
  <c r="AJ39" i="39" s="1"/>
  <c r="AJ41" i="39" s="1"/>
  <c r="AJ6" i="38" s="1"/>
  <c r="AO20" i="49" l="1"/>
  <c r="AO11" i="54"/>
  <c r="AO48" i="50"/>
  <c r="AO48" i="55" s="1"/>
  <c r="AO46" i="55"/>
  <c r="AP21" i="53"/>
  <c r="AP23" i="48"/>
  <c r="AQ21" i="48"/>
  <c r="AK40" i="39"/>
  <c r="AJ46" i="39"/>
  <c r="AJ48" i="39" s="1"/>
  <c r="AK21" i="36"/>
  <c r="AJ11" i="38"/>
  <c r="AJ20" i="38" s="1"/>
  <c r="AJ43" i="38" s="1"/>
  <c r="AP23" i="53" l="1"/>
  <c r="AP24" i="48"/>
  <c r="AQ21" i="53"/>
  <c r="AQ23" i="48"/>
  <c r="AQ23" i="53" s="1"/>
  <c r="AO20" i="54"/>
  <c r="AO43" i="49"/>
  <c r="AO43" i="54" s="1"/>
  <c r="AK23" i="36"/>
  <c r="AL21" i="36"/>
  <c r="AL23" i="36" s="1"/>
  <c r="AP25" i="48" l="1"/>
  <c r="AP24" i="53"/>
  <c r="AQ24" i="48"/>
  <c r="AP29" i="48"/>
  <c r="AK24" i="36"/>
  <c r="AL24" i="36" s="1"/>
  <c r="AL143" i="36" s="1"/>
  <c r="AP29" i="53" l="1"/>
  <c r="AP34" i="48"/>
  <c r="AQ25" i="48"/>
  <c r="AQ24" i="53"/>
  <c r="AQ143" i="48"/>
  <c r="AQ143" i="53" s="1"/>
  <c r="AQ29" i="48"/>
  <c r="AP25" i="53"/>
  <c r="AP6" i="50"/>
  <c r="AP27" i="48"/>
  <c r="AK25" i="36"/>
  <c r="AK27" i="36" s="1"/>
  <c r="AL25" i="36"/>
  <c r="AL27" i="36" s="1"/>
  <c r="AP22" i="50" l="1"/>
  <c r="AP6" i="55"/>
  <c r="AQ6" i="50"/>
  <c r="AP38" i="49"/>
  <c r="AQ29" i="53"/>
  <c r="AP27" i="53"/>
  <c r="AP33" i="48"/>
  <c r="AP32" i="48"/>
  <c r="AP32" i="53" s="1"/>
  <c r="AQ27" i="48"/>
  <c r="AQ25" i="53"/>
  <c r="AP147" i="48"/>
  <c r="AP147" i="53" s="1"/>
  <c r="AP34" i="53"/>
  <c r="AK6" i="39"/>
  <c r="AL6" i="39" s="1"/>
  <c r="AL22" i="39" s="1"/>
  <c r="AL55" i="39" s="1"/>
  <c r="AL148" i="36" s="1"/>
  <c r="AL30" i="36"/>
  <c r="AL32" i="36" s="1"/>
  <c r="AL31" i="36"/>
  <c r="AL33" i="36" s="1"/>
  <c r="AK33" i="36"/>
  <c r="AK146" i="36" s="1"/>
  <c r="AK32" i="36"/>
  <c r="AP146" i="48" l="1"/>
  <c r="AP146" i="53" s="1"/>
  <c r="AP33" i="53"/>
  <c r="AQ38" i="49"/>
  <c r="AP41" i="49"/>
  <c r="AP38" i="54"/>
  <c r="AQ22" i="50"/>
  <c r="AQ6" i="55"/>
  <c r="AQ27" i="53"/>
  <c r="AQ30" i="48"/>
  <c r="AQ30" i="53" s="1"/>
  <c r="AQ31" i="48"/>
  <c r="AP22" i="55"/>
  <c r="AP55" i="50"/>
  <c r="AP42" i="50"/>
  <c r="AK38" i="38"/>
  <c r="AL38" i="38" s="1"/>
  <c r="AL41" i="38" s="1"/>
  <c r="AL42" i="38" s="1"/>
  <c r="AK22" i="39"/>
  <c r="AK55" i="39" s="1"/>
  <c r="AK148" i="36" s="1"/>
  <c r="AL36" i="36"/>
  <c r="AL146" i="36"/>
  <c r="U28" i="36"/>
  <c r="U29" i="36" s="1"/>
  <c r="U34" i="36" s="1"/>
  <c r="U173" i="36"/>
  <c r="V173" i="36" s="1"/>
  <c r="AP42" i="55" l="1"/>
  <c r="AQ42" i="50"/>
  <c r="AQ32" i="48"/>
  <c r="AQ32" i="53" s="1"/>
  <c r="AP41" i="54"/>
  <c r="AP62" i="49"/>
  <c r="AP62" i="54" s="1"/>
  <c r="AP42" i="49"/>
  <c r="AP148" i="48"/>
  <c r="AP148" i="53" s="1"/>
  <c r="AP55" i="55"/>
  <c r="AQ31" i="53"/>
  <c r="AQ34" i="48"/>
  <c r="AQ22" i="55"/>
  <c r="AQ55" i="50"/>
  <c r="AQ38" i="54"/>
  <c r="AQ41" i="49"/>
  <c r="AQ33" i="48"/>
  <c r="AK41" i="38"/>
  <c r="AK42" i="38" s="1"/>
  <c r="V172" i="36"/>
  <c r="V28" i="36" s="1"/>
  <c r="V29" i="36" s="1"/>
  <c r="V34" i="36" s="1"/>
  <c r="X173" i="36"/>
  <c r="U147" i="36"/>
  <c r="AQ55" i="55" l="1"/>
  <c r="AQ148" i="48"/>
  <c r="AQ148" i="53" s="1"/>
  <c r="AQ42" i="49"/>
  <c r="AQ41" i="54"/>
  <c r="AQ147" i="48"/>
  <c r="AQ147" i="53" s="1"/>
  <c r="AQ34" i="53"/>
  <c r="AP12" i="49"/>
  <c r="AP42" i="54"/>
  <c r="AP7" i="49"/>
  <c r="AP17" i="49"/>
  <c r="AQ42" i="55"/>
  <c r="AQ44" i="50"/>
  <c r="AQ44" i="55" s="1"/>
  <c r="AQ33" i="53"/>
  <c r="AQ146" i="48"/>
  <c r="AQ146" i="53" s="1"/>
  <c r="AQ36" i="48"/>
  <c r="AQ36" i="53" s="1"/>
  <c r="AK62" i="38"/>
  <c r="V147" i="36"/>
  <c r="AK12" i="38"/>
  <c r="AL12" i="38" s="1"/>
  <c r="AK7" i="38"/>
  <c r="AK17" i="38"/>
  <c r="W28" i="36"/>
  <c r="W29" i="36" s="1"/>
  <c r="W34" i="36" s="1"/>
  <c r="W147" i="36" s="1"/>
  <c r="X172" i="36"/>
  <c r="X28" i="36" s="1"/>
  <c r="X29" i="36" s="1"/>
  <c r="X34" i="36" s="1"/>
  <c r="Y173" i="36"/>
  <c r="AQ17" i="49" l="1"/>
  <c r="AQ17" i="54" s="1"/>
  <c r="AP26" i="50"/>
  <c r="AP17" i="54"/>
  <c r="AP12" i="54"/>
  <c r="AQ12" i="49"/>
  <c r="AQ12" i="54" s="1"/>
  <c r="AQ42" i="54"/>
  <c r="AQ7" i="49"/>
  <c r="AQ7" i="54" s="1"/>
  <c r="AP24" i="50"/>
  <c r="AP7" i="54"/>
  <c r="AK24" i="39"/>
  <c r="AL7" i="38"/>
  <c r="AK26" i="39"/>
  <c r="AL26" i="39" s="1"/>
  <c r="AL17" i="38"/>
  <c r="Z173" i="36"/>
  <c r="Y172" i="36"/>
  <c r="Y28" i="36" s="1"/>
  <c r="Y29" i="36" s="1"/>
  <c r="Y34" i="36" s="1"/>
  <c r="Y147" i="36" s="1"/>
  <c r="X147" i="36"/>
  <c r="AP24" i="55" l="1"/>
  <c r="AP27" i="50"/>
  <c r="AQ24" i="50"/>
  <c r="AP26" i="55"/>
  <c r="AQ26" i="50"/>
  <c r="AQ26" i="55" s="1"/>
  <c r="AK27" i="39"/>
  <c r="AK39" i="39" s="1"/>
  <c r="AK41" i="39" s="1"/>
  <c r="AK6" i="38" s="1"/>
  <c r="AL24" i="39"/>
  <c r="AL27" i="39" s="1"/>
  <c r="AL39" i="39" s="1"/>
  <c r="AL41" i="39" s="1"/>
  <c r="AA173" i="36"/>
  <c r="Z172" i="36"/>
  <c r="Z28" i="36" s="1"/>
  <c r="AQ27" i="50" l="1"/>
  <c r="AQ24" i="55"/>
  <c r="AP27" i="55"/>
  <c r="AP39" i="50"/>
  <c r="AM40" i="39"/>
  <c r="AQ40" i="39"/>
  <c r="AK11" i="38"/>
  <c r="AK20" i="38" s="1"/>
  <c r="AK43" i="38" s="1"/>
  <c r="AL6" i="38"/>
  <c r="AM21" i="36"/>
  <c r="AK46" i="39"/>
  <c r="AK48" i="39" s="1"/>
  <c r="Z29" i="36"/>
  <c r="Z34" i="36" s="1"/>
  <c r="AA172" i="36"/>
  <c r="AA28" i="36" s="1"/>
  <c r="AA29" i="36" s="1"/>
  <c r="AA34" i="36" s="1"/>
  <c r="AC173" i="36"/>
  <c r="AP39" i="55" l="1"/>
  <c r="AP41" i="50"/>
  <c r="AQ27" i="55"/>
  <c r="AQ39" i="50"/>
  <c r="AA147" i="36"/>
  <c r="Z147" i="36"/>
  <c r="AM23" i="36"/>
  <c r="AM24" i="36" s="1"/>
  <c r="AM25" i="36" s="1"/>
  <c r="AL46" i="39"/>
  <c r="AL48" i="39" s="1"/>
  <c r="AL11" i="38"/>
  <c r="AL20" i="38" s="1"/>
  <c r="AL43" i="38" s="1"/>
  <c r="AD173" i="36"/>
  <c r="AC172" i="36"/>
  <c r="AC28" i="36" s="1"/>
  <c r="AC29" i="36" s="1"/>
  <c r="AC34" i="36" s="1"/>
  <c r="AB28" i="36"/>
  <c r="AB29" i="36" s="1"/>
  <c r="AB34" i="36" s="1"/>
  <c r="AQ41" i="50" l="1"/>
  <c r="AQ39" i="55"/>
  <c r="AP6" i="49"/>
  <c r="AP41" i="55"/>
  <c r="AC147" i="36"/>
  <c r="AB147" i="36"/>
  <c r="C29" i="40"/>
  <c r="C31" i="40" s="1"/>
  <c r="C36" i="40" s="1"/>
  <c r="AM27" i="36"/>
  <c r="AM32" i="36" s="1"/>
  <c r="AM6" i="39"/>
  <c r="AE173" i="36"/>
  <c r="AD172" i="36"/>
  <c r="AD28" i="36" s="1"/>
  <c r="AD29" i="36" s="1"/>
  <c r="AD34" i="36" s="1"/>
  <c r="AP46" i="50" l="1"/>
  <c r="AP11" i="49"/>
  <c r="AQ6" i="49"/>
  <c r="AP6" i="54"/>
  <c r="AR21" i="48"/>
  <c r="AQ41" i="55"/>
  <c r="AV40" i="50"/>
  <c r="AV40" i="55" s="1"/>
  <c r="AR40" i="50"/>
  <c r="C38" i="40"/>
  <c r="C37" i="40"/>
  <c r="AD147" i="36"/>
  <c r="AM33" i="36"/>
  <c r="AM146" i="36" s="1"/>
  <c r="AM22" i="39"/>
  <c r="AM55" i="39" s="1"/>
  <c r="AM148" i="36" s="1"/>
  <c r="AM38" i="38"/>
  <c r="AM41" i="38" s="1"/>
  <c r="AF173" i="36"/>
  <c r="AE172" i="36"/>
  <c r="AE28" i="36" s="1"/>
  <c r="AR40" i="55" l="1"/>
  <c r="AQ6" i="54"/>
  <c r="AQ46" i="50"/>
  <c r="AQ11" i="49"/>
  <c r="AP11" i="54"/>
  <c r="AP20" i="49"/>
  <c r="AR21" i="53"/>
  <c r="AR23" i="48"/>
  <c r="AP48" i="50"/>
  <c r="AP48" i="55" s="1"/>
  <c r="AP46" i="55"/>
  <c r="AM62" i="38"/>
  <c r="AM42" i="38"/>
  <c r="AE29" i="36"/>
  <c r="AE34" i="36" s="1"/>
  <c r="AF172" i="36"/>
  <c r="AF28" i="36" s="1"/>
  <c r="AF29" i="36" s="1"/>
  <c r="AF34" i="36" s="1"/>
  <c r="AH173" i="36"/>
  <c r="AQ46" i="55" l="1"/>
  <c r="AQ48" i="50"/>
  <c r="AQ48" i="55" s="1"/>
  <c r="AP20" i="54"/>
  <c r="AP43" i="49"/>
  <c r="AP43" i="54" s="1"/>
  <c r="AR23" i="53"/>
  <c r="AR24" i="48"/>
  <c r="AR25" i="48" s="1"/>
  <c r="AQ11" i="54"/>
  <c r="AQ20" i="49"/>
  <c r="AF147" i="36"/>
  <c r="AE147" i="36"/>
  <c r="AM7" i="38"/>
  <c r="AM12" i="38"/>
  <c r="AM17" i="38"/>
  <c r="AM26" i="39" s="1"/>
  <c r="AG28" i="36"/>
  <c r="AG29" i="36" s="1"/>
  <c r="AG34" i="36" s="1"/>
  <c r="AI173" i="36"/>
  <c r="AH172" i="36"/>
  <c r="AH28" i="36" s="1"/>
  <c r="AH29" i="36" s="1"/>
  <c r="AH34" i="36" s="1"/>
  <c r="AR6" i="50" l="1"/>
  <c r="AR27" i="48"/>
  <c r="AR25" i="53"/>
  <c r="AR24" i="53"/>
  <c r="AR29" i="48"/>
  <c r="AQ20" i="54"/>
  <c r="AQ43" i="49"/>
  <c r="AQ43" i="54" s="1"/>
  <c r="AH147" i="36"/>
  <c r="AG147" i="36"/>
  <c r="AM24" i="39"/>
  <c r="AM27" i="39" s="1"/>
  <c r="AM39" i="39" s="1"/>
  <c r="AM41" i="39" s="1"/>
  <c r="AI172" i="36"/>
  <c r="AI28" i="36" s="1"/>
  <c r="AI29" i="36" s="1"/>
  <c r="AI34" i="36" s="1"/>
  <c r="AJ173" i="36"/>
  <c r="AR27" i="53" l="1"/>
  <c r="AR33" i="48"/>
  <c r="AR32" i="48"/>
  <c r="AR32" i="53" s="1"/>
  <c r="AR29" i="53"/>
  <c r="AR34" i="48"/>
  <c r="AR6" i="55"/>
  <c r="AR22" i="50"/>
  <c r="AR38" i="49"/>
  <c r="AI147" i="36"/>
  <c r="AN40" i="39"/>
  <c r="AM6" i="38"/>
  <c r="AJ172" i="36"/>
  <c r="AJ28" i="36" s="1"/>
  <c r="AK173" i="36"/>
  <c r="AR34" i="53" l="1"/>
  <c r="AR147" i="48"/>
  <c r="AR147" i="53" s="1"/>
  <c r="AR38" i="54"/>
  <c r="AR41" i="49"/>
  <c r="AR42" i="50"/>
  <c r="AR42" i="55" s="1"/>
  <c r="AR55" i="50"/>
  <c r="AR22" i="55"/>
  <c r="AR33" i="53"/>
  <c r="AR146" i="48"/>
  <c r="AR146" i="53" s="1"/>
  <c r="AM11" i="38"/>
  <c r="AM20" i="38" s="1"/>
  <c r="AM43" i="38" s="1"/>
  <c r="AN21" i="36"/>
  <c r="AN23" i="36" s="1"/>
  <c r="AN24" i="36" s="1"/>
  <c r="AN25" i="36" s="1"/>
  <c r="AM46" i="39"/>
  <c r="AM48" i="39" s="1"/>
  <c r="AM173" i="36"/>
  <c r="AK172" i="36"/>
  <c r="AK28" i="36" s="1"/>
  <c r="AK29" i="36" s="1"/>
  <c r="AK34" i="36" s="1"/>
  <c r="AJ29" i="36"/>
  <c r="AJ34" i="36" s="1"/>
  <c r="AR62" i="49" l="1"/>
  <c r="AR62" i="54" s="1"/>
  <c r="AR41" i="54"/>
  <c r="AR42" i="49"/>
  <c r="AR148" i="48"/>
  <c r="AR148" i="53" s="1"/>
  <c r="AR55" i="55"/>
  <c r="AK147" i="36"/>
  <c r="AJ147" i="36"/>
  <c r="AL28" i="36"/>
  <c r="AL29" i="36" s="1"/>
  <c r="AL34" i="36" s="1"/>
  <c r="AN27" i="36"/>
  <c r="AN6" i="39"/>
  <c r="AN173" i="36"/>
  <c r="AM172" i="36"/>
  <c r="AM28" i="36" s="1"/>
  <c r="AM29" i="36" s="1"/>
  <c r="AM34" i="36" s="1"/>
  <c r="AR7" i="49" l="1"/>
  <c r="AR42" i="54"/>
  <c r="AR12" i="49"/>
  <c r="AR12" i="54" s="1"/>
  <c r="AR17" i="49"/>
  <c r="AM147" i="36"/>
  <c r="AL149" i="36"/>
  <c r="AL59" i="39"/>
  <c r="AL61" i="39" s="1"/>
  <c r="AL147" i="36"/>
  <c r="AN22" i="39"/>
  <c r="AN55" i="39" s="1"/>
  <c r="AN148" i="36" s="1"/>
  <c r="AN38" i="38"/>
  <c r="AN41" i="38" s="1"/>
  <c r="AN33" i="36"/>
  <c r="AN146" i="36" s="1"/>
  <c r="AN32" i="36"/>
  <c r="AN172" i="36"/>
  <c r="AN28" i="36" s="1"/>
  <c r="AN29" i="36" s="1"/>
  <c r="AN34" i="36" s="1"/>
  <c r="AO173" i="36"/>
  <c r="AR17" i="54" l="1"/>
  <c r="AR26" i="50"/>
  <c r="AR26" i="55" s="1"/>
  <c r="AR7" i="54"/>
  <c r="AR24" i="50"/>
  <c r="AN147" i="36"/>
  <c r="AN42" i="38"/>
  <c r="AN62" i="38"/>
  <c r="AP173" i="36"/>
  <c r="AO172" i="36"/>
  <c r="AO28" i="36" s="1"/>
  <c r="AR24" i="55" l="1"/>
  <c r="AR27" i="50"/>
  <c r="AN7" i="38"/>
  <c r="AN12" i="38"/>
  <c r="AN17" i="38"/>
  <c r="AN26" i="39" s="1"/>
  <c r="AR173" i="36"/>
  <c r="AP172" i="36"/>
  <c r="AP28" i="36" s="1"/>
  <c r="AR39" i="50" l="1"/>
  <c r="AR27" i="55"/>
  <c r="AN24" i="39"/>
  <c r="AN27" i="39" s="1"/>
  <c r="AN39" i="39" s="1"/>
  <c r="AN41" i="39" s="1"/>
  <c r="AN6" i="38" s="1"/>
  <c r="AR172" i="36"/>
  <c r="AR28" i="36" s="1"/>
  <c r="AS173" i="36"/>
  <c r="AQ28" i="36"/>
  <c r="AR39" i="55" l="1"/>
  <c r="AR41" i="50"/>
  <c r="AO40" i="39"/>
  <c r="AN11" i="38"/>
  <c r="AN20" i="38" s="1"/>
  <c r="AN43" i="38" s="1"/>
  <c r="AO21" i="36"/>
  <c r="AN46" i="39"/>
  <c r="AN48" i="39" s="1"/>
  <c r="AT173" i="36"/>
  <c r="AS172" i="36"/>
  <c r="AS28" i="36" s="1"/>
  <c r="AR41" i="55" l="1"/>
  <c r="AR6" i="49"/>
  <c r="AS40" i="50"/>
  <c r="AO23" i="36"/>
  <c r="AO24" i="36" s="1"/>
  <c r="AO25" i="36" s="1"/>
  <c r="AT172" i="36"/>
  <c r="AT28" i="36" s="1"/>
  <c r="AU173" i="36"/>
  <c r="AU172" i="36" s="1"/>
  <c r="AU28" i="36" s="1"/>
  <c r="AS40" i="55" l="1"/>
  <c r="AR11" i="49"/>
  <c r="AR46" i="50"/>
  <c r="AS21" i="48"/>
  <c r="AR6" i="54"/>
  <c r="AO29" i="36"/>
  <c r="AO34" i="36" s="1"/>
  <c r="AO27" i="36"/>
  <c r="AO6" i="39"/>
  <c r="AV28" i="36"/>
  <c r="AR48" i="50" l="1"/>
  <c r="AR48" i="55" s="1"/>
  <c r="AR46" i="55"/>
  <c r="AR20" i="49"/>
  <c r="AR11" i="54"/>
  <c r="AS23" i="48"/>
  <c r="AS21" i="53"/>
  <c r="AO147" i="36"/>
  <c r="AO22" i="39"/>
  <c r="AO38" i="38"/>
  <c r="AO32" i="36"/>
  <c r="AO33" i="36"/>
  <c r="AO146" i="36" s="1"/>
  <c r="AR20" i="54" l="1"/>
  <c r="AR43" i="49"/>
  <c r="AR43" i="54" s="1"/>
  <c r="AS23" i="53"/>
  <c r="AS24" i="48"/>
  <c r="AO55" i="39"/>
  <c r="AO148" i="36" s="1"/>
  <c r="AO41" i="38"/>
  <c r="AS25" i="48" l="1"/>
  <c r="AS24" i="53"/>
  <c r="AS29" i="48"/>
  <c r="AO62" i="38"/>
  <c r="AO42" i="38"/>
  <c r="AS34" i="48" l="1"/>
  <c r="AS29" i="53"/>
  <c r="AS27" i="48"/>
  <c r="AS25" i="53"/>
  <c r="AS6" i="50"/>
  <c r="AO12" i="38"/>
  <c r="AO7" i="38"/>
  <c r="AO17" i="38"/>
  <c r="AS22" i="50" l="1"/>
  <c r="AS6" i="55"/>
  <c r="AS38" i="49"/>
  <c r="AS32" i="48"/>
  <c r="AS32" i="53" s="1"/>
  <c r="AS33" i="48"/>
  <c r="AS27" i="53"/>
  <c r="AS34" i="53"/>
  <c r="AS147" i="48"/>
  <c r="AS147" i="53" s="1"/>
  <c r="AO24" i="39"/>
  <c r="AO26" i="39"/>
  <c r="AS38" i="54" l="1"/>
  <c r="AS41" i="49"/>
  <c r="AS33" i="53"/>
  <c r="AS146" i="48"/>
  <c r="AS146" i="53" s="1"/>
  <c r="AS42" i="50"/>
  <c r="AS22" i="55"/>
  <c r="AS55" i="50"/>
  <c r="AO27" i="39"/>
  <c r="AO39" i="39" s="1"/>
  <c r="AO41" i="39" s="1"/>
  <c r="AP40" i="39" s="1"/>
  <c r="AS55" i="55" l="1"/>
  <c r="AS148" i="48"/>
  <c r="AS148" i="53" s="1"/>
  <c r="AS42" i="55"/>
  <c r="AS42" i="49"/>
  <c r="AS41" i="54"/>
  <c r="AS62" i="49"/>
  <c r="AS62" i="54" s="1"/>
  <c r="AO6" i="38"/>
  <c r="AP21" i="36" s="1"/>
  <c r="AS42" i="54" l="1"/>
  <c r="AS7" i="49"/>
  <c r="AS12" i="49"/>
  <c r="AS12" i="54" s="1"/>
  <c r="AS17" i="49"/>
  <c r="AO11" i="38"/>
  <c r="AO20" i="38" s="1"/>
  <c r="AO43" i="38" s="1"/>
  <c r="AO46" i="39"/>
  <c r="AO48" i="39" s="1"/>
  <c r="AP23" i="36"/>
  <c r="AQ21" i="36"/>
  <c r="AS7" i="54" l="1"/>
  <c r="AS24" i="50"/>
  <c r="AS26" i="50"/>
  <c r="AS17" i="54"/>
  <c r="AQ23" i="36"/>
  <c r="AP24" i="36"/>
  <c r="AP25" i="36" s="1"/>
  <c r="AS26" i="55" l="1"/>
  <c r="AS27" i="50"/>
  <c r="AS24" i="55"/>
  <c r="AP27" i="36"/>
  <c r="AP6" i="39"/>
  <c r="AQ6" i="39" s="1"/>
  <c r="AQ22" i="39" s="1"/>
  <c r="AQ55" i="39" s="1"/>
  <c r="AQ148" i="36" s="1"/>
  <c r="AQ24" i="36"/>
  <c r="AQ25" i="36" s="1"/>
  <c r="AQ27" i="36" s="1"/>
  <c r="AP29" i="36"/>
  <c r="AP34" i="36" s="1"/>
  <c r="AS39" i="50" l="1"/>
  <c r="AS27" i="55"/>
  <c r="AP147" i="36"/>
  <c r="AQ31" i="36"/>
  <c r="AQ33" i="36" s="1"/>
  <c r="AQ30" i="36"/>
  <c r="AQ32" i="36" s="1"/>
  <c r="AQ143" i="36"/>
  <c r="AQ29" i="36"/>
  <c r="AP22" i="39"/>
  <c r="AP38" i="38"/>
  <c r="AP33" i="36"/>
  <c r="AP146" i="36" s="1"/>
  <c r="AP32" i="36"/>
  <c r="AS39" i="55" l="1"/>
  <c r="AS41" i="50"/>
  <c r="AQ34" i="36"/>
  <c r="AQ38" i="38"/>
  <c r="AQ41" i="38" s="1"/>
  <c r="AQ42" i="38" s="1"/>
  <c r="AP41" i="38"/>
  <c r="AP55" i="39"/>
  <c r="AP148" i="36" s="1"/>
  <c r="AQ36" i="36"/>
  <c r="AQ146" i="36"/>
  <c r="AS6" i="49" l="1"/>
  <c r="AT40" i="50"/>
  <c r="AS41" i="55"/>
  <c r="AQ147" i="36"/>
  <c r="AP42" i="38"/>
  <c r="AP62" i="38"/>
  <c r="AT40" i="55" l="1"/>
  <c r="AS11" i="49"/>
  <c r="AS6" i="54"/>
  <c r="AS46" i="50"/>
  <c r="AT21" i="48"/>
  <c r="AP12" i="38"/>
  <c r="AQ12" i="38" s="1"/>
  <c r="AP7" i="38"/>
  <c r="AP17" i="38"/>
  <c r="AS11" i="54" l="1"/>
  <c r="AS20" i="49"/>
  <c r="AT21" i="53"/>
  <c r="AT23" i="48"/>
  <c r="AS46" i="55"/>
  <c r="AS48" i="50"/>
  <c r="AS48" i="55" s="1"/>
  <c r="AP24" i="39"/>
  <c r="AQ7" i="38"/>
  <c r="AQ17" i="38"/>
  <c r="AP26" i="39"/>
  <c r="AQ26" i="39" s="1"/>
  <c r="AT24" i="48" l="1"/>
  <c r="AT25" i="48" s="1"/>
  <c r="AT23" i="53"/>
  <c r="AS20" i="54"/>
  <c r="AS43" i="49"/>
  <c r="AS43" i="54" s="1"/>
  <c r="AP27" i="39"/>
  <c r="AP39" i="39" s="1"/>
  <c r="AP41" i="39" s="1"/>
  <c r="AP6" i="38" s="1"/>
  <c r="AQ24" i="39"/>
  <c r="AQ27" i="39" s="1"/>
  <c r="AQ39" i="39" s="1"/>
  <c r="AQ41" i="39" s="1"/>
  <c r="AT27" i="48" l="1"/>
  <c r="AT25" i="53"/>
  <c r="AT6" i="50"/>
  <c r="AT24" i="53"/>
  <c r="AT29" i="48"/>
  <c r="AV40" i="39"/>
  <c r="AR40" i="39"/>
  <c r="AP46" i="39"/>
  <c r="AP48" i="39" s="1"/>
  <c r="AQ6" i="38"/>
  <c r="AR21" i="36"/>
  <c r="AP11" i="38"/>
  <c r="AP20" i="38" s="1"/>
  <c r="AP43" i="38" s="1"/>
  <c r="AT6" i="55" l="1"/>
  <c r="AT22" i="50"/>
  <c r="AT38" i="49"/>
  <c r="AT34" i="48"/>
  <c r="AT29" i="53"/>
  <c r="AT32" i="48"/>
  <c r="AT32" i="53" s="1"/>
  <c r="AT27" i="53"/>
  <c r="AT33" i="48"/>
  <c r="AQ11" i="38"/>
  <c r="AQ20" i="38" s="1"/>
  <c r="AQ43" i="38" s="1"/>
  <c r="AQ46" i="39"/>
  <c r="AQ48" i="39" s="1"/>
  <c r="AR23" i="36"/>
  <c r="AR24" i="36" s="1"/>
  <c r="AR25" i="36" s="1"/>
  <c r="AT41" i="49" l="1"/>
  <c r="AT38" i="54"/>
  <c r="AT42" i="50"/>
  <c r="AT22" i="55"/>
  <c r="AT55" i="50"/>
  <c r="AT146" i="48"/>
  <c r="AT146" i="53" s="1"/>
  <c r="AT33" i="53"/>
  <c r="AT147" i="48"/>
  <c r="AT147" i="53" s="1"/>
  <c r="AT34" i="53"/>
  <c r="AR27" i="36"/>
  <c r="AR32" i="36" s="1"/>
  <c r="AR6" i="39"/>
  <c r="AR29" i="36"/>
  <c r="AR34" i="36" s="1"/>
  <c r="AT42" i="55" l="1"/>
  <c r="AT55" i="55"/>
  <c r="AT148" i="48"/>
  <c r="AT148" i="53" s="1"/>
  <c r="AT42" i="49"/>
  <c r="AT62" i="49"/>
  <c r="AT62" i="54" s="1"/>
  <c r="AT41" i="54"/>
  <c r="AR147" i="36"/>
  <c r="AR33" i="36"/>
  <c r="AR146" i="36" s="1"/>
  <c r="AR22" i="39"/>
  <c r="AR55" i="39" s="1"/>
  <c r="AR148" i="36" s="1"/>
  <c r="AR38" i="38"/>
  <c r="AR41" i="38" s="1"/>
  <c r="AT12" i="49" l="1"/>
  <c r="AT12" i="54" s="1"/>
  <c r="AT42" i="54"/>
  <c r="AT7" i="49"/>
  <c r="AT17" i="49"/>
  <c r="AR62" i="38"/>
  <c r="AR42" i="38"/>
  <c r="AT17" i="54" l="1"/>
  <c r="AT26" i="50"/>
  <c r="AT7" i="54"/>
  <c r="AT24" i="50"/>
  <c r="AR17" i="38"/>
  <c r="AR26" i="39" s="1"/>
  <c r="AR7" i="38"/>
  <c r="AR12" i="38"/>
  <c r="AT26" i="55" l="1"/>
  <c r="AT24" i="55"/>
  <c r="AT27" i="50"/>
  <c r="AR24" i="39"/>
  <c r="AR27" i="39" s="1"/>
  <c r="AR39" i="39" s="1"/>
  <c r="AR41" i="39" s="1"/>
  <c r="AT27" i="55" l="1"/>
  <c r="AT39" i="50"/>
  <c r="AR6" i="38"/>
  <c r="AS40" i="39"/>
  <c r="AT39" i="55" l="1"/>
  <c r="AT41" i="50"/>
  <c r="AR46" i="39"/>
  <c r="AR48" i="39" s="1"/>
  <c r="AR11" i="38"/>
  <c r="AR20" i="38" s="1"/>
  <c r="AR43" i="38" s="1"/>
  <c r="AS21" i="36"/>
  <c r="AT41" i="55" l="1"/>
  <c r="AT6" i="49"/>
  <c r="AU40" i="50"/>
  <c r="AS23" i="36"/>
  <c r="AS24" i="36" s="1"/>
  <c r="AS25" i="36" s="1"/>
  <c r="AU40" i="55" l="1"/>
  <c r="AT11" i="49"/>
  <c r="AT46" i="50"/>
  <c r="AT6" i="54"/>
  <c r="AU21" i="48"/>
  <c r="AS29" i="36"/>
  <c r="AS34" i="36" s="1"/>
  <c r="AS27" i="36"/>
  <c r="AS6" i="39"/>
  <c r="AT11" i="54" l="1"/>
  <c r="AT20" i="49"/>
  <c r="AU21" i="53"/>
  <c r="AU23" i="48"/>
  <c r="AV21" i="48"/>
  <c r="AT46" i="55"/>
  <c r="AT48" i="50"/>
  <c r="AT48" i="55" s="1"/>
  <c r="AS147" i="36"/>
  <c r="AS38" i="38"/>
  <c r="AS41" i="38" s="1"/>
  <c r="AS22" i="39"/>
  <c r="AS55" i="39" s="1"/>
  <c r="AS148" i="36" s="1"/>
  <c r="AS33" i="36"/>
  <c r="AS146" i="36" s="1"/>
  <c r="AS32" i="36"/>
  <c r="AU24" i="48" l="1"/>
  <c r="AU25" i="48" s="1"/>
  <c r="AU23" i="53"/>
  <c r="AV23" i="48"/>
  <c r="AV21" i="53"/>
  <c r="AT20" i="54"/>
  <c r="AT43" i="49"/>
  <c r="AT43" i="54" s="1"/>
  <c r="AS62" i="38"/>
  <c r="AS42" i="38"/>
  <c r="AV23" i="53" l="1"/>
  <c r="AU25" i="53"/>
  <c r="AU6" i="50"/>
  <c r="AU27" i="48"/>
  <c r="AU24" i="53"/>
  <c r="AV24" i="48"/>
  <c r="AV25" i="48" s="1"/>
  <c r="AU29" i="48"/>
  <c r="AS17" i="38"/>
  <c r="AS26" i="39" s="1"/>
  <c r="AS7" i="38"/>
  <c r="AS12" i="38"/>
  <c r="AU33" i="48" l="1"/>
  <c r="AU32" i="48"/>
  <c r="AU32" i="53" s="1"/>
  <c r="AU27" i="53"/>
  <c r="AU34" i="48"/>
  <c r="AU29" i="53"/>
  <c r="AU6" i="55"/>
  <c r="AU22" i="50"/>
  <c r="AV6" i="50"/>
  <c r="AU38" i="49"/>
  <c r="AV27" i="48"/>
  <c r="AV25" i="53"/>
  <c r="AV143" i="48"/>
  <c r="AV143" i="53" s="1"/>
  <c r="AV24" i="53"/>
  <c r="AV29" i="48"/>
  <c r="AS24" i="39"/>
  <c r="AS27" i="39" s="1"/>
  <c r="AS39" i="39" s="1"/>
  <c r="AS41" i="39" s="1"/>
  <c r="AV29" i="53" l="1"/>
  <c r="AV27" i="53"/>
  <c r="AV31" i="48"/>
  <c r="AV31" i="53" s="1"/>
  <c r="AV30" i="48"/>
  <c r="AV30" i="53" s="1"/>
  <c r="AV22" i="50"/>
  <c r="AV6" i="55"/>
  <c r="AU34" i="53"/>
  <c r="AU147" i="48"/>
  <c r="AU147" i="53" s="1"/>
  <c r="AV38" i="49"/>
  <c r="AU38" i="54"/>
  <c r="AU41" i="49"/>
  <c r="AU55" i="50"/>
  <c r="AU42" i="50"/>
  <c r="AU22" i="55"/>
  <c r="AU33" i="53"/>
  <c r="AU146" i="48"/>
  <c r="AU146" i="53" s="1"/>
  <c r="AT40" i="39"/>
  <c r="AS6" i="38"/>
  <c r="AV34" i="48" l="1"/>
  <c r="AV34" i="53" s="1"/>
  <c r="AU42" i="55"/>
  <c r="AV42" i="50"/>
  <c r="AV38" i="54"/>
  <c r="AV41" i="49"/>
  <c r="AV55" i="50"/>
  <c r="F35" i="52"/>
  <c r="AV22" i="55"/>
  <c r="AU55" i="55"/>
  <c r="AU148" i="48"/>
  <c r="AU148" i="53" s="1"/>
  <c r="AV33" i="48"/>
  <c r="AU62" i="49"/>
  <c r="AU62" i="54" s="1"/>
  <c r="AU41" i="54"/>
  <c r="AU42" i="49"/>
  <c r="AV32" i="48"/>
  <c r="AV32" i="53" s="1"/>
  <c r="AV147" i="48"/>
  <c r="AV147" i="53" s="1"/>
  <c r="AT21" i="36"/>
  <c r="AS11" i="38"/>
  <c r="AS20" i="38" s="1"/>
  <c r="AS43" i="38" s="1"/>
  <c r="AS46" i="39"/>
  <c r="AS48" i="39" s="1"/>
  <c r="AV42" i="49" l="1"/>
  <c r="AV41" i="54"/>
  <c r="AU42" i="54"/>
  <c r="AU12" i="49"/>
  <c r="AU7" i="49"/>
  <c r="AU17" i="49"/>
  <c r="AV148" i="48"/>
  <c r="AV148" i="53" s="1"/>
  <c r="AV55" i="55"/>
  <c r="AV33" i="53"/>
  <c r="AV36" i="48"/>
  <c r="AV36" i="53" s="1"/>
  <c r="AV146" i="48"/>
  <c r="AV146" i="53" s="1"/>
  <c r="AV44" i="50"/>
  <c r="AV42" i="55"/>
  <c r="AT23" i="36"/>
  <c r="AU12" i="54" l="1"/>
  <c r="AV12" i="49"/>
  <c r="AV12" i="54" s="1"/>
  <c r="AV17" i="49"/>
  <c r="AV17" i="54" s="1"/>
  <c r="AU17" i="54"/>
  <c r="AU26" i="50"/>
  <c r="AV44" i="55"/>
  <c r="F34" i="52"/>
  <c r="F37" i="52" s="1"/>
  <c r="AU24" i="50"/>
  <c r="AU7" i="54"/>
  <c r="AV7" i="49"/>
  <c r="AV7" i="54" s="1"/>
  <c r="AV42" i="54"/>
  <c r="AT24" i="36"/>
  <c r="AT29" i="36" s="1"/>
  <c r="AT34" i="36" s="1"/>
  <c r="AU24" i="55" l="1"/>
  <c r="AU27" i="50"/>
  <c r="AV24" i="50"/>
  <c r="C30" i="52"/>
  <c r="C31" i="52" s="1"/>
  <c r="C36" i="52" s="1"/>
  <c r="F38" i="52"/>
  <c r="AU26" i="55"/>
  <c r="AV26" i="50"/>
  <c r="AV26" i="55" s="1"/>
  <c r="AT147" i="36"/>
  <c r="AT25" i="36"/>
  <c r="AT27" i="36" s="1"/>
  <c r="C37" i="52" l="1"/>
  <c r="C38" i="52"/>
  <c r="AV24" i="55"/>
  <c r="AV27" i="50"/>
  <c r="AU27" i="55"/>
  <c r="AU39" i="50"/>
  <c r="AT6" i="39"/>
  <c r="AT22" i="39" s="1"/>
  <c r="AT55" i="39" s="1"/>
  <c r="AT148" i="36" s="1"/>
  <c r="AT32" i="36"/>
  <c r="AT33" i="36"/>
  <c r="AT146" i="36" s="1"/>
  <c r="AV39" i="50" l="1"/>
  <c r="AV27" i="55"/>
  <c r="AU39" i="55"/>
  <c r="AU41" i="50"/>
  <c r="AT38" i="38"/>
  <c r="AT41" i="38" s="1"/>
  <c r="AT62" i="38" s="1"/>
  <c r="AV41" i="50" l="1"/>
  <c r="AV41" i="55" s="1"/>
  <c r="AV39" i="55"/>
  <c r="AU6" i="49"/>
  <c r="AU41" i="55"/>
  <c r="AT42" i="38"/>
  <c r="AT7" i="38" s="1"/>
  <c r="AU11" i="49" l="1"/>
  <c r="AV6" i="49"/>
  <c r="AU6" i="54"/>
  <c r="AU46" i="50"/>
  <c r="AT12" i="38"/>
  <c r="AT24" i="39" s="1"/>
  <c r="AT17" i="38"/>
  <c r="AT26" i="39" s="1"/>
  <c r="AU48" i="50" l="1"/>
  <c r="AU48" i="55" s="1"/>
  <c r="AU46" i="55"/>
  <c r="AV11" i="49"/>
  <c r="AV6" i="54"/>
  <c r="AV46" i="50"/>
  <c r="AU11" i="54"/>
  <c r="AU20" i="49"/>
  <c r="AT27" i="39"/>
  <c r="AT39" i="39" s="1"/>
  <c r="AT41" i="39" s="1"/>
  <c r="AT6" i="38" s="1"/>
  <c r="AV46" i="55" l="1"/>
  <c r="AV48" i="50"/>
  <c r="AV48" i="55" s="1"/>
  <c r="AU20" i="54"/>
  <c r="AU43" i="49"/>
  <c r="AU43" i="54" s="1"/>
  <c r="AV20" i="49"/>
  <c r="AV11" i="54"/>
  <c r="AU40" i="39"/>
  <c r="AT46" i="39"/>
  <c r="AT48" i="39" s="1"/>
  <c r="AU21" i="36"/>
  <c r="AT11" i="38"/>
  <c r="AT20" i="38" s="1"/>
  <c r="AT43" i="38" s="1"/>
  <c r="AV20" i="54" l="1"/>
  <c r="AV43" i="49"/>
  <c r="AV43" i="54" s="1"/>
  <c r="AV21" i="36"/>
  <c r="AV23" i="36" s="1"/>
  <c r="AU23" i="36"/>
  <c r="AU24" i="36" l="1"/>
  <c r="AU25" i="36" s="1"/>
  <c r="AU27" i="36" l="1"/>
  <c r="AU6" i="39"/>
  <c r="AV6" i="39" s="1"/>
  <c r="AV22" i="39" s="1"/>
  <c r="AV55" i="39" s="1"/>
  <c r="AV148" i="36" s="1"/>
  <c r="AV24" i="36"/>
  <c r="AU29" i="36"/>
  <c r="AU34" i="36" s="1"/>
  <c r="AU147" i="36" l="1"/>
  <c r="AV29" i="36"/>
  <c r="AV143" i="36"/>
  <c r="AV25" i="36"/>
  <c r="AV27" i="36" s="1"/>
  <c r="AU22" i="39"/>
  <c r="AU55" i="39" s="1"/>
  <c r="AU148" i="36" s="1"/>
  <c r="AU38" i="38"/>
  <c r="AU33" i="36"/>
  <c r="AU146" i="36" s="1"/>
  <c r="AU32" i="36"/>
  <c r="AV38" i="38" l="1"/>
  <c r="AV41" i="38" s="1"/>
  <c r="AV42" i="38" s="1"/>
  <c r="AU41" i="38"/>
  <c r="AV31" i="36"/>
  <c r="AV33" i="36" s="1"/>
  <c r="AV30" i="36"/>
  <c r="AV32" i="36" s="1"/>
  <c r="AV34" i="36" l="1"/>
  <c r="AV146" i="36"/>
  <c r="AV36" i="36"/>
  <c r="AU42" i="38"/>
  <c r="AU62" i="38"/>
  <c r="AV147" i="36" l="1"/>
  <c r="AU12" i="38"/>
  <c r="AV12" i="38" s="1"/>
  <c r="AU7" i="38"/>
  <c r="AU17" i="38"/>
  <c r="AU24" i="39" l="1"/>
  <c r="AV7" i="38"/>
  <c r="AU26" i="39"/>
  <c r="AV26" i="39" s="1"/>
  <c r="AV17" i="38"/>
  <c r="AU27" i="39" l="1"/>
  <c r="AU39" i="39" s="1"/>
  <c r="AU41" i="39" s="1"/>
  <c r="AU6" i="38" s="1"/>
  <c r="AV24" i="39"/>
  <c r="AV27" i="39" s="1"/>
  <c r="AV39" i="39" s="1"/>
  <c r="AV41" i="39" s="1"/>
  <c r="AU11" i="38" l="1"/>
  <c r="AU20" i="38" s="1"/>
  <c r="AU43" i="38" s="1"/>
  <c r="AU46" i="39"/>
  <c r="AU48" i="39" s="1"/>
  <c r="AV6" i="38"/>
  <c r="AV11" i="38" l="1"/>
  <c r="AV20" i="38" s="1"/>
  <c r="AV43" i="38" s="1"/>
  <c r="AV46" i="39"/>
  <c r="AV48" i="39" s="1"/>
  <c r="V133" i="44" l="1"/>
  <c r="V78" i="44"/>
  <c r="W95" i="41"/>
  <c r="V95" i="44"/>
  <c r="V92" i="41"/>
  <c r="W78" i="41"/>
  <c r="W79" i="41" s="1"/>
  <c r="W79" i="44" s="1"/>
  <c r="W78" i="44"/>
  <c r="V133" i="41"/>
  <c r="V77" i="41"/>
  <c r="V77" i="44" s="1"/>
  <c r="V79" i="41"/>
  <c r="V79" i="44" s="1"/>
  <c r="V93" i="44" l="1"/>
  <c r="V97" i="44"/>
  <c r="W97" i="41"/>
  <c r="W96" i="41"/>
  <c r="W96" i="44" s="1"/>
  <c r="W95" i="44"/>
  <c r="W92" i="41"/>
  <c r="W93" i="41"/>
  <c r="V92" i="44"/>
  <c r="AA77" i="41"/>
  <c r="V103" i="41"/>
  <c r="V103" i="44" s="1"/>
  <c r="V105" i="41" l="1"/>
  <c r="V100" i="44"/>
  <c r="W100" i="41"/>
  <c r="W93" i="44"/>
  <c r="W103" i="41"/>
  <c r="W103" i="44" s="1"/>
  <c r="W94" i="41"/>
  <c r="W94" i="44" s="1"/>
  <c r="W98" i="41"/>
  <c r="W98" i="44" s="1"/>
  <c r="W97" i="44"/>
  <c r="AF77" i="41"/>
  <c r="AA78" i="41"/>
  <c r="AA77" i="44"/>
  <c r="W92" i="44"/>
  <c r="W82" i="41"/>
  <c r="W82" i="44" s="1"/>
  <c r="AA92" i="41" l="1"/>
  <c r="AA78" i="44"/>
  <c r="AB78" i="41"/>
  <c r="AA95" i="41"/>
  <c r="AA79" i="41"/>
  <c r="AA79" i="44" s="1"/>
  <c r="AA5" i="41"/>
  <c r="AA133" i="41"/>
  <c r="AF77" i="44"/>
  <c r="AK77" i="41"/>
  <c r="AF78" i="41"/>
  <c r="W100" i="44"/>
  <c r="W101" i="41"/>
  <c r="W101" i="44" s="1"/>
  <c r="V137" i="41"/>
  <c r="V105" i="44"/>
  <c r="V137" i="44" s="1"/>
  <c r="V106" i="41"/>
  <c r="V106" i="44" s="1"/>
  <c r="W105" i="41"/>
  <c r="AB5" i="41" l="1"/>
  <c r="AA8" i="41"/>
  <c r="AA5" i="44"/>
  <c r="W105" i="44"/>
  <c r="W106" i="41"/>
  <c r="W106" i="44" s="1"/>
  <c r="AG78" i="41"/>
  <c r="AF79" i="41"/>
  <c r="AF79" i="44" s="1"/>
  <c r="AF95" i="41"/>
  <c r="AF92" i="41"/>
  <c r="AF78" i="44"/>
  <c r="AF5" i="41"/>
  <c r="AF133" i="41"/>
  <c r="AA133" i="44"/>
  <c r="AK77" i="44"/>
  <c r="AP77" i="41"/>
  <c r="AK78" i="41"/>
  <c r="AB95" i="41"/>
  <c r="AA95" i="44"/>
  <c r="AA10" i="41"/>
  <c r="AB78" i="44"/>
  <c r="AB79" i="41"/>
  <c r="AB79" i="44" s="1"/>
  <c r="AA92" i="44"/>
  <c r="AA100" i="41"/>
  <c r="AA97" i="41"/>
  <c r="AB92" i="41"/>
  <c r="AA93" i="41"/>
  <c r="AU77" i="41" l="1"/>
  <c r="AP77" i="44"/>
  <c r="AP78" i="41"/>
  <c r="AA11" i="41"/>
  <c r="AB97" i="41"/>
  <c r="AA97" i="44"/>
  <c r="AG92" i="41"/>
  <c r="AF100" i="41"/>
  <c r="AF97" i="41"/>
  <c r="AF92" i="44"/>
  <c r="AF93" i="41"/>
  <c r="AA103" i="41"/>
  <c r="AB93" i="41"/>
  <c r="AA9" i="41"/>
  <c r="AA93" i="44"/>
  <c r="AB92" i="44"/>
  <c r="AB82" i="41"/>
  <c r="AB82" i="44" s="1"/>
  <c r="AF95" i="44"/>
  <c r="AF10" i="41"/>
  <c r="AG95" i="41"/>
  <c r="AB10" i="41"/>
  <c r="AA10" i="44"/>
  <c r="AK92" i="41"/>
  <c r="AK95" i="41"/>
  <c r="AL78" i="41"/>
  <c r="AK78" i="44"/>
  <c r="AK5" i="41"/>
  <c r="AK133" i="41"/>
  <c r="AK79" i="41"/>
  <c r="AK79" i="44" s="1"/>
  <c r="AF133" i="44"/>
  <c r="AG79" i="41"/>
  <c r="AG79" i="44" s="1"/>
  <c r="AG78" i="44"/>
  <c r="AA140" i="41"/>
  <c r="AA140" i="44" s="1"/>
  <c r="AA8" i="44"/>
  <c r="AA25" i="43"/>
  <c r="AA8" i="42"/>
  <c r="AA12" i="43"/>
  <c r="AF8" i="41"/>
  <c r="AG5" i="41"/>
  <c r="AF5" i="44"/>
  <c r="AA13" i="41"/>
  <c r="AA100" i="44"/>
  <c r="AB100" i="41"/>
  <c r="AB96" i="41"/>
  <c r="AB96" i="44" s="1"/>
  <c r="AB95" i="44"/>
  <c r="AB5" i="44"/>
  <c r="AB8" i="41"/>
  <c r="AA15" i="44" l="1"/>
  <c r="AA103" i="44"/>
  <c r="AA105" i="41"/>
  <c r="AB25" i="43"/>
  <c r="AA25" i="46"/>
  <c r="AA14" i="42"/>
  <c r="AA9" i="42"/>
  <c r="AA22" i="42"/>
  <c r="AA9" i="44"/>
  <c r="AB9" i="41"/>
  <c r="AB9" i="44" s="1"/>
  <c r="AL5" i="41"/>
  <c r="AK5" i="44"/>
  <c r="AK133" i="44" s="1"/>
  <c r="AK8" i="41"/>
  <c r="AB98" i="41"/>
  <c r="AB98" i="44" s="1"/>
  <c r="AB97" i="44"/>
  <c r="AB94" i="41"/>
  <c r="AB94" i="44" s="1"/>
  <c r="AB103" i="41"/>
  <c r="AB103" i="44" s="1"/>
  <c r="AB93" i="44"/>
  <c r="AL95" i="41"/>
  <c r="AK10" i="41"/>
  <c r="AK95" i="44"/>
  <c r="AF8" i="42"/>
  <c r="AF140" i="41"/>
  <c r="AF140" i="44" s="1"/>
  <c r="AF12" i="43"/>
  <c r="AF8" i="44"/>
  <c r="AF25" i="43"/>
  <c r="AG82" i="41"/>
  <c r="AG82" i="44" s="1"/>
  <c r="AG92" i="44"/>
  <c r="AA11" i="44"/>
  <c r="AB11" i="41"/>
  <c r="AB11" i="44" s="1"/>
  <c r="AG5" i="44"/>
  <c r="AG8" i="41"/>
  <c r="AL92" i="41"/>
  <c r="AK93" i="41"/>
  <c r="AK92" i="44"/>
  <c r="AK100" i="41"/>
  <c r="AK97" i="41"/>
  <c r="AA8" i="45"/>
  <c r="AB8" i="42"/>
  <c r="AB8" i="45" s="1"/>
  <c r="AC15" i="43"/>
  <c r="AA15" i="43"/>
  <c r="AP5" i="41"/>
  <c r="AP92" i="41"/>
  <c r="AP78" i="44"/>
  <c r="AP95" i="41"/>
  <c r="AP79" i="41"/>
  <c r="AP79" i="44" s="1"/>
  <c r="AQ78" i="41"/>
  <c r="AQ78" i="44" s="1"/>
  <c r="AB100" i="44"/>
  <c r="AB101" i="41"/>
  <c r="AB101" i="44" s="1"/>
  <c r="AA13" i="44"/>
  <c r="AB13" i="41"/>
  <c r="AB13" i="44" s="1"/>
  <c r="AF11" i="41"/>
  <c r="AG97" i="41"/>
  <c r="AF97" i="44"/>
  <c r="AA35" i="43"/>
  <c r="AA37" i="42" s="1"/>
  <c r="AB12" i="43"/>
  <c r="AB12" i="46" s="1"/>
  <c r="AA12" i="46"/>
  <c r="AG10" i="41"/>
  <c r="AF10" i="44"/>
  <c r="AF93" i="44"/>
  <c r="AF9" i="41"/>
  <c r="AG93" i="41"/>
  <c r="AL78" i="44"/>
  <c r="AL79" i="41"/>
  <c r="AL79" i="44" s="1"/>
  <c r="AF100" i="44"/>
  <c r="AF13" i="41"/>
  <c r="AG100" i="41"/>
  <c r="AB10" i="44"/>
  <c r="AG95" i="44"/>
  <c r="AG96" i="41"/>
  <c r="AG96" i="44" s="1"/>
  <c r="AB140" i="41"/>
  <c r="AB140" i="44" s="1"/>
  <c r="AB8" i="44"/>
  <c r="AU78" i="41"/>
  <c r="AU77" i="44"/>
  <c r="AA17" i="41" l="1"/>
  <c r="AA23" i="41" s="1"/>
  <c r="AB37" i="42"/>
  <c r="AA37" i="45"/>
  <c r="AH15" i="43"/>
  <c r="AF15" i="43"/>
  <c r="AF15" i="46" s="1"/>
  <c r="AG8" i="42"/>
  <c r="AG8" i="45" s="1"/>
  <c r="AF8" i="45"/>
  <c r="AG25" i="43"/>
  <c r="AF25" i="46"/>
  <c r="AB14" i="42"/>
  <c r="AA14" i="45"/>
  <c r="AK8" i="42"/>
  <c r="AK12" i="43"/>
  <c r="AK140" i="41"/>
  <c r="AK140" i="44" s="1"/>
  <c r="AK25" i="43"/>
  <c r="AK8" i="44"/>
  <c r="AG94" i="41"/>
  <c r="AG94" i="44" s="1"/>
  <c r="AG93" i="44"/>
  <c r="AC15" i="46"/>
  <c r="AG100" i="44"/>
  <c r="AG101" i="41"/>
  <c r="AG101" i="44" s="1"/>
  <c r="AL82" i="41"/>
  <c r="AL82" i="44" s="1"/>
  <c r="AL92" i="44"/>
  <c r="AL10" i="41"/>
  <c r="AK10" i="44"/>
  <c r="AB25" i="46"/>
  <c r="AB56" i="43"/>
  <c r="AB56" i="46" s="1"/>
  <c r="AG10" i="44"/>
  <c r="AQ92" i="41"/>
  <c r="AQ92" i="44" s="1"/>
  <c r="AP92" i="44"/>
  <c r="AP93" i="41"/>
  <c r="AP100" i="41"/>
  <c r="AP97" i="41"/>
  <c r="AA15" i="46"/>
  <c r="AB15" i="43"/>
  <c r="AB15" i="46" s="1"/>
  <c r="AG12" i="43"/>
  <c r="AG12" i="46" s="1"/>
  <c r="AF12" i="46"/>
  <c r="AK97" i="44"/>
  <c r="AL97" i="41"/>
  <c r="AK11" i="41"/>
  <c r="AC16" i="43"/>
  <c r="AA16" i="43"/>
  <c r="AB9" i="42"/>
  <c r="AB9" i="45" s="1"/>
  <c r="AA9" i="45"/>
  <c r="AL96" i="41"/>
  <c r="AL96" i="44" s="1"/>
  <c r="AL95" i="44"/>
  <c r="AB105" i="41"/>
  <c r="AA105" i="44"/>
  <c r="AA137" i="41"/>
  <c r="AA106" i="41"/>
  <c r="AA106" i="44" s="1"/>
  <c r="AA37" i="43"/>
  <c r="AC35" i="43"/>
  <c r="AC37" i="42" s="1"/>
  <c r="AA35" i="46"/>
  <c r="AB35" i="43"/>
  <c r="AG97" i="44"/>
  <c r="AG98" i="41"/>
  <c r="AG98" i="44" s="1"/>
  <c r="AK13" i="41"/>
  <c r="AK100" i="44"/>
  <c r="AL100" i="41"/>
  <c r="AF9" i="42"/>
  <c r="AF22" i="42"/>
  <c r="AF9" i="44"/>
  <c r="AG9" i="41"/>
  <c r="AG9" i="44" s="1"/>
  <c r="AG8" i="44"/>
  <c r="AG140" i="41"/>
  <c r="AG140" i="44" s="1"/>
  <c r="AQ5" i="41"/>
  <c r="AP5" i="44"/>
  <c r="AP133" i="44" s="1"/>
  <c r="AP8" i="41"/>
  <c r="AL5" i="44"/>
  <c r="AL8" i="41"/>
  <c r="AG13" i="41"/>
  <c r="AG13" i="44" s="1"/>
  <c r="AF13" i="44"/>
  <c r="AA30" i="42"/>
  <c r="AC18" i="43"/>
  <c r="AA18" i="43"/>
  <c r="AB22" i="42"/>
  <c r="AA22" i="45"/>
  <c r="AP133" i="41"/>
  <c r="AA17" i="44"/>
  <c r="AA141" i="41"/>
  <c r="AA141" i="44" s="1"/>
  <c r="AA19" i="41"/>
  <c r="AG11" i="41"/>
  <c r="AG11" i="44" s="1"/>
  <c r="AF11" i="44"/>
  <c r="AK93" i="44"/>
  <c r="AK9" i="41"/>
  <c r="AL93" i="41"/>
  <c r="AU78" i="44"/>
  <c r="AU5" i="41"/>
  <c r="AU133" i="41"/>
  <c r="AU79" i="41"/>
  <c r="AU79" i="44" s="1"/>
  <c r="AV78" i="41"/>
  <c r="AV78" i="44" s="1"/>
  <c r="AU92" i="41"/>
  <c r="AU95" i="41"/>
  <c r="AP10" i="41"/>
  <c r="AQ95" i="41"/>
  <c r="AP95" i="44"/>
  <c r="AG15" i="43" l="1"/>
  <c r="AG15" i="46" s="1"/>
  <c r="AC37" i="45"/>
  <c r="AA19" i="44"/>
  <c r="AA142" i="41"/>
  <c r="AA142" i="44" s="1"/>
  <c r="AK8" i="45"/>
  <c r="AL8" i="42"/>
  <c r="AL8" i="45" s="1"/>
  <c r="AM15" i="43"/>
  <c r="AK15" i="43"/>
  <c r="AK15" i="46" s="1"/>
  <c r="AQ5" i="44"/>
  <c r="AQ8" i="41"/>
  <c r="AG25" i="46"/>
  <c r="AG56" i="43"/>
  <c r="AG56" i="46" s="1"/>
  <c r="AB37" i="43"/>
  <c r="AB35" i="46"/>
  <c r="AA24" i="41"/>
  <c r="AA25" i="41" s="1"/>
  <c r="AA27" i="41" s="1"/>
  <c r="AA33" i="41" s="1"/>
  <c r="AA23" i="44"/>
  <c r="AA37" i="46"/>
  <c r="AB14" i="45"/>
  <c r="AC7" i="43"/>
  <c r="AQ97" i="41"/>
  <c r="AP11" i="41"/>
  <c r="AP97" i="44"/>
  <c r="AU100" i="41"/>
  <c r="AU97" i="41"/>
  <c r="AU93" i="41"/>
  <c r="AV92" i="41"/>
  <c r="AV92" i="44" s="1"/>
  <c r="AU92" i="44"/>
  <c r="AK12" i="46"/>
  <c r="AL12" i="43"/>
  <c r="AL12" i="46" s="1"/>
  <c r="AL10" i="44"/>
  <c r="AB30" i="42"/>
  <c r="AB22" i="45"/>
  <c r="AH15" i="46"/>
  <c r="AP25" i="43"/>
  <c r="AP12" i="43"/>
  <c r="AP8" i="42"/>
  <c r="AP140" i="41"/>
  <c r="AP140" i="44" s="1"/>
  <c r="AP8" i="44"/>
  <c r="AA137" i="44"/>
  <c r="AB16" i="43"/>
  <c r="AB16" i="46" s="1"/>
  <c r="AA16" i="46"/>
  <c r="AQ95" i="44"/>
  <c r="AQ96" i="41"/>
  <c r="AQ96" i="44" s="1"/>
  <c r="AB105" i="44"/>
  <c r="AB106" i="41"/>
  <c r="AB106" i="44" s="1"/>
  <c r="AQ93" i="41"/>
  <c r="AP93" i="44"/>
  <c r="AP9" i="41"/>
  <c r="AB18" i="43"/>
  <c r="AB18" i="46" s="1"/>
  <c r="AA18" i="46"/>
  <c r="AV5" i="41"/>
  <c r="AU5" i="44"/>
  <c r="AU133" i="44" s="1"/>
  <c r="AU8" i="41"/>
  <c r="AL101" i="41"/>
  <c r="AL101" i="44" s="1"/>
  <c r="AL100" i="44"/>
  <c r="AL94" i="41"/>
  <c r="AL94" i="44" s="1"/>
  <c r="AL93" i="44"/>
  <c r="AL13" i="41"/>
  <c r="AL13" i="44" s="1"/>
  <c r="AK13" i="44"/>
  <c r="AC16" i="46"/>
  <c r="AC37" i="43"/>
  <c r="AD35" i="43"/>
  <c r="AC35" i="46"/>
  <c r="AU95" i="44"/>
  <c r="AV95" i="41"/>
  <c r="AU10" i="41"/>
  <c r="AP13" i="41"/>
  <c r="AQ100" i="41"/>
  <c r="AP100" i="44"/>
  <c r="AH18" i="43"/>
  <c r="AG22" i="42"/>
  <c r="AF18" i="43"/>
  <c r="AF18" i="46" s="1"/>
  <c r="AF22" i="45"/>
  <c r="AF30" i="42"/>
  <c r="AH16" i="43"/>
  <c r="AF16" i="43"/>
  <c r="AF16" i="46" s="1"/>
  <c r="AF9" i="45"/>
  <c r="AG9" i="42"/>
  <c r="AG9" i="45" s="1"/>
  <c r="AK22" i="42"/>
  <c r="AK9" i="42"/>
  <c r="AL9" i="41"/>
  <c r="AL9" i="44" s="1"/>
  <c r="AK9" i="44"/>
  <c r="AL11" i="41"/>
  <c r="AL11" i="44" s="1"/>
  <c r="AK11" i="44"/>
  <c r="AL25" i="43"/>
  <c r="AK25" i="46"/>
  <c r="AB15" i="44"/>
  <c r="AP10" i="44"/>
  <c r="AQ10" i="41"/>
  <c r="AG18" i="43"/>
  <c r="AG18" i="46" s="1"/>
  <c r="AC18" i="46"/>
  <c r="AA35" i="42"/>
  <c r="AA35" i="45" s="1"/>
  <c r="AA30" i="45"/>
  <c r="AL8" i="44"/>
  <c r="AL140" i="41"/>
  <c r="AL140" i="44" s="1"/>
  <c r="AL65" i="43"/>
  <c r="AL65" i="46" s="1"/>
  <c r="AL98" i="41"/>
  <c r="AL98" i="44" s="1"/>
  <c r="AL97" i="44"/>
  <c r="AB37" i="45"/>
  <c r="AA29" i="41" l="1"/>
  <c r="AV96" i="41"/>
  <c r="AV96" i="44" s="1"/>
  <c r="AV95" i="44"/>
  <c r="AU97" i="44"/>
  <c r="AV97" i="41"/>
  <c r="AU11" i="41"/>
  <c r="AR15" i="43"/>
  <c r="AP8" i="45"/>
  <c r="AP15" i="43"/>
  <c r="AP15" i="46" s="1"/>
  <c r="AQ8" i="42"/>
  <c r="AQ8" i="45" s="1"/>
  <c r="AB37" i="46"/>
  <c r="AL22" i="42"/>
  <c r="AM18" i="43"/>
  <c r="AK22" i="45"/>
  <c r="AK18" i="43"/>
  <c r="AK18" i="46" s="1"/>
  <c r="AK30" i="42"/>
  <c r="AQ10" i="44"/>
  <c r="AM15" i="46"/>
  <c r="AV10" i="41"/>
  <c r="AU10" i="44"/>
  <c r="AV100" i="41"/>
  <c r="AU100" i="44"/>
  <c r="AU13" i="41"/>
  <c r="AD37" i="43"/>
  <c r="AD35" i="46"/>
  <c r="AE35" i="43"/>
  <c r="AQ97" i="44"/>
  <c r="AQ98" i="41"/>
  <c r="AQ98" i="44" s="1"/>
  <c r="AU140" i="41"/>
  <c r="AU140" i="44" s="1"/>
  <c r="AU8" i="44"/>
  <c r="AU25" i="43"/>
  <c r="AU8" i="42"/>
  <c r="AU12" i="43"/>
  <c r="AQ12" i="43"/>
  <c r="AQ12" i="46" s="1"/>
  <c r="AP12" i="46"/>
  <c r="AF30" i="45"/>
  <c r="AF35" i="42"/>
  <c r="AF35" i="45" s="1"/>
  <c r="AC127" i="41"/>
  <c r="AC7" i="46"/>
  <c r="AC66" i="41"/>
  <c r="AC99" i="41"/>
  <c r="AC14" i="42"/>
  <c r="AP9" i="42"/>
  <c r="AQ9" i="41"/>
  <c r="AQ9" i="44" s="1"/>
  <c r="AP9" i="44"/>
  <c r="AP22" i="42"/>
  <c r="AM16" i="43"/>
  <c r="AK16" i="43"/>
  <c r="AK16" i="46" s="1"/>
  <c r="AL9" i="42"/>
  <c r="AL9" i="45" s="1"/>
  <c r="AK9" i="45"/>
  <c r="AV5" i="44"/>
  <c r="AV8" i="41"/>
  <c r="AQ11" i="41"/>
  <c r="AQ11" i="44" s="1"/>
  <c r="AP11" i="44"/>
  <c r="AL15" i="43"/>
  <c r="AL15" i="46" s="1"/>
  <c r="AB30" i="45"/>
  <c r="AB35" i="42"/>
  <c r="AB35" i="45" s="1"/>
  <c r="AA29" i="44"/>
  <c r="AA34" i="41"/>
  <c r="AQ13" i="41"/>
  <c r="AQ13" i="44" s="1"/>
  <c r="AP13" i="44"/>
  <c r="AU9" i="41"/>
  <c r="AV93" i="41"/>
  <c r="AU93" i="44"/>
  <c r="AP25" i="46"/>
  <c r="AQ25" i="43"/>
  <c r="AQ93" i="44"/>
  <c r="AQ94" i="41"/>
  <c r="AQ94" i="44" s="1"/>
  <c r="AG30" i="42"/>
  <c r="AG22" i="45"/>
  <c r="AQ140" i="41"/>
  <c r="AQ140" i="44" s="1"/>
  <c r="AQ8" i="44"/>
  <c r="AG16" i="43"/>
  <c r="AG16" i="46" s="1"/>
  <c r="AB17" i="44"/>
  <c r="AB141" i="41"/>
  <c r="AB141" i="44" s="1"/>
  <c r="AL56" i="43"/>
  <c r="AL56" i="46" s="1"/>
  <c r="AL25" i="46"/>
  <c r="AH18" i="46"/>
  <c r="AD37" i="42"/>
  <c r="AC37" i="46"/>
  <c r="AA6" i="43"/>
  <c r="AA25" i="44"/>
  <c r="AH16" i="46"/>
  <c r="AQ100" i="44"/>
  <c r="AQ101" i="41"/>
  <c r="AQ101" i="44" s="1"/>
  <c r="AA24" i="44"/>
  <c r="AB24" i="41"/>
  <c r="AB25" i="41" s="1"/>
  <c r="AB27" i="41" s="1"/>
  <c r="AP16" i="43" l="1"/>
  <c r="AP16" i="46" s="1"/>
  <c r="AP9" i="45"/>
  <c r="AR16" i="43"/>
  <c r="AQ9" i="42"/>
  <c r="AQ9" i="45" s="1"/>
  <c r="AK30" i="45"/>
  <c r="AK35" i="42"/>
  <c r="AK35" i="45" s="1"/>
  <c r="AC70" i="41"/>
  <c r="AC12" i="41"/>
  <c r="AC66" i="44"/>
  <c r="AM18" i="46"/>
  <c r="AL18" i="43"/>
  <c r="AL18" i="46" s="1"/>
  <c r="AC103" i="41"/>
  <c r="AC99" i="44"/>
  <c r="AE37" i="42"/>
  <c r="AD37" i="45"/>
  <c r="AE37" i="43"/>
  <c r="AF35" i="43"/>
  <c r="AE35" i="46"/>
  <c r="AG35" i="43"/>
  <c r="AV10" i="44"/>
  <c r="AR15" i="46"/>
  <c r="AA34" i="44"/>
  <c r="AA147" i="41"/>
  <c r="AA147" i="44" s="1"/>
  <c r="AG30" i="45"/>
  <c r="AG35" i="42"/>
  <c r="AG35" i="45" s="1"/>
  <c r="AV13" i="41"/>
  <c r="AV13" i="44" s="1"/>
  <c r="AU13" i="44"/>
  <c r="AV140" i="41"/>
  <c r="AV140" i="44" s="1"/>
  <c r="AV8" i="44"/>
  <c r="AV12" i="43"/>
  <c r="AV12" i="46" s="1"/>
  <c r="AU12" i="46"/>
  <c r="AV11" i="41"/>
  <c r="AV11" i="44" s="1"/>
  <c r="AU11" i="44"/>
  <c r="AA32" i="41"/>
  <c r="AA32" i="44" s="1"/>
  <c r="AA27" i="44"/>
  <c r="AC130" i="41"/>
  <c r="AC127" i="44"/>
  <c r="AV100" i="44"/>
  <c r="AV101" i="41"/>
  <c r="AV101" i="44" s="1"/>
  <c r="AV94" i="41"/>
  <c r="AV94" i="44" s="1"/>
  <c r="AV93" i="44"/>
  <c r="AQ16" i="43"/>
  <c r="AQ16" i="46" s="1"/>
  <c r="AM16" i="46"/>
  <c r="AV8" i="42"/>
  <c r="AV8" i="45" s="1"/>
  <c r="AU15" i="43"/>
  <c r="AU15" i="46" s="1"/>
  <c r="AU8" i="45"/>
  <c r="AV97" i="44"/>
  <c r="AV98" i="41"/>
  <c r="AV98" i="44" s="1"/>
  <c r="AL30" i="42"/>
  <c r="AL22" i="45"/>
  <c r="AB24" i="44"/>
  <c r="AB143" i="41"/>
  <c r="AB143" i="44" s="1"/>
  <c r="AB23" i="44"/>
  <c r="AU22" i="42"/>
  <c r="AV9" i="41"/>
  <c r="AV9" i="44" s="1"/>
  <c r="AU9" i="44"/>
  <c r="AU9" i="42"/>
  <c r="AP30" i="42"/>
  <c r="AQ22" i="42"/>
  <c r="AP18" i="43"/>
  <c r="AP18" i="46" s="1"/>
  <c r="AP22" i="45"/>
  <c r="AR18" i="43"/>
  <c r="AV25" i="43"/>
  <c r="AU25" i="46"/>
  <c r="AQ15" i="43"/>
  <c r="AQ15" i="46" s="1"/>
  <c r="AA22" i="43"/>
  <c r="AA38" i="42"/>
  <c r="AB6" i="43"/>
  <c r="AA6" i="46"/>
  <c r="AQ25" i="46"/>
  <c r="AQ56" i="43"/>
  <c r="AQ56" i="46" s="1"/>
  <c r="AB19" i="44"/>
  <c r="AB29" i="41"/>
  <c r="AB65" i="42"/>
  <c r="AB142" i="41"/>
  <c r="AB142" i="44" s="1"/>
  <c r="AD7" i="43"/>
  <c r="AD14" i="42" s="1"/>
  <c r="AC14" i="45"/>
  <c r="AD37" i="46"/>
  <c r="AL16" i="43"/>
  <c r="AL16" i="46" s="1"/>
  <c r="AQ18" i="43" l="1"/>
  <c r="AQ18" i="46" s="1"/>
  <c r="AD127" i="41"/>
  <c r="AD127" i="44" s="1"/>
  <c r="AC130" i="44"/>
  <c r="AC131" i="41"/>
  <c r="AC131" i="44" s="1"/>
  <c r="AA33" i="44"/>
  <c r="AA146" i="41"/>
  <c r="AA146" i="44" s="1"/>
  <c r="AD7" i="46"/>
  <c r="AP30" i="45"/>
  <c r="AP35" i="42"/>
  <c r="AP35" i="45" s="1"/>
  <c r="AC70" i="44"/>
  <c r="AC71" i="41"/>
  <c r="AC103" i="44"/>
  <c r="AC105" i="41"/>
  <c r="AV9" i="42"/>
  <c r="AV9" i="45" s="1"/>
  <c r="AU16" i="43"/>
  <c r="AU16" i="46" s="1"/>
  <c r="AU9" i="45"/>
  <c r="AD66" i="41"/>
  <c r="AD130" i="41"/>
  <c r="AD14" i="45"/>
  <c r="AE7" i="43"/>
  <c r="AE7" i="46" s="1"/>
  <c r="AV25" i="46"/>
  <c r="AV56" i="43"/>
  <c r="AV56" i="46" s="1"/>
  <c r="AG37" i="43"/>
  <c r="AG35" i="46"/>
  <c r="AF37" i="42"/>
  <c r="AE37" i="45"/>
  <c r="AA55" i="43"/>
  <c r="AA22" i="46"/>
  <c r="AV15" i="43"/>
  <c r="AV15" i="46" s="1"/>
  <c r="AC15" i="41"/>
  <c r="AC12" i="44"/>
  <c r="AB29" i="44"/>
  <c r="AR16" i="46"/>
  <c r="AR18" i="46"/>
  <c r="AB65" i="45"/>
  <c r="AB64" i="42"/>
  <c r="AB64" i="45" s="1"/>
  <c r="AE37" i="46"/>
  <c r="AV22" i="42"/>
  <c r="AU22" i="45"/>
  <c r="AU30" i="42"/>
  <c r="AU18" i="43"/>
  <c r="AU18" i="46" s="1"/>
  <c r="AB22" i="43"/>
  <c r="AB6" i="46"/>
  <c r="AB25" i="44"/>
  <c r="AL35" i="42"/>
  <c r="AL35" i="45" s="1"/>
  <c r="AL30" i="45"/>
  <c r="AQ30" i="42"/>
  <c r="AQ22" i="45"/>
  <c r="AF37" i="43"/>
  <c r="AF35" i="46"/>
  <c r="AH35" i="43"/>
  <c r="AB38" i="42"/>
  <c r="AA38" i="45"/>
  <c r="AA41" i="42"/>
  <c r="AD99" i="41"/>
  <c r="AV18" i="43" l="1"/>
  <c r="AV18" i="46" s="1"/>
  <c r="AA55" i="46"/>
  <c r="AA148" i="41"/>
  <c r="AA148" i="44" s="1"/>
  <c r="AA42" i="42"/>
  <c r="AA41" i="45"/>
  <c r="AA62" i="42"/>
  <c r="AA62" i="45" s="1"/>
  <c r="AG37" i="46"/>
  <c r="AD12" i="41"/>
  <c r="AD66" i="44"/>
  <c r="AE66" i="41"/>
  <c r="AD70" i="41"/>
  <c r="AV22" i="45"/>
  <c r="AV30" i="42"/>
  <c r="AB31" i="41"/>
  <c r="AB33" i="41" s="1"/>
  <c r="AB30" i="41"/>
  <c r="AB30" i="44" s="1"/>
  <c r="AB27" i="44"/>
  <c r="AC106" i="41"/>
  <c r="AC106" i="44" s="1"/>
  <c r="AC105" i="44"/>
  <c r="AG37" i="42"/>
  <c r="AH37" i="42"/>
  <c r="AF37" i="45"/>
  <c r="AC71" i="44"/>
  <c r="AC72" i="41"/>
  <c r="AC72" i="44" s="1"/>
  <c r="AE127" i="41"/>
  <c r="AB38" i="45"/>
  <c r="AB41" i="42"/>
  <c r="AH37" i="43"/>
  <c r="AI35" i="43"/>
  <c r="AH35" i="46"/>
  <c r="AF37" i="46"/>
  <c r="AQ30" i="45"/>
  <c r="AQ35" i="42"/>
  <c r="AQ35" i="45" s="1"/>
  <c r="AV16" i="43"/>
  <c r="AV16" i="46" s="1"/>
  <c r="AB22" i="46"/>
  <c r="AB55" i="43"/>
  <c r="AC17" i="41"/>
  <c r="AC15" i="44"/>
  <c r="AU35" i="42"/>
  <c r="AU35" i="45" s="1"/>
  <c r="AU30" i="45"/>
  <c r="AE14" i="42"/>
  <c r="AE99" i="41"/>
  <c r="AD99" i="44"/>
  <c r="AD103" i="41"/>
  <c r="AD130" i="44"/>
  <c r="AD131" i="41"/>
  <c r="AD131" i="44" s="1"/>
  <c r="AB32" i="41" l="1"/>
  <c r="AB32" i="44" s="1"/>
  <c r="AE130" i="41"/>
  <c r="AE127" i="44"/>
  <c r="AV30" i="45"/>
  <c r="AV35" i="42"/>
  <c r="AV35" i="45" s="1"/>
  <c r="AE12" i="41"/>
  <c r="AE66" i="44"/>
  <c r="AE70" i="41"/>
  <c r="AC17" i="44"/>
  <c r="AC137" i="44" s="1"/>
  <c r="AC141" i="41"/>
  <c r="AC141" i="44" s="1"/>
  <c r="AC19" i="41"/>
  <c r="AD15" i="41"/>
  <c r="AD12" i="44"/>
  <c r="AD71" i="41"/>
  <c r="AD70" i="44"/>
  <c r="AG37" i="45"/>
  <c r="AC137" i="41"/>
  <c r="AH37" i="45"/>
  <c r="AI37" i="42"/>
  <c r="AD105" i="41"/>
  <c r="AD103" i="44"/>
  <c r="AE99" i="44"/>
  <c r="AF99" i="41"/>
  <c r="AE103" i="41"/>
  <c r="AH37" i="46"/>
  <c r="AA7" i="42"/>
  <c r="AA42" i="45"/>
  <c r="AA17" i="42"/>
  <c r="AA12" i="42"/>
  <c r="AB31" i="44"/>
  <c r="AB34" i="41"/>
  <c r="AB55" i="46"/>
  <c r="AB148" i="41"/>
  <c r="AB148" i="44" s="1"/>
  <c r="AE14" i="45"/>
  <c r="AF7" i="43"/>
  <c r="AF14" i="42" s="1"/>
  <c r="AB42" i="42"/>
  <c r="AB41" i="45"/>
  <c r="AI37" i="43"/>
  <c r="AI35" i="46"/>
  <c r="AJ35" i="43"/>
  <c r="AF99" i="44" l="1"/>
  <c r="AF103" i="41"/>
  <c r="AG99" i="41"/>
  <c r="AF7" i="46"/>
  <c r="AG7" i="43"/>
  <c r="AG7" i="46" s="1"/>
  <c r="AB42" i="45"/>
  <c r="AE15" i="41"/>
  <c r="AE12" i="44"/>
  <c r="AD17" i="41"/>
  <c r="AD15" i="44"/>
  <c r="AB34" i="44"/>
  <c r="AB147" i="41"/>
  <c r="AB147" i="44" s="1"/>
  <c r="AF66" i="41"/>
  <c r="AA24" i="43"/>
  <c r="AA7" i="45"/>
  <c r="AB7" i="42"/>
  <c r="AB7" i="45" s="1"/>
  <c r="AE105" i="41"/>
  <c r="AE103" i="44"/>
  <c r="AC142" i="41"/>
  <c r="AC142" i="44" s="1"/>
  <c r="AC19" i="44"/>
  <c r="AD105" i="44"/>
  <c r="AD106" i="41"/>
  <c r="AD106" i="44" s="1"/>
  <c r="AA12" i="45"/>
  <c r="AB12" i="42"/>
  <c r="AB12" i="45" s="1"/>
  <c r="AA26" i="43"/>
  <c r="AB17" i="42"/>
  <c r="AB17" i="45" s="1"/>
  <c r="AA17" i="45"/>
  <c r="AD71" i="44"/>
  <c r="AD72" i="41"/>
  <c r="AD72" i="44" s="1"/>
  <c r="AG14" i="42"/>
  <c r="AF14" i="45"/>
  <c r="AE71" i="41"/>
  <c r="AE70" i="44"/>
  <c r="AF127" i="41"/>
  <c r="AI37" i="45"/>
  <c r="AJ37" i="42"/>
  <c r="AJ37" i="43"/>
  <c r="AK35" i="43"/>
  <c r="AJ35" i="46"/>
  <c r="AI37" i="46"/>
  <c r="AB146" i="41"/>
  <c r="AB146" i="44" s="1"/>
  <c r="AB36" i="41"/>
  <c r="AB36" i="44" s="1"/>
  <c r="AB33" i="44"/>
  <c r="AE130" i="44"/>
  <c r="AE131" i="41"/>
  <c r="AE131" i="44" s="1"/>
  <c r="AF12" i="41" l="1"/>
  <c r="AF66" i="44"/>
  <c r="AF70" i="41"/>
  <c r="AG66" i="41"/>
  <c r="AK37" i="43"/>
  <c r="AM35" i="43"/>
  <c r="AK35" i="46"/>
  <c r="AL35" i="43"/>
  <c r="AA24" i="46"/>
  <c r="AA27" i="43"/>
  <c r="AB24" i="43"/>
  <c r="AB26" i="43"/>
  <c r="AB26" i="46" s="1"/>
  <c r="AA26" i="46"/>
  <c r="AD17" i="44"/>
  <c r="AD137" i="44" s="1"/>
  <c r="AD19" i="41"/>
  <c r="AD141" i="41"/>
  <c r="AD141" i="44" s="1"/>
  <c r="AE17" i="41"/>
  <c r="AE15" i="44"/>
  <c r="AG99" i="44"/>
  <c r="AG103" i="41"/>
  <c r="AG103" i="44" s="1"/>
  <c r="AE71" i="44"/>
  <c r="AE137" i="41"/>
  <c r="AE72" i="41"/>
  <c r="AE72" i="44" s="1"/>
  <c r="AE105" i="44"/>
  <c r="AE106" i="41"/>
  <c r="AE106" i="44" s="1"/>
  <c r="AF103" i="44"/>
  <c r="AF105" i="41"/>
  <c r="AJ37" i="46"/>
  <c r="AD137" i="41"/>
  <c r="AJ37" i="45"/>
  <c r="AK37" i="42"/>
  <c r="AF130" i="41"/>
  <c r="AF127" i="44"/>
  <c r="AG127" i="41"/>
  <c r="AH7" i="43"/>
  <c r="AH66" i="41" s="1"/>
  <c r="AG14" i="45"/>
  <c r="AH99" i="41"/>
  <c r="AH70" i="41" l="1"/>
  <c r="AH66" i="44"/>
  <c r="AB27" i="43"/>
  <c r="AB24" i="46"/>
  <c r="AH103" i="41"/>
  <c r="AH99" i="44"/>
  <c r="AG70" i="41"/>
  <c r="AG70" i="44" s="1"/>
  <c r="AG66" i="44"/>
  <c r="AE141" i="41"/>
  <c r="AE141" i="44" s="1"/>
  <c r="AE19" i="41"/>
  <c r="AE17" i="44"/>
  <c r="AE137" i="44" s="1"/>
  <c r="AF70" i="44"/>
  <c r="AF71" i="41"/>
  <c r="AH7" i="46"/>
  <c r="AH14" i="42"/>
  <c r="AM37" i="43"/>
  <c r="AM35" i="46"/>
  <c r="AN35" i="43"/>
  <c r="AK37" i="46"/>
  <c r="AH127" i="41"/>
  <c r="AF106" i="41"/>
  <c r="AF106" i="44" s="1"/>
  <c r="AF105" i="44"/>
  <c r="AG105" i="41"/>
  <c r="AA27" i="46"/>
  <c r="AA39" i="43"/>
  <c r="AL37" i="43"/>
  <c r="AL35" i="46"/>
  <c r="AG127" i="44"/>
  <c r="AG130" i="41"/>
  <c r="AF131" i="41"/>
  <c r="AF131" i="44" s="1"/>
  <c r="AF130" i="44"/>
  <c r="AL37" i="42"/>
  <c r="AM37" i="42"/>
  <c r="AK37" i="45"/>
  <c r="AD142" i="41"/>
  <c r="AD142" i="44" s="1"/>
  <c r="AD19" i="44"/>
  <c r="AF12" i="44"/>
  <c r="AF15" i="41"/>
  <c r="AG12" i="41"/>
  <c r="AM37" i="45" l="1"/>
  <c r="AN37" i="42"/>
  <c r="AL37" i="45"/>
  <c r="AH127" i="44"/>
  <c r="AH130" i="41"/>
  <c r="AN37" i="43"/>
  <c r="AN35" i="46"/>
  <c r="AO35" i="43"/>
  <c r="AM37" i="46"/>
  <c r="AG130" i="44"/>
  <c r="AG131" i="41"/>
  <c r="AG131" i="44" s="1"/>
  <c r="AL37" i="46"/>
  <c r="AH105" i="41"/>
  <c r="AH103" i="44"/>
  <c r="AA41" i="43"/>
  <c r="AA39" i="46"/>
  <c r="AF71" i="44"/>
  <c r="AF72" i="41"/>
  <c r="AF72" i="44" s="1"/>
  <c r="AG71" i="41"/>
  <c r="AH12" i="41"/>
  <c r="AI7" i="43"/>
  <c r="AI66" i="41" s="1"/>
  <c r="AH14" i="45"/>
  <c r="AB27" i="46"/>
  <c r="AB39" i="43"/>
  <c r="AG12" i="44"/>
  <c r="AG15" i="41"/>
  <c r="AF15" i="44"/>
  <c r="AF17" i="41"/>
  <c r="AF137" i="41" s="1"/>
  <c r="AG105" i="44"/>
  <c r="AG106" i="41"/>
  <c r="AG106" i="44" s="1"/>
  <c r="AE19" i="44"/>
  <c r="AE142" i="41"/>
  <c r="AE142" i="44" s="1"/>
  <c r="AH71" i="41"/>
  <c r="AH70" i="44"/>
  <c r="AI14" i="42" l="1"/>
  <c r="AI70" i="41"/>
  <c r="AI66" i="44"/>
  <c r="AI14" i="45"/>
  <c r="AJ7" i="43"/>
  <c r="AJ7" i="46" s="1"/>
  <c r="AO37" i="43"/>
  <c r="AP35" i="43"/>
  <c r="AO35" i="46"/>
  <c r="AQ35" i="43"/>
  <c r="AH15" i="41"/>
  <c r="AH12" i="44"/>
  <c r="AI99" i="41"/>
  <c r="AF141" i="41"/>
  <c r="AF141" i="44" s="1"/>
  <c r="AF19" i="41"/>
  <c r="AF17" i="44"/>
  <c r="AF137" i="44" s="1"/>
  <c r="AI127" i="41"/>
  <c r="AA41" i="46"/>
  <c r="AA6" i="42"/>
  <c r="AI7" i="46"/>
  <c r="AO37" i="42"/>
  <c r="AN37" i="45"/>
  <c r="AH71" i="44"/>
  <c r="AH72" i="41"/>
  <c r="AH72" i="44" s="1"/>
  <c r="AH130" i="44"/>
  <c r="AH131" i="41"/>
  <c r="AH131" i="44" s="1"/>
  <c r="AH106" i="41"/>
  <c r="AH106" i="44" s="1"/>
  <c r="AH105" i="44"/>
  <c r="AG72" i="41"/>
  <c r="AG72" i="44" s="1"/>
  <c r="AG71" i="44"/>
  <c r="AN37" i="46"/>
  <c r="AG15" i="44"/>
  <c r="AG17" i="41"/>
  <c r="AB41" i="43"/>
  <c r="AB39" i="46"/>
  <c r="AI99" i="44" l="1"/>
  <c r="AI103" i="41"/>
  <c r="AJ99" i="41"/>
  <c r="AG40" i="43"/>
  <c r="AG40" i="46" s="1"/>
  <c r="AC40" i="43"/>
  <c r="AB41" i="46"/>
  <c r="AQ37" i="43"/>
  <c r="AQ35" i="46"/>
  <c r="AJ14" i="42"/>
  <c r="AJ66" i="41"/>
  <c r="AH17" i="41"/>
  <c r="AH15" i="44"/>
  <c r="AP37" i="43"/>
  <c r="AP35" i="46"/>
  <c r="AR35" i="43"/>
  <c r="AB6" i="42"/>
  <c r="AA46" i="43"/>
  <c r="AA11" i="42"/>
  <c r="AA6" i="45"/>
  <c r="AC21" i="41"/>
  <c r="AG141" i="41"/>
  <c r="AG141" i="44" s="1"/>
  <c r="AG19" i="41"/>
  <c r="AG17" i="44"/>
  <c r="AO37" i="46"/>
  <c r="AI70" i="44"/>
  <c r="AI71" i="41"/>
  <c r="AO37" i="45"/>
  <c r="AP37" i="42"/>
  <c r="AJ127" i="41"/>
  <c r="AI130" i="41"/>
  <c r="AI127" i="44"/>
  <c r="AF19" i="44"/>
  <c r="AF142" i="41"/>
  <c r="AF142" i="44" s="1"/>
  <c r="AI12" i="41"/>
  <c r="AJ12" i="41" l="1"/>
  <c r="AJ66" i="44"/>
  <c r="AJ70" i="41"/>
  <c r="AH19" i="41"/>
  <c r="AH17" i="44"/>
  <c r="AH137" i="44" s="1"/>
  <c r="AH141" i="41"/>
  <c r="AH141" i="44" s="1"/>
  <c r="AI12" i="44"/>
  <c r="AI15" i="41"/>
  <c r="AP37" i="46"/>
  <c r="AG142" i="41"/>
  <c r="AG142" i="44" s="1"/>
  <c r="AG19" i="44"/>
  <c r="AG65" i="42"/>
  <c r="AI71" i="44"/>
  <c r="AI72" i="41"/>
  <c r="AI72" i="44" s="1"/>
  <c r="AQ37" i="46"/>
  <c r="AJ99" i="44"/>
  <c r="AJ103" i="41"/>
  <c r="AC21" i="44"/>
  <c r="AC23" i="41"/>
  <c r="AC40" i="46"/>
  <c r="AJ130" i="41"/>
  <c r="AJ127" i="44"/>
  <c r="AB6" i="45"/>
  <c r="AB46" i="43"/>
  <c r="AB11" i="42"/>
  <c r="AI103" i="44"/>
  <c r="AI105" i="41"/>
  <c r="AK7" i="43"/>
  <c r="AK99" i="41" s="1"/>
  <c r="AJ14" i="45"/>
  <c r="AH137" i="41"/>
  <c r="AA20" i="42"/>
  <c r="AA11" i="45"/>
  <c r="AI130" i="44"/>
  <c r="AI131" i="41"/>
  <c r="AI131" i="44" s="1"/>
  <c r="AA46" i="46"/>
  <c r="AA48" i="43"/>
  <c r="AA48" i="46" s="1"/>
  <c r="AQ37" i="42"/>
  <c r="AR37" i="42"/>
  <c r="AP37" i="45"/>
  <c r="AR37" i="43"/>
  <c r="AS35" i="43"/>
  <c r="AR35" i="46"/>
  <c r="AK14" i="42" l="1"/>
  <c r="AK99" i="44"/>
  <c r="AK103" i="41"/>
  <c r="AL99" i="41"/>
  <c r="AC23" i="44"/>
  <c r="AC24" i="41"/>
  <c r="AJ103" i="44"/>
  <c r="AJ105" i="41"/>
  <c r="AB46" i="46"/>
  <c r="AB48" i="43"/>
  <c r="AB48" i="46" s="1"/>
  <c r="AL14" i="42"/>
  <c r="AK14" i="45"/>
  <c r="AI17" i="41"/>
  <c r="AI137" i="41" s="1"/>
  <c r="AI15" i="44"/>
  <c r="AQ37" i="45"/>
  <c r="AK7" i="46"/>
  <c r="AL7" i="43"/>
  <c r="AL7" i="46" s="1"/>
  <c r="AR37" i="46"/>
  <c r="AK127" i="41"/>
  <c r="AA20" i="45"/>
  <c r="AA43" i="42"/>
  <c r="AA43" i="45" s="1"/>
  <c r="AJ71" i="41"/>
  <c r="AJ70" i="44"/>
  <c r="AI105" i="44"/>
  <c r="AI106" i="41"/>
  <c r="AI106" i="44" s="1"/>
  <c r="AB20" i="42"/>
  <c r="AB11" i="45"/>
  <c r="AR37" i="45"/>
  <c r="AS37" i="42"/>
  <c r="AJ130" i="44"/>
  <c r="AJ131" i="41"/>
  <c r="AJ131" i="44" s="1"/>
  <c r="AG65" i="45"/>
  <c r="AG64" i="42"/>
  <c r="AG64" i="45" s="1"/>
  <c r="AK66" i="41"/>
  <c r="AS37" i="43"/>
  <c r="AT35" i="43"/>
  <c r="AS35" i="46"/>
  <c r="AH19" i="44"/>
  <c r="AH142" i="41"/>
  <c r="AH142" i="44" s="1"/>
  <c r="AJ15" i="41"/>
  <c r="AJ12" i="44"/>
  <c r="AM7" i="43" l="1"/>
  <c r="AL14" i="45"/>
  <c r="AS37" i="46"/>
  <c r="AJ105" i="44"/>
  <c r="AJ106" i="41"/>
  <c r="AJ106" i="44" s="1"/>
  <c r="AM127" i="41"/>
  <c r="AK130" i="41"/>
  <c r="AK127" i="44"/>
  <c r="AL127" i="41"/>
  <c r="AL99" i="44"/>
  <c r="AL103" i="41"/>
  <c r="AL103" i="44" s="1"/>
  <c r="AT37" i="43"/>
  <c r="AU35" i="43"/>
  <c r="AT35" i="46"/>
  <c r="AJ71" i="44"/>
  <c r="AJ72" i="41"/>
  <c r="AJ72" i="44" s="1"/>
  <c r="AK103" i="44"/>
  <c r="AK105" i="41"/>
  <c r="AC24" i="44"/>
  <c r="AC29" i="41"/>
  <c r="AS37" i="45"/>
  <c r="AT37" i="42"/>
  <c r="AJ15" i="44"/>
  <c r="AJ17" i="41"/>
  <c r="AI19" i="41"/>
  <c r="AI141" i="41"/>
  <c r="AI141" i="44" s="1"/>
  <c r="AI17" i="44"/>
  <c r="AI137" i="44" s="1"/>
  <c r="AK70" i="41"/>
  <c r="AK12" i="41"/>
  <c r="AK66" i="44"/>
  <c r="AM66" i="41"/>
  <c r="AL66" i="41"/>
  <c r="AC25" i="41"/>
  <c r="AB20" i="45"/>
  <c r="AB43" i="42"/>
  <c r="AB43" i="45" s="1"/>
  <c r="AM99" i="41"/>
  <c r="AJ141" i="41" l="1"/>
  <c r="AJ141" i="44" s="1"/>
  <c r="AJ17" i="44"/>
  <c r="AJ137" i="44" s="1"/>
  <c r="AJ19" i="41"/>
  <c r="AM99" i="44"/>
  <c r="AM103" i="41"/>
  <c r="AL70" i="41"/>
  <c r="AL70" i="44" s="1"/>
  <c r="AL66" i="44"/>
  <c r="AU37" i="43"/>
  <c r="AU35" i="46"/>
  <c r="AU37" i="42"/>
  <c r="AT37" i="45"/>
  <c r="AL130" i="41"/>
  <c r="AL127" i="44"/>
  <c r="AM130" i="41"/>
  <c r="AM127" i="44"/>
  <c r="AK106" i="41"/>
  <c r="AK106" i="44" s="1"/>
  <c r="AK105" i="44"/>
  <c r="AL105" i="41"/>
  <c r="AT37" i="46"/>
  <c r="AK130" i="44"/>
  <c r="AK131" i="41"/>
  <c r="AK131" i="44" s="1"/>
  <c r="AJ137" i="41"/>
  <c r="AM7" i="46"/>
  <c r="AM14" i="42"/>
  <c r="AM12" i="41"/>
  <c r="AM70" i="41"/>
  <c r="AM66" i="44"/>
  <c r="AV35" i="43"/>
  <c r="AC29" i="44"/>
  <c r="AC34" i="41"/>
  <c r="AC25" i="44"/>
  <c r="AC27" i="41"/>
  <c r="AC6" i="43"/>
  <c r="AK12" i="44"/>
  <c r="AK15" i="41"/>
  <c r="AL12" i="41"/>
  <c r="AK70" i="44"/>
  <c r="AK71" i="41"/>
  <c r="AI142" i="41"/>
  <c r="AI142" i="44" s="1"/>
  <c r="AI19" i="44"/>
  <c r="AL130" i="44" l="1"/>
  <c r="AL131" i="41"/>
  <c r="AL131" i="44" s="1"/>
  <c r="AU37" i="46"/>
  <c r="AK15" i="44"/>
  <c r="AK17" i="41"/>
  <c r="AV37" i="42"/>
  <c r="AU37" i="45"/>
  <c r="AM105" i="41"/>
  <c r="AM103" i="44"/>
  <c r="AC22" i="43"/>
  <c r="AC6" i="46"/>
  <c r="AC38" i="42"/>
  <c r="AC27" i="44"/>
  <c r="AC32" i="41"/>
  <c r="AC32" i="44" s="1"/>
  <c r="AC33" i="41"/>
  <c r="AJ142" i="41"/>
  <c r="AJ142" i="44" s="1"/>
  <c r="AJ19" i="44"/>
  <c r="AN7" i="43"/>
  <c r="AN14" i="42" s="1"/>
  <c r="AM14" i="45"/>
  <c r="AL12" i="44"/>
  <c r="AL15" i="41"/>
  <c r="AL105" i="44"/>
  <c r="AL106" i="41"/>
  <c r="AL106" i="44" s="1"/>
  <c r="AV37" i="43"/>
  <c r="AV35" i="46"/>
  <c r="AM71" i="41"/>
  <c r="AM70" i="44"/>
  <c r="AM131" i="41"/>
  <c r="AM131" i="44" s="1"/>
  <c r="AM130" i="44"/>
  <c r="AK71" i="44"/>
  <c r="AK137" i="41"/>
  <c r="AK72" i="41"/>
  <c r="AK72" i="44" s="1"/>
  <c r="AL71" i="41"/>
  <c r="AC34" i="44"/>
  <c r="AC147" i="41"/>
  <c r="AC147" i="44" s="1"/>
  <c r="AM12" i="44"/>
  <c r="AM15" i="41"/>
  <c r="AN14" i="45" l="1"/>
  <c r="AO7" i="43"/>
  <c r="AO7" i="46" s="1"/>
  <c r="AM105" i="44"/>
  <c r="AM106" i="41"/>
  <c r="AM106" i="44" s="1"/>
  <c r="AV37" i="46"/>
  <c r="AV37" i="45"/>
  <c r="AC38" i="45"/>
  <c r="AC41" i="42"/>
  <c r="AL15" i="44"/>
  <c r="AL17" i="41"/>
  <c r="AL72" i="41"/>
  <c r="AL72" i="44" s="1"/>
  <c r="AL71" i="44"/>
  <c r="AK141" i="41"/>
  <c r="AK141" i="44" s="1"/>
  <c r="AK19" i="41"/>
  <c r="AK17" i="44"/>
  <c r="AK137" i="44" s="1"/>
  <c r="AM15" i="44"/>
  <c r="AM17" i="41"/>
  <c r="AC33" i="44"/>
  <c r="AC146" i="41"/>
  <c r="AC146" i="44" s="1"/>
  <c r="AC55" i="43"/>
  <c r="AC22" i="46"/>
  <c r="AN7" i="46"/>
  <c r="AN66" i="41"/>
  <c r="AN127" i="41"/>
  <c r="AN99" i="41"/>
  <c r="AM71" i="44"/>
  <c r="AM72" i="41"/>
  <c r="AM72" i="44" s="1"/>
  <c r="AC62" i="42" l="1"/>
  <c r="AC62" i="45" s="1"/>
  <c r="AC41" i="45"/>
  <c r="AC42" i="42"/>
  <c r="AN12" i="41"/>
  <c r="AO66" i="41"/>
  <c r="AN70" i="41"/>
  <c r="AN66" i="44"/>
  <c r="AK142" i="41"/>
  <c r="AK142" i="44" s="1"/>
  <c r="AK19" i="44"/>
  <c r="AL19" i="41"/>
  <c r="AL141" i="41"/>
  <c r="AL141" i="44" s="1"/>
  <c r="AL17" i="44"/>
  <c r="AC148" i="41"/>
  <c r="AC148" i="44" s="1"/>
  <c r="AC55" i="46"/>
  <c r="AO127" i="41"/>
  <c r="AN130" i="41"/>
  <c r="AN127" i="44"/>
  <c r="AN99" i="44"/>
  <c r="AO99" i="41"/>
  <c r="AN103" i="41"/>
  <c r="AM141" i="41"/>
  <c r="AM141" i="44" s="1"/>
  <c r="AM19" i="41"/>
  <c r="AM17" i="44"/>
  <c r="AM137" i="44" s="1"/>
  <c r="AM137" i="41"/>
  <c r="AO14" i="42"/>
  <c r="AP7" i="43" l="1"/>
  <c r="AO14" i="45"/>
  <c r="AP14" i="42"/>
  <c r="AM142" i="41"/>
  <c r="AM142" i="44" s="1"/>
  <c r="AM19" i="44"/>
  <c r="AN103" i="44"/>
  <c r="AN105" i="41"/>
  <c r="AN70" i="44"/>
  <c r="AN71" i="41"/>
  <c r="AL19" i="44"/>
  <c r="AL65" i="42"/>
  <c r="AL142" i="41"/>
  <c r="AL142" i="44" s="1"/>
  <c r="AO103" i="41"/>
  <c r="AO99" i="44"/>
  <c r="AP99" i="41"/>
  <c r="AP127" i="41"/>
  <c r="AO130" i="41"/>
  <c r="AO127" i="44"/>
  <c r="AC7" i="42"/>
  <c r="AC12" i="42"/>
  <c r="AC12" i="45" s="1"/>
  <c r="AC42" i="45"/>
  <c r="AC17" i="42"/>
  <c r="AN130" i="44"/>
  <c r="AN131" i="41"/>
  <c r="AN131" i="44" s="1"/>
  <c r="AP66" i="41"/>
  <c r="AO70" i="41"/>
  <c r="AO66" i="44"/>
  <c r="AO12" i="41"/>
  <c r="AN12" i="44"/>
  <c r="AN15" i="41"/>
  <c r="AP70" i="41" l="1"/>
  <c r="AP12" i="41"/>
  <c r="AP66" i="44"/>
  <c r="AQ66" i="41"/>
  <c r="AO103" i="44"/>
  <c r="AO105" i="41"/>
  <c r="AO15" i="41"/>
  <c r="AO12" i="44"/>
  <c r="AO71" i="41"/>
  <c r="AO70" i="44"/>
  <c r="AN72" i="41"/>
  <c r="AN72" i="44" s="1"/>
  <c r="AN71" i="44"/>
  <c r="AL65" i="45"/>
  <c r="AL64" i="42"/>
  <c r="AL64" i="45" s="1"/>
  <c r="AN105" i="44"/>
  <c r="AN106" i="41"/>
  <c r="AN106" i="44" s="1"/>
  <c r="AC24" i="43"/>
  <c r="AC7" i="45"/>
  <c r="AQ14" i="42"/>
  <c r="AP14" i="45"/>
  <c r="AC26" i="43"/>
  <c r="AC17" i="45"/>
  <c r="AQ12" i="41"/>
  <c r="AP127" i="44"/>
  <c r="AP130" i="41"/>
  <c r="AQ127" i="41"/>
  <c r="AO130" i="44"/>
  <c r="AO131" i="41"/>
  <c r="AO131" i="44" s="1"/>
  <c r="AN17" i="41"/>
  <c r="AN137" i="41" s="1"/>
  <c r="AN15" i="44"/>
  <c r="AP99" i="44"/>
  <c r="AP103" i="41"/>
  <c r="AQ99" i="41"/>
  <c r="AP7" i="46"/>
  <c r="AQ7" i="43"/>
  <c r="AQ7" i="46" s="1"/>
  <c r="AP130" i="44" l="1"/>
  <c r="AP131" i="41"/>
  <c r="AP131" i="44" s="1"/>
  <c r="AQ12" i="44"/>
  <c r="AQ15" i="41"/>
  <c r="AQ99" i="44"/>
  <c r="AQ103" i="41"/>
  <c r="AQ103" i="44" s="1"/>
  <c r="AC26" i="46"/>
  <c r="AC24" i="46"/>
  <c r="AC27" i="43"/>
  <c r="AO106" i="41"/>
  <c r="AO106" i="44" s="1"/>
  <c r="AO105" i="44"/>
  <c r="AP103" i="44"/>
  <c r="AP105" i="41"/>
  <c r="AQ105" i="41" s="1"/>
  <c r="AO72" i="41"/>
  <c r="AO72" i="44" s="1"/>
  <c r="AO71" i="44"/>
  <c r="AO15" i="44"/>
  <c r="AO17" i="41"/>
  <c r="AQ66" i="44"/>
  <c r="AQ70" i="41"/>
  <c r="AQ70" i="44" s="1"/>
  <c r="AP12" i="44"/>
  <c r="AP15" i="41"/>
  <c r="AQ14" i="45"/>
  <c r="AR7" i="43"/>
  <c r="AN141" i="41"/>
  <c r="AN141" i="44" s="1"/>
  <c r="AN17" i="44"/>
  <c r="AN137" i="44" s="1"/>
  <c r="AN19" i="41"/>
  <c r="AQ127" i="44"/>
  <c r="AQ130" i="41"/>
  <c r="AP71" i="41"/>
  <c r="AP70" i="44"/>
  <c r="AQ105" i="44" l="1"/>
  <c r="AQ106" i="41"/>
  <c r="AQ106" i="44" s="1"/>
  <c r="AN19" i="44"/>
  <c r="AN142" i="41"/>
  <c r="AN142" i="44" s="1"/>
  <c r="AP15" i="44"/>
  <c r="AP17" i="41"/>
  <c r="AQ15" i="44"/>
  <c r="AQ17" i="41"/>
  <c r="AP105" i="44"/>
  <c r="AP106" i="41"/>
  <c r="AP106" i="44" s="1"/>
  <c r="AO141" i="41"/>
  <c r="AO141" i="44" s="1"/>
  <c r="AO17" i="44"/>
  <c r="AO137" i="44" s="1"/>
  <c r="AO19" i="41"/>
  <c r="AP72" i="41"/>
  <c r="AP72" i="44" s="1"/>
  <c r="AP71" i="44"/>
  <c r="AQ71" i="41"/>
  <c r="AR7" i="46"/>
  <c r="AR99" i="41"/>
  <c r="AR66" i="41"/>
  <c r="AR127" i="41"/>
  <c r="AR14" i="42"/>
  <c r="AC27" i="46"/>
  <c r="AC39" i="43"/>
  <c r="AO137" i="41"/>
  <c r="AQ130" i="44"/>
  <c r="AQ131" i="41"/>
  <c r="AQ131" i="44" s="1"/>
  <c r="AS7" i="43" l="1"/>
  <c r="AS14" i="42"/>
  <c r="AR14" i="45"/>
  <c r="AR130" i="41"/>
  <c r="AR127" i="44"/>
  <c r="AS127" i="41"/>
  <c r="AC39" i="46"/>
  <c r="AC41" i="43"/>
  <c r="AR12" i="41"/>
  <c r="AR66" i="44"/>
  <c r="AS66" i="41"/>
  <c r="AR70" i="41"/>
  <c r="AQ141" i="41"/>
  <c r="AQ141" i="44" s="1"/>
  <c r="AQ17" i="44"/>
  <c r="AQ19" i="41"/>
  <c r="AR99" i="44"/>
  <c r="AS99" i="41"/>
  <c r="AR103" i="41"/>
  <c r="AO19" i="44"/>
  <c r="AO142" i="41"/>
  <c r="AO142" i="44" s="1"/>
  <c r="AP17" i="44"/>
  <c r="AP137" i="44" s="1"/>
  <c r="AP141" i="41"/>
  <c r="AP141" i="44" s="1"/>
  <c r="AP19" i="41"/>
  <c r="AQ72" i="41"/>
  <c r="AQ72" i="44" s="1"/>
  <c r="AQ71" i="44"/>
  <c r="AP137" i="41"/>
  <c r="AP142" i="41" l="1"/>
  <c r="AP142" i="44" s="1"/>
  <c r="AP19" i="44"/>
  <c r="AS70" i="41"/>
  <c r="AS12" i="41"/>
  <c r="AS66" i="44"/>
  <c r="AR70" i="44"/>
  <c r="AR71" i="41"/>
  <c r="AR12" i="44"/>
  <c r="AR15" i="41"/>
  <c r="AT127" i="41"/>
  <c r="AS127" i="44"/>
  <c r="AS130" i="41"/>
  <c r="AR105" i="41"/>
  <c r="AR103" i="44"/>
  <c r="AS99" i="44"/>
  <c r="AS103" i="41"/>
  <c r="AQ65" i="42"/>
  <c r="AQ142" i="41"/>
  <c r="AQ142" i="44" s="1"/>
  <c r="AQ19" i="44"/>
  <c r="AS14" i="45"/>
  <c r="AT7" i="43"/>
  <c r="AT7" i="46" s="1"/>
  <c r="AT14" i="42"/>
  <c r="AD40" i="43"/>
  <c r="AC6" i="42"/>
  <c r="AC41" i="46"/>
  <c r="AR130" i="44"/>
  <c r="AR131" i="41"/>
  <c r="AR131" i="44" s="1"/>
  <c r="AS7" i="46"/>
  <c r="AU7" i="43" l="1"/>
  <c r="AU7" i="46" s="1"/>
  <c r="AT14" i="45"/>
  <c r="AR15" i="44"/>
  <c r="AR17" i="41"/>
  <c r="AR137" i="41" s="1"/>
  <c r="AR72" i="41"/>
  <c r="AR72" i="44" s="1"/>
  <c r="AR71" i="44"/>
  <c r="AT127" i="44"/>
  <c r="AT130" i="41"/>
  <c r="AS12" i="44"/>
  <c r="AS15" i="41"/>
  <c r="AT99" i="41"/>
  <c r="AU127" i="41" s="1"/>
  <c r="AC46" i="43"/>
  <c r="AD21" i="41"/>
  <c r="AC11" i="42"/>
  <c r="AC6" i="45"/>
  <c r="AD40" i="46"/>
  <c r="AQ65" i="45"/>
  <c r="AQ64" i="42"/>
  <c r="AQ64" i="45" s="1"/>
  <c r="AS70" i="44"/>
  <c r="AS71" i="41"/>
  <c r="AT66" i="41"/>
  <c r="AS130" i="44"/>
  <c r="AS131" i="41"/>
  <c r="AS131" i="44" s="1"/>
  <c r="AS105" i="41"/>
  <c r="AS103" i="44"/>
  <c r="AV7" i="43"/>
  <c r="AV7" i="46" s="1"/>
  <c r="AR106" i="41"/>
  <c r="AR106" i="44" s="1"/>
  <c r="AR105" i="44"/>
  <c r="AU130" i="41" l="1"/>
  <c r="AU127" i="44"/>
  <c r="AV127" i="41"/>
  <c r="AC48" i="43"/>
  <c r="AC48" i="46" s="1"/>
  <c r="AC46" i="46"/>
  <c r="AS17" i="41"/>
  <c r="AS15" i="44"/>
  <c r="AT70" i="41"/>
  <c r="AT66" i="44"/>
  <c r="AU66" i="41"/>
  <c r="AV66" i="41" s="1"/>
  <c r="AT12" i="41"/>
  <c r="AT99" i="44"/>
  <c r="AU99" i="41"/>
  <c r="AT103" i="41"/>
  <c r="AT130" i="44"/>
  <c r="AT131" i="41"/>
  <c r="AT131" i="44" s="1"/>
  <c r="AS71" i="44"/>
  <c r="AS72" i="41"/>
  <c r="AS72" i="44" s="1"/>
  <c r="AR17" i="44"/>
  <c r="AR141" i="41"/>
  <c r="AR141" i="44" s="1"/>
  <c r="AR19" i="41"/>
  <c r="AC11" i="45"/>
  <c r="AC20" i="42"/>
  <c r="AS105" i="44"/>
  <c r="AS106" i="41"/>
  <c r="AS106" i="44" s="1"/>
  <c r="AR137" i="44"/>
  <c r="AD21" i="44"/>
  <c r="AD23" i="41"/>
  <c r="AU14" i="42"/>
  <c r="AT105" i="41" l="1"/>
  <c r="AT103" i="44"/>
  <c r="AU12" i="41"/>
  <c r="AU66" i="44"/>
  <c r="AU70" i="41"/>
  <c r="AS141" i="41"/>
  <c r="AS141" i="44" s="1"/>
  <c r="AS17" i="44"/>
  <c r="AS137" i="44" s="1"/>
  <c r="AS19" i="41"/>
  <c r="AV70" i="41"/>
  <c r="AV70" i="44" s="1"/>
  <c r="AV66" i="44"/>
  <c r="AS137" i="41"/>
  <c r="AT15" i="41"/>
  <c r="AT12" i="44"/>
  <c r="AV12" i="41"/>
  <c r="AR142" i="41"/>
  <c r="AR142" i="44" s="1"/>
  <c r="AR19" i="44"/>
  <c r="AV130" i="41"/>
  <c r="AV127" i="44"/>
  <c r="AU99" i="44"/>
  <c r="AU103" i="41"/>
  <c r="AU14" i="45"/>
  <c r="AV14" i="42"/>
  <c r="AV14" i="45" s="1"/>
  <c r="AC20" i="45"/>
  <c r="AC43" i="42"/>
  <c r="AC43" i="45" s="1"/>
  <c r="AT70" i="44"/>
  <c r="AT71" i="41"/>
  <c r="AD24" i="41"/>
  <c r="AD25" i="41" s="1"/>
  <c r="AD23" i="44"/>
  <c r="AV99" i="41"/>
  <c r="AU130" i="44"/>
  <c r="AU131" i="41"/>
  <c r="AU131" i="44" s="1"/>
  <c r="AT17" i="41" l="1"/>
  <c r="AT15" i="44"/>
  <c r="AD27" i="41"/>
  <c r="AD6" i="43"/>
  <c r="AD25" i="44"/>
  <c r="AS19" i="44"/>
  <c r="AS142" i="41"/>
  <c r="AS142" i="44" s="1"/>
  <c r="AV131" i="41"/>
  <c r="AV131" i="44" s="1"/>
  <c r="AV130" i="44"/>
  <c r="AD24" i="44"/>
  <c r="AD29" i="41"/>
  <c r="AT137" i="41"/>
  <c r="AT72" i="41"/>
  <c r="AT72" i="44" s="1"/>
  <c r="AT71" i="44"/>
  <c r="AU103" i="44"/>
  <c r="AU105" i="41"/>
  <c r="AV105" i="41" s="1"/>
  <c r="AU12" i="44"/>
  <c r="AU15" i="41"/>
  <c r="AV12" i="44"/>
  <c r="AV15" i="41"/>
  <c r="AU71" i="41"/>
  <c r="AU70" i="44"/>
  <c r="AV99" i="44"/>
  <c r="AV103" i="41"/>
  <c r="AV103" i="44" s="1"/>
  <c r="AT106" i="41"/>
  <c r="AT106" i="44" s="1"/>
  <c r="AT105" i="44"/>
  <c r="AV105" i="44" l="1"/>
  <c r="AV106" i="41"/>
  <c r="AV106" i="44" s="1"/>
  <c r="AD34" i="41"/>
  <c r="AD29" i="44"/>
  <c r="AV15" i="44"/>
  <c r="AV17" i="41"/>
  <c r="AU105" i="44"/>
  <c r="AU106" i="41"/>
  <c r="AU106" i="44" s="1"/>
  <c r="AU15" i="44"/>
  <c r="AU17" i="41"/>
  <c r="AT137" i="44"/>
  <c r="AU71" i="44"/>
  <c r="AU137" i="41"/>
  <c r="AU72" i="41"/>
  <c r="AU72" i="44" s="1"/>
  <c r="AD6" i="46"/>
  <c r="AD22" i="43"/>
  <c r="AD38" i="42"/>
  <c r="AD27" i="44"/>
  <c r="AD33" i="41"/>
  <c r="AD32" i="41"/>
  <c r="AD32" i="44" s="1"/>
  <c r="AV71" i="41"/>
  <c r="AT141" i="41"/>
  <c r="AT141" i="44" s="1"/>
  <c r="AT17" i="44"/>
  <c r="AT19" i="41"/>
  <c r="AD55" i="43" l="1"/>
  <c r="AD22" i="46"/>
  <c r="AT142" i="41"/>
  <c r="AT142" i="44" s="1"/>
  <c r="AT19" i="44"/>
  <c r="AV71" i="44"/>
  <c r="AV72" i="41"/>
  <c r="AV72" i="44" s="1"/>
  <c r="AV19" i="41"/>
  <c r="AV141" i="41"/>
  <c r="AV141" i="44" s="1"/>
  <c r="AV17" i="44"/>
  <c r="AD147" i="41"/>
  <c r="AD147" i="44" s="1"/>
  <c r="AD34" i="44"/>
  <c r="AD33" i="44"/>
  <c r="AD146" i="41"/>
  <c r="AD146" i="44" s="1"/>
  <c r="AU141" i="41"/>
  <c r="AU141" i="44" s="1"/>
  <c r="AU17" i="44"/>
  <c r="AU137" i="44" s="1"/>
  <c r="AU19" i="41"/>
  <c r="AD38" i="45"/>
  <c r="AD41" i="42"/>
  <c r="AD42" i="42" l="1"/>
  <c r="AD62" i="42"/>
  <c r="AD62" i="45" s="1"/>
  <c r="AD41" i="45"/>
  <c r="AV65" i="42"/>
  <c r="AV142" i="41"/>
  <c r="AV142" i="44" s="1"/>
  <c r="AV19" i="44"/>
  <c r="AU142" i="41"/>
  <c r="AU142" i="44" s="1"/>
  <c r="AU19" i="44"/>
  <c r="AD148" i="41"/>
  <c r="AD148" i="44" s="1"/>
  <c r="AD55" i="46"/>
  <c r="AV65" i="45" l="1"/>
  <c r="AV64" i="42"/>
  <c r="AV64" i="45" s="1"/>
  <c r="AD12" i="42"/>
  <c r="AD12" i="45" s="1"/>
  <c r="AD42" i="45"/>
  <c r="AD7" i="42"/>
  <c r="AD17" i="42"/>
  <c r="AD24" i="43" l="1"/>
  <c r="AD7" i="45"/>
  <c r="AD26" i="43"/>
  <c r="AD17" i="45"/>
  <c r="AD26" i="46" l="1"/>
  <c r="AD27" i="43"/>
  <c r="AD24" i="46"/>
  <c r="AD27" i="46" l="1"/>
  <c r="AD39" i="43"/>
  <c r="AD39" i="46" l="1"/>
  <c r="AD41" i="43"/>
  <c r="AE40" i="43" l="1"/>
  <c r="AD6" i="42"/>
  <c r="AD41" i="46"/>
  <c r="AD6" i="45" l="1"/>
  <c r="AE21" i="41"/>
  <c r="AD46" i="43"/>
  <c r="AD11" i="42"/>
  <c r="AE40" i="46"/>
  <c r="AD20" i="42" l="1"/>
  <c r="AD11" i="45"/>
  <c r="AD46" i="46"/>
  <c r="AD48" i="43"/>
  <c r="AD48" i="46" s="1"/>
  <c r="AE21" i="44"/>
  <c r="AE23" i="41"/>
  <c r="AE24" i="41" l="1"/>
  <c r="AE23" i="44"/>
  <c r="AD20" i="45"/>
  <c r="AD43" i="42"/>
  <c r="AD43" i="45" s="1"/>
  <c r="AE24" i="44" l="1"/>
  <c r="AE29" i="41"/>
  <c r="AE25" i="41"/>
  <c r="AE34" i="41" l="1"/>
  <c r="AE29" i="44"/>
  <c r="AE25" i="44"/>
  <c r="AE6" i="43"/>
  <c r="AE27" i="41"/>
  <c r="AE33" i="41" l="1"/>
  <c r="AE32" i="41"/>
  <c r="AE32" i="44" s="1"/>
  <c r="AE27" i="44"/>
  <c r="AE6" i="46"/>
  <c r="AE22" i="43"/>
  <c r="AE38" i="42"/>
  <c r="AE34" i="44"/>
  <c r="AE147" i="41"/>
  <c r="AE147" i="44" s="1"/>
  <c r="AE55" i="43" l="1"/>
  <c r="AE22" i="46"/>
  <c r="AE38" i="45"/>
  <c r="AE41" i="42"/>
  <c r="AE33" i="44"/>
  <c r="AE146" i="41"/>
  <c r="AE146" i="44" s="1"/>
  <c r="AE42" i="42" l="1"/>
  <c r="AE62" i="42"/>
  <c r="AE62" i="45" s="1"/>
  <c r="AE41" i="45"/>
  <c r="AE55" i="46"/>
  <c r="AE148" i="41"/>
  <c r="AE148" i="44" s="1"/>
  <c r="AE12" i="42" l="1"/>
  <c r="AE12" i="45" s="1"/>
  <c r="AE42" i="45"/>
  <c r="AE7" i="42"/>
  <c r="AE17" i="42"/>
  <c r="AE26" i="43" l="1"/>
  <c r="AE17" i="45"/>
  <c r="AE24" i="43"/>
  <c r="AE7" i="45"/>
  <c r="AE27" i="43" l="1"/>
  <c r="AE24" i="46"/>
  <c r="AE26" i="46"/>
  <c r="AE27" i="46" l="1"/>
  <c r="AE39" i="43"/>
  <c r="AE39" i="46" l="1"/>
  <c r="AE41" i="43"/>
  <c r="AE6" i="42" l="1"/>
  <c r="AF40" i="43"/>
  <c r="AE41" i="46"/>
  <c r="AF40" i="46" l="1"/>
  <c r="AF21" i="41"/>
  <c r="AE11" i="42"/>
  <c r="AE46" i="43"/>
  <c r="AE6" i="45"/>
  <c r="AF21" i="44" l="1"/>
  <c r="AF23" i="41"/>
  <c r="AG21" i="41"/>
  <c r="AE46" i="46"/>
  <c r="AE48" i="43"/>
  <c r="AE48" i="46" s="1"/>
  <c r="AE11" i="45"/>
  <c r="AE20" i="42"/>
  <c r="AE20" i="45" l="1"/>
  <c r="AE43" i="42"/>
  <c r="AE43" i="45" s="1"/>
  <c r="AG21" i="44"/>
  <c r="AG23" i="41"/>
  <c r="AF24" i="41"/>
  <c r="AF23" i="44"/>
  <c r="AF24" i="44" l="1"/>
  <c r="AG24" i="41"/>
  <c r="AF29" i="41"/>
  <c r="AF25" i="41"/>
  <c r="AG25" i="41"/>
  <c r="AG23" i="44"/>
  <c r="AF34" i="41" l="1"/>
  <c r="AF29" i="44"/>
  <c r="AG25" i="44"/>
  <c r="AG27" i="41"/>
  <c r="AF25" i="44"/>
  <c r="AF27" i="41"/>
  <c r="AF6" i="43"/>
  <c r="AG143" i="41"/>
  <c r="AG143" i="44" s="1"/>
  <c r="AG24" i="44"/>
  <c r="AG29" i="41"/>
  <c r="AF33" i="41" l="1"/>
  <c r="AF27" i="44"/>
  <c r="AF32" i="41"/>
  <c r="AF32" i="44" s="1"/>
  <c r="AG29" i="44"/>
  <c r="AF22" i="43"/>
  <c r="AF6" i="46"/>
  <c r="AG6" i="43"/>
  <c r="AF38" i="42"/>
  <c r="AG27" i="44"/>
  <c r="AG31" i="41"/>
  <c r="AG31" i="44" s="1"/>
  <c r="AG30" i="41"/>
  <c r="AG30" i="44" s="1"/>
  <c r="AF147" i="41"/>
  <c r="AF147" i="44" s="1"/>
  <c r="AF34" i="44"/>
  <c r="AG33" i="41" l="1"/>
  <c r="AG22" i="43"/>
  <c r="AG6" i="46"/>
  <c r="AF38" i="45"/>
  <c r="AG38" i="42"/>
  <c r="AF41" i="42"/>
  <c r="AG34" i="41"/>
  <c r="AG32" i="41"/>
  <c r="AG32" i="44" s="1"/>
  <c r="AF22" i="46"/>
  <c r="AF55" i="43"/>
  <c r="AF33" i="44"/>
  <c r="AF146" i="41"/>
  <c r="AF146" i="44" s="1"/>
  <c r="AG38" i="45" l="1"/>
  <c r="AG41" i="42"/>
  <c r="AF55" i="46"/>
  <c r="AF148" i="41"/>
  <c r="AF148" i="44" s="1"/>
  <c r="AF42" i="42"/>
  <c r="AF62" i="42"/>
  <c r="AF62" i="45" s="1"/>
  <c r="AF41" i="45"/>
  <c r="AG55" i="43"/>
  <c r="AG22" i="46"/>
  <c r="AG34" i="44"/>
  <c r="AG147" i="41"/>
  <c r="AG147" i="44" s="1"/>
  <c r="AG36" i="41"/>
  <c r="AG36" i="44" s="1"/>
  <c r="AG146" i="41"/>
  <c r="AG146" i="44" s="1"/>
  <c r="AG33" i="44"/>
  <c r="AG55" i="46" l="1"/>
  <c r="AG148" i="41"/>
  <c r="AG148" i="44" s="1"/>
  <c r="AF12" i="42"/>
  <c r="AF42" i="45"/>
  <c r="AF7" i="42"/>
  <c r="AF17" i="42"/>
  <c r="AG41" i="45"/>
  <c r="AG42" i="42"/>
  <c r="AF26" i="43" l="1"/>
  <c r="AG17" i="42"/>
  <c r="AG17" i="45" s="1"/>
  <c r="AF17" i="45"/>
  <c r="AF24" i="43"/>
  <c r="AG7" i="42"/>
  <c r="AG7" i="45" s="1"/>
  <c r="AF7" i="45"/>
  <c r="AG42" i="45"/>
  <c r="AF12" i="45"/>
  <c r="AG12" i="42"/>
  <c r="AG12" i="45" s="1"/>
  <c r="AF24" i="46" l="1"/>
  <c r="AF27" i="43"/>
  <c r="AG24" i="43"/>
  <c r="AF26" i="46"/>
  <c r="AG26" i="43"/>
  <c r="AG26" i="46" s="1"/>
  <c r="AG27" i="43" l="1"/>
  <c r="AG24" i="46"/>
  <c r="AF27" i="46"/>
  <c r="AF39" i="43"/>
  <c r="AF39" i="46" l="1"/>
  <c r="AF41" i="43"/>
  <c r="AG27" i="46"/>
  <c r="AG39" i="43"/>
  <c r="AG39" i="46" l="1"/>
  <c r="AG41" i="43"/>
  <c r="AF6" i="42"/>
  <c r="AF41" i="46"/>
  <c r="AF11" i="42" l="1"/>
  <c r="AF6" i="45"/>
  <c r="AH21" i="41"/>
  <c r="AF46" i="43"/>
  <c r="AG6" i="42"/>
  <c r="AH40" i="43"/>
  <c r="AL40" i="43"/>
  <c r="AL40" i="46" s="1"/>
  <c r="AG41" i="46"/>
  <c r="AH40" i="46" l="1"/>
  <c r="AH21" i="44"/>
  <c r="AH23" i="41"/>
  <c r="AG11" i="42"/>
  <c r="AG46" i="43"/>
  <c r="AG6" i="45"/>
  <c r="AF48" i="43"/>
  <c r="AF48" i="46" s="1"/>
  <c r="AF46" i="46"/>
  <c r="AF11" i="45"/>
  <c r="AF20" i="42"/>
  <c r="AF20" i="45" l="1"/>
  <c r="AF43" i="42"/>
  <c r="AF43" i="45" s="1"/>
  <c r="AG11" i="45"/>
  <c r="AG20" i="42"/>
  <c r="AG46" i="46"/>
  <c r="AG48" i="43"/>
  <c r="AG48" i="46" s="1"/>
  <c r="AH23" i="44"/>
  <c r="AH24" i="41"/>
  <c r="AH25" i="41" s="1"/>
  <c r="AH6" i="43" l="1"/>
  <c r="AH25" i="44"/>
  <c r="AH27" i="41"/>
  <c r="AH24" i="44"/>
  <c r="AH29" i="41"/>
  <c r="AG20" i="45"/>
  <c r="AG43" i="42"/>
  <c r="AG43" i="45" s="1"/>
  <c r="AH34" i="41" l="1"/>
  <c r="AH29" i="44"/>
  <c r="AH33" i="41"/>
  <c r="AH32" i="41"/>
  <c r="AH32" i="44" s="1"/>
  <c r="AH27" i="44"/>
  <c r="AH6" i="46"/>
  <c r="AH22" i="43"/>
  <c r="AH38" i="42"/>
  <c r="AH38" i="45" l="1"/>
  <c r="AH41" i="42"/>
  <c r="AH22" i="46"/>
  <c r="AH55" i="43"/>
  <c r="AH33" i="44"/>
  <c r="AH146" i="41"/>
  <c r="AH146" i="44" s="1"/>
  <c r="AH147" i="41"/>
  <c r="AH147" i="44" s="1"/>
  <c r="AH34" i="44"/>
  <c r="AH55" i="46" l="1"/>
  <c r="AH148" i="41"/>
  <c r="AH148" i="44" s="1"/>
  <c r="AH42" i="42"/>
  <c r="AH41" i="45"/>
  <c r="AH62" i="42"/>
  <c r="AH62" i="45" s="1"/>
  <c r="AH12" i="42" l="1"/>
  <c r="AH12" i="45" s="1"/>
  <c r="AH42" i="45"/>
  <c r="AH7" i="42"/>
  <c r="AH17" i="42"/>
  <c r="AH17" i="45" l="1"/>
  <c r="AH26" i="43"/>
  <c r="AH24" i="43"/>
  <c r="AH7" i="45"/>
  <c r="AH26" i="46" l="1"/>
  <c r="AH27" i="43"/>
  <c r="AH24" i="46"/>
  <c r="AH27" i="46" l="1"/>
  <c r="AH39" i="43"/>
  <c r="AH39" i="46" l="1"/>
  <c r="AH41" i="43"/>
  <c r="AI40" i="43" l="1"/>
  <c r="AH6" i="42"/>
  <c r="AH41" i="46"/>
  <c r="AI21" i="41" l="1"/>
  <c r="AH11" i="42"/>
  <c r="AH46" i="43"/>
  <c r="AH6" i="45"/>
  <c r="AI40" i="46"/>
  <c r="AH46" i="46" l="1"/>
  <c r="AH48" i="43"/>
  <c r="AH48" i="46" s="1"/>
  <c r="AH20" i="42"/>
  <c r="AH11" i="45"/>
  <c r="AI21" i="44"/>
  <c r="AI23" i="41"/>
  <c r="AI23" i="44" l="1"/>
  <c r="AI24" i="41"/>
  <c r="AH20" i="45"/>
  <c r="AH43" i="42"/>
  <c r="AH43" i="45" s="1"/>
  <c r="AI24" i="44" l="1"/>
  <c r="AI29" i="41"/>
  <c r="AI25" i="41"/>
  <c r="AI34" i="41" l="1"/>
  <c r="AI29" i="44"/>
  <c r="AI6" i="43"/>
  <c r="AI27" i="41"/>
  <c r="AI25" i="44"/>
  <c r="AI32" i="41" l="1"/>
  <c r="AI32" i="44" s="1"/>
  <c r="AI27" i="44"/>
  <c r="AI33" i="41"/>
  <c r="AI6" i="46"/>
  <c r="AI22" i="43"/>
  <c r="AI38" i="42"/>
  <c r="AI34" i="44"/>
  <c r="AI147" i="41"/>
  <c r="AI147" i="44" s="1"/>
  <c r="AI38" i="45" l="1"/>
  <c r="AI41" i="42"/>
  <c r="AI55" i="43"/>
  <c r="AI22" i="46"/>
  <c r="AI146" i="41"/>
  <c r="AI146" i="44" s="1"/>
  <c r="AI33" i="44"/>
  <c r="AI55" i="46" l="1"/>
  <c r="AI148" i="41"/>
  <c r="AI148" i="44" s="1"/>
  <c r="AI62" i="42"/>
  <c r="AI62" i="45" s="1"/>
  <c r="AI41" i="45"/>
  <c r="AI42" i="42"/>
  <c r="AI7" i="42" l="1"/>
  <c r="AI12" i="42"/>
  <c r="AI12" i="45" s="1"/>
  <c r="AI42" i="45"/>
  <c r="AI17" i="42"/>
  <c r="AI26" i="43" l="1"/>
  <c r="AI17" i="45"/>
  <c r="AI24" i="43"/>
  <c r="AI7" i="45"/>
  <c r="AI24" i="46" l="1"/>
  <c r="AI27" i="43"/>
  <c r="AI26" i="46"/>
  <c r="AI27" i="46" l="1"/>
  <c r="AI39" i="43"/>
  <c r="AI39" i="46" l="1"/>
  <c r="AI41" i="43"/>
  <c r="AJ40" i="43" l="1"/>
  <c r="AI6" i="42"/>
  <c r="AI41" i="46"/>
  <c r="AJ21" i="41" l="1"/>
  <c r="AI46" i="43"/>
  <c r="AI6" i="45"/>
  <c r="AI11" i="42"/>
  <c r="AJ40" i="46"/>
  <c r="AI46" i="46" l="1"/>
  <c r="AI48" i="43"/>
  <c r="AI48" i="46" s="1"/>
  <c r="AI20" i="42"/>
  <c r="AI11" i="45"/>
  <c r="AJ21" i="44"/>
  <c r="AJ23" i="41"/>
  <c r="AI20" i="45" l="1"/>
  <c r="AI43" i="42"/>
  <c r="AI43" i="45" s="1"/>
  <c r="AJ24" i="41"/>
  <c r="AJ25" i="41" s="1"/>
  <c r="AJ23" i="44"/>
  <c r="AJ27" i="41" l="1"/>
  <c r="AJ25" i="44"/>
  <c r="AJ6" i="43"/>
  <c r="AJ24" i="44"/>
  <c r="AJ29" i="41"/>
  <c r="AJ34" i="41" l="1"/>
  <c r="AJ29" i="44"/>
  <c r="AJ22" i="43"/>
  <c r="AJ6" i="46"/>
  <c r="AJ38" i="42"/>
  <c r="AJ32" i="41"/>
  <c r="AJ32" i="44" s="1"/>
  <c r="AJ27" i="44"/>
  <c r="AJ33" i="41"/>
  <c r="AJ146" i="41" l="1"/>
  <c r="AJ146" i="44" s="1"/>
  <c r="AJ33" i="44"/>
  <c r="AJ38" i="45"/>
  <c r="AJ41" i="42"/>
  <c r="AJ22" i="46"/>
  <c r="AJ55" i="43"/>
  <c r="AJ34" i="44"/>
  <c r="AJ147" i="41"/>
  <c r="AJ147" i="44" s="1"/>
  <c r="AJ55" i="46" l="1"/>
  <c r="AJ148" i="41"/>
  <c r="AJ148" i="44" s="1"/>
  <c r="AJ41" i="45"/>
  <c r="AJ42" i="42"/>
  <c r="AJ62" i="42"/>
  <c r="AJ62" i="45" s="1"/>
  <c r="AJ12" i="42" l="1"/>
  <c r="AJ12" i="45" s="1"/>
  <c r="AJ42" i="45"/>
  <c r="AJ7" i="42"/>
  <c r="AJ17" i="42"/>
  <c r="AJ26" i="43" l="1"/>
  <c r="AJ17" i="45"/>
  <c r="AJ24" i="43"/>
  <c r="AJ7" i="45"/>
  <c r="AJ27" i="43" l="1"/>
  <c r="AJ24" i="46"/>
  <c r="AJ26" i="46"/>
  <c r="AJ27" i="46" l="1"/>
  <c r="AJ39" i="43"/>
  <c r="AJ39" i="46" l="1"/>
  <c r="AJ41" i="43"/>
  <c r="AJ6" i="42" l="1"/>
  <c r="AK40" i="43"/>
  <c r="AJ41" i="46"/>
  <c r="AK40" i="46" l="1"/>
  <c r="AJ6" i="45"/>
  <c r="AJ46" i="43"/>
  <c r="AK21" i="41"/>
  <c r="AJ11" i="42"/>
  <c r="AJ20" i="42" l="1"/>
  <c r="AJ11" i="45"/>
  <c r="AJ48" i="43"/>
  <c r="AJ48" i="46" s="1"/>
  <c r="AJ46" i="46"/>
  <c r="AK21" i="44"/>
  <c r="AK23" i="41"/>
  <c r="AL21" i="41"/>
  <c r="AL21" i="44" l="1"/>
  <c r="AL23" i="41"/>
  <c r="AK23" i="44"/>
  <c r="AK24" i="41"/>
  <c r="AJ20" i="45"/>
  <c r="AJ43" i="42"/>
  <c r="AJ43" i="45" s="1"/>
  <c r="AK24" i="44" l="1"/>
  <c r="AL24" i="41"/>
  <c r="AK29" i="41"/>
  <c r="AK25" i="41"/>
  <c r="AL23" i="44"/>
  <c r="AL25" i="41"/>
  <c r="AK34" i="41" l="1"/>
  <c r="AK29" i="44"/>
  <c r="AL27" i="41"/>
  <c r="AL25" i="44"/>
  <c r="AK25" i="44"/>
  <c r="AK27" i="41"/>
  <c r="AK6" i="43"/>
  <c r="AL143" i="41"/>
  <c r="AL143" i="44" s="1"/>
  <c r="AL24" i="44"/>
  <c r="AL29" i="41"/>
  <c r="AL29" i="44" l="1"/>
  <c r="AK6" i="46"/>
  <c r="AK22" i="43"/>
  <c r="AL6" i="43"/>
  <c r="AK38" i="42"/>
  <c r="AK32" i="41"/>
  <c r="AK32" i="44" s="1"/>
  <c r="AK27" i="44"/>
  <c r="AK33" i="41"/>
  <c r="AL27" i="44"/>
  <c r="AL31" i="41"/>
  <c r="AL31" i="44" s="1"/>
  <c r="AL30" i="41"/>
  <c r="AL30" i="44" s="1"/>
  <c r="AK147" i="41"/>
  <c r="AK147" i="44" s="1"/>
  <c r="AK34" i="44"/>
  <c r="AL32" i="41" l="1"/>
  <c r="AL32" i="44" s="1"/>
  <c r="AL33" i="41"/>
  <c r="AL38" i="42"/>
  <c r="AK38" i="45"/>
  <c r="AK41" i="42"/>
  <c r="AK33" i="44"/>
  <c r="AK146" i="41"/>
  <c r="AK146" i="44" s="1"/>
  <c r="AL22" i="43"/>
  <c r="AL6" i="46"/>
  <c r="AK55" i="43"/>
  <c r="AK22" i="46"/>
  <c r="AL34" i="41"/>
  <c r="AK55" i="46" l="1"/>
  <c r="AK148" i="41"/>
  <c r="AK148" i="44" s="1"/>
  <c r="AL34" i="44"/>
  <c r="AL59" i="43"/>
  <c r="AL149" i="41"/>
  <c r="AL149" i="44" s="1"/>
  <c r="AL147" i="41"/>
  <c r="AL147" i="44" s="1"/>
  <c r="AL36" i="41"/>
  <c r="AL36" i="44" s="1"/>
  <c r="AL33" i="44"/>
  <c r="AL146" i="41"/>
  <c r="AL146" i="44" s="1"/>
  <c r="AL22" i="46"/>
  <c r="AL55" i="43"/>
  <c r="AK42" i="42"/>
  <c r="AK62" i="42"/>
  <c r="AK62" i="45" s="1"/>
  <c r="AK41" i="45"/>
  <c r="AL38" i="45"/>
  <c r="AL41" i="42"/>
  <c r="AL42" i="42" l="1"/>
  <c r="AL41" i="45"/>
  <c r="AK42" i="45"/>
  <c r="AK7" i="42"/>
  <c r="AK12" i="42"/>
  <c r="AK17" i="42"/>
  <c r="AL148" i="41"/>
  <c r="AL148" i="44" s="1"/>
  <c r="AL55" i="46"/>
  <c r="AL59" i="46"/>
  <c r="AL61" i="43"/>
  <c r="AL61" i="46" s="1"/>
  <c r="AL17" i="42" l="1"/>
  <c r="AL17" i="45" s="1"/>
  <c r="AK17" i="45"/>
  <c r="AK26" i="43"/>
  <c r="AK12" i="45"/>
  <c r="AL12" i="42"/>
  <c r="AL12" i="45" s="1"/>
  <c r="AL7" i="42"/>
  <c r="AL7" i="45" s="1"/>
  <c r="AK24" i="43"/>
  <c r="AK7" i="45"/>
  <c r="AL42" i="45"/>
  <c r="AK24" i="46" l="1"/>
  <c r="AK27" i="43"/>
  <c r="AL24" i="43"/>
  <c r="AK26" i="46"/>
  <c r="AL26" i="43"/>
  <c r="AL26" i="46" s="1"/>
  <c r="AL27" i="43" l="1"/>
  <c r="AL24" i="46"/>
  <c r="AK27" i="46"/>
  <c r="AK39" i="43"/>
  <c r="AK39" i="46" l="1"/>
  <c r="AK41" i="43"/>
  <c r="AL27" i="46"/>
  <c r="AL39" i="43"/>
  <c r="AL39" i="46" l="1"/>
  <c r="AL41" i="43"/>
  <c r="AK6" i="42"/>
  <c r="AK41" i="46"/>
  <c r="AK46" i="43" l="1"/>
  <c r="AK11" i="42"/>
  <c r="AL6" i="42"/>
  <c r="AK6" i="45"/>
  <c r="AM21" i="41"/>
  <c r="AQ40" i="43"/>
  <c r="AQ40" i="46" s="1"/>
  <c r="AM40" i="43"/>
  <c r="AL41" i="46"/>
  <c r="AM40" i="46" l="1"/>
  <c r="AM21" i="44"/>
  <c r="AM23" i="41"/>
  <c r="AK20" i="42"/>
  <c r="AK11" i="45"/>
  <c r="AL11" i="42"/>
  <c r="AL6" i="45"/>
  <c r="AL46" i="43"/>
  <c r="AK46" i="46"/>
  <c r="AK48" i="43"/>
  <c r="AK48" i="46" s="1"/>
  <c r="AL48" i="43" l="1"/>
  <c r="AL48" i="46" s="1"/>
  <c r="AL46" i="46"/>
  <c r="AL11" i="45"/>
  <c r="AL20" i="42"/>
  <c r="AK20" i="45"/>
  <c r="AK43" i="42"/>
  <c r="AK43" i="45" s="1"/>
  <c r="AM24" i="41"/>
  <c r="AM23" i="44"/>
  <c r="AM24" i="44" l="1"/>
  <c r="AM29" i="41"/>
  <c r="AM25" i="41"/>
  <c r="AL20" i="45"/>
  <c r="AL43" i="42"/>
  <c r="AL43" i="45" s="1"/>
  <c r="AM29" i="44" l="1"/>
  <c r="AM34" i="41"/>
  <c r="AM27" i="41"/>
  <c r="AM6" i="43"/>
  <c r="AM25" i="44"/>
  <c r="AM32" i="41" l="1"/>
  <c r="AM32" i="44" s="1"/>
  <c r="AM27" i="44"/>
  <c r="AM33" i="41"/>
  <c r="AM6" i="46"/>
  <c r="AM22" i="43"/>
  <c r="AM38" i="42"/>
  <c r="AM34" i="44"/>
  <c r="AM147" i="41"/>
  <c r="AM147" i="44" s="1"/>
  <c r="AM38" i="45" l="1"/>
  <c r="AM41" i="42"/>
  <c r="AM22" i="46"/>
  <c r="AM55" i="43"/>
  <c r="AM33" i="44"/>
  <c r="AM146" i="41"/>
  <c r="AM146" i="44" s="1"/>
  <c r="AM62" i="42" l="1"/>
  <c r="AM62" i="45" s="1"/>
  <c r="AM41" i="45"/>
  <c r="AM42" i="42"/>
  <c r="AM55" i="46"/>
  <c r="AM148" i="41"/>
  <c r="AM148" i="44" s="1"/>
  <c r="AM7" i="42" l="1"/>
  <c r="AM12" i="42"/>
  <c r="AM12" i="45" s="1"/>
  <c r="AM42" i="45"/>
  <c r="AM17" i="42"/>
  <c r="AM17" i="45" l="1"/>
  <c r="AM26" i="43"/>
  <c r="AM24" i="43"/>
  <c r="AM7" i="45"/>
  <c r="AM24" i="46" l="1"/>
  <c r="AM27" i="43"/>
  <c r="AM26" i="46"/>
  <c r="AM27" i="46" l="1"/>
  <c r="AM39" i="43"/>
  <c r="AM39" i="46" l="1"/>
  <c r="AM41" i="43"/>
  <c r="AN40" i="43" l="1"/>
  <c r="AM6" i="42"/>
  <c r="AM41" i="46"/>
  <c r="AM46" i="43" l="1"/>
  <c r="AM6" i="45"/>
  <c r="AN21" i="41"/>
  <c r="AM11" i="42"/>
  <c r="AN40" i="46"/>
  <c r="AN21" i="44" l="1"/>
  <c r="AN23" i="41"/>
  <c r="AM20" i="42"/>
  <c r="AM11" i="45"/>
  <c r="AM46" i="46"/>
  <c r="AM48" i="43"/>
  <c r="AM48" i="46" s="1"/>
  <c r="AN24" i="41" l="1"/>
  <c r="AN23" i="44"/>
  <c r="AM20" i="45"/>
  <c r="AM43" i="42"/>
  <c r="AM43" i="45" s="1"/>
  <c r="AN24" i="44" l="1"/>
  <c r="AN29" i="41"/>
  <c r="AN25" i="41"/>
  <c r="AN29" i="44" l="1"/>
  <c r="AN34" i="41"/>
  <c r="AN27" i="41"/>
  <c r="AN25" i="44"/>
  <c r="AN6" i="43"/>
  <c r="AN22" i="43" l="1"/>
  <c r="AN6" i="46"/>
  <c r="AN38" i="42"/>
  <c r="AN27" i="44"/>
  <c r="AN33" i="41"/>
  <c r="AN32" i="41"/>
  <c r="AN32" i="44" s="1"/>
  <c r="AN34" i="44"/>
  <c r="AN147" i="41"/>
  <c r="AN147" i="44" s="1"/>
  <c r="AN33" i="44" l="1"/>
  <c r="AN146" i="41"/>
  <c r="AN146" i="44" s="1"/>
  <c r="AN38" i="45"/>
  <c r="AN41" i="42"/>
  <c r="AN22" i="46"/>
  <c r="AN55" i="43"/>
  <c r="AN148" i="41" l="1"/>
  <c r="AN148" i="44" s="1"/>
  <c r="AN55" i="46"/>
  <c r="AN42" i="42"/>
  <c r="AN62" i="42"/>
  <c r="AN62" i="45" s="1"/>
  <c r="AN41" i="45"/>
  <c r="AN7" i="42" l="1"/>
  <c r="AN12" i="42"/>
  <c r="AN12" i="45" s="1"/>
  <c r="AN42" i="45"/>
  <c r="AN17" i="42"/>
  <c r="AN17" i="45" l="1"/>
  <c r="AN26" i="43"/>
  <c r="AN7" i="45"/>
  <c r="AN24" i="43"/>
  <c r="AN26" i="46" l="1"/>
  <c r="AN27" i="43"/>
  <c r="AN24" i="46"/>
  <c r="AN27" i="46" l="1"/>
  <c r="AN39" i="43"/>
  <c r="AN39" i="46" l="1"/>
  <c r="AN41" i="43"/>
  <c r="AN41" i="46" l="1"/>
  <c r="AO40" i="43"/>
  <c r="AN6" i="42"/>
  <c r="AN11" i="42" l="1"/>
  <c r="AO21" i="41"/>
  <c r="AN46" i="43"/>
  <c r="AN6" i="45"/>
  <c r="AO40" i="46"/>
  <c r="AN46" i="46" l="1"/>
  <c r="AN48" i="43"/>
  <c r="AN48" i="46" s="1"/>
  <c r="AO21" i="44"/>
  <c r="AO23" i="41"/>
  <c r="AN20" i="42"/>
  <c r="AN11" i="45"/>
  <c r="AN20" i="45" l="1"/>
  <c r="AN43" i="42"/>
  <c r="AN43" i="45" s="1"/>
  <c r="AO24" i="41"/>
  <c r="AO25" i="41" s="1"/>
  <c r="AO23" i="44"/>
  <c r="AO24" i="44" l="1"/>
  <c r="AO29" i="41"/>
  <c r="AO6" i="43"/>
  <c r="AO27" i="41"/>
  <c r="AO25" i="44"/>
  <c r="AO34" i="41" l="1"/>
  <c r="AO29" i="44"/>
  <c r="AO33" i="41"/>
  <c r="AO32" i="41"/>
  <c r="AO32" i="44" s="1"/>
  <c r="AO27" i="44"/>
  <c r="AO22" i="43"/>
  <c r="AO6" i="46"/>
  <c r="AO38" i="42"/>
  <c r="AO146" i="41" l="1"/>
  <c r="AO146" i="44" s="1"/>
  <c r="AO33" i="44"/>
  <c r="AO38" i="45"/>
  <c r="AO41" i="42"/>
  <c r="AO55" i="43"/>
  <c r="AO22" i="46"/>
  <c r="AO34" i="44"/>
  <c r="AO147" i="41"/>
  <c r="AO147" i="44" s="1"/>
  <c r="AO148" i="41" l="1"/>
  <c r="AO148" i="44" s="1"/>
  <c r="AO55" i="46"/>
  <c r="AO42" i="42"/>
  <c r="AO62" i="42"/>
  <c r="AO62" i="45" s="1"/>
  <c r="AO41" i="45"/>
  <c r="AO42" i="45" l="1"/>
  <c r="AO7" i="42"/>
  <c r="AO12" i="42"/>
  <c r="AO12" i="45" s="1"/>
  <c r="AO17" i="42"/>
  <c r="AO26" i="43" l="1"/>
  <c r="AO17" i="45"/>
  <c r="AO24" i="43"/>
  <c r="AO7" i="45"/>
  <c r="AO27" i="43" l="1"/>
  <c r="AO24" i="46"/>
  <c r="AO26" i="46"/>
  <c r="AO27" i="46" l="1"/>
  <c r="AO39" i="43"/>
  <c r="AO39" i="46" l="1"/>
  <c r="AO41" i="43"/>
  <c r="AO6" i="42" l="1"/>
  <c r="AO41" i="46"/>
  <c r="AP40" i="43"/>
  <c r="AP40" i="46" l="1"/>
  <c r="AO11" i="42"/>
  <c r="AP21" i="41"/>
  <c r="AO46" i="43"/>
  <c r="AO6" i="45"/>
  <c r="AO46" i="46" l="1"/>
  <c r="AO48" i="43"/>
  <c r="AO48" i="46" s="1"/>
  <c r="AO11" i="45"/>
  <c r="AO20" i="42"/>
  <c r="AP21" i="44"/>
  <c r="AP23" i="41"/>
  <c r="AQ21" i="41"/>
  <c r="AP24" i="41" l="1"/>
  <c r="AP23" i="44"/>
  <c r="AP25" i="41"/>
  <c r="AQ21" i="44"/>
  <c r="AQ23" i="41"/>
  <c r="AO20" i="45"/>
  <c r="AO43" i="42"/>
  <c r="AO43" i="45" s="1"/>
  <c r="AP6" i="43" l="1"/>
  <c r="AP27" i="41"/>
  <c r="AP25" i="44"/>
  <c r="AQ23" i="44"/>
  <c r="AP24" i="44"/>
  <c r="AQ24" i="41"/>
  <c r="AQ25" i="41" s="1"/>
  <c r="AP29" i="41"/>
  <c r="AQ25" i="44" l="1"/>
  <c r="AQ27" i="41"/>
  <c r="AP34" i="41"/>
  <c r="AP29" i="44"/>
  <c r="AQ143" i="41"/>
  <c r="AQ143" i="44" s="1"/>
  <c r="AQ24" i="44"/>
  <c r="AQ29" i="41"/>
  <c r="AP32" i="41"/>
  <c r="AP32" i="44" s="1"/>
  <c r="AP33" i="41"/>
  <c r="AP27" i="44"/>
  <c r="AP6" i="46"/>
  <c r="AP22" i="43"/>
  <c r="AQ6" i="43"/>
  <c r="AP38" i="42"/>
  <c r="AQ38" i="42" l="1"/>
  <c r="AP38" i="45"/>
  <c r="AP41" i="42"/>
  <c r="AP55" i="43"/>
  <c r="AP22" i="46"/>
  <c r="AP33" i="44"/>
  <c r="AP146" i="41"/>
  <c r="AP146" i="44" s="1"/>
  <c r="AQ27" i="44"/>
  <c r="AQ30" i="41"/>
  <c r="AQ30" i="44" s="1"/>
  <c r="AQ31" i="41"/>
  <c r="AQ31" i="44" s="1"/>
  <c r="AQ22" i="43"/>
  <c r="AQ6" i="46"/>
  <c r="AQ29" i="44"/>
  <c r="AP34" i="44"/>
  <c r="AP147" i="41"/>
  <c r="AP147" i="44" s="1"/>
  <c r="AQ34" i="41" l="1"/>
  <c r="AQ34" i="44"/>
  <c r="AQ147" i="41"/>
  <c r="AQ147" i="44" s="1"/>
  <c r="AQ32" i="41"/>
  <c r="AQ32" i="44" s="1"/>
  <c r="AP62" i="42"/>
  <c r="AP62" i="45" s="1"/>
  <c r="AP41" i="45"/>
  <c r="AP42" i="42"/>
  <c r="AQ38" i="45"/>
  <c r="AQ41" i="42"/>
  <c r="AQ55" i="43"/>
  <c r="AQ22" i="46"/>
  <c r="AQ33" i="41"/>
  <c r="AP148" i="41"/>
  <c r="AP148" i="44" s="1"/>
  <c r="AP55" i="46"/>
  <c r="AQ148" i="41" l="1"/>
  <c r="AQ148" i="44" s="1"/>
  <c r="AQ55" i="46"/>
  <c r="AP12" i="42"/>
  <c r="AP42" i="45"/>
  <c r="AP7" i="42"/>
  <c r="AP17" i="42"/>
  <c r="AQ146" i="41"/>
  <c r="AQ146" i="44" s="1"/>
  <c r="AQ36" i="41"/>
  <c r="AQ36" i="44" s="1"/>
  <c r="AQ33" i="44"/>
  <c r="AQ42" i="42"/>
  <c r="AQ41" i="45"/>
  <c r="AQ42" i="45" l="1"/>
  <c r="AQ7" i="42"/>
  <c r="AQ7" i="45" s="1"/>
  <c r="AP7" i="45"/>
  <c r="AP24" i="43"/>
  <c r="AP26" i="43"/>
  <c r="AQ17" i="42"/>
  <c r="AQ17" i="45" s="1"/>
  <c r="AP17" i="45"/>
  <c r="AQ12" i="42"/>
  <c r="AQ12" i="45" s="1"/>
  <c r="AP12" i="45"/>
  <c r="AP27" i="43" l="1"/>
  <c r="AP24" i="46"/>
  <c r="AQ24" i="43"/>
  <c r="AP26" i="46"/>
  <c r="AQ26" i="43"/>
  <c r="AQ26" i="46" s="1"/>
  <c r="AQ24" i="46" l="1"/>
  <c r="AQ27" i="43"/>
  <c r="AP27" i="46"/>
  <c r="AP39" i="43"/>
  <c r="AP39" i="46" l="1"/>
  <c r="AP41" i="43"/>
  <c r="AQ27" i="46"/>
  <c r="AQ39" i="43"/>
  <c r="AQ39" i="46" l="1"/>
  <c r="AQ41" i="43"/>
  <c r="AP6" i="42"/>
  <c r="AP41" i="46"/>
  <c r="AP6" i="45" l="1"/>
  <c r="AP46" i="43"/>
  <c r="AR21" i="41"/>
  <c r="AP11" i="42"/>
  <c r="AQ6" i="42"/>
  <c r="AV40" i="43"/>
  <c r="AV40" i="46" s="1"/>
  <c r="AR40" i="43"/>
  <c r="AQ41" i="46"/>
  <c r="AQ11" i="42" l="1"/>
  <c r="AQ46" i="43"/>
  <c r="AQ6" i="45"/>
  <c r="AP48" i="43"/>
  <c r="AP48" i="46" s="1"/>
  <c r="AP46" i="46"/>
  <c r="AR40" i="46"/>
  <c r="AP20" i="42"/>
  <c r="AP11" i="45"/>
  <c r="AR21" i="44"/>
  <c r="AR23" i="41"/>
  <c r="AP20" i="45" l="1"/>
  <c r="AP43" i="42"/>
  <c r="AP43" i="45" s="1"/>
  <c r="AR23" i="44"/>
  <c r="AR24" i="41"/>
  <c r="AR25" i="41" s="1"/>
  <c r="AQ48" i="43"/>
  <c r="AQ48" i="46" s="1"/>
  <c r="AQ46" i="46"/>
  <c r="AQ11" i="45"/>
  <c r="AQ20" i="42"/>
  <c r="AR25" i="44" l="1"/>
  <c r="AR6" i="43"/>
  <c r="AR27" i="41"/>
  <c r="AQ20" i="45"/>
  <c r="AQ43" i="42"/>
  <c r="AQ43" i="45" s="1"/>
  <c r="AR24" i="44"/>
  <c r="AR29" i="41"/>
  <c r="AR33" i="41" l="1"/>
  <c r="AR32" i="41"/>
  <c r="AR32" i="44" s="1"/>
  <c r="AR27" i="44"/>
  <c r="AR29" i="44"/>
  <c r="AR34" i="41"/>
  <c r="AR22" i="43"/>
  <c r="AR6" i="46"/>
  <c r="AR38" i="42"/>
  <c r="AR34" i="44" l="1"/>
  <c r="AR147" i="41"/>
  <c r="AR147" i="44" s="1"/>
  <c r="AR38" i="45"/>
  <c r="AR41" i="42"/>
  <c r="AR22" i="46"/>
  <c r="AR55" i="43"/>
  <c r="AR146" i="41"/>
  <c r="AR146" i="44" s="1"/>
  <c r="AR33" i="44"/>
  <c r="AR55" i="46" l="1"/>
  <c r="AR148" i="41"/>
  <c r="AR148" i="44" s="1"/>
  <c r="AR42" i="42"/>
  <c r="AR62" i="42"/>
  <c r="AR62" i="45" s="1"/>
  <c r="AR41" i="45"/>
  <c r="AR12" i="42" l="1"/>
  <c r="AR12" i="45" s="1"/>
  <c r="AR42" i="45"/>
  <c r="AR7" i="42"/>
  <c r="AR17" i="42"/>
  <c r="AR26" i="43" l="1"/>
  <c r="AR17" i="45"/>
  <c r="AR24" i="43"/>
  <c r="AR7" i="45"/>
  <c r="AR27" i="43" l="1"/>
  <c r="AR24" i="46"/>
  <c r="AR26" i="46"/>
  <c r="AR27" i="46" l="1"/>
  <c r="AR39" i="43"/>
  <c r="AR39" i="46" l="1"/>
  <c r="AR41" i="43"/>
  <c r="AS40" i="43" l="1"/>
  <c r="AR6" i="42"/>
  <c r="AR41" i="46"/>
  <c r="AS21" i="41" l="1"/>
  <c r="AR46" i="43"/>
  <c r="AR11" i="42"/>
  <c r="AR6" i="45"/>
  <c r="AS40" i="46"/>
  <c r="AR48" i="43" l="1"/>
  <c r="AR48" i="46" s="1"/>
  <c r="AR46" i="46"/>
  <c r="AR20" i="42"/>
  <c r="AR11" i="45"/>
  <c r="AS21" i="44"/>
  <c r="AS23" i="41"/>
  <c r="AS23" i="44" l="1"/>
  <c r="AS24" i="41"/>
  <c r="AS25" i="41" s="1"/>
  <c r="AR20" i="45"/>
  <c r="AR43" i="42"/>
  <c r="AR43" i="45" s="1"/>
  <c r="AS27" i="41" l="1"/>
  <c r="AS6" i="43"/>
  <c r="AS25" i="44"/>
  <c r="AS24" i="44"/>
  <c r="AS29" i="41"/>
  <c r="AS34" i="41" l="1"/>
  <c r="AS29" i="44"/>
  <c r="AS6" i="46"/>
  <c r="AS22" i="43"/>
  <c r="AS38" i="42"/>
  <c r="AS32" i="41"/>
  <c r="AS32" i="44" s="1"/>
  <c r="AS27" i="44"/>
  <c r="AS33" i="41"/>
  <c r="AS33" i="44" l="1"/>
  <c r="AS146" i="41"/>
  <c r="AS146" i="44" s="1"/>
  <c r="AS38" i="45"/>
  <c r="AS41" i="42"/>
  <c r="AS55" i="43"/>
  <c r="AS22" i="46"/>
  <c r="AS34" i="44"/>
  <c r="AS147" i="41"/>
  <c r="AS147" i="44" s="1"/>
  <c r="AS55" i="46" l="1"/>
  <c r="AS148" i="41"/>
  <c r="AS148" i="44" s="1"/>
  <c r="AS62" i="42"/>
  <c r="AS62" i="45" s="1"/>
  <c r="AS41" i="45"/>
  <c r="AS42" i="42"/>
  <c r="AS7" i="42" l="1"/>
  <c r="AS12" i="42"/>
  <c r="AS12" i="45" s="1"/>
  <c r="AS42" i="45"/>
  <c r="AS17" i="42"/>
  <c r="AS26" i="43" l="1"/>
  <c r="AS17" i="45"/>
  <c r="AS24" i="43"/>
  <c r="AS7" i="45"/>
  <c r="AS24" i="46" l="1"/>
  <c r="AS27" i="43"/>
  <c r="AS26" i="46"/>
  <c r="AS27" i="46" l="1"/>
  <c r="AS39" i="43"/>
  <c r="AS39" i="46" l="1"/>
  <c r="AS41" i="43"/>
  <c r="AT40" i="43" l="1"/>
  <c r="AS6" i="42"/>
  <c r="AS41" i="46"/>
  <c r="AS46" i="43" l="1"/>
  <c r="AS11" i="42"/>
  <c r="AS6" i="45"/>
  <c r="AT21" i="41"/>
  <c r="AT40" i="46"/>
  <c r="AT21" i="44" l="1"/>
  <c r="AT23" i="41"/>
  <c r="AS11" i="45"/>
  <c r="AS20" i="42"/>
  <c r="AS48" i="43"/>
  <c r="AS48" i="46" s="1"/>
  <c r="AS46" i="46"/>
  <c r="AS20" i="45" l="1"/>
  <c r="AS43" i="42"/>
  <c r="AS43" i="45" s="1"/>
  <c r="AT24" i="41"/>
  <c r="AT23" i="44"/>
  <c r="AT24" i="44" l="1"/>
  <c r="AT29" i="41"/>
  <c r="AT25" i="41"/>
  <c r="AT29" i="44" l="1"/>
  <c r="AT34" i="41"/>
  <c r="AT27" i="41"/>
  <c r="AT25" i="44"/>
  <c r="AT6" i="43"/>
  <c r="AT22" i="43" l="1"/>
  <c r="AT6" i="46"/>
  <c r="AT38" i="42"/>
  <c r="AT32" i="41"/>
  <c r="AT32" i="44" s="1"/>
  <c r="AT27" i="44"/>
  <c r="AT33" i="41"/>
  <c r="AT34" i="44"/>
  <c r="AT147" i="41"/>
  <c r="AT147" i="44" s="1"/>
  <c r="AT33" i="44" l="1"/>
  <c r="AT146" i="41"/>
  <c r="AT146" i="44" s="1"/>
  <c r="AT38" i="45"/>
  <c r="AT41" i="42"/>
  <c r="AT22" i="46"/>
  <c r="AT55" i="43"/>
  <c r="AT55" i="46" l="1"/>
  <c r="AT148" i="41"/>
  <c r="AT148" i="44" s="1"/>
  <c r="AT41" i="45"/>
  <c r="AT42" i="42"/>
  <c r="AT62" i="42"/>
  <c r="AT62" i="45" s="1"/>
  <c r="AT12" i="42" l="1"/>
  <c r="AT12" i="45" s="1"/>
  <c r="AT42" i="45"/>
  <c r="AT7" i="42"/>
  <c r="AT17" i="42"/>
  <c r="AT26" i="43" l="1"/>
  <c r="AT17" i="45"/>
  <c r="AT24" i="43"/>
  <c r="AT7" i="45"/>
  <c r="AT27" i="43" l="1"/>
  <c r="AT24" i="46"/>
  <c r="AT26" i="46"/>
  <c r="AT27" i="46" l="1"/>
  <c r="AT39" i="43"/>
  <c r="AT39" i="46" l="1"/>
  <c r="AT41" i="43"/>
  <c r="AT6" i="42" l="1"/>
  <c r="AT41" i="46"/>
  <c r="AU40" i="43"/>
  <c r="AU40" i="46" l="1"/>
  <c r="AT6" i="45"/>
  <c r="AU21" i="41"/>
  <c r="AT46" i="43"/>
  <c r="AT11" i="42"/>
  <c r="AT20" i="42" l="1"/>
  <c r="AT11" i="45"/>
  <c r="AT48" i="43"/>
  <c r="AT48" i="46" s="1"/>
  <c r="AT46" i="46"/>
  <c r="AU21" i="44"/>
  <c r="AU23" i="41"/>
  <c r="AV21" i="41"/>
  <c r="AV21" i="44" l="1"/>
  <c r="AV23" i="41"/>
  <c r="AU23" i="44"/>
  <c r="AU24" i="41"/>
  <c r="AT20" i="45"/>
  <c r="AT43" i="42"/>
  <c r="AT43" i="45" s="1"/>
  <c r="AU24" i="44" l="1"/>
  <c r="AV24" i="41"/>
  <c r="AU29" i="41"/>
  <c r="AU25" i="41"/>
  <c r="AV25" i="41"/>
  <c r="AV23" i="44"/>
  <c r="AU29" i="44" l="1"/>
  <c r="AU34" i="41"/>
  <c r="AV25" i="44"/>
  <c r="AV27" i="41"/>
  <c r="AU25" i="44"/>
  <c r="AU6" i="43"/>
  <c r="AU27" i="41"/>
  <c r="AV143" i="41"/>
  <c r="AV143" i="44" s="1"/>
  <c r="AV24" i="44"/>
  <c r="AV29" i="41"/>
  <c r="AV29" i="44" l="1"/>
  <c r="AU6" i="46"/>
  <c r="AU22" i="43"/>
  <c r="AV6" i="43"/>
  <c r="AU38" i="42"/>
  <c r="AU33" i="41"/>
  <c r="AU32" i="41"/>
  <c r="AU32" i="44" s="1"/>
  <c r="AU27" i="44"/>
  <c r="AV27" i="44"/>
  <c r="AV31" i="41"/>
  <c r="AV31" i="44" s="1"/>
  <c r="AV30" i="41"/>
  <c r="AV30" i="44" s="1"/>
  <c r="AU34" i="44"/>
  <c r="AU147" i="41"/>
  <c r="AU147" i="44" s="1"/>
  <c r="AV32" i="41" l="1"/>
  <c r="AV32" i="44" s="1"/>
  <c r="AU38" i="45"/>
  <c r="AV38" i="42"/>
  <c r="AU41" i="42"/>
  <c r="AV33" i="41"/>
  <c r="AV22" i="43"/>
  <c r="AV6" i="46"/>
  <c r="AU33" i="44"/>
  <c r="AU146" i="41"/>
  <c r="AU146" i="44" s="1"/>
  <c r="AU22" i="46"/>
  <c r="AU55" i="43"/>
  <c r="AV34" i="41"/>
  <c r="AV34" i="44" l="1"/>
  <c r="AV147" i="41"/>
  <c r="AV147" i="44" s="1"/>
  <c r="AU55" i="46"/>
  <c r="AU148" i="41"/>
  <c r="AU148" i="44" s="1"/>
  <c r="AV33" i="44"/>
  <c r="AV146" i="41"/>
  <c r="AV146" i="44" s="1"/>
  <c r="AV36" i="41"/>
  <c r="AV36" i="44" s="1"/>
  <c r="AV55" i="43"/>
  <c r="AV22" i="46"/>
  <c r="AU41" i="45"/>
  <c r="AU62" i="42"/>
  <c r="AU62" i="45" s="1"/>
  <c r="AU42" i="42"/>
  <c r="AV38" i="45"/>
  <c r="AV41" i="42"/>
  <c r="AV55" i="46" l="1"/>
  <c r="AV148" i="41"/>
  <c r="AV148" i="44" s="1"/>
  <c r="AV41" i="45"/>
  <c r="AV42" i="42"/>
  <c r="AU42" i="45"/>
  <c r="AU12" i="42"/>
  <c r="AU7" i="42"/>
  <c r="AU17" i="42"/>
  <c r="AU12" i="45" l="1"/>
  <c r="AV12" i="42"/>
  <c r="AV12" i="45" s="1"/>
  <c r="AU24" i="43"/>
  <c r="AV7" i="42"/>
  <c r="AV7" i="45" s="1"/>
  <c r="AU7" i="45"/>
  <c r="AU26" i="43"/>
  <c r="AV17" i="42"/>
  <c r="AV17" i="45" s="1"/>
  <c r="AU17" i="45"/>
  <c r="AV42" i="45"/>
  <c r="AU26" i="46" l="1"/>
  <c r="AV26" i="43"/>
  <c r="AV26" i="46" s="1"/>
  <c r="AU24" i="46"/>
  <c r="AU27" i="43"/>
  <c r="AV24" i="43"/>
  <c r="AV27" i="43" l="1"/>
  <c r="AV24" i="46"/>
  <c r="AU27" i="46"/>
  <c r="AU39" i="43"/>
  <c r="AU39" i="46" l="1"/>
  <c r="AU41" i="43"/>
  <c r="AV27" i="46"/>
  <c r="AV39" i="43"/>
  <c r="AV39" i="46" l="1"/>
  <c r="AV41" i="43"/>
  <c r="AV41" i="46" s="1"/>
  <c r="AU6" i="42"/>
  <c r="AU41" i="46"/>
  <c r="AU11" i="42" l="1"/>
  <c r="AV6" i="42"/>
  <c r="AU46" i="43"/>
  <c r="AU6" i="45"/>
  <c r="AU46" i="46" l="1"/>
  <c r="AU48" i="43"/>
  <c r="AU48" i="46" s="1"/>
  <c r="AV46" i="43"/>
  <c r="AV6" i="45"/>
  <c r="AV11" i="42"/>
  <c r="AU20" i="42"/>
  <c r="AU11" i="45"/>
  <c r="AV20" i="42" l="1"/>
  <c r="AV11" i="45"/>
  <c r="AV46" i="46"/>
  <c r="AV48" i="43"/>
  <c r="AV48" i="46" s="1"/>
  <c r="AU20" i="45"/>
  <c r="AU43" i="42"/>
  <c r="AU43" i="45" s="1"/>
  <c r="AV20" i="45" l="1"/>
  <c r="AV43" i="42"/>
  <c r="AV43"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C0432C64-982E-4DC6-B9D9-B6AF6DC0373A}">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09066CD6-2C33-45E2-92B1-E01198177CC8}">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B62C5A59-6D61-40F2-9129-FF5071F31E75}">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06036347-5934-438F-9951-CF64C0995E2B}">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12E98784-FCE5-454D-97FB-6C450D47F4A7}">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B7793521-DDFD-4F35-8F8A-660ADEFC1173}">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31EE350A-1AA9-48CB-9DB0-CD7D997F3552}">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C8A76F9-C3C7-462E-8B01-5BEE46903409}">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61A60D87-0B0C-4DBB-9255-4443D0CB3203}">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58CE4EDA-9D2F-4611-AFD4-89812551E7B9}">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A0C6485F-F37C-4267-80AE-FEB00DFA3D51}">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A91A0953-A9FD-4C0A-8624-D96CBFD3470B}">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2124E2B6-B6B7-4A04-921F-D957142B8B6A}">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0B9C28F5-6356-4410-8D65-8BE37C5F60CF}">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256D27F8-171A-43C1-B17E-8DDBE2FDFD05}">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52C51139-0A33-4B7B-8260-E22886582935}">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F6016005-1FF6-4B3E-9BBF-A7D6FFFFC5D2}">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BFEBC261-AB64-4450-8C8D-B027D0974329}">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016D4143-B498-4489-B152-EB6EDAD6BFC0}">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7BB24EF4-CB68-49C2-A7BC-3DB271D8EF32}">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4E05DCB6-83A3-4E2B-9CC1-70080DDB827A}">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39DD6ECF-B825-4FAB-B468-4ABBD35669B4}">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B5DD87A9-830C-4F51-B2F4-3E353218601B}">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D258A54B-D652-46D2-8AC5-F1F187F2C4AF}">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757F8AEE-F277-4165-A90F-09611AD4F7F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5AC36EB9-2D7B-49EC-8B8E-BA0F84B09056}">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40E3340A-200F-43F8-8849-9EB87720F222}">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0454092D-7D55-46A9-8CB2-B3CA72733A1A}">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EACC137E-E0BE-4981-907B-3CDE354F60DB}">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7664AED0-C1AD-45ED-9F12-4C2C9FD719B4}">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DBF41B3D-73FA-4646-A936-B1ED085718A8}">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C497C174-3A53-4D2A-B657-216E9FC4987D}">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A79C0551-F20D-47D2-810A-6144B14BF1F8}">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BBCE2572-8B59-4E4F-B52A-FBE190A60831}">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61929523-06D4-4B91-95E8-05D7A9DECACC}">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B55C209B-A6B7-414D-A9BE-E7548F9E78A3}">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A5168CBE-EFD2-4C75-8ACF-C4DA72C42942}">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EAF42A7F-2D83-4DB4-A919-983EF0195D8E}">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039E42F8-614B-4BF7-BBC0-8D6F62A995AF}">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8B3C8F4F-D187-466E-AD78-1FF65D0FE630}">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2405B668-1596-40B7-880D-E2EDBCECB007}">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A4E8FE8F-4B45-4E62-BEA0-BB3FAB03813D}">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0089DABB-9B7A-43A8-A476-4BF85CA2B490}">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405A4863-6194-475B-998D-506C4842E06A}">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671B4228-DED7-47DD-826E-476C7829FC9F}">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621C64AC-FF47-4E8E-A546-DF4F302E897F}">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308E6378-58B7-427E-A559-3B67042FC5DA}">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2514CABD-7956-47B4-8E80-518B5A6943B3}">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7BC54FE6-ADF8-423C-8638-F52FEB46BD20}">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9E362074-94F2-41F0-9944-D83E692AEB8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D33D0584-C4F5-4F7C-8A62-DB8F0BD7DFDA}">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10EC6AFC-850D-4288-86F3-332152F48CCA}">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58F47758-B9CF-4726-A79B-30B4A1EC9665}">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443D39E6-C18B-48BE-A286-9AD468E301DA}">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5CAD5210-19C5-4B79-9980-19B00194714C}">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6226BAF6-8D1D-4F84-A760-B96E90C76D3D}">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F22C26F2-8767-4E2A-AF0C-D48EDADA9BFD}">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9BA2AC9F-2212-4156-8463-50933AAFCEAC}">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9262FA23-AD9E-452D-A059-4CCED4F2228D}">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7121FF00-1541-4228-B72A-79B3B0B3ACD0}">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4F9FD2ED-91C0-490A-BE69-FD17530CB359}">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EB407C1F-16A4-4DEF-B0C0-B6A6EFBCEB32}">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86287F23-2AA7-4574-B8A5-44E8FD15AF53}">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B51A0FAC-C4A8-4A11-B9B3-D8ADA808C554}">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3DFB4775-D958-4A40-968B-49778B203915}">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9729A4B4-999A-417C-9E1F-488575A01301}">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9817CDA4-AC04-4B18-AA22-17B47175136C}">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EBFC927B-9137-4885-8494-8C25881EC8B0}">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6871E215-009D-45D5-A3C5-9D1EF51CFA9F}">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6C378902-5715-4264-A65E-8E5C9ECDEAC1}">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A635A49C-7A0C-475F-9983-3A3C3FAE30C3}">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F44BD9F4-6767-456C-94A9-30DB54469E2A}">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4A690178-EAAA-4E17-A963-48CC57A0070F}">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2B28B73D-391A-4FB9-A412-FBDC4B3B64B8}">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7BFB1968-A508-4088-AF10-36368730043B}">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36670F5A-0686-45C2-AC22-B3379A1666EA}">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283E9E20-C781-4FAF-BBC9-F26384F6BB16}">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306DE52B-4F6B-4EB4-9A32-79CD833244A8}">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7F50EEB-103C-46DB-8A3E-B9D723AEC980}">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886EF3D0-F09C-4ED8-9CB2-124DB2792F54}">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1575D947-BADF-4B89-BC3E-CB4BA804F958}">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9B7CA53E-3E54-4D88-9D94-B27291DD0C82}">
      <text>
        <r>
          <rPr>
            <sz val="9"/>
            <color indexed="81"/>
            <rFont val="Tahoma"/>
            <family val="2"/>
          </rPr>
          <t>Guidance: Global store growth of 7% annually approaching 45,000 stores by the end of 2025 (from fiscal 2023 to 2025). 
Source: Investor Day 9/16/2022</t>
        </r>
      </text>
    </comment>
    <comment ref="H140" authorId="1" shapeId="0" xr:uid="{4DBD2A27-5E91-48F6-9883-BDE16EB26DA9}">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ADD15B99-1610-4F72-855D-598BB42D58B8}">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4EA4F546-6DFD-4F25-83DB-A1B264ADCA16}">
      <text>
        <r>
          <rPr>
            <sz val="9"/>
            <color indexed="81"/>
            <rFont val="Tahoma"/>
            <family val="2"/>
          </rPr>
          <t>Guidance: Global revenue growth of 10% to 12% annually (from fiscal 2023 to 2025).
Source: Investor Day 9/16/2022</t>
        </r>
      </text>
    </comment>
    <comment ref="R141" authorId="0" shapeId="0" xr:uid="{7430596D-9067-4315-A256-FD87B6B5C90B}">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A2BAE096-AFEC-4ADD-B3BA-A282A7CBD598}">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A5B3595B-8ABC-44AF-83E5-8E196CB48882}">
      <text>
        <r>
          <rPr>
            <sz val="9"/>
            <color indexed="81"/>
            <rFont val="Tahoma"/>
            <family val="2"/>
          </rPr>
          <t>Guidance: Expect “Solid” margin expansion in fiscal 2023 with “progressively more expansion” in fiscal 2024 and 2025.
Source: Investor Day 9/16/2022</t>
        </r>
      </text>
    </comment>
    <comment ref="H143" authorId="1" shapeId="0" xr:uid="{3D1FBA54-0261-4BA0-82B7-6205B6D349F4}">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9777FDBD-C5E7-4A52-9662-B09C5322848B}">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0D9E2572-2173-448A-A17A-03FA7330F0FC}">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C6D0D0F5-5931-49A9-81E4-339FA97E248D}">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A114C8FA-A47C-49F9-BF17-718FC76E0F91}">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88997C6A-DC38-42E1-A8DA-F95869A7FB53}">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30ED81F5-15E4-4F07-8B29-0B50F64CD261}">
      <text>
        <r>
          <rPr>
            <sz val="9"/>
            <color indexed="81"/>
            <rFont val="Tahoma"/>
            <family val="2"/>
          </rPr>
          <t>Management is assuming a 2% dividend yield in their forecast.</t>
        </r>
      </text>
    </comment>
    <comment ref="AH153" authorId="0" shapeId="0" xr:uid="{3515B539-4CDA-4C59-B939-167136351D5B}">
      <text>
        <r>
          <rPr>
            <sz val="9"/>
            <color indexed="81"/>
            <rFont val="Tahoma"/>
            <family val="2"/>
          </rPr>
          <t>Management is assuming a 2% dividend yield in their forecast.</t>
        </r>
      </text>
    </comment>
    <comment ref="B165" authorId="1" shapeId="0" xr:uid="{3640D1D7-6CEE-472F-9961-84DEC75524CD}">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02D12A14-9024-4B4A-9267-6BE6DC55E5F7}">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959BD03E-04B2-4B92-B38B-4D1A4A30F96D}">
      <text>
        <r>
          <rPr>
            <b/>
            <sz val="9"/>
            <color indexed="81"/>
            <rFont val="Tahoma"/>
            <family val="2"/>
          </rPr>
          <t>Enter negative EPS income tax effect as positive on this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466FBD72-28A3-4C3B-B752-78AE8F849F7F}">
      <text>
        <r>
          <rPr>
            <b/>
            <sz val="9"/>
            <color indexed="81"/>
            <rFont val="Tahoma"/>
            <family val="2"/>
          </rPr>
          <t>Note: Use the company's 10-K not SEC web data</t>
        </r>
      </text>
    </comment>
    <comment ref="B17" authorId="0" shapeId="0" xr:uid="{A110C775-40D5-4FD1-850D-2C4864DE944C}">
      <text>
        <r>
          <rPr>
            <b/>
            <sz val="9"/>
            <color indexed="81"/>
            <rFont val="Tahoma"/>
            <family val="2"/>
          </rPr>
          <t>Change sign</t>
        </r>
      </text>
    </comment>
    <comment ref="B21" authorId="0" shapeId="0" xr:uid="{5CF40A0E-3F24-4569-9F79-D58B8225F93A}">
      <text>
        <r>
          <rPr>
            <b/>
            <sz val="9"/>
            <color indexed="81"/>
            <rFont val="Tahoma"/>
            <family val="2"/>
          </rPr>
          <t>Change sign</t>
        </r>
      </text>
    </comment>
    <comment ref="H25" authorId="0" shapeId="0" xr:uid="{8A347FC7-DFFE-495B-AFD4-CD2DC1F7678A}">
      <text>
        <r>
          <rPr>
            <b/>
            <sz val="9"/>
            <color indexed="81"/>
            <rFont val="Tahoma"/>
            <family val="2"/>
          </rPr>
          <t xml:space="preserve">3Q2019 Earnings call (7/25/2019) guidance for FY2019:
</t>
        </r>
        <r>
          <rPr>
            <sz val="9"/>
            <color indexed="81"/>
            <rFont val="Tahoma"/>
            <family val="2"/>
          </rPr>
          <t>Capex ~ $2B</t>
        </r>
      </text>
    </comment>
    <comment ref="M25" authorId="0" shapeId="0" xr:uid="{8EC71DFD-D913-4240-A092-D1F9E4F86775}">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865DAAC5-F29D-4B30-A74B-78572192BBA0}">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62805CDB-0BAA-4F78-8E0A-87FEBFA32A31}">
      <text>
        <r>
          <rPr>
            <sz val="9"/>
            <color indexed="81"/>
            <rFont val="Tahoma"/>
            <family val="2"/>
          </rPr>
          <t>Guidance: Capital expenditures of $2.5B to $3.0B annually (fiscal 2023, 2024, and 2025).
Source: Investor Day 9/16/2022</t>
        </r>
      </text>
    </comment>
    <comment ref="AG25" authorId="1" shapeId="0" xr:uid="{2F86057A-4F1F-4A7A-98D1-D3515F51286C}">
      <text>
        <r>
          <rPr>
            <sz val="9"/>
            <color indexed="81"/>
            <rFont val="Tahoma"/>
            <family val="2"/>
          </rPr>
          <t>Guidance: Capital expenditures of $2.5B to $3.0B annually (fiscal 2023, 2024, and 2025).
Source: Investor Day 9/16/2022</t>
        </r>
      </text>
    </comment>
    <comment ref="AL25" authorId="1" shapeId="0" xr:uid="{398BF0E4-FC08-4161-9CA2-51533648312E}">
      <text>
        <r>
          <rPr>
            <sz val="9"/>
            <color indexed="81"/>
            <rFont val="Tahoma"/>
            <family val="2"/>
          </rPr>
          <t>Guidance: Capital expenditures of $2.5B to $3.0B annually (fiscal 2023, 2024, and 2025).
Source: Investor Day 9/16/2022</t>
        </r>
      </text>
    </comment>
    <comment ref="B29" authorId="0" shapeId="0" xr:uid="{3733CC76-26CB-42F0-BF94-0A2E3347C02F}">
      <text>
        <r>
          <rPr>
            <b/>
            <sz val="9"/>
            <color indexed="81"/>
            <rFont val="Tahoma"/>
            <family val="2"/>
          </rPr>
          <t>Change sign for payments of debt</t>
        </r>
      </text>
    </comment>
    <comment ref="B42" authorId="0" shapeId="0" xr:uid="{5DD02FCE-6538-4E37-9BE7-C31C9663FAB4}">
      <text>
        <r>
          <rPr>
            <sz val="9"/>
            <color indexed="81"/>
            <rFont val="Tahoma"/>
            <family val="2"/>
          </rPr>
          <t>Cash Flow from Operations - Capital Expenditures + After tax Interest Expense</t>
        </r>
      </text>
    </comment>
    <comment ref="AL58" authorId="1" shapeId="0" xr:uid="{3D4CBC2B-8B28-4D77-842C-55DE3EDFD46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D0BBFDF1-0302-4C5E-99AA-96E01126727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B60FB9F3-AD9F-4F87-AD15-2CDB32A7720A}">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CB32E758-A8B5-45D2-8036-486E4C23BCB0}">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C5854D78-4C69-4C60-B24B-84B1BD778003}">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95FD4CA9-6FA2-4701-AF0A-723D476C2177}">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9ED491DD-AFA3-49B5-B262-AABC257A71E7}">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601E53E9-10B3-4AC8-A3A8-9F0AAB8EB547}">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F82DDB37-83AB-4A71-9BF9-4039A4949CD3}">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6A2C82C6-5BF3-420A-B510-C8729E9D8935}">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09211235-634C-4D5D-92FD-256A6BE852B8}">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FFEE621B-CA26-4947-AF8D-05CEC6BB4369}">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67D86747-CA50-407B-81F1-2BC94C953873}">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1A2A053F-3245-4317-9910-A9DD0B3286A5}">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5A525BDF-87A6-4247-80BB-877EE5313B48}">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A9C6C137-A51A-4219-A97A-BF613A8D9DC8}">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07FF765D-8616-4D44-A1C1-C63E7BE425A4}">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933AAA22-231E-420E-AB5F-9FA27D5AEF29}">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F5A4D94F-B5C4-46EB-A9E5-C9E00316D698}">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01FAD145-5A59-4282-9924-7AE5B5E501B2}">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2E76A1DD-D64D-476A-90D7-E3C37F6F9F95}">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EE0BF203-0E29-4770-918D-AD0D5D02D279}">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63AFB7CE-5782-4E49-B0B3-481319BEFC5F}">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FE042124-E535-441A-8BEC-30F2B708B3D4}">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AA0662B5-54C6-495B-8291-DE0D4BA9B879}">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E2E15822-9771-4A77-8134-13D2152428E9}">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840E7A86-2F45-4C2A-B9ED-30DCB12B6D28}">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8D11304E-E381-4414-A9FD-0328982DAF5C}">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A35BDA05-8331-4F3F-B8DF-DAC588019AF1}">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06CD57EB-C658-4103-BC62-D36116B39340}">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984B35CF-8957-42F7-A37D-2D8A69813AAE}">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0F7D3FEF-11A5-4B72-92DE-36E995857758}">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B16E5041-A0FE-40F1-A70A-F48463D5E356}">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9CBF7170-4A3E-4FE8-9E83-AEA07BD109F7}">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A58D22EE-6EBA-4625-8B6F-4A18844BE710}">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EF4F9543-723A-4943-B1CA-BA453EA3FA78}">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8358E187-A8C0-4465-9B52-CD684525555C}">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FEFFACD7-F71F-42A2-8DF7-11E72D749AC9}">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F1662118-FCAA-4B34-81AE-346F44F0F467}">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1A04B551-5768-4C55-BA1E-52693AE3C838}">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142D5218-4AF1-4F75-8A0B-3318E0F47DF0}">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D50BB5A-80D1-464D-8562-8198D1536BB4}">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232D59BE-D5E3-433A-8E5D-888AA75AC697}">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DDADF28C-FA9C-480E-8FCC-157F471F266E}">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25EA5AFA-EC99-41D0-A0DF-AFDEF8E084C4}">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53BF116F-199C-4410-82A7-7B7E7E60E29B}">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B0E5ECB2-8909-45B4-A7C4-3951CB1686CC}">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026831BA-4CD2-4F48-9236-BB5126922458}">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0D7BDEDC-559D-4DDB-8508-ACAF41EAD928}">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1E16E601-423A-4CBD-A2EA-A091077CA50E}">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2CAC9F3F-B685-43F5-ABA4-7047DCF87CCA}">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A40E1F65-B4FA-4A75-B95E-865B5785C3FC}">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4B8126D6-0096-46CC-B597-279491EBFD9C}">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66DA34AC-0763-47AA-B57F-33E5065D8705}">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034063C5-9D63-4ADE-933C-7D42A07C8B4D}">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66D298B3-F0A9-4272-B6E3-ED79BC4A9122}">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C7BA7ABC-55EA-421F-9775-ACD85D44F4D2}">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93BC41E1-0162-4D9C-883C-18EB8AF469D4}">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F3F40562-EF71-46C9-B6F2-961392B74821}">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AA19DA87-4FD4-47E3-9E6D-A4A7B642D664}">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0DD86C32-736E-4881-B9E3-A882AEA7EBC5}">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FF6754DC-F1BB-4304-98B0-6902245FE5D3}">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F172643D-BD75-40C4-B371-B0A37FD2AF7E}">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5E571E95-5C2F-4134-AB75-7CB8ADB965EF}">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3184D85A-0ED7-47FB-AFDA-AAC5A979184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69EB6E9E-46AC-4717-A888-6C7BD354559D}">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4AA6FB80-D458-4237-9BB1-67790F3D74AC}">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C5290697-1DBB-4F47-9B02-9BF6744E2A41}">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56683774-78F2-40BF-B47D-A8A5594ED244}">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A7D633F3-2A61-44DF-AA97-07C3727DA506}">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02CACAB0-700D-49A4-BC86-B783950EB176}">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47927768-C244-4F2B-9ACA-FE4C7D4F0DEA}">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09F314D7-9D04-4597-A9D9-402C077309D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6F09F19D-C9EB-413D-BBAE-2603042BC1F9}">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4A59BAC2-2FFA-46E3-96B6-A064CE10CFBE}">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CE020EB5-824E-46C3-AF95-0879D36E1E4A}">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BD7DFE30-656D-4D7E-BA32-0071485F7D64}">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23BF5286-9ED1-49A2-B7FC-7085BC9B8138}">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A68CCFAE-D162-4C3E-8F8A-65A3A65B0AC2}">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F638E198-C20F-4D63-9D00-F91764A63A0C}">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03814A8F-3694-48EA-9ECB-093F38F79A5A}">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35CE2A4D-4CF2-4C19-BEEF-CD3C6A8ED610}">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AB2B358F-A9C3-4BAF-9283-C84089889BAD}">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928A834C-3F85-4B4D-88E5-8723A3323E68}">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1DB23517-F4D2-4CEF-BC7A-8074BC2F6476}">
      <text>
        <r>
          <rPr>
            <sz val="9"/>
            <color indexed="81"/>
            <rFont val="Tahoma"/>
            <family val="2"/>
          </rPr>
          <t>Guidance: Global store growth of 7% annually approaching 45,000 stores by the end of 2025 (from fiscal 2023 to 2025). 
Source: Investor Day 9/16/2022</t>
        </r>
      </text>
    </comment>
    <comment ref="H140" authorId="1" shapeId="0" xr:uid="{89AD55B5-C4F0-42C7-9C77-58235A3C036E}">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83E9A184-CFB2-4603-9B99-8D5D224B6517}">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C94F6D46-0172-4FAA-86C4-11F03C3DF147}">
      <text>
        <r>
          <rPr>
            <sz val="9"/>
            <color indexed="81"/>
            <rFont val="Tahoma"/>
            <family val="2"/>
          </rPr>
          <t>Guidance: Global revenue growth of 10% to 12% annually (from fiscal 2023 to 2025).
Source: Investor Day 9/16/2022</t>
        </r>
      </text>
    </comment>
    <comment ref="R141" authorId="0" shapeId="0" xr:uid="{4E1F9370-DC11-45C8-BE90-3248B8AD8EBB}">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10661252-AD75-476A-BF80-A046FB41F809}">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V142" authorId="0" shapeId="0" xr:uid="{29851B1B-1A1E-4A2A-80AD-F5C8A623861E}">
      <text>
        <r>
          <rPr>
            <b/>
            <sz val="9"/>
            <color indexed="81"/>
            <rFont val="Tahoma"/>
            <family val="2"/>
          </rPr>
          <t xml:space="preserve">Guidance: </t>
        </r>
        <r>
          <rPr>
            <sz val="9"/>
            <color indexed="81"/>
            <rFont val="Tahoma"/>
            <family val="2"/>
          </rPr>
          <t>"We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t>
        </r>
        <r>
          <rPr>
            <b/>
            <sz val="9"/>
            <color indexed="81"/>
            <rFont val="Tahoma"/>
            <family val="2"/>
          </rPr>
          <t xml:space="preserve">
Source: Investor Day 9/16/2022
</t>
        </r>
      </text>
    </comment>
    <comment ref="AL142" authorId="0" shapeId="0" xr:uid="{FBAA8316-AE3D-4338-B363-412B12FA76FE}">
      <text>
        <r>
          <rPr>
            <sz val="9"/>
            <color indexed="81"/>
            <rFont val="Tahoma"/>
            <family val="2"/>
          </rPr>
          <t>Guidance: Expect “Solid” margin expansion in fiscal 2023 with “progressively more expansion” in fiscal 2024 and 2025.
Source: Investor Day 9/16/2022</t>
        </r>
      </text>
    </comment>
    <comment ref="H143" authorId="1" shapeId="0" xr:uid="{4111F20E-74C9-42F0-A0AE-936F23CA5E34}">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672D8762-39C7-42DD-A081-CE626DCDAE66}">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B6906049-24C4-4BD1-8F06-D7896AB5A0B0}">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5B96B439-44B4-4AED-BD6A-734877E103A3}">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ECFF4D9A-5C30-4A4D-AC32-4416A947BFD7}">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BACF0397-ED53-45F4-A4DF-E7E4E46AD15D}">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04DDEF9C-CA9E-4CC8-B9B7-F60EEC10E0BE}">
      <text>
        <r>
          <rPr>
            <sz val="9"/>
            <color indexed="81"/>
            <rFont val="Tahoma"/>
            <family val="2"/>
          </rPr>
          <t>Management is assuming a 2% dividend yield in their forecast.</t>
        </r>
      </text>
    </comment>
    <comment ref="AH153" authorId="0" shapeId="0" xr:uid="{AAC89284-DA10-4785-9172-9AC9E446CC20}">
      <text>
        <r>
          <rPr>
            <sz val="9"/>
            <color indexed="81"/>
            <rFont val="Tahoma"/>
            <family val="2"/>
          </rPr>
          <t>Management is assuming a 2% dividend yield in their forecast.</t>
        </r>
      </text>
    </comment>
    <comment ref="B165" authorId="1" shapeId="0" xr:uid="{0E24C571-3E41-4691-9CDE-D2121977C899}">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6297BD16-E38D-4755-AE70-ADFB32AACF4E}">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C2AFFEA8-7988-4161-8CC5-78525E9A56E1}">
      <text>
        <r>
          <rPr>
            <b/>
            <sz val="9"/>
            <color indexed="81"/>
            <rFont val="Tahoma"/>
            <family val="2"/>
          </rPr>
          <t>Enter negative EPS income tax effect as positive on this line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F33F8D43-C10E-4381-89BE-687CFDB52F20}">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91E4E63C-B6AE-4241-96BB-3C8105AD88AB}">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C294FB4C-3757-4087-BCDA-5E71DD93D44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C874B6A4-A480-4DC5-92C9-092D7C4533E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902A4485-1A7A-4DE3-B3F0-3258B2F6E760}">
      <text>
        <r>
          <rPr>
            <b/>
            <sz val="9"/>
            <color indexed="81"/>
            <rFont val="Tahoma"/>
            <family val="2"/>
          </rPr>
          <t>Note: Use the company's 10-K not SEC web data</t>
        </r>
      </text>
    </comment>
    <comment ref="B17" authorId="0" shapeId="0" xr:uid="{76B72954-4031-4C09-AC9C-C2DECC8EF2F8}">
      <text>
        <r>
          <rPr>
            <b/>
            <sz val="9"/>
            <color indexed="81"/>
            <rFont val="Tahoma"/>
            <family val="2"/>
          </rPr>
          <t>Change sign</t>
        </r>
      </text>
    </comment>
    <comment ref="B21" authorId="0" shapeId="0" xr:uid="{384066EA-2BCF-4F69-9006-33C6172E1C2C}">
      <text>
        <r>
          <rPr>
            <b/>
            <sz val="9"/>
            <color indexed="81"/>
            <rFont val="Tahoma"/>
            <family val="2"/>
          </rPr>
          <t>Change sign</t>
        </r>
      </text>
    </comment>
    <comment ref="H25" authorId="0" shapeId="0" xr:uid="{9480C222-23FA-4BD4-8414-BEB4BF0DF69A}">
      <text>
        <r>
          <rPr>
            <b/>
            <sz val="9"/>
            <color indexed="81"/>
            <rFont val="Tahoma"/>
            <family val="2"/>
          </rPr>
          <t xml:space="preserve">3Q2019 Earnings call (7/25/2019) guidance for FY2019:
</t>
        </r>
        <r>
          <rPr>
            <sz val="9"/>
            <color indexed="81"/>
            <rFont val="Tahoma"/>
            <family val="2"/>
          </rPr>
          <t>Capex ~ $2B</t>
        </r>
      </text>
    </comment>
    <comment ref="M25" authorId="0" shapeId="0" xr:uid="{F077D63C-6A85-4775-B11B-C1F69552233C}">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203F315A-00FA-4B04-A843-E5F5349602D2}">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B0FEC9A2-8FE2-4B45-B13C-E021C008F4C0}">
      <text>
        <r>
          <rPr>
            <sz val="9"/>
            <color indexed="81"/>
            <rFont val="Tahoma"/>
            <family val="2"/>
          </rPr>
          <t>Guidance: Capital expenditures of $2.5B to $3.0B annually (fiscal 2023, 2024, and 2025).
Source: Investor Day 9/16/2022</t>
        </r>
      </text>
    </comment>
    <comment ref="AG25" authorId="1" shapeId="0" xr:uid="{C28995B4-1F8B-40FC-B737-1108DAB9B54E}">
      <text>
        <r>
          <rPr>
            <sz val="9"/>
            <color indexed="81"/>
            <rFont val="Tahoma"/>
            <family val="2"/>
          </rPr>
          <t>Guidance: Capital expenditures of $2.5B to $3.0B annually (fiscal 2023, 2024, and 2025).
Source: Investor Day 9/16/2022</t>
        </r>
      </text>
    </comment>
    <comment ref="AL25" authorId="1" shapeId="0" xr:uid="{775489E2-E078-45B4-9013-7B07D36D3524}">
      <text>
        <r>
          <rPr>
            <sz val="9"/>
            <color indexed="81"/>
            <rFont val="Tahoma"/>
            <family val="2"/>
          </rPr>
          <t>Guidance: Capital expenditures of $2.5B to $3.0B annually (fiscal 2023, 2024, and 2025).
Source: Investor Day 9/16/2022</t>
        </r>
      </text>
    </comment>
    <comment ref="B29" authorId="0" shapeId="0" xr:uid="{1BCFF451-84C9-4314-9FB8-51C8888759F0}">
      <text>
        <r>
          <rPr>
            <b/>
            <sz val="9"/>
            <color indexed="81"/>
            <rFont val="Tahoma"/>
            <family val="2"/>
          </rPr>
          <t>Change sign for payments of debt</t>
        </r>
      </text>
    </comment>
    <comment ref="B42" authorId="0" shapeId="0" xr:uid="{4F5C1BDA-F9B7-4ED2-9042-6777E458C030}">
      <text>
        <r>
          <rPr>
            <sz val="9"/>
            <color indexed="81"/>
            <rFont val="Tahoma"/>
            <family val="2"/>
          </rPr>
          <t>Cash Flow from Operations - Capital Expenditures + After tax Interest Expense</t>
        </r>
      </text>
    </comment>
    <comment ref="AL58" authorId="1" shapeId="0" xr:uid="{39A3EE85-5290-43B8-8464-D22DF1AA5DC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2053A79A-2FD3-4953-882E-2495E885275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9C50A212-EB4A-45A7-BE04-031ED3BDA12D}">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0709EF2D-39D6-4035-9355-239C9360ED81}">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F11" authorId="0" shapeId="0" xr:uid="{163FEDA2-F5C4-42B4-BF9B-629A929F3CAB}">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B134C77F-6C2E-4D01-9C37-7FA4C2DCE6BA}">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A5B9B7A7-CA32-4CBD-B53A-7DB04521839D}">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we have applied a 5% haircut to arrive at a constant growth rate of 7%.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7% growth as a blended rate of what would be a three stage approach. 
We are also assuming: 
&gt; The CFO growth rate will equal the revenue growth rate on a long-term basis, and that the capital intensity of the business (capex to revenue) will decline in the slower growth stage.
&gt; Constant networking capital in the constant growth stage.
&gt; Debt balance and interest expense remain constant in the constant growth stage, and that book value of debt approximates fair value.</t>
        </r>
      </text>
    </comment>
    <comment ref="F32" authorId="1" shapeId="0" xr:uid="{22A7ABDF-2009-49D5-A092-CBD5F4A96FDC}">
      <text>
        <r>
          <rPr>
            <sz val="9"/>
            <color indexed="81"/>
            <rFont val="Tahoma"/>
            <family val="2"/>
          </rPr>
          <t>Instructor's preference: I like to be able to manipulate the forecast for the CAPM inputs on a short-term and long-term basis, without my short-term (1 to 3 years) having an undue influence on my forecast of the long-term enterprise value.</t>
        </r>
      </text>
    </comment>
    <comment ref="B33" authorId="0" shapeId="0" xr:uid="{2E7FD829-E612-4ED3-B2BB-83AA28436917}">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1A0F431C-3B43-4E59-BC07-EADC7ED09697}">
      <text>
        <r>
          <rPr>
            <sz val="9"/>
            <color indexed="81"/>
            <rFont val="Tahoma"/>
            <family val="2"/>
          </rPr>
          <t>From "SBUX Beta Calculation" file, worksheet "SBUX Beta ST" cells C15 and H18.</t>
        </r>
      </text>
    </comment>
    <comment ref="F35" authorId="2" shapeId="0" xr:uid="{1D611FDC-45DA-4FC7-BBDD-47B385C04EC4}">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A5D28C03-22A0-4524-BE14-CC648DA28FCE}">
      <text>
        <r>
          <rPr>
            <sz val="9"/>
            <color indexed="81"/>
            <rFont val="Tahoma"/>
            <family val="2"/>
          </rPr>
          <t xml:space="preserve">This adds back cash and removes debt from the enterprise value to arrive at the equity only value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1DCDF4A8-EEB3-4F8C-8712-752F0625D385}">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D9083DF6-D21F-41EA-8BA0-8E39FA763483}">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C16DC353-5DCD-44AD-BE3D-4375614D6615}">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AF1DAA2A-B436-4B0F-8AA8-0ADC091336B9}">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8AB7EE7B-A496-4F0F-A85B-8132A0FEFC98}">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83586028-6D55-46E9-8AF6-B6985769AA99}">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119680E1-58F0-4890-A938-EB53288FAEBF}">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B828F149-6F0C-4783-A7D2-E4E75F430967}">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1E72B6A1-901C-4F70-865B-276CEF196A81}">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863ADB43-F62B-429F-83F4-419C05EE156A}">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6A5A715A-EBDD-4FC0-8C6F-DC57E4706AA2}">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7757E97B-9D80-4A20-925B-5CD6AD215AFC}">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01AB448D-CAA7-482F-BFB8-840B1A2B7115}">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D6124676-8E34-4281-8110-7CC97516B141}">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43ED70A7-7123-480B-8B05-3258183BA7D9}">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7630B8C5-E0D6-4DC5-AB72-CF6D438C93B6}">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E106F517-1E7C-4F92-8983-77A8363EF978}">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E76BE7E8-DFFD-40CC-9848-4458CCF2CDF6}">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C2FE0300-17C0-4861-9DFC-BB0798DA3C72}">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C90C42CE-D203-428C-98C5-3724923A4280}">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33987FF5-3231-486A-9293-AC178FF27FD3}">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54DD8E04-832A-4505-A1C8-1053E66F1911}">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6E39B856-87E7-4FE4-8862-B515415F6244}">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F8AAB4AC-96A5-4F3E-9981-07BF83E6C3E5}">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19D518B8-C05F-4209-95B7-6B77A0184FD6}">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1D865C8E-72D1-4DDE-BE70-219E60319F0A}">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F9EFC0F5-C463-4005-855F-9D2974BD1407}">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6615DFB3-5974-4C12-9F61-CC30CEBA323C}">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A0119CAE-7886-4C3A-A52E-0A8F7D142DA8}">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DF3B207A-924C-4960-A991-00B3B97C50DF}">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74394272-CD05-448F-AC9E-0E05C5143611}">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3D1CDA8C-C4FB-46F7-A4A0-7C778FE7B46A}">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069923E9-4A79-44C1-A02F-24D02EEC98DE}">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5D8F1F6C-42B4-4134-8E5D-964D2657929D}">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54368AFC-1EBF-4E9D-8089-4E14B14A0E9F}">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C846ADB3-2F16-4BFC-88E9-9B8EEC70AB41}">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12AE3808-22FD-4BEF-9F24-767A0C639B4C}">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7336A386-E799-419D-B34E-FA46CA48888A}">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02AD8E66-A043-4D85-9EB9-8D3334D263B9}">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3FEAF0D0-2211-4FE8-96DB-66EA6460C477}">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C38E307B-3B4B-4858-A1FD-3C3169A810AB}">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E1A0B359-B7B7-4A60-8B82-F699D78B1C94}">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870190D7-9B4F-4E4C-84A8-91DC656B955E}">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1F3051DB-E633-4A12-94E9-3FC38A86B37A}">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0E871B44-7492-4773-BFCD-3DF038C43BE5}">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93AF6DB8-9933-4341-A34E-F528ACAAD609}">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01192965-C05F-4DB4-97B5-88A7A4BF6BB8}">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CAC7AA1D-4231-4F22-9604-340C32F3523D}">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2406B951-030A-43BE-957D-16E5909F86D4}">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1FE87E35-6383-452B-A4BC-0648888D4AD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24EA431D-66FE-47B6-B097-BB1AB9BF6A4E}">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523AD227-23BF-401A-8D4B-B6BBF79B7606}">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2F6D8929-F01C-4A44-9CA0-1B11A2D0544F}">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F512A56D-A509-42F8-8860-84B308AE0443}">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00550B22-FE98-46BF-B70B-69578412FCA0}">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1A1DD4F2-D86E-49DF-8FD0-4F883C620E51}">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3AC78DC1-BEE6-445A-8132-27195AA0EEF4}">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E2EA76B2-12A6-48EC-9FD6-DC067E20A4CE}">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663D7B62-B53D-42E9-B8EC-FC58E678E2C0}">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8D576183-8861-450B-8C97-DFC484218312}">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55C7BDCE-F130-471C-924D-52AEDEA5A083}">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926AECCB-EC39-4F3E-A08A-66A696D4026E}">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ADB3BC88-CC51-4347-B25D-9AC242963615}">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E3004A58-BBF4-4649-88A8-2CBA37B067AC}">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71BD841A-2FA6-4E27-B4DF-26CA6CB00BDB}">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4FDD9DD2-4CEB-4BC5-A3AC-36B26A6C0D0B}">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02AA8D24-BECF-4A6E-94ED-40F838CCA465}">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F6A6EC5D-7130-4A55-B8BB-065E59AA8918}">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7E12C5F8-E590-4C66-8909-92456820287F}">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C88C9398-B486-4896-BF16-9F7B8D5452E2}">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46F171E3-BDCE-4ECD-AE08-1BA6FD690AAC}">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2844878F-30EF-46CE-8E0E-80D1F8CE3EE2}">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0132E3C6-7040-437A-853C-71FA078AB647}">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2B322BF6-6444-4892-9E4E-3ACD28999481}">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2CDD820F-B1C4-4BAC-8798-C4EE34EF6263}">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76E23FC6-7C2D-43F6-B5EC-8895078232D1}">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05D04C67-0692-4359-BEFD-252A8BA59AB2}">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FAC50A47-0985-4D91-AAE6-3EAD00B5BD8F}">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C198BFC2-933C-4672-9855-6AB26FD8D5F0}">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C66485D0-FD26-41FF-864C-8B96E4CDBCF9}">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59456133-9CD0-4CE9-A3DE-3294DFD3852A}">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F1DD9A9D-5CC5-4279-A372-407CA659303B}">
      <text>
        <r>
          <rPr>
            <sz val="9"/>
            <color indexed="81"/>
            <rFont val="Tahoma"/>
            <family val="2"/>
          </rPr>
          <t>Guidance: Global store growth of 7% annually approaching 45,000 stores by the end of 2025 (from fiscal 2023 to 2025). 
Source: Investor Day 9/16/2022</t>
        </r>
      </text>
    </comment>
    <comment ref="H140" authorId="1" shapeId="0" xr:uid="{57854715-7E41-44DB-BB8E-93B627DB6084}">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9EADB4B3-1002-47F6-BD47-7BA6DF8283E2}">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B689D0EE-F477-4DDF-837B-DF932DC86697}">
      <text>
        <r>
          <rPr>
            <sz val="9"/>
            <color indexed="81"/>
            <rFont val="Tahoma"/>
            <family val="2"/>
          </rPr>
          <t>Guidance: Global revenue growth of 10% to 12% annually (from fiscal 2023 to 2025).
Source: Investor Day 9/16/2022</t>
        </r>
      </text>
    </comment>
    <comment ref="R141" authorId="0" shapeId="0" xr:uid="{12EB7B53-2727-4311-8CB4-3DEC2D8C700A}">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369E5668-C57B-4E05-9AE4-0058221BBB10}">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C8CE80B5-EE6B-4E3B-83CF-F3A8BFA252D5}">
      <text>
        <r>
          <rPr>
            <sz val="9"/>
            <color indexed="81"/>
            <rFont val="Tahoma"/>
            <family val="2"/>
          </rPr>
          <t>Guidance: Expect “Solid” margin expansion in fiscal 2023 with “progressively more expansion” in fiscal 2024 and 2025.
Source: Investor Day 9/16/2022</t>
        </r>
      </text>
    </comment>
    <comment ref="H143" authorId="1" shapeId="0" xr:uid="{8B7029D5-32FF-4D26-A233-D85E30170B8D}">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BD9E8C71-CFC5-404D-B48E-BAAE15B807F4}">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7E1A6D05-9C5D-483D-ABED-88F01A433BB8}">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5EBB35A1-4513-43F4-BD95-6B4C610DCE44}">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F53FAD94-0BA4-4C0F-9149-8AF5E7DF5E96}">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C01F5EA7-C623-4091-BFAF-C2283BA13632}">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A8DC8CB1-3B27-4EC4-ADCA-8BB46B18A1A0}">
      <text>
        <r>
          <rPr>
            <sz val="9"/>
            <color indexed="81"/>
            <rFont val="Tahoma"/>
            <family val="2"/>
          </rPr>
          <t>Management is assuming a 2% dividend yield in their forecast.</t>
        </r>
      </text>
    </comment>
    <comment ref="AH153" authorId="0" shapeId="0" xr:uid="{C6AA744E-C907-4075-BB69-948002440BCF}">
      <text>
        <r>
          <rPr>
            <sz val="9"/>
            <color indexed="81"/>
            <rFont val="Tahoma"/>
            <family val="2"/>
          </rPr>
          <t>Management is assuming a 2% dividend yield in their forecast.</t>
        </r>
      </text>
    </comment>
    <comment ref="B165" authorId="1" shapeId="0" xr:uid="{B964D2DF-2D41-498E-B235-21E70F9DA44A}">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DE5C2AA7-E60B-4D23-8A24-F9756D7F2D27}">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3598B496-F921-4D7B-90F9-58DAAE391CFC}">
      <text>
        <r>
          <rPr>
            <b/>
            <sz val="9"/>
            <color indexed="81"/>
            <rFont val="Tahoma"/>
            <family val="2"/>
          </rPr>
          <t>Enter negative EPS income tax effect as positive on this line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934DDF12-1180-4D17-8881-A1A9C2A062C2}">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C546277A-29FB-4FC6-BE55-2B85D6D76D2A}">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9FBF7E56-C0C1-48AC-8F7A-FF96DA6751E1}">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41304253-930C-49F4-B7EF-AD1F15A92C8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6C82C3E4-644A-47B4-A4E8-74386533916E}">
      <text>
        <r>
          <rPr>
            <b/>
            <sz val="9"/>
            <color indexed="81"/>
            <rFont val="Tahoma"/>
            <family val="2"/>
          </rPr>
          <t>Note: Use the company's 10-K not SEC web data</t>
        </r>
      </text>
    </comment>
    <comment ref="B17" authorId="0" shapeId="0" xr:uid="{443925EB-C067-4D64-A2E5-822ED8ECDCB1}">
      <text>
        <r>
          <rPr>
            <b/>
            <sz val="9"/>
            <color indexed="81"/>
            <rFont val="Tahoma"/>
            <family val="2"/>
          </rPr>
          <t>Change sign</t>
        </r>
      </text>
    </comment>
    <comment ref="B21" authorId="0" shapeId="0" xr:uid="{AEDBB309-2ACF-4B3E-87A9-EF569092345C}">
      <text>
        <r>
          <rPr>
            <b/>
            <sz val="9"/>
            <color indexed="81"/>
            <rFont val="Tahoma"/>
            <family val="2"/>
          </rPr>
          <t>Change sign</t>
        </r>
      </text>
    </comment>
    <comment ref="H25" authorId="0" shapeId="0" xr:uid="{40B256D0-262B-4A80-A01C-726E94E81DFA}">
      <text>
        <r>
          <rPr>
            <b/>
            <sz val="9"/>
            <color indexed="81"/>
            <rFont val="Tahoma"/>
            <family val="2"/>
          </rPr>
          <t xml:space="preserve">3Q2019 Earnings call (7/25/2019) guidance for FY2019:
</t>
        </r>
        <r>
          <rPr>
            <sz val="9"/>
            <color indexed="81"/>
            <rFont val="Tahoma"/>
            <family val="2"/>
          </rPr>
          <t>Capex ~ $2B</t>
        </r>
      </text>
    </comment>
    <comment ref="M25" authorId="0" shapeId="0" xr:uid="{7C406B9A-C1F9-400F-A23A-7B3EA05E9ED8}">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B317C8E2-2997-4949-91E4-28DB711C2593}">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6EBB05B3-5EFA-4B7E-9108-E616E68C614E}">
      <text>
        <r>
          <rPr>
            <sz val="9"/>
            <color indexed="81"/>
            <rFont val="Tahoma"/>
            <family val="2"/>
          </rPr>
          <t>Guidance: Capital expenditures of $2.5B to $3.0B annually (fiscal 2023, 2024, and 2025).
Source: Investor Day 9/16/2022</t>
        </r>
      </text>
    </comment>
    <comment ref="AG25" authorId="1" shapeId="0" xr:uid="{629105D2-3AB5-4E31-9569-389298F0AEE9}">
      <text>
        <r>
          <rPr>
            <sz val="9"/>
            <color indexed="81"/>
            <rFont val="Tahoma"/>
            <family val="2"/>
          </rPr>
          <t>Guidance: Capital expenditures of $2.5B to $3.0B annually (fiscal 2023, 2024, and 2025).
Source: Investor Day 9/16/2022</t>
        </r>
      </text>
    </comment>
    <comment ref="AL25" authorId="1" shapeId="0" xr:uid="{A36DD123-FA57-462D-AE7B-2030DD5BB1D4}">
      <text>
        <r>
          <rPr>
            <sz val="9"/>
            <color indexed="81"/>
            <rFont val="Tahoma"/>
            <family val="2"/>
          </rPr>
          <t>Guidance: Capital expenditures of $2.5B to $3.0B annually (fiscal 2023, 2024, and 2025).
Source: Investor Day 9/16/2022</t>
        </r>
      </text>
    </comment>
    <comment ref="B29" authorId="0" shapeId="0" xr:uid="{705071B1-155B-4915-90C4-D1C9EC371DA6}">
      <text>
        <r>
          <rPr>
            <b/>
            <sz val="9"/>
            <color indexed="81"/>
            <rFont val="Tahoma"/>
            <family val="2"/>
          </rPr>
          <t>Change sign for payments of debt</t>
        </r>
      </text>
    </comment>
    <comment ref="B42" authorId="0" shapeId="0" xr:uid="{21B59FD0-B901-4DA6-8602-43BDB51A7D0B}">
      <text>
        <r>
          <rPr>
            <sz val="9"/>
            <color indexed="81"/>
            <rFont val="Tahoma"/>
            <family val="2"/>
          </rPr>
          <t>Cash Flow from Operations - Capital Expenditures + After tax Interest Expense</t>
        </r>
      </text>
    </comment>
    <comment ref="AL58" authorId="1" shapeId="0" xr:uid="{34DEC1A1-2500-4497-A619-8214120C2EC1}">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F8F7D55F-6CA9-4AFB-B46B-9B09572885EC}">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F5A26DF6-5FC4-4D82-9EC2-A6EE4B471E31}">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7F5C38FF-F4F0-4E9E-89E2-AAF1A2E223A8}">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23AB87C8-8BA8-4F87-926B-77516FEFAB2A}">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25017572-16EC-48DF-A17F-BCAD115EC67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58B8FD41-492F-42A5-93A9-B1474CECB41A}">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A1D52A7E-4997-4A3B-819F-18EAC759F1D0}">
      <text>
        <r>
          <rPr>
            <b/>
            <sz val="9"/>
            <color indexed="81"/>
            <rFont val="Tahoma"/>
            <family val="2"/>
          </rPr>
          <t>Note: Use the company's 10-K not SEC web data</t>
        </r>
      </text>
    </comment>
    <comment ref="B17" authorId="0" shapeId="0" xr:uid="{7BBA5B41-BA38-4483-9015-9165678368B5}">
      <text>
        <r>
          <rPr>
            <b/>
            <sz val="9"/>
            <color indexed="81"/>
            <rFont val="Tahoma"/>
            <family val="2"/>
          </rPr>
          <t>Change sign</t>
        </r>
      </text>
    </comment>
    <comment ref="B21" authorId="0" shapeId="0" xr:uid="{62FF9228-301B-4D61-81D1-F7D259C2A403}">
      <text>
        <r>
          <rPr>
            <b/>
            <sz val="9"/>
            <color indexed="81"/>
            <rFont val="Tahoma"/>
            <family val="2"/>
          </rPr>
          <t>Change sign</t>
        </r>
      </text>
    </comment>
    <comment ref="H25" authorId="0" shapeId="0" xr:uid="{37075FBF-B70F-4675-8274-840FE64F567D}">
      <text>
        <r>
          <rPr>
            <b/>
            <sz val="9"/>
            <color indexed="81"/>
            <rFont val="Tahoma"/>
            <family val="2"/>
          </rPr>
          <t xml:space="preserve">3Q2019 Earnings call (7/25/2019) guidance for FY2019:
</t>
        </r>
        <r>
          <rPr>
            <sz val="9"/>
            <color indexed="81"/>
            <rFont val="Tahoma"/>
            <family val="2"/>
          </rPr>
          <t>Capex ~ $2B</t>
        </r>
      </text>
    </comment>
    <comment ref="M25" authorId="0" shapeId="0" xr:uid="{E2F6D233-EC78-44A0-B61D-46325752D2CF}">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0CD7E700-5354-41DF-8E3C-CF1343FE7EF2}">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15B8FCFB-BB68-491C-8EBE-FA7E0133E792}">
      <text>
        <r>
          <rPr>
            <sz val="9"/>
            <color indexed="81"/>
            <rFont val="Tahoma"/>
            <family val="2"/>
          </rPr>
          <t>Guidance: Capital expenditures of $2.5B to $3.0B annually (fiscal 2023, 2024, and 2025).
Source: Investor Day 9/16/2022</t>
        </r>
      </text>
    </comment>
    <comment ref="AG25" authorId="1" shapeId="0" xr:uid="{78FB587E-73F5-4A22-941D-2ABB8B9C845E}">
      <text>
        <r>
          <rPr>
            <sz val="9"/>
            <color indexed="81"/>
            <rFont val="Tahoma"/>
            <family val="2"/>
          </rPr>
          <t>Guidance: Capital expenditures of $2.5B to $3.0B annually (fiscal 2023, 2024, and 2025).
Source: Investor Day 9/16/2022</t>
        </r>
      </text>
    </comment>
    <comment ref="AL25" authorId="1" shapeId="0" xr:uid="{56C66ACB-3947-4E8E-A2AA-0CC9B0A12D61}">
      <text>
        <r>
          <rPr>
            <sz val="9"/>
            <color indexed="81"/>
            <rFont val="Tahoma"/>
            <family val="2"/>
          </rPr>
          <t>Guidance: Capital expenditures of $2.5B to $3.0B annually (fiscal 2023, 2024, and 2025).
Source: Investor Day 9/16/2022</t>
        </r>
      </text>
    </comment>
    <comment ref="B29" authorId="0" shapeId="0" xr:uid="{9BDA0F6C-06E2-43FC-835A-876F2765141B}">
      <text>
        <r>
          <rPr>
            <b/>
            <sz val="9"/>
            <color indexed="81"/>
            <rFont val="Tahoma"/>
            <family val="2"/>
          </rPr>
          <t>Change sign for payments of debt</t>
        </r>
      </text>
    </comment>
    <comment ref="B42" authorId="0" shapeId="0" xr:uid="{95686B2F-0D17-431F-99EB-196AE1060836}">
      <text>
        <r>
          <rPr>
            <sz val="9"/>
            <color indexed="81"/>
            <rFont val="Tahoma"/>
            <family val="2"/>
          </rPr>
          <t>Cash Flow from Operations - Capital Expenditures + After tax Interest Expense</t>
        </r>
      </text>
    </comment>
    <comment ref="AL58" authorId="1" shapeId="0" xr:uid="{FCB3320A-D550-4650-B9F1-299819E1E60D}">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FC407849-9BA8-4656-A028-D27244225445}">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B8B4EEB9-4A94-41B7-AE22-BCAD2BEC74C3}">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GE User</author>
    <author>Owner</author>
  </authors>
  <commentList>
    <comment ref="F6" authorId="0" shapeId="0" xr:uid="{EC4AC846-A525-4156-9B7B-2DCCB61B235B}">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actual price moved toward the DCF target price of $150,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F11" authorId="0" shapeId="0" xr:uid="{5561E527-D3F2-479F-8E92-606E391FAF0D}">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
Instructor's preference: The nature of the constant Sharpe is that it theoretically should not change. I like to have my Stage 1 Constant Sharpe reflective my expectations for the market over the next year.</t>
        </r>
      </text>
    </comment>
    <comment ref="F12" authorId="0" shapeId="0" xr:uid="{7F7813DA-4DB6-448E-9649-5E9784E6F6B2}">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average is used (based on a 12-month forecast, refer to the ERP model for details).</t>
        </r>
      </text>
    </comment>
    <comment ref="F22" authorId="1" shapeId="0" xr:uid="{BA403EC7-F0B5-49FA-948C-3FC671631AC3}">
      <text>
        <r>
          <rPr>
            <sz val="9"/>
            <color indexed="81"/>
            <rFont val="Tahoma"/>
            <family val="2"/>
          </rPr>
          <t>Starbucks went public in 1992. If you ignore the first 10 years of data (hyper growth stage). The CAGR in revenue has been approximately 12% over 20 years from  $3.3B in 2002 to $32.25B in 2022 [(32.25/3.3)^(1/20)-1]. Despite running at double digit growth as a mature company for 20 years, the constant growth stage should be a rate much lower than this. we have applied a 5% haircut to arrive at a constant growth rate of 7%.
The constant growth rates (like all of the inputs) could be debated. Some may say there should be three stages: stage 1 being the forecast management has provided through 2025, stage 2 a 20 year period based on the long term growth of 12%, and stage 3 a lower constant growth of 3-4%. I view the 7% growth as a blended rate of what would be a three stage approach. 
We are also assuming: 
&gt; The CFO growth rate will equal the revenue growth rate on a long-term basis, and that the capital intensity of the business (capex to revenue) will decline in the slower growth stage.
&gt; Constant networking capital in the constant growth stage.
&gt; Debt balance and interest expense remain constant in the constant growth stage, and that book value of debt approximates fair value.</t>
        </r>
      </text>
    </comment>
    <comment ref="F32" authorId="1" shapeId="0" xr:uid="{0968016E-D93D-4D03-ADF3-E27D85EE7698}">
      <text>
        <r>
          <rPr>
            <sz val="9"/>
            <color indexed="81"/>
            <rFont val="Tahoma"/>
            <family val="2"/>
          </rPr>
          <t>Instructor's preference: I like to be able to manipulate the forecast for the CAPM inputs on a short-term and long-term basis, without my short-term (1 to 3 years) having an undue influence on my forecast of the long-term enterprise value.</t>
        </r>
      </text>
    </comment>
    <comment ref="B33" authorId="0" shapeId="0" xr:uid="{973FAB04-9164-4C20-A8AC-E33D2D66AA67}">
      <text>
        <r>
          <rPr>
            <sz val="9"/>
            <color indexed="81"/>
            <rFont val="Tahoma"/>
            <family val="2"/>
          </rPr>
          <t xml:space="preserve">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
        </r>
      </text>
    </comment>
    <comment ref="C34" authorId="1" shapeId="0" xr:uid="{FDAF5C26-507C-4C7E-99C1-7EFF5486A0D0}">
      <text>
        <r>
          <rPr>
            <sz val="9"/>
            <color indexed="81"/>
            <rFont val="Tahoma"/>
            <family val="2"/>
          </rPr>
          <t>From "SBUX Beta Calculation" file, worksheet "SBUX Beta ST" cells C15 and H18.</t>
        </r>
      </text>
    </comment>
    <comment ref="F35" authorId="2" shapeId="0" xr:uid="{9C1C9BFD-632C-48BF-8340-22EFD8585CFC}">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F36" authorId="3" shapeId="0" xr:uid="{7E047DAC-98F1-471A-A821-882CA8D2BD6C}">
      <text>
        <r>
          <rPr>
            <sz val="9"/>
            <color indexed="81"/>
            <rFont val="Tahoma"/>
            <family val="2"/>
          </rPr>
          <t xml:space="preserve">This adds back cash and removes debt from the enterprise value to arrive at the equity only value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EEB0339A-75CF-4A63-8499-0EC16D7158D9}">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120503F2-25CD-4E63-B692-2981A09611B2}">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AAFE068E-190E-40AA-8297-4C01612AFD80}">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80676384-785C-48D1-A74A-5FE4707C1C3F}">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DAC6B608-23DC-447D-934D-BC435BFF00B6}">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FDE96253-3A1B-4109-8675-8C4C820D5068}">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1D7B3217-0E40-46A1-957A-48668A44F906}">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A431CF06-B75A-46FD-B7CF-3F15C6AC6BBA}">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FD8AFF51-CF98-41BD-B108-60A881EDF88F}">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BF19F952-43F1-4634-8D6E-02375BF0FB69}">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D540209A-07C9-47A3-AF46-FEE1FB4AC551}">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ECDAD1EB-63CA-44B9-9BB9-248890B18D99}">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9EE66C0C-61ED-4FFA-890F-DD3BA646E6ED}">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C87565F5-23EA-448A-B299-3D522D0B8BA4}">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F6A5ECB6-5FC2-465A-8011-8C731FA9F526}">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1937CA2F-6B47-419A-A6A7-0FA98B79BDCC}">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2554AFFE-53DE-42DE-B8CB-9C6CDA1C0330}">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2313E78A-6C3E-475B-BB59-B3B7CF0CD432}">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C730975D-ADEF-4448-95D4-48B11BE576D0}">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CF9E73BC-A558-4034-8B76-FFE26643B1D3}">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125C42D8-2EAA-4B88-816B-8DC01276DCB3}">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F4386475-F280-40F2-8621-4D9073186A93}">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143D0FE2-7B4B-4DEA-860E-B513B169EB78}">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CBDE320F-D65C-494C-B3A2-E5A427CE47F6}">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D50D8550-07EA-4048-A79D-D02D10C5F471}">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F735FCAB-1BB5-4D6B-BB3D-E4C1E17C0E55}">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19FE7907-72A4-4618-9DDA-517CEE441D45}">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245223B5-0EF3-4798-8B62-F22F2B229CF1}">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8CB7018F-C6DB-4CE5-AD07-D4E8A8D76623}">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C5A38555-9484-4B08-9BD6-16D4FB063F26}">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2BBB708E-F161-40A0-B499-6C3BACB63BFD}">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D9849973-6DC4-4243-8442-3FBE57979784}">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3E6FADCD-0EA0-42C9-8450-B7CBBD4705F0}">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E5CBCF42-AB30-4696-BB16-1BF77C1E134E}">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9300830B-286F-4715-AD51-2A29505FB5A7}">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81AC3F57-5183-4ABA-AEDA-649722C01D03}">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DD35D0B8-8903-4073-920D-8F0B54C3E8D5}">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FED01AA3-D697-4DE1-84A8-8D1A69860F42}">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E14E08A0-A90D-486D-859E-BF2C14A1586F}">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64C8270F-34BB-42AA-8B09-FECF105F8EBA}">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954E4CA4-EE5B-4A5C-B119-06293BD97422}">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55F7D1D7-F9B8-4B52-8BA8-FEB0F05FDC69}">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5F504BBC-EF43-4CC2-A141-524ADAE19DE0}">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2D79731A-5341-4640-92E7-287EE1586E04}">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7407E9AF-1123-42A2-9BDB-3314ACEABD11}">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A3803514-4264-463B-87D4-42C06987CED7}">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7E1ADC36-AECB-4890-8A1E-AF986ED15322}">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7340F169-4193-42AD-B157-55DF7C43171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36191317-FE2E-460B-98FA-25E026AD809B}">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FACD1807-5F9A-4982-8EEE-122E8BBB81EF}">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24DC17DC-512E-4311-B011-085E62342EC5}">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161FDE9E-BE78-4B33-9554-FF5A5066200C}">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23DD24D5-E1AD-47A7-B15B-DB3F269F0FBA}">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48B99E49-88B7-43C9-A3C7-DC784A713CC0}">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A2234557-C118-4058-BE43-FAF86A51AA78}">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75D65C32-BA00-4D5F-A188-A2AEA3A83ED9}">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CCC28E1C-81A9-412B-9DF3-15FD840C3FFE}">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58A853FE-9E65-482F-B747-A04B8D44D1C7}">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5953D072-29DB-41F8-A6F4-B4E5F2796C5B}">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F314FDE7-8644-409B-84E4-C2EF553CCD9A}">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976D3F5B-EE6C-4980-8109-C62C03DFB277}">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4D51918B-BB88-4C0D-A77D-94C2764C4566}">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0BDAED14-10FA-4F13-B892-7EC147D14C72}">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E2FE83C4-2FB4-4407-AE7E-04BB5885C942}">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1D0035F1-9C5B-4FAE-A263-EACDC9BE036B}">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04A19A15-9F98-41F0-9941-5CA1CAC81AAD}">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E798DABA-51AF-4E2F-810D-FC94B72675FF}">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170133DC-B6B5-48DA-B153-D112183CB6C5}">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A3698D76-F85F-4D5A-B2E7-EB5DEE08A3BA}">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F60724AF-DE02-4928-85CD-5212B1F40251}">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000C321E-77F2-4D05-ACAF-FDECD4D8A17D}">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333FD4D4-6B00-4A5E-A03F-9B1C6FC405D0}">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3613D39D-9927-4FDC-A0E4-11E1388AF288}">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DD2A3408-5830-4078-859E-C86CC4AF5A3C}">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8814F128-0964-486F-8137-DF29AA234276}">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6D6DE39E-3AEE-41FE-A3B0-C45FB7419406}">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61D72CF7-6A9F-43A7-A697-71CB77DAF093}">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E342D943-B72D-4EAC-B261-4620E2697F57}">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A705893E-EB3F-4BE2-8FC1-82029DA57574}">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2261E7C4-398A-4346-AB00-DC181EA66096}">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007D8636-CB59-4944-A178-77BC5CF01366}">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F8FF5D47-CB03-4F13-8FF9-67A827AA97B1}">
      <text>
        <r>
          <rPr>
            <sz val="9"/>
            <color indexed="81"/>
            <rFont val="Tahoma"/>
            <family val="2"/>
          </rPr>
          <t>Guidance: Global store growth of 7% annually approaching 45,000 stores by the end of 2025 (from fiscal 2023 to 2025). 
Source: Investor Day 9/16/2022</t>
        </r>
      </text>
    </comment>
    <comment ref="H140" authorId="1" shapeId="0" xr:uid="{A1D54C67-EE4C-4295-9BBF-07F15D2194E1}">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75FB3E1F-B53B-4E9C-B744-26162D1810CE}">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FA2E0048-6A3F-422E-B6D0-7501F1053C3C}">
      <text>
        <r>
          <rPr>
            <sz val="9"/>
            <color indexed="81"/>
            <rFont val="Tahoma"/>
            <family val="2"/>
          </rPr>
          <t>Guidance: Global revenue growth of 10% to 12% annually (from fiscal 2023 to 2025).
Source: Investor Day 9/16/2022</t>
        </r>
      </text>
    </comment>
    <comment ref="R141" authorId="0" shapeId="0" xr:uid="{49107759-8135-4F1A-89D1-3FBFB7C09BB1}">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70A2D285-CC9B-416D-8042-DE213B1B6BDD}">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L142" authorId="0" shapeId="0" xr:uid="{3A1AC1DB-2932-422E-9C0D-E7B50865F317}">
      <text>
        <r>
          <rPr>
            <sz val="9"/>
            <color indexed="81"/>
            <rFont val="Tahoma"/>
            <family val="2"/>
          </rPr>
          <t>Guidance: Expect “Solid” margin expansion in fiscal 2023 with “progressively more expansion” in fiscal 2024 and 2025.
Source: Investor Day 9/16/2022</t>
        </r>
      </text>
    </comment>
    <comment ref="H143" authorId="1" shapeId="0" xr:uid="{46BA463F-732A-4CCB-A6F2-CFAECE4CC5D9}">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0239E80F-01DA-43AB-9DB4-8025ACFF260E}">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B093403D-F00B-4F1B-8A2D-8E1370349601}">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C88B3AA0-35A4-45C7-BB8C-3FBBCE1A9E4B}">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B8CFBFC3-2460-470F-B608-55A708104BD5}">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92ACC567-36C2-4862-A088-D5617E21C09C}">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A05A348B-405B-42E1-A9E2-286082CC20F9}">
      <text>
        <r>
          <rPr>
            <sz val="9"/>
            <color indexed="81"/>
            <rFont val="Tahoma"/>
            <family val="2"/>
          </rPr>
          <t>Management is assuming a 2% dividend yield in their forecast.</t>
        </r>
      </text>
    </comment>
    <comment ref="AH153" authorId="0" shapeId="0" xr:uid="{E2A94946-8794-4DC8-B92C-720D7D972238}">
      <text>
        <r>
          <rPr>
            <sz val="9"/>
            <color indexed="81"/>
            <rFont val="Tahoma"/>
            <family val="2"/>
          </rPr>
          <t>Management is assuming a 2% dividend yield in their forecast.</t>
        </r>
      </text>
    </comment>
    <comment ref="B165" authorId="1" shapeId="0" xr:uid="{6668432E-E25E-48E9-9616-2AB1BE63DE8D}">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B945E456-58E2-46A6-B36F-B38EBFF8DBB0}">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7DBD3D9F-9817-4148-BD49-E16A3E18CD8E}">
      <text>
        <r>
          <rPr>
            <b/>
            <sz val="9"/>
            <color indexed="81"/>
            <rFont val="Tahoma"/>
            <family val="2"/>
          </rPr>
          <t>Enter negative EPS income tax effect as positive on this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86CEDF22-EDE0-4896-816B-652EE2B2A0D9}">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DAD1F9B3-F016-48F1-BD60-2C5F2CFCAB24}">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E05D4AB1-2772-406E-A40F-178F5A2C6E9B}">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B71B2CC5-918E-48E2-8B76-377C33634542}">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 authorId="0" shapeId="0" xr:uid="{DABB7883-B3BB-44B9-B662-4E3D61F42B99}">
      <text>
        <r>
          <rPr>
            <b/>
            <sz val="9"/>
            <color indexed="81"/>
            <rFont val="Tahoma"/>
            <family val="2"/>
          </rPr>
          <t>Note: Use the company's 10-K not SEC web data</t>
        </r>
      </text>
    </comment>
    <comment ref="B17" authorId="0" shapeId="0" xr:uid="{2490C026-956B-48BC-AB2C-1AB913DB158F}">
      <text>
        <r>
          <rPr>
            <b/>
            <sz val="9"/>
            <color indexed="81"/>
            <rFont val="Tahoma"/>
            <family val="2"/>
          </rPr>
          <t>Change sign</t>
        </r>
      </text>
    </comment>
    <comment ref="B21" authorId="0" shapeId="0" xr:uid="{377B1BB2-D517-42F2-A156-FC350656D3C5}">
      <text>
        <r>
          <rPr>
            <b/>
            <sz val="9"/>
            <color indexed="81"/>
            <rFont val="Tahoma"/>
            <family val="2"/>
          </rPr>
          <t>Change sign</t>
        </r>
      </text>
    </comment>
    <comment ref="H25" authorId="0" shapeId="0" xr:uid="{E63A64DB-A77E-46B3-BF60-46EFECFAE6D2}">
      <text>
        <r>
          <rPr>
            <b/>
            <sz val="9"/>
            <color indexed="81"/>
            <rFont val="Tahoma"/>
            <family val="2"/>
          </rPr>
          <t xml:space="preserve">3Q2019 Earnings call (7/25/2019) guidance for FY2019:
</t>
        </r>
        <r>
          <rPr>
            <sz val="9"/>
            <color indexed="81"/>
            <rFont val="Tahoma"/>
            <family val="2"/>
          </rPr>
          <t>Capex ~ $2B</t>
        </r>
      </text>
    </comment>
    <comment ref="M25" authorId="0" shapeId="0" xr:uid="{34A45DE0-13B3-4D33-8FB1-F431D505625E}">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5" authorId="1" shapeId="0" xr:uid="{36688CD1-6497-4343-AF2E-48E848D32611}">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AB25" authorId="1" shapeId="0" xr:uid="{68C818D2-D950-4595-8A26-36572EA034E7}">
      <text>
        <r>
          <rPr>
            <sz val="9"/>
            <color indexed="81"/>
            <rFont val="Tahoma"/>
            <family val="2"/>
          </rPr>
          <t>Guidance: Capital expenditures of $2.5B to $3.0B annually (fiscal 2023, 2024, and 2025).
Source: Investor Day 9/16/2022</t>
        </r>
      </text>
    </comment>
    <comment ref="AG25" authorId="1" shapeId="0" xr:uid="{80A7E7BA-A16E-42EE-A2A4-42E5F0BD76DF}">
      <text>
        <r>
          <rPr>
            <sz val="9"/>
            <color indexed="81"/>
            <rFont val="Tahoma"/>
            <family val="2"/>
          </rPr>
          <t>Guidance: Capital expenditures of $2.5B to $3.0B annually (fiscal 2023, 2024, and 2025).
Source: Investor Day 9/16/2022</t>
        </r>
      </text>
    </comment>
    <comment ref="AL25" authorId="1" shapeId="0" xr:uid="{325F3900-C923-42C2-AC57-40549D1D4C11}">
      <text>
        <r>
          <rPr>
            <sz val="9"/>
            <color indexed="81"/>
            <rFont val="Tahoma"/>
            <family val="2"/>
          </rPr>
          <t>Guidance: Capital expenditures of $2.5B to $3.0B annually (fiscal 2023, 2024, and 2025).
Source: Investor Day 9/16/2022</t>
        </r>
      </text>
    </comment>
    <comment ref="B29" authorId="0" shapeId="0" xr:uid="{09199C2E-4CC7-4F0A-B355-3CF94E5C220A}">
      <text>
        <r>
          <rPr>
            <b/>
            <sz val="9"/>
            <color indexed="81"/>
            <rFont val="Tahoma"/>
            <family val="2"/>
          </rPr>
          <t>Change sign for payments of debt</t>
        </r>
      </text>
    </comment>
    <comment ref="B42" authorId="0" shapeId="0" xr:uid="{58DBE2B4-6A45-45E3-A8E6-CA95770A7C93}">
      <text>
        <r>
          <rPr>
            <sz val="9"/>
            <color indexed="81"/>
            <rFont val="Tahoma"/>
            <family val="2"/>
          </rPr>
          <t>Cash Flow from Operations - Capital Expenditures + After tax Interest Expense</t>
        </r>
      </text>
    </comment>
    <comment ref="AL58" authorId="1" shapeId="0" xr:uid="{B19A3894-1027-4DE6-B9A3-828D5F36F5C3}">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1" authorId="1" shapeId="0" xr:uid="{23C7C1A5-5641-40A7-9B57-064BAAC1563D}">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2" authorId="1" shapeId="0" xr:uid="{4C611A84-0424-4DCD-9D3F-1AAF6F58B433}">
      <text>
        <r>
          <rPr>
            <b/>
            <sz val="9"/>
            <color indexed="81"/>
            <rFont val="Tahoma"/>
            <family val="2"/>
          </rPr>
          <t xml:space="preserve">Guidance: </t>
        </r>
        <r>
          <rPr>
            <sz val="9"/>
            <color indexed="81"/>
            <rFont val="Tahoma"/>
            <family val="2"/>
          </rPr>
          <t xml:space="preserve">Management guided annual EPS growth between 15% to 20%. </t>
        </r>
        <r>
          <rPr>
            <b/>
            <sz val="9"/>
            <color indexed="81"/>
            <rFont val="Tahoma"/>
            <family val="2"/>
          </rPr>
          <t xml:space="preserve">
Source: Investor Day 9/16/2022
</t>
        </r>
        <r>
          <rPr>
            <sz val="9"/>
            <color indexed="81"/>
            <rFont val="Tahoma"/>
            <family val="2"/>
          </rPr>
          <t>Assuming 2022 EPS of $2.88 CAGR of 15% to 20% equates to a 2025 EPS range of $4.38 to $4.98.</t>
        </r>
        <r>
          <rPr>
            <b/>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Gutenberg Research</author>
  </authors>
  <commentList>
    <comment ref="N8" authorId="0" shapeId="0" xr:uid="{FC4173FE-3CB6-4A20-9DD5-53F8529DE92D}">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8" authorId="0" shapeId="0" xr:uid="{DA0F198E-4BE8-4B90-B0D2-097503E23726}">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8" authorId="0" shapeId="0" xr:uid="{5CE4FDFF-0836-4E2B-AF7C-2D8AA0FE8CE7}">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9" authorId="1" shapeId="0" xr:uid="{4DD90310-88BF-4CF7-922C-FE5BBB3A71B1}">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9" authorId="0" shapeId="0" xr:uid="{FD9E95BF-B6DE-4039-A1F4-0091DE5B9BF0}">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9" authorId="0" shapeId="0" xr:uid="{AB99DEB7-E9C8-4606-9AB7-0AD19AEA6332}">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0" authorId="0" shapeId="0" xr:uid="{9791231D-845A-449D-8BE8-93E54C344658}">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0" authorId="0" shapeId="0" xr:uid="{9C244ACF-BB1B-4BAF-BFC6-0D5355F220F2}">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1" authorId="0" shapeId="0" xr:uid="{5C883CCE-6819-4DFB-8DFE-2675FBFC4DE8}">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1" authorId="0" shapeId="0" xr:uid="{EBC2D1C8-EB76-4A09-A165-00575EE794BE}">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12" authorId="0" shapeId="0" xr:uid="{7959FD05-22DC-4B26-9949-9D693F49A31F}">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12" authorId="0" shapeId="0" xr:uid="{18046147-CACD-4B42-B42A-5E4E456F3072}">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13" authorId="0" shapeId="0" xr:uid="{2D466054-3497-4B9F-A654-7C408E9390A6}">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13" authorId="0" shapeId="0" xr:uid="{425CBD2F-7389-4EB1-9067-BF5E17987AF5}">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14" authorId="2" shapeId="0" xr:uid="{6238CEC7-BEF8-4673-9056-CB25FDE62DAB}">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14" authorId="0" shapeId="0" xr:uid="{3C474D17-A5C2-4808-87EF-7885E0783CF1}">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14" authorId="0" shapeId="0" xr:uid="{D7336DF9-F522-4546-B771-FBE7AD16F236}">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16" authorId="1" shapeId="0" xr:uid="{84152034-FA18-4F06-A203-A74731492ECE}">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16" authorId="0" shapeId="0" xr:uid="{B521454C-8602-4F5A-872C-3C7D5EE45817}">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16" authorId="0" shapeId="0" xr:uid="{5208089E-7D93-4545-A81B-9729E91254D9}">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1" authorId="0" shapeId="0" xr:uid="{DDD88715-BBCF-4D4F-AF4B-4878A9FC9C8D}">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22" authorId="1" shapeId="0" xr:uid="{3C9A7756-3B4B-4679-A466-9A78FF6CC450}">
      <text>
        <r>
          <rPr>
            <b/>
            <sz val="9"/>
            <color indexed="81"/>
            <rFont val="Tahoma"/>
            <family val="2"/>
          </rPr>
          <t>F3Q2019 Earnings call (7/25/2019) guidance for FY2019:</t>
        </r>
        <r>
          <rPr>
            <sz val="9"/>
            <color indexed="81"/>
            <rFont val="Tahoma"/>
            <family val="2"/>
          </rPr>
          <t xml:space="preserve"> Interest Expense guided to $330M.</t>
        </r>
      </text>
    </comment>
    <comment ref="M22" authorId="1" shapeId="0" xr:uid="{155B7C85-03A1-4BB0-B0C7-B9865A702162}">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22" authorId="0" shapeId="0" xr:uid="{6DD9557C-53CB-49F6-9B0C-3A4F05ED8FDB}">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22" authorId="0" shapeId="0" xr:uid="{45B28F27-923E-43CE-8BD8-4C992C8D3AFA}">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22" authorId="0" shapeId="0" xr:uid="{57CB2C40-033B-4B95-BB90-AC1EE291FE7F}">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24" authorId="0" shapeId="0" xr:uid="{6C94CC9A-FA60-46D4-9AFB-1F0B116D0935}">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24" authorId="0" shapeId="0" xr:uid="{AFF09461-63F4-4A41-95CD-DB8925B1A458}">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33" authorId="1" shapeId="0" xr:uid="{C2C387A3-4923-47BC-899D-F580A405E86E}">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33" authorId="1" shapeId="0" xr:uid="{6DEEA8A7-C930-4027-8E79-9DC28E7C1B83}">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33" authorId="1" shapeId="0" xr:uid="{AC427072-5199-4EC0-A9D2-61D9953B8278}">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33" authorId="0" shapeId="0" xr:uid="{C6A28E9A-2BF6-4CC7-86FF-A80B318C2152}">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33" authorId="0" shapeId="0" xr:uid="{ADF09FB6-08B0-402A-BBDB-236793D54F89}">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34" authorId="1" shapeId="0" xr:uid="{154595BD-4431-4AB9-A14D-8C6D49818259}">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34" authorId="1" shapeId="0" xr:uid="{A566C189-957D-4C02-9263-C339BF84988E}">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34" authorId="1" shapeId="0" xr:uid="{D42E38DE-FBCA-4959-977A-C9F9B71A8973}">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34" authorId="0" shapeId="0" xr:uid="{4E840D5A-09F0-46EF-807F-8C571E18F7D3}">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34" authorId="0" shapeId="0" xr:uid="{45EFC18F-0508-423F-BE1F-4E8F984485EB}">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V34" authorId="0" shapeId="0" xr:uid="{88D94265-4CEC-48F0-806D-78A00D85B6B8}">
      <text>
        <r>
          <rPr>
            <b/>
            <sz val="9"/>
            <color indexed="81"/>
            <rFont val="Tahoma"/>
            <family val="2"/>
          </rPr>
          <t xml:space="preserve">Guidance: </t>
        </r>
        <r>
          <rPr>
            <sz val="9"/>
            <color indexed="81"/>
            <rFont val="Tahoma"/>
            <family val="2"/>
          </rPr>
          <t xml:space="preserve">"We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
</t>
        </r>
        <r>
          <rPr>
            <b/>
            <sz val="9"/>
            <color indexed="81"/>
            <rFont val="Tahoma"/>
            <family val="2"/>
          </rPr>
          <t xml:space="preserve">Source: </t>
        </r>
        <r>
          <rPr>
            <sz val="9"/>
            <color indexed="81"/>
            <rFont val="Tahoma"/>
            <family val="2"/>
          </rPr>
          <t>Investor Day 9/16/2022</t>
        </r>
      </text>
    </comment>
    <comment ref="AL34" authorId="0" shapeId="0" xr:uid="{95E7B580-42FA-414E-880C-C4CC1F0DE87D}">
      <text>
        <r>
          <rPr>
            <b/>
            <sz val="9"/>
            <color indexed="81"/>
            <rFont val="Tahoma"/>
            <family val="2"/>
          </rPr>
          <t>Guidance:</t>
        </r>
        <r>
          <rPr>
            <sz val="9"/>
            <color indexed="81"/>
            <rFont val="Tahoma"/>
            <family val="2"/>
          </rPr>
          <t xml:space="preserve"> Management guided annual EPS growth between 15% to 20%. 
</t>
        </r>
        <r>
          <rPr>
            <b/>
            <sz val="9"/>
            <color indexed="81"/>
            <rFont val="Tahoma"/>
            <family val="2"/>
          </rPr>
          <t xml:space="preserve">Source: Investor Day 9/16/2022
</t>
        </r>
        <r>
          <rPr>
            <sz val="9"/>
            <color indexed="81"/>
            <rFont val="Tahoma"/>
            <family val="2"/>
          </rPr>
          <t xml:space="preserve">
Assuming 2022 EPS of $2.88 CAGR of 15% to 20% equates to a 2025 EPS range of $4.38 to $4.98.
</t>
        </r>
      </text>
    </comment>
    <comment ref="L35" authorId="1" shapeId="0" xr:uid="{BF7BC5B1-9019-4DAC-827A-892DE5EDCF6A}">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L36" authorId="0" shapeId="0" xr:uid="{EA15FABF-76D6-4FDD-9735-95A64A96F41C}">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B40" authorId="0" shapeId="0" xr:uid="{5BE65310-F8BE-4C56-87AB-4E863B6DAE26}">
      <text>
        <r>
          <rPr>
            <sz val="9"/>
            <color indexed="81"/>
            <rFont val="Tahoma"/>
            <family val="2"/>
          </rPr>
          <t xml:space="preserve">In F4Q2021 management re-segmented the Latin America stores to the International Segment, and renamed the Americas Segment "Nor America". F4Q2020 and F4Q2021 have been adjusted to reflect the change. 
</t>
        </r>
      </text>
    </comment>
    <comment ref="Q42" authorId="0" shapeId="0" xr:uid="{0E2733A7-7C6D-4455-B03F-28D4D900AC98}">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N45" authorId="0" shapeId="0" xr:uid="{D231A052-7CF8-4DE9-86A4-FCBD44C82C4C}">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45" authorId="0" shapeId="0" xr:uid="{BED616A1-E448-4D42-9B2A-7AE9504C6031}">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L49" authorId="1" shapeId="0" xr:uid="{BA14AE02-3979-4508-9925-DCAA5ADA4390}">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49" authorId="0" shapeId="0" xr:uid="{511D3A20-BCAD-4D38-BCCB-C4D27247F742}">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N54" authorId="0" shapeId="0" xr:uid="{04F1E402-EF0E-42C9-B684-EF0289A8FAC3}">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H58" authorId="1" shapeId="0" xr:uid="{5CA4B7B0-EB99-4281-B99C-176567519924}">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58" authorId="1" shapeId="0" xr:uid="{DF28B33A-AD36-422F-ACAF-18B236AEBEDE}">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58" authorId="0" shapeId="0" xr:uid="{F839E160-003B-4D5B-B8E8-89BC34623438}">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72" authorId="1" shapeId="0" xr:uid="{73C91A52-9169-44FE-897B-2AEDBCB63342}">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72" authorId="0" shapeId="0" xr:uid="{2DE70375-7909-4A0F-8388-F300F05FA5C9}">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72" authorId="1" shapeId="0" xr:uid="{D205546F-D29C-465F-A05B-5A174E3E364B}">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72" authorId="0" shapeId="0" xr:uid="{DE3BDDF8-7560-4B19-9994-3E973CC32463}">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75" authorId="1" shapeId="0" xr:uid="{BD5DA2D8-5672-4693-B276-0C646153377D}">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N78" authorId="0" shapeId="0" xr:uid="{2987A97C-7544-45CD-B21C-9BD9FB0F1891}">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78" authorId="0" shapeId="0" xr:uid="{620781FB-AEC9-4FBD-A68B-8F4D077D028C}">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F82" authorId="1" shapeId="0" xr:uid="{A66FC5B3-09B0-4B24-B46F-795ECF80F7FC}">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2" authorId="1" shapeId="0" xr:uid="{E4DB7D9F-BD95-4ED9-B85B-9FC0C6574E9D}">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2" authorId="0" shapeId="0" xr:uid="{7BBCDE31-DD94-4426-81DB-EAA997C23525}">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M84" authorId="1" shapeId="0" xr:uid="{01704175-429A-47F5-B9BA-A1C252EFCFFF}">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86" authorId="1" shapeId="0" xr:uid="{E8785240-1783-48B0-A92E-E0BF58DA2EFD}">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87" authorId="0" shapeId="0" xr:uid="{10804E00-FA9D-47CA-A879-C2CC4F179012}">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R91" authorId="0" shapeId="0" xr:uid="{3D9B9803-EB71-4401-8DA2-06B1A1A74425}">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06" authorId="0" shapeId="0" xr:uid="{1AD2A546-8CBF-4261-B339-04437C6B3ADA}">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06" authorId="1" shapeId="0" xr:uid="{75D13763-67BC-405E-88D7-39D104C3D076}">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06" authorId="0" shapeId="0" xr:uid="{35EBC08A-45B1-47F1-B1A5-43E8784B65EB}">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07" authorId="1" shapeId="0" xr:uid="{68AF3152-DF11-41B8-937F-AE6A09DAE465}">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08" authorId="1" shapeId="0" xr:uid="{4D60D761-7357-41A7-B2A9-236327C20B93}">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08" authorId="0" shapeId="0" xr:uid="{949A6226-E323-48C3-A679-FF53F688AC93}">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08" authorId="0" shapeId="0" xr:uid="{2480D8FB-83DD-4FDE-B322-410E9B404F6C}">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08" authorId="0" shapeId="0" xr:uid="{66B089D0-BE52-4E27-8B26-C38A6003A96D}">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09" authorId="1" shapeId="0" xr:uid="{8A6C5BE3-47A2-4474-804D-8CD5CF704B2D}">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N120" authorId="0" shapeId="0" xr:uid="{7A205AD4-56A7-40D5-8915-EFC9B4DEF5B0}">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20" authorId="0" shapeId="0" xr:uid="{EDD0E7A8-F13E-4A34-A4FF-73D72D954C92}">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21" authorId="1" shapeId="0" xr:uid="{92D456D5-110A-4474-ABE1-ADC7BD423C71}">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21" authorId="1" shapeId="0" xr:uid="{5312E305-9894-4F77-A73B-CA142549DE86}">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31" authorId="0" shapeId="0" xr:uid="{754A029F-AFF1-43CD-BEEF-9ACC30A9C38A}">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31" authorId="0" shapeId="0" xr:uid="{7EB92423-D38D-4B20-9CB4-DD33C65EDED5}">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AL139" authorId="0" shapeId="0" xr:uid="{38AF7ECF-73F5-4CEE-A51E-65DD1897EFA4}">
      <text>
        <r>
          <rPr>
            <sz val="9"/>
            <color indexed="81"/>
            <rFont val="Tahoma"/>
            <family val="2"/>
          </rPr>
          <t>Guidance: Global store growth of 7% annually approaching 45,000 stores by the end of 2025 (from fiscal 2023 to 2025). 
Source: Investor Day 9/16/2022</t>
        </r>
      </text>
    </comment>
    <comment ref="H140" authorId="1" shapeId="0" xr:uid="{0B8C9A3B-A74E-488F-88B1-B7E6A2C0D3A2}">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40" authorId="1" shapeId="0" xr:uid="{DB6D06B5-14FC-48CA-BC3C-5CDCBBE416DD}">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L140" authorId="0" shapeId="0" xr:uid="{E3CFE25C-D719-4C44-BEEF-0222A636C74C}">
      <text>
        <r>
          <rPr>
            <sz val="9"/>
            <color indexed="81"/>
            <rFont val="Tahoma"/>
            <family val="2"/>
          </rPr>
          <t>Guidance: Global revenue growth of 10% to 12% annually (from fiscal 2023 to 2025).
Source: Investor Day 9/16/2022</t>
        </r>
      </text>
    </comment>
    <comment ref="R141" authorId="0" shapeId="0" xr:uid="{E5BB554B-B60C-438B-81D3-0D3F27F34080}">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42" authorId="0" shapeId="0" xr:uid="{FE027E3D-84B0-4F3D-BE91-D8C5EB06162A}">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V142" authorId="0" shapeId="0" xr:uid="{923FAB52-C0F0-47EB-9A7A-DCB4012DD777}">
      <text>
        <r>
          <rPr>
            <b/>
            <sz val="9"/>
            <color indexed="81"/>
            <rFont val="Tahoma"/>
            <family val="2"/>
          </rPr>
          <t xml:space="preserve">Guidance: </t>
        </r>
        <r>
          <rPr>
            <sz val="9"/>
            <color indexed="81"/>
            <rFont val="Tahoma"/>
            <family val="2"/>
          </rPr>
          <t>"We now expect our Q4 margin and EPS to be lower than Q3 with greater year-over-year pressures primarily due to three reasons. First, the start of mobility recovery in China was later than expected, impacting the pace of recovery previously assumed in Q4. Second, our Q3 performance benefited from approximately $0.05 of non-reoccurring benefits including release of a customs duty accrual, tax credit, government subsidies, and other items which we do not expect to continue in Q4. And third, as previously announced, Q4 will be impacted by a sequential step-up in our investments, as well as our typical seasonality."</t>
        </r>
        <r>
          <rPr>
            <b/>
            <sz val="9"/>
            <color indexed="81"/>
            <rFont val="Tahoma"/>
            <family val="2"/>
          </rPr>
          <t xml:space="preserve">
Source: Investor Day 9/16/2022
</t>
        </r>
      </text>
    </comment>
    <comment ref="AL142" authorId="0" shapeId="0" xr:uid="{89C2ED25-894B-4690-A295-B6A221AF2AA5}">
      <text>
        <r>
          <rPr>
            <sz val="9"/>
            <color indexed="81"/>
            <rFont val="Tahoma"/>
            <family val="2"/>
          </rPr>
          <t>Guidance: Expect “Solid” margin expansion in fiscal 2023 with “progressively more expansion” in fiscal 2024 and 2025.
Source: Investor Day 9/16/2022</t>
        </r>
      </text>
    </comment>
    <comment ref="H143" authorId="1" shapeId="0" xr:uid="{B1087744-88E4-46CF-A5A4-CA94C83BEDF8}">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43" authorId="1" shapeId="0" xr:uid="{9978783A-8063-4704-BDE0-68854B5A7921}">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43" authorId="0" shapeId="0" xr:uid="{E85CBCB5-5BE2-4EBC-91A1-7EDAFF3FF39C}">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X143" authorId="0" shapeId="0" xr:uid="{9961977C-6449-455B-A15F-A2FF81D7133F}">
      <text>
        <r>
          <rPr>
            <sz val="9"/>
            <color indexed="81"/>
            <rFont val="Tahoma"/>
            <family val="2"/>
          </rPr>
          <t>"We expect our non-GAAP effective tax rate to be between 24% and 25%. This range translates to an EPS headwind of roughly 4% year-on-year and is meaningfully higher than the non-GAAP tax rate of 21.3% in fiscal 2021 which benefited from certain discrete tax benefits that are not expected to repeat to the same degree in fiscal 2022."</t>
        </r>
        <r>
          <rPr>
            <b/>
            <sz val="9"/>
            <color indexed="81"/>
            <rFont val="Tahoma"/>
            <family val="2"/>
          </rPr>
          <t xml:space="preserve">
Source: </t>
        </r>
        <r>
          <rPr>
            <sz val="9"/>
            <color indexed="81"/>
            <rFont val="Tahoma"/>
            <family val="2"/>
          </rPr>
          <t>F4Q2021 earnings call</t>
        </r>
      </text>
    </comment>
    <comment ref="AL149" authorId="0" shapeId="0" xr:uid="{04EC1BD3-A98B-47BE-8451-C19089C5599D}">
      <text>
        <r>
          <rPr>
            <sz val="9"/>
            <color indexed="81"/>
            <rFont val="Tahoma"/>
            <family val="2"/>
          </rPr>
          <t>Guidance: Management guided annual EPS growth between 15% to 20%. 
Source: Investor Day 9/16/2022
Assuming 2022 EPS of $2.88 CAGR of 15% to 20% equates to a 2025 EPS range of $4.38 to $4.98.</t>
        </r>
      </text>
    </comment>
    <comment ref="B150" authorId="1" shapeId="0" xr:uid="{DEC99592-60F8-4237-A3AF-C12FFFDD676D}">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AC153" authorId="0" shapeId="0" xr:uid="{C0034326-28DC-4FA1-A744-B3C89ACA7EB8}">
      <text>
        <r>
          <rPr>
            <sz val="9"/>
            <color indexed="81"/>
            <rFont val="Tahoma"/>
            <family val="2"/>
          </rPr>
          <t>Management is assuming a 2% dividend yield in their forecast.</t>
        </r>
      </text>
    </comment>
    <comment ref="AH153" authorId="0" shapeId="0" xr:uid="{04C1254B-799E-4165-9056-55915B235709}">
      <text>
        <r>
          <rPr>
            <sz val="9"/>
            <color indexed="81"/>
            <rFont val="Tahoma"/>
            <family val="2"/>
          </rPr>
          <t>Management is assuming a 2% dividend yield in their forecast.</t>
        </r>
      </text>
    </comment>
    <comment ref="B165" authorId="1" shapeId="0" xr:uid="{69FDD77B-4BBD-4E6D-BFDB-AA8A8FEF59B2}">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69" authorId="0" shapeId="0" xr:uid="{0A7519ED-36AE-486E-9ACE-D0FCBECA0496}">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72" authorId="1" shapeId="0" xr:uid="{8507D281-FAA7-4AF9-A8E8-6AF1772B2BCE}">
      <text>
        <r>
          <rPr>
            <b/>
            <sz val="9"/>
            <color indexed="81"/>
            <rFont val="Tahoma"/>
            <family val="2"/>
          </rPr>
          <t>Enter negative EPS income tax effect as positive on this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s>
  <commentList>
    <comment ref="B53" authorId="0" shapeId="0" xr:uid="{C3D1887E-4FA1-4984-B7BC-3E240900F093}">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R64" authorId="1" shapeId="0" xr:uid="{8A6C0302-CA1E-4A3E-B9F0-1DBFC037AFB4}">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AG64" authorId="1" shapeId="0" xr:uid="{073F3B4C-ADA1-45D4-9A54-A7B92DA06361}">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 ref="AL64" authorId="1" shapeId="0" xr:uid="{B40707D4-66E9-4B60-8B84-388AD85DCF2F}">
      <text>
        <r>
          <rPr>
            <sz val="9"/>
            <color indexed="81"/>
            <rFont val="Tahoma"/>
            <family val="2"/>
          </rPr>
          <t>Guidance: Management guided dividend payout rate to 50%, approximate dividend yield of 2%, share repurchase impact on EPS 1% (net of incremental interest), adjusted debt-to-EBITDA of 3x, capex of $2.5B to $3.0B, and total return to shareholders of ~$20B. 
Source: Investor Day 9/16/2022
Note: This base-case version of the model attempts to meet the midpoint of the implied range on EPS, and balance the impact of the above items. As a result the exact targets on the long-term goals above goals do not match the guidance exactly. As management discloses additional forecast details in fiscal 2023, these estimates should be adjusted.</t>
        </r>
      </text>
    </comment>
  </commentList>
</comments>
</file>

<file path=xl/sharedStrings.xml><?xml version="1.0" encoding="utf-8"?>
<sst xmlns="http://schemas.openxmlformats.org/spreadsheetml/2006/main" count="6386" uniqueCount="410">
  <si>
    <t>Basic shares outstanding</t>
  </si>
  <si>
    <t xml:space="preserve">Diluted shares outstanding </t>
  </si>
  <si>
    <t>Effective tax rate</t>
  </si>
  <si>
    <t>(Dollars in millions, except per share data)</t>
  </si>
  <si>
    <t>Operating margin (GAAP)</t>
  </si>
  <si>
    <t>Provisions for income tax</t>
  </si>
  <si>
    <t xml:space="preserve">Basic EPS </t>
  </si>
  <si>
    <t xml:space="preserve">Diluted EPS </t>
  </si>
  <si>
    <t>Total operating expenses</t>
  </si>
  <si>
    <t>Ratio Analysis</t>
  </si>
  <si>
    <t>Total operating income/(loss)</t>
  </si>
  <si>
    <t>Income/(loss) before income tax</t>
  </si>
  <si>
    <t>Non-GAAP Adjustments</t>
  </si>
  <si>
    <t>Segment Data</t>
  </si>
  <si>
    <t>Reconciliation</t>
  </si>
  <si>
    <t>Dec-18</t>
  </si>
  <si>
    <t xml:space="preserve">   Net income attributable to common shareholders</t>
  </si>
  <si>
    <t>Revenue growth rate (GAAP, YoY)</t>
  </si>
  <si>
    <t>Starbucks Income Statement</t>
  </si>
  <si>
    <t>F1Q19</t>
  </si>
  <si>
    <t>Sept-22E</t>
  </si>
  <si>
    <t>Dec-22E</t>
  </si>
  <si>
    <t>Mar-23E</t>
  </si>
  <si>
    <t>June-23E</t>
  </si>
  <si>
    <t>Sept-23E</t>
  </si>
  <si>
    <t>F4Q22E</t>
  </si>
  <si>
    <t>FY 2022E</t>
  </si>
  <si>
    <t>F1Q23E</t>
  </si>
  <si>
    <t>F2Q23E</t>
  </si>
  <si>
    <t>F3Q23E</t>
  </si>
  <si>
    <t>F4Q23E</t>
  </si>
  <si>
    <t>FY 2023E</t>
  </si>
  <si>
    <t>Store operating expenses</t>
  </si>
  <si>
    <t>Other operating expenses</t>
  </si>
  <si>
    <t>Depreciation and amortization expenses</t>
  </si>
  <si>
    <t>General and administrative expenses</t>
  </si>
  <si>
    <t>Income from equity investees</t>
  </si>
  <si>
    <t>Interest income and other</t>
  </si>
  <si>
    <t>Interest expense</t>
  </si>
  <si>
    <t>Net income including noncontrolling interest</t>
  </si>
  <si>
    <t xml:space="preserve">Net earnings attributable to noncontrolling interest </t>
  </si>
  <si>
    <t>Cash dividend</t>
  </si>
  <si>
    <t>Restructuring and impairments</t>
  </si>
  <si>
    <t>Comp store sales - Ticket</t>
  </si>
  <si>
    <t>Comp store sales - Transaction</t>
  </si>
  <si>
    <t>Comp store sales - Total</t>
  </si>
  <si>
    <t xml:space="preserve">Net new company operated stores added </t>
  </si>
  <si>
    <t xml:space="preserve">Net new licensed  stores added </t>
  </si>
  <si>
    <t>Average revenue per licensed store</t>
  </si>
  <si>
    <t>Average licensed stores in the period</t>
  </si>
  <si>
    <t>Other revenue YoY growth rate</t>
  </si>
  <si>
    <t>Channel Development (GAAP)</t>
  </si>
  <si>
    <t>Channel Dev Total operating expenses</t>
  </si>
  <si>
    <t>Channel Dev Total operating income</t>
  </si>
  <si>
    <t>Channel Dev Total operating margin (%)</t>
  </si>
  <si>
    <t>Corporate &amp; Other  (GAAP)</t>
  </si>
  <si>
    <t>Corp &amp; Other Total operating expenses</t>
  </si>
  <si>
    <t>Corp &amp; Other Total operating income</t>
  </si>
  <si>
    <t>Revenue YoY growth rate</t>
  </si>
  <si>
    <t>Company-operated revenue</t>
  </si>
  <si>
    <t>Licensed store revenue</t>
  </si>
  <si>
    <t>Other revenue</t>
  </si>
  <si>
    <t>Operating Income</t>
  </si>
  <si>
    <t>Gain on acquisition of JV/disposition of business</t>
  </si>
  <si>
    <t>Nestle Transaction (Operating expenses)</t>
  </si>
  <si>
    <t>Restructuring and impairments (Operating expenses)</t>
  </si>
  <si>
    <t>Stock Awards (Operating expenses)</t>
  </si>
  <si>
    <t>Total impact on operating expenses</t>
  </si>
  <si>
    <t>Total impact on operating income</t>
  </si>
  <si>
    <t>Gain/(loss) on acquisitions and divestitures (Net income)</t>
  </si>
  <si>
    <t>Non-GAAP operating income adjustments</t>
  </si>
  <si>
    <t xml:space="preserve">Non-GAAP operating income </t>
  </si>
  <si>
    <t>Non-GAAP net income adjustments</t>
  </si>
  <si>
    <t xml:space="preserve">Non-GAAP net income </t>
  </si>
  <si>
    <t>Non-GAAP diluted EPS</t>
  </si>
  <si>
    <t>Income tax impact of adjustments and other (Net income)</t>
  </si>
  <si>
    <t>Income tax impact and other as % of operating income adj</t>
  </si>
  <si>
    <t>Operating margin (Non-GAAP)</t>
  </si>
  <si>
    <t>Interest &amp; other income as a % of average  investments and cash</t>
  </si>
  <si>
    <t>Interest expense as a % of average debt balances</t>
  </si>
  <si>
    <t>All Other  (Operating expense)</t>
  </si>
  <si>
    <t>F2Q19</t>
  </si>
  <si>
    <t>Mar-19</t>
  </si>
  <si>
    <t>General and administrative expenses (GAAP)</t>
  </si>
  <si>
    <t>June-19</t>
  </si>
  <si>
    <t>F3Q19</t>
  </si>
  <si>
    <t>Dec-23E</t>
  </si>
  <si>
    <t>Mar-24E</t>
  </si>
  <si>
    <t>June-24E</t>
  </si>
  <si>
    <t>Sept-24E</t>
  </si>
  <si>
    <t>F1Q24E</t>
  </si>
  <si>
    <t>F2Q24E</t>
  </si>
  <si>
    <t>F3Q24E</t>
  </si>
  <si>
    <t>F4Q24E</t>
  </si>
  <si>
    <t>FY 2024E</t>
  </si>
  <si>
    <t>F4Q19</t>
  </si>
  <si>
    <t>FY 2019</t>
  </si>
  <si>
    <t>F1Q20</t>
  </si>
  <si>
    <t>F2Q20</t>
  </si>
  <si>
    <t>F3Q20</t>
  </si>
  <si>
    <t>Product and distribution costs</t>
  </si>
  <si>
    <t>Revenue - Company-operated stores</t>
  </si>
  <si>
    <t>Revenue - Licensed stores revenue</t>
  </si>
  <si>
    <t>Revenue - Product, Services, and Other</t>
  </si>
  <si>
    <t>Total revenues</t>
  </si>
  <si>
    <t>Dec-24E</t>
  </si>
  <si>
    <t>Mar-25E</t>
  </si>
  <si>
    <t>June-25E</t>
  </si>
  <si>
    <t>Sept-25E</t>
  </si>
  <si>
    <t>F1Q25E</t>
  </si>
  <si>
    <t>F2Q25E</t>
  </si>
  <si>
    <t>F3Q25E</t>
  </si>
  <si>
    <t>F4Q25E</t>
  </si>
  <si>
    <t>FY 2025E</t>
  </si>
  <si>
    <t>International Segment (GAAP)</t>
  </si>
  <si>
    <t>International company-operated stores</t>
  </si>
  <si>
    <t>Int'l Revenue: Company-operated stores ($M)</t>
  </si>
  <si>
    <t>International licensed stores</t>
  </si>
  <si>
    <t>Int'l Revenue: licensed stores ($M)</t>
  </si>
  <si>
    <t>Int'l Revenue: Other</t>
  </si>
  <si>
    <t>Int'l total stores</t>
  </si>
  <si>
    <t>Int'l total net store additions</t>
  </si>
  <si>
    <t>Int'l total net revenues ($M)</t>
  </si>
  <si>
    <t>Int'l Total operating expenses</t>
  </si>
  <si>
    <t>Int'l Total operating income</t>
  </si>
  <si>
    <t>Int'l Total operating margin (%)</t>
  </si>
  <si>
    <t>Channel Development Revenue</t>
  </si>
  <si>
    <t>Net revenues ($M)</t>
  </si>
  <si>
    <t>Net revenue YoY growth rate</t>
  </si>
  <si>
    <t>International transaction and integration related costs</t>
  </si>
  <si>
    <t>Share Count Analysis</t>
  </si>
  <si>
    <t>Sept '18 ASR - Share repurchase assumptions: average price</t>
  </si>
  <si>
    <t>Sept '18 ASR - Share repurchase: amount in the period ($M)</t>
  </si>
  <si>
    <t>Sept '18 ASR -Shares repurchased (in millions)</t>
  </si>
  <si>
    <t>March '19 ASR - Share repurchase assumptions: average price</t>
  </si>
  <si>
    <t>March '19 ASR - Share repurchase: amount in the period ($M)</t>
  </si>
  <si>
    <t>March '19 ASR -Shares repurchased (in millions)</t>
  </si>
  <si>
    <t>Share repurchase assumptions: average price (exASRs)</t>
  </si>
  <si>
    <t>Share repurchase: amount in the period ($M, exASRs)</t>
  </si>
  <si>
    <t>Non-GAAP EPS Growth (YoY)</t>
  </si>
  <si>
    <t>Cash Flow From Operations Growth (YoY)</t>
  </si>
  <si>
    <t>Sept-20</t>
  </si>
  <si>
    <t>F4Q20</t>
  </si>
  <si>
    <t>FY 2020</t>
  </si>
  <si>
    <t>June-20</t>
  </si>
  <si>
    <t>Mar-20</t>
  </si>
  <si>
    <t>Dec-19</t>
  </si>
  <si>
    <t>Sept-19</t>
  </si>
  <si>
    <t>Dec-20</t>
  </si>
  <si>
    <t>F1Q21</t>
  </si>
  <si>
    <t xml:space="preserve"> Store opex (as % of comp-op store revenue)</t>
  </si>
  <si>
    <t>Product/dist costs (as % of total segment revenue)</t>
  </si>
  <si>
    <t xml:space="preserve"> Other opex (as % of total segment revenue)</t>
  </si>
  <si>
    <t>G&amp;A expense (as % of total segment revenue)</t>
  </si>
  <si>
    <t>Other opex (as % of comp-op store revenue)</t>
  </si>
  <si>
    <t>Impact of extra week  (Operating income)</t>
  </si>
  <si>
    <t>Mar-21</t>
  </si>
  <si>
    <t>F2Q21</t>
  </si>
  <si>
    <t>June-21</t>
  </si>
  <si>
    <t>F3Q21</t>
  </si>
  <si>
    <t>Dec-25E</t>
  </si>
  <si>
    <t>Mar-26E</t>
  </si>
  <si>
    <t>June-26E</t>
  </si>
  <si>
    <t>Sept-26E</t>
  </si>
  <si>
    <t>F1Q26E</t>
  </si>
  <si>
    <t>F2Q26E</t>
  </si>
  <si>
    <t>F3Q26E</t>
  </si>
  <si>
    <t>F4Q26E</t>
  </si>
  <si>
    <t>FY 2026E</t>
  </si>
  <si>
    <t>Global Store Growth</t>
  </si>
  <si>
    <t>Approximate Dividend Payout Ratio</t>
  </si>
  <si>
    <t>Sept-21</t>
  </si>
  <si>
    <t>F4Q21</t>
  </si>
  <si>
    <t>FY 2021</t>
  </si>
  <si>
    <t>North America (GAAP)</t>
  </si>
  <si>
    <t>NA company-operated stores</t>
  </si>
  <si>
    <t>NA Revenue: Company-operated stores ($M)</t>
  </si>
  <si>
    <t>NA licensed stores</t>
  </si>
  <si>
    <t>NA Revenue: licensed stores ($M)</t>
  </si>
  <si>
    <t>NA Revenue: Other</t>
  </si>
  <si>
    <t>NA total stores</t>
  </si>
  <si>
    <t>NA total net store additions</t>
  </si>
  <si>
    <t>NA total net revenues ($M)</t>
  </si>
  <si>
    <t>NA total operating expenses</t>
  </si>
  <si>
    <t>NA total operating income</t>
  </si>
  <si>
    <t>NA total operating margin (%)</t>
  </si>
  <si>
    <t>GAAP EPS Growth (YoY)</t>
  </si>
  <si>
    <t>Jan-22</t>
  </si>
  <si>
    <t>F1Q22</t>
  </si>
  <si>
    <t>F2Q22</t>
  </si>
  <si>
    <t>Mar-22</t>
  </si>
  <si>
    <t>Dec-26E</t>
  </si>
  <si>
    <t>Mar-27E</t>
  </si>
  <si>
    <t>June-27E</t>
  </si>
  <si>
    <t>Sept-27E</t>
  </si>
  <si>
    <t>F1Q27E</t>
  </si>
  <si>
    <t>F2Q27E</t>
  </si>
  <si>
    <t>F3Q27E</t>
  </si>
  <si>
    <t>F4Q27E</t>
  </si>
  <si>
    <t>FY 2027E</t>
  </si>
  <si>
    <t>Revenue growth rate (YoY)</t>
  </si>
  <si>
    <t>Average company operated stores in the period</t>
  </si>
  <si>
    <t>Average revenue per average licensed store</t>
  </si>
  <si>
    <t>June-22</t>
  </si>
  <si>
    <t>F3Q22</t>
  </si>
  <si>
    <t>Average revenue per average company operated store</t>
  </si>
  <si>
    <t xml:space="preserve">Average revenue per average company operated store </t>
  </si>
  <si>
    <t>Shares repurchased: Share count (in millions of shares, exASRs)</t>
  </si>
  <si>
    <t>Change in basic shares  (excluding repurchases)</t>
  </si>
  <si>
    <t>Change in diluted shares  (excluding repurchases)</t>
  </si>
  <si>
    <t>Note: Blue cells = primary inputs. Purple cells = guidance.</t>
  </si>
  <si>
    <t>Assets</t>
  </si>
  <si>
    <t>Cash and equivalents</t>
  </si>
  <si>
    <t>Short-term investments</t>
  </si>
  <si>
    <t>Accounts receivable, net</t>
  </si>
  <si>
    <t>Inventories</t>
  </si>
  <si>
    <t>Prepaid expenses and other current assets</t>
  </si>
  <si>
    <t>Total Current Assets</t>
  </si>
  <si>
    <t>Long-term investments</t>
  </si>
  <si>
    <t>Equity investments</t>
  </si>
  <si>
    <t xml:space="preserve">Property, plant and equipment, net </t>
  </si>
  <si>
    <t>Operating lease, right-of-use asset</t>
  </si>
  <si>
    <t>Deferred income taxes, net</t>
  </si>
  <si>
    <t>Other long-term assets</t>
  </si>
  <si>
    <t>Other intangible assets, net</t>
  </si>
  <si>
    <t>Goodwill</t>
  </si>
  <si>
    <t>Total Assets</t>
  </si>
  <si>
    <t>Liabilities</t>
  </si>
  <si>
    <t>Accounts payable</t>
  </si>
  <si>
    <t>Accrued liabilities</t>
  </si>
  <si>
    <t>Accrued payroll and benefits (current)</t>
  </si>
  <si>
    <t>Income taxes payable (current)</t>
  </si>
  <si>
    <t xml:space="preserve">Current portion of operating lease liability </t>
  </si>
  <si>
    <t>Stored value card liability and deferred revenue</t>
  </si>
  <si>
    <t>Current portion of debt</t>
  </si>
  <si>
    <t>Other current liabilities</t>
  </si>
  <si>
    <t>Total Current liabilities</t>
  </si>
  <si>
    <t>Long-term debt</t>
  </si>
  <si>
    <t>Operating lease liability</t>
  </si>
  <si>
    <t>Deferred revenue</t>
  </si>
  <si>
    <t>Other long-term liabilities</t>
  </si>
  <si>
    <t>Total liabilities</t>
  </si>
  <si>
    <t>Equity</t>
  </si>
  <si>
    <t>Common stock and additional paid in capital</t>
  </si>
  <si>
    <t xml:space="preserve">Retained earnings </t>
  </si>
  <si>
    <t>Accumulated other comprehensive loss</t>
  </si>
  <si>
    <t>Noncontrolling interest</t>
  </si>
  <si>
    <t>Total shareholders' equity</t>
  </si>
  <si>
    <t>Total liabilities and equity</t>
  </si>
  <si>
    <t>Balance Sheet Ratios &amp; Assumptions</t>
  </si>
  <si>
    <t>Day Count (number of days in the quarter)</t>
  </si>
  <si>
    <t>Receivables turnover</t>
  </si>
  <si>
    <t>Days sales outstanding</t>
  </si>
  <si>
    <t>Inventory turnover</t>
  </si>
  <si>
    <t>Payables turnover</t>
  </si>
  <si>
    <t>Number of days of payables</t>
  </si>
  <si>
    <t>Total investments as a % of assets</t>
  </si>
  <si>
    <t>Short-term investments as a % of total investments</t>
  </si>
  <si>
    <t>Deferred inc taxes as % of def revenue &amp; stored value liability</t>
  </si>
  <si>
    <t>Depreciation &amp; amortization-to-average P&amp;E</t>
  </si>
  <si>
    <t>Debt Assumptions</t>
  </si>
  <si>
    <t>Debt maturities</t>
  </si>
  <si>
    <t>Debt moved from Long to Current</t>
  </si>
  <si>
    <t>Debt issuance</t>
  </si>
  <si>
    <t>Debt-to-equity ratio</t>
  </si>
  <si>
    <t>Short-term debt to total debt</t>
  </si>
  <si>
    <t>Starbucks Cash Flow Statement</t>
  </si>
  <si>
    <t>Cash flows from operating activities</t>
  </si>
  <si>
    <t>Net income - including noncontrolling interests</t>
  </si>
  <si>
    <t xml:space="preserve">Depreciation and amortization </t>
  </si>
  <si>
    <t>Income earned from equity method investees</t>
  </si>
  <si>
    <t>Distributions received from equity method investees</t>
  </si>
  <si>
    <t>Gain resulting from acquisitions/sales</t>
  </si>
  <si>
    <t>Stock-based compensation expense</t>
  </si>
  <si>
    <t>Other Noncash Income/(Expense)</t>
  </si>
  <si>
    <t>Changes in operating assets and liabilities, net of the effects</t>
  </si>
  <si>
    <t>Accounts receivable</t>
  </si>
  <si>
    <t>Increase/(Decrease) in prepaid expenses, other current</t>
  </si>
  <si>
    <t>Increase/(Decrease) in Income Taxes Payable</t>
  </si>
  <si>
    <t>Other operating assets and liabilities</t>
  </si>
  <si>
    <t>Net cash provided by operating activities</t>
  </si>
  <si>
    <t>Cash flows from investing activities</t>
  </si>
  <si>
    <t>Sale/Maturities/(Purchases) of investments</t>
  </si>
  <si>
    <t>Additions to PP&amp;E</t>
  </si>
  <si>
    <t>Other investing activities</t>
  </si>
  <si>
    <t>Net cash provided by (used for) investing</t>
  </si>
  <si>
    <t>Cash flows from financing activities</t>
  </si>
  <si>
    <t xml:space="preserve">Debt/commercial paper (payments) </t>
  </si>
  <si>
    <t>Proceeds from issuance of commercial paper</t>
  </si>
  <si>
    <t>Proceeds from issuance of common stock</t>
  </si>
  <si>
    <t>Cash dividends paid</t>
  </si>
  <si>
    <t>Repurchase of common stock</t>
  </si>
  <si>
    <t>Minimum tax withholdings on share-based awards</t>
  </si>
  <si>
    <t>Other financing activities</t>
  </si>
  <si>
    <t>Net cash provided by (used for) financing</t>
  </si>
  <si>
    <t>Effect of exchange rate changes &amp; restricted cash</t>
  </si>
  <si>
    <t>Net increase (decrease) in cash and equivalents</t>
  </si>
  <si>
    <t>Cash and equivalents at beginning of period</t>
  </si>
  <si>
    <t>Cash and equivalents at end of period (BS)</t>
  </si>
  <si>
    <t>Free Cash Flow to Firm (FCFF)</t>
  </si>
  <si>
    <t>DCF Period (approximate number of years)</t>
  </si>
  <si>
    <t>Discounted FCFF</t>
  </si>
  <si>
    <t xml:space="preserve">Net Cash and investments per share </t>
  </si>
  <si>
    <t>Cash &amp; marketable securities (exEquity method investments)</t>
  </si>
  <si>
    <t>Total Debt</t>
  </si>
  <si>
    <t xml:space="preserve">Adjusted net cash  per share </t>
  </si>
  <si>
    <t>Cash Flow Ratios &amp; Assumptions</t>
  </si>
  <si>
    <t>Cash Flow Statement Ratios</t>
  </si>
  <si>
    <t>Share-based compensation to revenue</t>
  </si>
  <si>
    <t xml:space="preserve">Distributions from equity investments as a % of income </t>
  </si>
  <si>
    <t>Net Cash from Operations growth rate (YoY)</t>
  </si>
  <si>
    <t>Capex to revenue</t>
  </si>
  <si>
    <t>Return to Shareholders (Dividends and Repurchases)</t>
  </si>
  <si>
    <t>Return to Shareholders (cumulative 2023 to 2025)</t>
  </si>
  <si>
    <t>NA Change in Product/dist costs (as % of total segment revenue)</t>
  </si>
  <si>
    <t>NA Change in Store opex (as % of comp-op store revenue)</t>
  </si>
  <si>
    <t>NA Change in Other opex (as % of total segment revenue)</t>
  </si>
  <si>
    <t>NA Change in G&amp;A expense (as % of total segment revenue)</t>
  </si>
  <si>
    <t>Intl Change in Product/dist costs (as % of total segment revenue)</t>
  </si>
  <si>
    <t>Intl Change in Store opex (as % of comp-op store revenue)</t>
  </si>
  <si>
    <t>Intl Change in Other opex (as % of total segment revenue)</t>
  </si>
  <si>
    <t>Intl Change in G&amp;A expense (as % of total segment revenue)</t>
  </si>
  <si>
    <t>Channel Dev Change in Product/dist costs (as % of revenue)</t>
  </si>
  <si>
    <t>Channel Dev Change in Other opex (as % of revenue)</t>
  </si>
  <si>
    <t>Channel Dev Change in G&amp;A expense (as % of  revenue)</t>
  </si>
  <si>
    <t>EBITDA (Non-GAAP)</t>
  </si>
  <si>
    <t>Debt</t>
  </si>
  <si>
    <t>Total lease costs (10-K)</t>
  </si>
  <si>
    <t>Debt-to-EBITDA (Non-GAAP)</t>
  </si>
  <si>
    <t>CAGR in Non-GAAP EPS (2022 to 2025) including repurchases</t>
  </si>
  <si>
    <t>CAGR in Non-GAAP EPS (2022 to 2025) before repurchases</t>
  </si>
  <si>
    <t>Impact from repurchases (net of incremental interest expense)</t>
  </si>
  <si>
    <t>Low-end of Non-GAAP EPS guidance (assuming 15% CAGR off $2.88 in 2022)</t>
  </si>
  <si>
    <t>High-end of Non-GAAP EPS guidance (assuming 20% CAGR off $2.88 in 2022)</t>
  </si>
  <si>
    <t>Non-GAAP EPS CAGR (From 2022 to 2025)</t>
  </si>
  <si>
    <t>Multiple Valuation</t>
  </si>
  <si>
    <t>Adjustments</t>
  </si>
  <si>
    <t>Implied 12-month target value</t>
  </si>
  <si>
    <t>PE 3-month average (NTM)</t>
  </si>
  <si>
    <t>PE 3-month high (NTM)</t>
  </si>
  <si>
    <t>PE 3-month low (NTM)</t>
  </si>
  <si>
    <t>Long-Term Historic Range</t>
  </si>
  <si>
    <t>PE selected for valuation (NTM)</t>
  </si>
  <si>
    <t>Global Store Growth CAGR (2022 to 2025)</t>
  </si>
  <si>
    <t>Global Revenue Growth CAGR (2022 to 2025)</t>
  </si>
  <si>
    <t>18x to 37x</t>
  </si>
  <si>
    <t>Sept-22</t>
  </si>
  <si>
    <t>F4Q22</t>
  </si>
  <si>
    <t>FY 2022</t>
  </si>
  <si>
    <t>DCF Valuation</t>
  </si>
  <si>
    <t>Discounted Cash Flow Valuation</t>
  </si>
  <si>
    <t>Weighted Average Cost of Capital (WACC) Inputs</t>
  </si>
  <si>
    <t>Target share price</t>
  </si>
  <si>
    <t>Shares outstanding</t>
  </si>
  <si>
    <t>Market Capitalization ($M)</t>
  </si>
  <si>
    <t>Beta (relative to the S&amp;P500)</t>
  </si>
  <si>
    <t>Constant market Sharpe ratio</t>
  </si>
  <si>
    <t>S&amp;P500 implied volatility</t>
  </si>
  <si>
    <t>Equity to total capital</t>
  </si>
  <si>
    <t>Average cost of debt</t>
  </si>
  <si>
    <t xml:space="preserve">After tax cost of debt </t>
  </si>
  <si>
    <t>Stage 1 WACC</t>
  </si>
  <si>
    <t>Constant CFO growth rate</t>
  </si>
  <si>
    <t>Average CapEx (% of sales)</t>
  </si>
  <si>
    <t>Stage 2 Long-Term WACC</t>
  </si>
  <si>
    <t xml:space="preserve">Plus cash/(debt) per share </t>
  </si>
  <si>
    <t>Implied DCF 12-month target value</t>
  </si>
  <si>
    <t>Mean monthly return</t>
  </si>
  <si>
    <t xml:space="preserve">Standard deviation </t>
  </si>
  <si>
    <t>Implied target value</t>
  </si>
  <si>
    <t>Implied upper bound</t>
  </si>
  <si>
    <t>Implied Lower bound</t>
  </si>
  <si>
    <t>Constant Growth (Stage 2) Assumptions</t>
  </si>
  <si>
    <t>Stage 1 Required Return on Equity (CAPM)</t>
  </si>
  <si>
    <t>Stage 1: Required Return on Equity</t>
  </si>
  <si>
    <t>Stage 2 Required Return on Equity (CAPM)</t>
  </si>
  <si>
    <t>LT S&amp;P500 implied volatility forecast</t>
  </si>
  <si>
    <t>LT Beta forecast (relative to the S&amp;P500)</t>
  </si>
  <si>
    <t>Stage 2: Required Return on Equity</t>
  </si>
  <si>
    <t>LT Risk Free forecast (10yr UST)</t>
  </si>
  <si>
    <t>Estimate of Risk Free (forecast of 10yr UST)</t>
  </si>
  <si>
    <t>DCF/Multiple Target Price Check</t>
  </si>
  <si>
    <t>Stage 2 PV of constant growth CFs</t>
  </si>
  <si>
    <t xml:space="preserve">Stage 1 Present Value (PV) of cash flows </t>
  </si>
  <si>
    <t>Assumptions, notes, and source of input</t>
  </si>
  <si>
    <t>LT constant market Sharpe ratio</t>
  </si>
  <si>
    <t>You may choose to use a simplified estimate of the ERP</t>
  </si>
  <si>
    <t>Market Equity Risk Premium (ERP)</t>
  </si>
  <si>
    <t>LT Market Equity Risk Premium (ERP)</t>
  </si>
  <si>
    <t>Price Band Estimate</t>
  </si>
  <si>
    <t>50/50 Valuation</t>
  </si>
  <si>
    <t>Multiple-based target valuation</t>
  </si>
  <si>
    <t>DCF-based target valuation</t>
  </si>
  <si>
    <t>50/50 weighted target valuation</t>
  </si>
  <si>
    <r>
      <rPr>
        <b/>
        <sz val="11"/>
        <color theme="1"/>
        <rFont val="Calibri"/>
        <family val="2"/>
        <scheme val="minor"/>
      </rPr>
      <t>Note:</t>
    </r>
    <r>
      <rPr>
        <sz val="11"/>
        <color theme="1"/>
        <rFont val="Calibri"/>
        <family val="2"/>
        <scheme val="minor"/>
      </rPr>
      <t xml:space="preserve"> This file is designed for education and demonstration only, and does not represent investment advice. Refer to Terms of Use for additional details.
</t>
    </r>
    <r>
      <rPr>
        <b/>
        <sz val="11"/>
        <color theme="1"/>
        <rFont val="Calibri"/>
        <family val="2"/>
        <scheme val="minor"/>
      </rPr>
      <t xml:space="preserve">Last Updated: </t>
    </r>
    <r>
      <rPr>
        <sz val="11"/>
        <color theme="1"/>
        <rFont val="Calibri"/>
        <family val="2"/>
        <scheme val="minor"/>
      </rPr>
      <t>12/22/2022</t>
    </r>
  </si>
  <si>
    <t>ERP Model Cell O14</t>
  </si>
  <si>
    <t>ERP Model cell I18</t>
  </si>
  <si>
    <t>ERP Model cell E82</t>
  </si>
  <si>
    <t>ERP Model cell E74</t>
  </si>
  <si>
    <t>Refer to embedded note</t>
  </si>
  <si>
    <t>This is the last reported diluted share count.</t>
  </si>
  <si>
    <t>This comes from the "SBUX Beta Calculation" file ("SBUX Beta ST" worksheet, cell H20).</t>
  </si>
  <si>
    <t>This comes from the "SBUX Beta Calculation" file ("SBUX Beta LT" worksheet, cell H19).</t>
  </si>
  <si>
    <t>ERP Model cell E80.  Refer to embedded note.</t>
  </si>
  <si>
    <t>ERP Model cell J14. Refer to embedded note.</t>
  </si>
  <si>
    <r>
      <rPr>
        <b/>
        <sz val="11"/>
        <color theme="1"/>
        <rFont val="Calibri"/>
        <family val="2"/>
        <scheme val="minor"/>
      </rPr>
      <t>Note:</t>
    </r>
    <r>
      <rPr>
        <sz val="11"/>
        <color theme="1"/>
        <rFont val="Calibri"/>
        <family val="2"/>
        <scheme val="minor"/>
      </rPr>
      <t xml:space="preserve"> This file is designed for education and demonstration only, and does not represent investment advice. Refer to Terms of Use for additional details.</t>
    </r>
    <r>
      <rPr>
        <b/>
        <sz val="11"/>
        <color theme="1"/>
        <rFont val="Calibri"/>
        <family val="2"/>
        <scheme val="minor"/>
      </rPr>
      <t xml:space="preserve">
Last Updated: </t>
    </r>
    <r>
      <rPr>
        <sz val="11"/>
        <color theme="1"/>
        <rFont val="Calibri"/>
        <family val="2"/>
        <scheme val="minor"/>
      </rPr>
      <t>12/22/2022</t>
    </r>
  </si>
  <si>
    <t xml:space="preserve">Revenue growth </t>
  </si>
  <si>
    <t>Revenue growth</t>
  </si>
  <si>
    <t>ERP Model cell E79</t>
  </si>
  <si>
    <r>
      <rPr>
        <b/>
        <sz val="11"/>
        <color theme="1"/>
        <rFont val="Calibri"/>
        <family val="2"/>
        <scheme val="minor"/>
      </rPr>
      <t>Multiple Valuation Description:</t>
    </r>
    <r>
      <rPr>
        <sz val="11"/>
        <color theme="1"/>
        <rFont val="Calibri"/>
        <family val="2"/>
        <scheme val="minor"/>
      </rPr>
      <t xml:space="preserve"> The PE multiple is 30x to consider the fact that inflation has decreased over the last month. This may cause the Fed to not raise rates. Starbucks expects to have increased earnings growth through 2025 along with the trends in consumer preference and beverage quality.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</si>
</sst>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 #,##0.000_);_(* \(#,##0.000\);_(* &quot;-&quot;??_);_(@_)"/>
    <numFmt numFmtId="168" formatCode="0.0_)\%;\(0.0\)\%;0.0_)\%;@_)_%"/>
    <numFmt numFmtId="169" formatCode="#,##0.0_)_%;\(#,##0.0\)_%;0.0_)_%;@_)_%"/>
    <numFmt numFmtId="170" formatCode="#,##0.0_);\(#,##0.0\);#,##0.0_);@_)"/>
    <numFmt numFmtId="171" formatCode="&quot;$&quot;_(#,##0.00_);&quot;$&quot;\(#,##0.00\);&quot;$&quot;_(0.00_);@_)"/>
    <numFmt numFmtId="172" formatCode="#,##0.00_);\(#,##0.00\);0.00_);@_)"/>
    <numFmt numFmtId="173" formatCode="\€_(#,##0.00_);\€\(#,##0.00\);\€_(0.00_);@_)"/>
    <numFmt numFmtId="174" formatCode="#,##0_)\x;\(#,##0\)\x;0_)\x;@_)_x"/>
    <numFmt numFmtId="175" formatCode="#,##0_)_x;\(#,##0\)_x;0_)_x;@_)_x"/>
    <numFmt numFmtId="176" formatCode="* #,##0.00_);\(#,##0.00\)"/>
    <numFmt numFmtId="177" formatCode="&quot;$&quot;#,##0;\-&quot;$&quot;#,##0"/>
    <numFmt numFmtId="178" formatCode="#,##0;\-#,##0;&quot;-&quot;"/>
    <numFmt numFmtId="179" formatCode="0.000000"/>
    <numFmt numFmtId="180" formatCode="_(* #,##0,,_);_(* \(#,##0,,\);_(* &quot;-&quot;_)"/>
    <numFmt numFmtId="181" formatCode="_(* #,##0_);[Red]_(* \(#,##0\);_(* &quot;&quot;&quot;&quot;&quot;&quot;&quot;&quot;\ \-\ &quot;&quot;&quot;&quot;&quot;&quot;&quot;&quot;_);_(@_)"/>
    <numFmt numFmtId="182" formatCode="&quot;£&quot;#,##0;[Red]\-&quot;£&quot;#,##0"/>
    <numFmt numFmtId="183" formatCode="_(* #,##0,_);[Red]_(* \(#,##0,\);_(* &quot;&quot;&quot;&quot;&quot;&quot;&quot;&quot;\ \-\ &quot;&quot;&quot;&quot;&quot;&quot;&quot;&quot;_);_(@_)"/>
    <numFmt numFmtId="184" formatCode="0.00_);[Red]\(0.00\)"/>
    <numFmt numFmtId="185" formatCode="0%;\(0%\);;"/>
    <numFmt numFmtId="186" formatCode="&quot;£&quot;#,##0.00;[Red]\-&quot;£&quot;#,##0.00"/>
    <numFmt numFmtId="187" formatCode="_(* #,##0.000_);_(* \(#,##0.000\);_(* &quot;-&quot;_);_(@_)"/>
    <numFmt numFmtId="188" formatCode="0%;\(0%\);&quot;-&quot;"/>
    <numFmt numFmtId="189" formatCode="_-&quot;£&quot;* #,##0_-;\-&quot;£&quot;* #,##0_-;_-&quot;£&quot;* &quot;-&quot;_-;_-@_-"/>
    <numFmt numFmtId="190" formatCode="_(&quot;$&quot;* #,##0,_);_(&quot;$&quot;* \(#,##0,\);_(&quot;$&quot;* &quot;-&quot;_);_(@_)"/>
    <numFmt numFmtId="191" formatCode="#,##0\ ;\(#,##0.0\)"/>
    <numFmt numFmtId="192" formatCode="0.0"/>
    <numFmt numFmtId="193" formatCode="#,##0.00;\-#,##0.00;&quot;-&quot;"/>
    <numFmt numFmtId="194" formatCode="_._.* \(#,##0\)_%;_._.* #,##0_)_%;_._.* 0_)_%;_._.@_)_%"/>
    <numFmt numFmtId="195" formatCode="_._.&quot;$&quot;* \(#,##0\)_%;_._.&quot;$&quot;* #,##0_)_%;_._.&quot;$&quot;* 0_)_%;_._.@_)_%"/>
    <numFmt numFmtId="196" formatCode="&quot;$&quot;0.00_)"/>
    <numFmt numFmtId="197" formatCode="&quot;SFr.&quot;\ #,##0.00;&quot;SFr.&quot;\ \-#,##0.00"/>
    <numFmt numFmtId="198" formatCode="#,##0;\(#,##0\)"/>
    <numFmt numFmtId="199" formatCode="_([$€-2]* #,##0.00_);_([$€-2]* \(#,##0.00\);_([$€-2]* &quot;-&quot;??_)"/>
    <numFmt numFmtId="200" formatCode="_-* #,##0\ _D_M_-;\-* #,##0\ _D_M_-;_-* &quot;-&quot;\ _D_M_-;_-@_-"/>
    <numFmt numFmtId="201" formatCode="_-* #,##0.00\ _D_M_-;\-* #,##0.00\ _D_M_-;_-* &quot;-&quot;??\ _D_M_-;_-@_-"/>
    <numFmt numFmtId="202" formatCode="_-* #,##0\ &quot;DM&quot;_-;\-* #,##0\ &quot;DM&quot;_-;_-* &quot;-&quot;\ &quot;DM&quot;_-;_-@_-"/>
    <numFmt numFmtId="203" formatCode="_-* #,##0.00\ &quot;DM&quot;_-;\-* #,##0.00\ &quot;DM&quot;_-;_-* &quot;-&quot;??\ &quot;DM&quot;_-;_-@_-"/>
    <numFmt numFmtId="204" formatCode="#,##0.0_);\(#,##0.0\)"/>
    <numFmt numFmtId="205" formatCode="#,##0.0\ ;\(#,##0.0\)"/>
    <numFmt numFmtId="206" formatCode="0%;\(0%\)"/>
    <numFmt numFmtId="207" formatCode="&quot;SFr.&quot;#,##0;[Red]&quot;SFr.&quot;\-#,##0"/>
    <numFmt numFmtId="208" formatCode="#,##0.0000000000;\-#,##0.0000000000"/>
    <numFmt numFmtId="209" formatCode="#,##0.0;\-#,##0.0"/>
    <numFmt numFmtId="210" formatCode="#,##0.000;\-#,##0.000"/>
    <numFmt numFmtId="211" formatCode="#,##0.0000;\-#,##0.0000"/>
    <numFmt numFmtId="212" formatCode="#,##0.00000;\-#,##0.00000"/>
    <numFmt numFmtId="213" formatCode="#,##0.000000;\-#,##0.000000"/>
    <numFmt numFmtId="214" formatCode="#,##0.0000000;\-#,##0.0000000"/>
    <numFmt numFmtId="215" formatCode="#,##0.00000000;\-#,##0.00000000"/>
    <numFmt numFmtId="216" formatCode="#,##0.000000000;\-#,##0.000000000"/>
    <numFmt numFmtId="217" formatCode="#,##0___);\(#,##0.00\)"/>
    <numFmt numFmtId="218" formatCode="#,##0&quot;%&quot;"/>
    <numFmt numFmtId="219" formatCode="#,##0_);[Red]\(#,##0\);&quot;-&quot;"/>
    <numFmt numFmtId="220" formatCode="_-&quot;£&quot;* #,##0.00_-;\-&quot;£&quot;* #,##0.00_-;_-&quot;£&quot;* &quot;-&quot;??_-;_-@_-"/>
    <numFmt numFmtId="221" formatCode="*-"/>
    <numFmt numFmtId="222" formatCode="#,##0;[Red]\(#,##0\)"/>
    <numFmt numFmtId="223" formatCode="_-&quot;$&quot;* #,##0_-;\-&quot;$&quot;* #,##0_-;_-&quot;$&quot;* &quot;-&quot;_-;_-@_-"/>
    <numFmt numFmtId="224" formatCode="_-&quot;$&quot;* #,##0.00_-;\-&quot;$&quot;* #,##0.00_-;_-&quot;$&quot;* &quot;-&quot;??_-;_-@_-"/>
    <numFmt numFmtId="225" formatCode="_(* #,##0.0000_);_(* \(#,##0.0000\);_(* &quot;-&quot;??_);_(@_)"/>
    <numFmt numFmtId="226" formatCode="0.000%"/>
    <numFmt numFmtId="227" formatCode="0.0\x"/>
    <numFmt numFmtId="228" formatCode="&quot;$&quot;#,##0"/>
    <numFmt numFmtId="229" formatCode="_(* #,##0.0_);_(* \(#,##0.0\);_(* &quot;-&quot;?_);_(@_)"/>
    <numFmt numFmtId="230" formatCode="0.000"/>
  </numFmts>
  <fonts count="83"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rgb="FFFF0000"/>
      <name val="Calibri"/>
      <family val="2"/>
      <scheme val="minor"/>
    </font>
    <font>
      <sz val="11"/>
      <name val="Calibri"/>
      <family val="2"/>
    </font>
    <font>
      <sz val="9"/>
      <color indexed="81"/>
      <name val="Tahoma"/>
      <family val="2"/>
    </font>
    <font>
      <b/>
      <sz val="9"/>
      <color indexed="81"/>
      <name val="Tahom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0"/>
      <name val="Helv"/>
      <family val="2"/>
    </font>
    <font>
      <sz val="8"/>
      <name val="Helv"/>
    </font>
    <font>
      <b/>
      <sz val="12"/>
      <name val="Tms Rmn"/>
    </font>
    <font>
      <b/>
      <i/>
      <sz val="12"/>
      <name val="Tms Rmn"/>
    </font>
    <font>
      <b/>
      <sz val="10"/>
      <name val="MS Sans Serif"/>
      <family val="2"/>
    </font>
    <font>
      <sz val="10"/>
      <color indexed="8"/>
      <name val="Arial"/>
      <family val="2"/>
    </font>
    <font>
      <b/>
      <sz val="11"/>
      <name val="Arial"/>
      <family val="2"/>
    </font>
    <font>
      <sz val="10"/>
      <name val="Helv"/>
    </font>
    <font>
      <sz val="10"/>
      <color theme="1"/>
      <name val="Arial"/>
      <family val="2"/>
    </font>
    <font>
      <sz val="10"/>
      <color indexed="0"/>
      <name val="MS Sans Serif"/>
      <family val="2"/>
    </font>
    <font>
      <b/>
      <sz val="14"/>
      <name val="Arial"/>
      <family val="2"/>
    </font>
    <font>
      <sz val="11"/>
      <color indexed="12"/>
      <name val="Times New Roman"/>
      <family val="1"/>
    </font>
    <font>
      <sz val="11"/>
      <name val="Times New Roman"/>
      <family val="1"/>
    </font>
    <font>
      <sz val="10"/>
      <color indexed="12"/>
      <name val="Helv"/>
    </font>
    <font>
      <sz val="8"/>
      <color indexed="18"/>
      <name val="Helv"/>
    </font>
    <font>
      <b/>
      <u/>
      <sz val="10"/>
      <color indexed="8"/>
      <name val="Times New Roman"/>
      <family val="1"/>
    </font>
    <font>
      <sz val="10"/>
      <color indexed="12"/>
      <name val="Arial"/>
      <family val="2"/>
    </font>
    <font>
      <sz val="8"/>
      <name val="Arial"/>
      <family val="2"/>
    </font>
    <font>
      <b/>
      <sz val="12"/>
      <name val="Arial"/>
      <family val="2"/>
    </font>
    <font>
      <b/>
      <sz val="10"/>
      <name val="Arial"/>
      <family val="2"/>
    </font>
    <font>
      <u/>
      <sz val="11"/>
      <color theme="10"/>
      <name val="Calibri"/>
      <family val="2"/>
    </font>
    <font>
      <u/>
      <sz val="10"/>
      <color indexed="12"/>
      <name val="Arial"/>
      <family val="2"/>
    </font>
    <font>
      <u/>
      <sz val="10"/>
      <color theme="10"/>
      <name val="Trebuchet MS"/>
      <family val="2"/>
    </font>
    <font>
      <sz val="10"/>
      <color indexed="14"/>
      <name val="Arial"/>
      <family val="2"/>
    </font>
    <font>
      <sz val="10"/>
      <name val="MS Sans Serif"/>
      <family val="2"/>
    </font>
    <font>
      <sz val="7"/>
      <name val="Small Fonts"/>
      <family val="2"/>
    </font>
    <font>
      <sz val="12"/>
      <name val="Helv"/>
      <family val="2"/>
    </font>
    <font>
      <sz val="10"/>
      <name val="Trebuchet MS"/>
      <family val="2"/>
    </font>
    <font>
      <sz val="10"/>
      <name val="Tms Rmn"/>
    </font>
    <font>
      <sz val="10"/>
      <name val="Tms Rmn"/>
      <family val="1"/>
    </font>
    <font>
      <sz val="11"/>
      <color indexed="8"/>
      <name val="Calibri"/>
      <family val="2"/>
    </font>
    <font>
      <b/>
      <u/>
      <sz val="26"/>
      <color indexed="9"/>
      <name val="Arial"/>
      <family val="2"/>
    </font>
    <font>
      <sz val="10"/>
      <color indexed="10"/>
      <name val="Arial"/>
      <family val="2"/>
    </font>
    <font>
      <sz val="12"/>
      <name val="Helv"/>
    </font>
    <font>
      <sz val="10"/>
      <color rgb="FF404040"/>
      <name val="Segoe UI"/>
      <family val="2"/>
    </font>
    <font>
      <b/>
      <sz val="10"/>
      <color rgb="FF404040"/>
      <name val="Segoe UI"/>
      <family val="2"/>
    </font>
    <font>
      <b/>
      <sz val="10"/>
      <color indexed="10"/>
      <name val="Arial"/>
      <family val="2"/>
    </font>
    <font>
      <sz val="8"/>
      <name val="Tms Rmn"/>
    </font>
    <font>
      <b/>
      <u val="singleAccounting"/>
      <sz val="11"/>
      <name val="Calibri"/>
      <family val="2"/>
      <scheme val="minor"/>
    </font>
    <font>
      <b/>
      <sz val="11"/>
      <color rgb="FFFF0000"/>
      <name val="Calibri"/>
      <family val="2"/>
      <scheme val="minor"/>
    </font>
    <font>
      <b/>
      <sz val="11"/>
      <color theme="2"/>
      <name val="Calibri"/>
      <family val="2"/>
      <scheme val="minor"/>
    </font>
    <font>
      <b/>
      <u val="singleAccounting"/>
      <sz val="11"/>
      <color theme="2"/>
      <name val="Calibri"/>
      <family val="2"/>
      <scheme val="minor"/>
    </font>
    <font>
      <b/>
      <u/>
      <sz val="12"/>
      <color theme="2"/>
      <name val="Calibri"/>
      <family val="2"/>
      <scheme val="minor"/>
    </font>
    <font>
      <sz val="10"/>
      <color theme="2"/>
      <name val="Calibri"/>
      <family val="2"/>
      <scheme val="minor"/>
    </font>
    <font>
      <sz val="11"/>
      <name val="Calibri"/>
      <family val="2"/>
      <scheme val="minor"/>
    </font>
    <font>
      <b/>
      <sz val="11"/>
      <name val="Calibri"/>
      <family val="2"/>
      <scheme val="minor"/>
    </font>
    <font>
      <u val="singleAccounting"/>
      <sz val="11"/>
      <name val="Calibri"/>
      <family val="2"/>
      <scheme val="minor"/>
    </font>
    <font>
      <b/>
      <u/>
      <sz val="11"/>
      <name val="Calibri"/>
      <family val="2"/>
      <scheme val="minor"/>
    </font>
    <font>
      <u/>
      <sz val="11"/>
      <name val="Calibri"/>
      <family val="2"/>
      <scheme val="minor"/>
    </font>
    <font>
      <i/>
      <sz val="11"/>
      <color theme="3"/>
      <name val="Calibri"/>
      <family val="2"/>
      <scheme val="minor"/>
    </font>
    <font>
      <b/>
      <i/>
      <sz val="11"/>
      <color theme="3"/>
      <name val="Calibri"/>
      <family val="2"/>
      <scheme val="minor"/>
    </font>
    <font>
      <i/>
      <sz val="9"/>
      <color theme="3"/>
      <name val="Calibri"/>
      <family val="2"/>
      <scheme val="minor"/>
    </font>
    <font>
      <b/>
      <i/>
      <u/>
      <sz val="12"/>
      <color theme="3"/>
      <name val="Calibri"/>
      <family val="2"/>
      <scheme val="minor"/>
    </font>
    <font>
      <i/>
      <u val="singleAccounting"/>
      <sz val="11"/>
      <color theme="3"/>
      <name val="Calibri"/>
      <family val="2"/>
      <scheme val="minor"/>
    </font>
    <font>
      <b/>
      <i/>
      <u val="singleAccounting"/>
      <sz val="11"/>
      <color theme="3"/>
      <name val="Calibri"/>
      <family val="2"/>
      <scheme val="minor"/>
    </font>
    <font>
      <sz val="11"/>
      <color theme="0"/>
      <name val="Calibri"/>
      <family val="2"/>
      <scheme val="minor"/>
    </font>
    <font>
      <u/>
      <sz val="9"/>
      <color indexed="81"/>
      <name val="Tahoma"/>
      <family val="2"/>
    </font>
    <font>
      <i/>
      <sz val="11"/>
      <name val="Calibri"/>
      <family val="2"/>
      <scheme val="minor"/>
    </font>
    <font>
      <i/>
      <sz val="11"/>
      <color rgb="FFFF0000"/>
      <name val="Calibri"/>
      <family val="2"/>
      <scheme val="minor"/>
    </font>
    <font>
      <i/>
      <sz val="11"/>
      <color theme="4"/>
      <name val="Calibri"/>
      <family val="2"/>
      <scheme val="minor"/>
    </font>
    <font>
      <b/>
      <u/>
      <sz val="11"/>
      <color rgb="FFFF0000"/>
      <name val="Calibri"/>
      <family val="2"/>
      <scheme val="minor"/>
    </font>
    <font>
      <i/>
      <u/>
      <sz val="11"/>
      <name val="Calibri"/>
      <family val="2"/>
      <scheme val="minor"/>
    </font>
    <font>
      <b/>
      <u val="singleAccounting"/>
      <sz val="11"/>
      <color rgb="FFFF0000"/>
      <name val="Calibri"/>
      <family val="2"/>
      <scheme val="minor"/>
    </font>
    <font>
      <b/>
      <u/>
      <sz val="11"/>
      <color theme="1" tint="0.14999847407452621"/>
      <name val="Calibri"/>
      <family val="2"/>
      <scheme val="minor"/>
    </font>
    <font>
      <sz val="11"/>
      <color theme="1" tint="0.14999847407452621"/>
      <name val="Calibri"/>
      <family val="2"/>
      <scheme val="minor"/>
    </font>
    <font>
      <u val="singleAccounting"/>
      <sz val="11"/>
      <color theme="1" tint="0.14999847407452621"/>
      <name val="Calibri"/>
      <family val="2"/>
      <scheme val="minor"/>
    </font>
    <font>
      <b/>
      <sz val="11"/>
      <color theme="1" tint="0.14999847407452621"/>
      <name val="Calibri"/>
      <family val="2"/>
      <scheme val="minor"/>
    </font>
    <font>
      <sz val="11"/>
      <color theme="3"/>
      <name val="Calibri"/>
      <family val="2"/>
      <scheme val="minor"/>
    </font>
    <font>
      <u/>
      <sz val="11"/>
      <color theme="1" tint="0.14999847407452621"/>
      <name val="Calibri"/>
      <family val="2"/>
      <scheme val="minor"/>
    </font>
  </fonts>
  <fills count="14">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4"/>
        <bgColor indexed="64"/>
      </patternFill>
    </fill>
    <fill>
      <patternFill patternType="solid">
        <fgColor theme="4" tint="0.39997558519241921"/>
        <bgColor indexed="64"/>
      </patternFill>
    </fill>
    <fill>
      <patternFill patternType="solid">
        <fgColor theme="4" tint="0.39994506668294322"/>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1" tint="0.499984740745262"/>
        <bgColor indexed="64"/>
      </patternFill>
    </fill>
  </fills>
  <borders count="39">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style="thin">
        <color auto="1"/>
      </left>
      <right style="thin">
        <color auto="1"/>
      </right>
      <top style="thin">
        <color auto="1"/>
      </top>
      <bottom style="thin">
        <color auto="1"/>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auto="1"/>
      </left>
      <right/>
      <top style="hair">
        <color auto="1"/>
      </top>
      <bottom/>
      <diagonal/>
    </border>
    <border>
      <left/>
      <right style="thin">
        <color auto="1"/>
      </right>
      <top style="hair">
        <color auto="1"/>
      </top>
      <bottom/>
      <diagonal/>
    </border>
    <border>
      <left style="thin">
        <color auto="1"/>
      </left>
      <right style="thin">
        <color auto="1"/>
      </right>
      <top/>
      <bottom style="hair">
        <color auto="1"/>
      </bottom>
      <diagonal/>
    </border>
    <border>
      <left/>
      <right/>
      <top/>
      <bottom style="hair">
        <color auto="1"/>
      </bottom>
      <diagonal/>
    </border>
    <border>
      <left/>
      <right/>
      <top style="hair">
        <color auto="1"/>
      </top>
      <bottom/>
      <diagonal/>
    </border>
    <border>
      <left style="thin">
        <color auto="1"/>
      </left>
      <right style="thin">
        <color auto="1"/>
      </right>
      <top style="hair">
        <color auto="1"/>
      </top>
      <bottom/>
      <diagonal/>
    </border>
    <border>
      <left style="thin">
        <color auto="1"/>
      </left>
      <right style="thin">
        <color auto="1"/>
      </right>
      <top style="thin">
        <color auto="1"/>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s>
  <cellStyleXfs count="33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lignment vertical="top"/>
    </xf>
    <xf numFmtId="0" fontId="5" fillId="0" borderId="0"/>
    <xf numFmtId="43" fontId="5" fillId="0" borderId="0" applyFont="0" applyFill="0" applyBorder="0" applyAlignment="0" applyProtection="0"/>
    <xf numFmtId="168"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4" borderId="0" applyNumberFormat="0" applyFont="0" applyAlignment="0" applyProtection="0"/>
    <xf numFmtId="174" fontId="3" fillId="0" borderId="0" applyFont="0" applyFill="0" applyBorder="0" applyAlignment="0" applyProtection="0"/>
    <xf numFmtId="175" fontId="3" fillId="0" borderId="0" applyFont="0" applyFill="0" applyBorder="0" applyProtection="0">
      <alignment horizontal="right"/>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10" fillId="0" borderId="15" applyNumberFormat="0" applyFill="0" applyAlignment="0" applyProtection="0"/>
    <xf numFmtId="0" fontId="11" fillId="0" borderId="16" applyNumberFormat="0" applyFill="0" applyProtection="0">
      <alignment horizontal="center"/>
    </xf>
    <xf numFmtId="0" fontId="11" fillId="0" borderId="0" applyNumberFormat="0" applyFill="0" applyBorder="0" applyProtection="0">
      <alignment horizontal="left"/>
    </xf>
    <xf numFmtId="0" fontId="12" fillId="0" borderId="0" applyNumberFormat="0" applyFill="0" applyBorder="0" applyProtection="0">
      <alignment horizontal="centerContinuous"/>
    </xf>
    <xf numFmtId="0" fontId="13" fillId="0" borderId="0" applyNumberFormat="0" applyFill="0" applyBorder="0" applyAlignment="0" applyProtection="0"/>
    <xf numFmtId="0" fontId="14" fillId="0" borderId="0"/>
    <xf numFmtId="176" fontId="15" fillId="0" borderId="0">
      <alignment horizontal="center"/>
    </xf>
    <xf numFmtId="37" fontId="16" fillId="0" borderId="0"/>
    <xf numFmtId="37" fontId="17" fillId="0" borderId="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8" fillId="0" borderId="2" applyAlignment="0" applyProtection="0"/>
    <xf numFmtId="177" fontId="18" fillId="0" borderId="2" applyAlignment="0" applyProtection="0"/>
    <xf numFmtId="177" fontId="18" fillId="0" borderId="2" applyAlignment="0" applyProtection="0"/>
    <xf numFmtId="177" fontId="18" fillId="0" borderId="2" applyAlignment="0" applyProtection="0"/>
    <xf numFmtId="177" fontId="1" fillId="0" borderId="0" applyAlignment="0" applyProtection="0"/>
    <xf numFmtId="178" fontId="19" fillId="0" borderId="0" applyFill="0" applyBorder="0" applyAlignment="0"/>
    <xf numFmtId="179" fontId="3" fillId="0" borderId="0" applyFill="0" applyBorder="0" applyAlignment="0"/>
    <xf numFmtId="180" fontId="3" fillId="0" borderId="0" applyFill="0" applyBorder="0" applyAlignment="0"/>
    <xf numFmtId="164" fontId="3" fillId="0" borderId="0" applyFill="0" applyBorder="0" applyAlignment="0"/>
    <xf numFmtId="181" fontId="3" fillId="0" borderId="0" applyFill="0" applyBorder="0" applyAlignment="0"/>
    <xf numFmtId="182" fontId="3" fillId="0" borderId="0" applyFill="0" applyBorder="0" applyAlignment="0"/>
    <xf numFmtId="183" fontId="3" fillId="0" borderId="0" applyFill="0" applyBorder="0" applyAlignment="0"/>
    <xf numFmtId="184" fontId="3" fillId="0" borderId="0" applyFill="0" applyBorder="0" applyAlignment="0"/>
    <xf numFmtId="185" fontId="3" fillId="0" borderId="0" applyFill="0" applyBorder="0" applyAlignment="0"/>
    <xf numFmtId="186" fontId="3" fillId="0" borderId="0" applyFill="0" applyBorder="0" applyAlignment="0"/>
    <xf numFmtId="178" fontId="19"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0" fontId="20" fillId="0" borderId="0" applyFill="0" applyBorder="0" applyProtection="0">
      <alignment horizontal="center"/>
      <protection locked="0"/>
    </xf>
    <xf numFmtId="0" fontId="21"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1" fontId="21" fillId="0" borderId="7"/>
    <xf numFmtId="192" fontId="1" fillId="0" borderId="0"/>
    <xf numFmtId="0" fontId="14" fillId="0" borderId="7"/>
    <xf numFmtId="192" fontId="1" fillId="0" borderId="0"/>
    <xf numFmtId="178" fontId="3" fillId="0" borderId="0" applyFont="0" applyFill="0" applyBorder="0" applyAlignment="0" applyProtection="0"/>
    <xf numFmtId="187" fontId="3" fillId="0" borderId="0" applyFont="0" applyFill="0" applyBorder="0" applyAlignment="0" applyProtection="0"/>
    <xf numFmtId="43" fontId="3" fillId="0" borderId="0" applyFont="0" applyFill="0" applyBorder="0" applyAlignment="0" applyProtection="0">
      <alignment wrapText="1"/>
    </xf>
    <xf numFmtId="43" fontId="1" fillId="0" borderId="0" applyFont="0" applyFill="0" applyBorder="0" applyAlignment="0" applyProtection="0"/>
    <xf numFmtId="43" fontId="3" fillId="0" borderId="0" applyFont="0" applyFill="0" applyBorder="0" applyAlignment="0" applyProtection="0">
      <alignment wrapText="1"/>
    </xf>
    <xf numFmtId="43" fontId="3" fillId="0" borderId="0" applyFont="0" applyFill="0" applyBorder="0" applyAlignment="0" applyProtection="0">
      <alignment wrapText="1"/>
    </xf>
    <xf numFmtId="43" fontId="3" fillId="0" borderId="0" applyFont="0" applyFill="0" applyBorder="0" applyAlignment="0" applyProtection="0"/>
    <xf numFmtId="4" fontId="21" fillId="0" borderId="0" applyFont="0" applyFill="0" applyBorder="0" applyAlignment="0" applyProtection="0"/>
    <xf numFmtId="4" fontId="21"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43" fontId="22" fillId="0" borderId="0" applyFont="0" applyFill="0" applyBorder="0" applyAlignment="0" applyProtection="0"/>
    <xf numFmtId="4" fontId="1" fillId="0" borderId="0" applyFont="0" applyFill="0" applyBorder="0" applyAlignment="0" applyProtection="0"/>
    <xf numFmtId="4" fontId="1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23" fillId="0" borderId="0" applyNumberFormat="0" applyFill="0" applyBorder="0" applyAlignment="0" applyProtection="0"/>
    <xf numFmtId="0" fontId="24" fillId="0" borderId="0" applyFill="0" applyBorder="0" applyAlignment="0" applyProtection="0">
      <protection locked="0"/>
    </xf>
    <xf numFmtId="193" fontId="3" fillId="0" borderId="0">
      <alignment horizontal="center"/>
    </xf>
    <xf numFmtId="194" fontId="25" fillId="0" borderId="0" applyFill="0" applyBorder="0" applyProtection="0"/>
    <xf numFmtId="195" fontId="26" fillId="0" borderId="0" applyFont="0" applyFill="0" applyBorder="0" applyAlignment="0" applyProtection="0"/>
    <xf numFmtId="196" fontId="27" fillId="0" borderId="17">
      <protection hidden="1"/>
    </xf>
    <xf numFmtId="180" fontId="3" fillId="0" borderId="0" applyFont="0" applyFill="0" applyBorder="0" applyAlignment="0" applyProtection="0"/>
    <xf numFmtId="164" fontId="3" fillId="0" borderId="0" applyFont="0" applyFill="0" applyBorder="0" applyAlignment="0" applyProtection="0"/>
    <xf numFmtId="8" fontId="1" fillId="0" borderId="0" applyFont="0" applyFill="0" applyBorder="0" applyAlignment="0" applyProtection="0"/>
    <xf numFmtId="44" fontId="3" fillId="0" borderId="0" applyFont="0" applyFill="0" applyBorder="0" applyAlignment="0" applyProtection="0"/>
    <xf numFmtId="0" fontId="23" fillId="0" borderId="0" applyNumberFormat="0" applyFill="0" applyBorder="0" applyAlignment="0" applyProtection="0"/>
    <xf numFmtId="1" fontId="15" fillId="0" borderId="0"/>
    <xf numFmtId="14" fontId="28" fillId="0" borderId="0">
      <alignment horizontal="center"/>
    </xf>
    <xf numFmtId="14" fontId="19" fillId="0" borderId="0" applyFill="0" applyBorder="0" applyAlignment="0"/>
    <xf numFmtId="15" fontId="29" fillId="5" borderId="0" applyNumberFormat="0" applyFont="0" applyFill="0" applyBorder="0" applyAlignment="0">
      <alignment horizontal="center" wrapText="1"/>
    </xf>
    <xf numFmtId="0" fontId="19" fillId="0" borderId="14" applyNumberFormat="0" applyFill="0" applyBorder="0" applyAlignment="0" applyProtection="0"/>
    <xf numFmtId="197" fontId="21" fillId="0" borderId="0" applyFont="0" applyFill="0" applyBorder="0" applyAlignment="0" applyProtection="0"/>
    <xf numFmtId="198" fontId="26" fillId="0" borderId="0" applyFont="0" applyFill="0" applyBorder="0" applyAlignment="0" applyProtection="0"/>
    <xf numFmtId="178" fontId="30"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30"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196" fontId="27" fillId="0" borderId="17">
      <protection hidden="1"/>
    </xf>
    <xf numFmtId="199" fontId="3" fillId="0" borderId="0" applyFont="0" applyFill="0" applyBorder="0" applyAlignment="0" applyProtection="0"/>
    <xf numFmtId="38" fontId="31" fillId="5" borderId="0" applyNumberFormat="0" applyBorder="0" applyAlignment="0" applyProtection="0"/>
    <xf numFmtId="0" fontId="32" fillId="0" borderId="18" applyNumberFormat="0" applyAlignment="0" applyProtection="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2" fillId="0" borderId="9">
      <alignment horizontal="left" vertical="center"/>
    </xf>
    <xf numFmtId="0" fontId="32" fillId="0" borderId="9">
      <alignment horizontal="left" vertical="center"/>
    </xf>
    <xf numFmtId="0" fontId="32" fillId="0" borderId="9">
      <alignment horizontal="left" vertical="center"/>
    </xf>
    <xf numFmtId="0" fontId="32" fillId="0" borderId="9">
      <alignment horizontal="left" vertical="center"/>
    </xf>
    <xf numFmtId="0" fontId="1" fillId="0" borderId="0">
      <alignment horizontal="left" vertical="center"/>
    </xf>
    <xf numFmtId="14" fontId="33" fillId="6" borderId="17">
      <alignment horizontal="center" vertical="center"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0" fillId="0" borderId="0" applyFill="0" applyAlignment="0" applyProtection="0">
      <protection locked="0"/>
    </xf>
    <xf numFmtId="0" fontId="20" fillId="0" borderId="7" applyFill="0" applyAlignment="0" applyProtection="0">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0" fontId="31" fillId="7" borderId="14" applyNumberFormat="0" applyBorder="0" applyAlignment="0" applyProtection="0"/>
    <xf numFmtId="178" fontId="37"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37"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200" fontId="3" fillId="0" borderId="0" applyFont="0" applyFill="0" applyBorder="0" applyAlignment="0" applyProtection="0"/>
    <xf numFmtId="201" fontId="3" fillId="0" borderId="0" applyFont="0" applyFill="0" applyBorder="0" applyAlignment="0" applyProtection="0"/>
    <xf numFmtId="38" fontId="38" fillId="0" borderId="0" applyFont="0" applyFill="0" applyBorder="0" applyAlignment="0" applyProtection="0"/>
    <xf numFmtId="40" fontId="38" fillId="0" borderId="0" applyFont="0" applyFill="0" applyBorder="0" applyAlignment="0" applyProtection="0"/>
    <xf numFmtId="202" fontId="3" fillId="0" borderId="0" applyFont="0" applyFill="0" applyBorder="0" applyAlignment="0" applyProtection="0"/>
    <xf numFmtId="203" fontId="3" fillId="0" borderId="0" applyFont="0" applyFill="0" applyBorder="0" applyAlignment="0" applyProtection="0"/>
    <xf numFmtId="6" fontId="38" fillId="0" borderId="0" applyFont="0" applyFill="0" applyBorder="0" applyAlignment="0" applyProtection="0"/>
    <xf numFmtId="8" fontId="38" fillId="0" borderId="0" applyFont="0" applyFill="0" applyBorder="0" applyAlignment="0" applyProtection="0"/>
    <xf numFmtId="204" fontId="15" fillId="0" borderId="7"/>
    <xf numFmtId="37" fontId="39" fillId="0" borderId="0"/>
    <xf numFmtId="205" fontId="21" fillId="0" borderId="0"/>
    <xf numFmtId="205" fontId="1" fillId="0" borderId="0"/>
    <xf numFmtId="206" fontId="3" fillId="0" borderId="0"/>
    <xf numFmtId="207" fontId="3" fillId="0" borderId="0"/>
    <xf numFmtId="0" fontId="40" fillId="0" borderId="0"/>
    <xf numFmtId="0" fontId="40" fillId="0" borderId="0"/>
    <xf numFmtId="0" fontId="40" fillId="0" borderId="0"/>
    <xf numFmtId="0" fontId="40" fillId="0" borderId="0"/>
    <xf numFmtId="0" fontId="3" fillId="0" borderId="0"/>
    <xf numFmtId="0" fontId="3" fillId="0" borderId="0"/>
    <xf numFmtId="0" fontId="1" fillId="0" borderId="0"/>
    <xf numFmtId="0" fontId="3" fillId="0" borderId="0"/>
    <xf numFmtId="0" fontId="3" fillId="0" borderId="0">
      <alignment wrapText="1"/>
    </xf>
    <xf numFmtId="0" fontId="3" fillId="0" borderId="0"/>
    <xf numFmtId="0" fontId="41" fillId="0" borderId="0"/>
    <xf numFmtId="0" fontId="3" fillId="0" borderId="0"/>
    <xf numFmtId="0" fontId="3" fillId="0" borderId="0"/>
    <xf numFmtId="37" fontId="42" fillId="0" borderId="0"/>
    <xf numFmtId="0" fontId="1" fillId="0" borderId="0"/>
    <xf numFmtId="0" fontId="1" fillId="0" borderId="0"/>
    <xf numFmtId="0" fontId="3" fillId="0" borderId="0">
      <alignment wrapText="1"/>
    </xf>
    <xf numFmtId="0" fontId="3" fillId="0" borderId="0"/>
    <xf numFmtId="37" fontId="42" fillId="0" borderId="0"/>
    <xf numFmtId="0" fontId="3" fillId="0" borderId="0"/>
    <xf numFmtId="37" fontId="42" fillId="0" borderId="0"/>
    <xf numFmtId="0" fontId="1" fillId="0" borderId="0"/>
    <xf numFmtId="0" fontId="22" fillId="0" borderId="0"/>
    <xf numFmtId="37" fontId="1" fillId="0" borderId="0"/>
    <xf numFmtId="0" fontId="1" fillId="0" borderId="0"/>
    <xf numFmtId="37" fontId="1" fillId="0" borderId="0"/>
    <xf numFmtId="0" fontId="3" fillId="0" borderId="0">
      <alignment wrapText="1"/>
    </xf>
    <xf numFmtId="37" fontId="43" fillId="0" borderId="0"/>
    <xf numFmtId="0" fontId="3" fillId="0" borderId="0"/>
    <xf numFmtId="37" fontId="3" fillId="0" borderId="0"/>
    <xf numFmtId="37" fontId="3" fillId="0" borderId="0"/>
    <xf numFmtId="208" fontId="3" fillId="0" borderId="0"/>
    <xf numFmtId="209" fontId="3" fillId="0" borderId="0"/>
    <xf numFmtId="39" fontId="3" fillId="0" borderId="0"/>
    <xf numFmtId="39" fontId="3" fillId="0" borderId="0"/>
    <xf numFmtId="210" fontId="3" fillId="0" borderId="0"/>
    <xf numFmtId="211" fontId="3" fillId="0" borderId="0"/>
    <xf numFmtId="212" fontId="3" fillId="0" borderId="0"/>
    <xf numFmtId="213" fontId="3" fillId="0" borderId="0"/>
    <xf numFmtId="214" fontId="3" fillId="0" borderId="0"/>
    <xf numFmtId="215" fontId="3" fillId="0" borderId="0"/>
    <xf numFmtId="216" fontId="3" fillId="0" borderId="0"/>
    <xf numFmtId="217" fontId="38" fillId="0" borderId="0"/>
    <xf numFmtId="218" fontId="27" fillId="0" borderId="0">
      <protection hidden="1"/>
    </xf>
    <xf numFmtId="185" fontId="3" fillId="0" borderId="0" applyFont="0" applyFill="0" applyBorder="0" applyAlignment="0" applyProtection="0"/>
    <xf numFmtId="186"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10" fontId="3" fillId="0" borderId="0" applyFont="0" applyFill="0" applyBorder="0" applyAlignment="0" applyProtection="0"/>
    <xf numFmtId="9" fontId="44"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38" fillId="0" borderId="19" applyNumberFormat="0" applyBorder="0"/>
    <xf numFmtId="204" fontId="15" fillId="0" borderId="0"/>
    <xf numFmtId="0" fontId="45" fillId="8" borderId="20" applyNumberFormat="0" applyFont="0" applyFill="0" applyAlignment="0">
      <alignment horizontal="center" vertical="center"/>
    </xf>
    <xf numFmtId="178" fontId="46"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46"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37" fontId="42" fillId="0" borderId="21"/>
    <xf numFmtId="0" fontId="47" fillId="0" borderId="0"/>
    <xf numFmtId="0" fontId="21" fillId="0" borderId="0"/>
    <xf numFmtId="0" fontId="38" fillId="0" borderId="0"/>
    <xf numFmtId="37" fontId="48" fillId="0" borderId="17">
      <alignment horizontal="right"/>
      <protection locked="0"/>
    </xf>
    <xf numFmtId="37" fontId="49" fillId="0" borderId="17">
      <alignment horizontal="right"/>
      <protection locked="0"/>
    </xf>
    <xf numFmtId="49" fontId="19" fillId="0" borderId="0" applyFill="0" applyBorder="0" applyAlignment="0"/>
    <xf numFmtId="219" fontId="3" fillId="0" borderId="0" applyFill="0" applyBorder="0" applyAlignment="0"/>
    <xf numFmtId="220" fontId="3" fillId="0" borderId="0" applyFill="0" applyBorder="0" applyAlignment="0"/>
    <xf numFmtId="221" fontId="3" fillId="0" borderId="0" applyFill="0" applyBorder="0" applyAlignment="0"/>
    <xf numFmtId="222" fontId="3" fillId="0" borderId="0" applyFill="0" applyBorder="0" applyAlignment="0"/>
    <xf numFmtId="49" fontId="3" fillId="0" borderId="0"/>
    <xf numFmtId="0" fontId="50" fillId="0" borderId="0" applyFill="0" applyBorder="0" applyProtection="0">
      <alignment horizontal="left" vertical="top"/>
    </xf>
    <xf numFmtId="40" fontId="5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37" fontId="42" fillId="0" borderId="7"/>
    <xf numFmtId="37" fontId="42" fillId="0" borderId="22"/>
    <xf numFmtId="223" fontId="3" fillId="0" borderId="0" applyFont="0" applyFill="0" applyBorder="0" applyAlignment="0" applyProtection="0"/>
    <xf numFmtId="224" fontId="3" fillId="0" borderId="0" applyFont="0" applyFill="0" applyBorder="0" applyAlignment="0" applyProtection="0"/>
    <xf numFmtId="0" fontId="3" fillId="0" borderId="0"/>
    <xf numFmtId="0" fontId="3" fillId="0" borderId="0"/>
    <xf numFmtId="0" fontId="3" fillId="0" borderId="0"/>
    <xf numFmtId="0" fontId="3" fillId="0" borderId="0"/>
    <xf numFmtId="14" fontId="33" fillId="6" borderId="34">
      <alignment horizontal="center" vertical="center" wrapText="1"/>
    </xf>
    <xf numFmtId="196" fontId="27" fillId="0" borderId="34">
      <protection hidden="1"/>
    </xf>
    <xf numFmtId="196" fontId="27" fillId="0" borderId="34">
      <protection hidden="1"/>
    </xf>
    <xf numFmtId="37" fontId="48" fillId="0" borderId="34">
      <alignment horizontal="right"/>
      <protection locked="0"/>
    </xf>
    <xf numFmtId="37" fontId="49" fillId="0" borderId="34">
      <alignment horizontal="right"/>
      <protection locked="0"/>
    </xf>
  </cellStyleXfs>
  <cellXfs count="558">
    <xf numFmtId="0" fontId="0" fillId="0" borderId="0" xfId="0"/>
    <xf numFmtId="164" fontId="4" fillId="0" borderId="0" xfId="1" applyNumberFormat="1" applyFont="1" applyAlignment="1">
      <alignment horizontal="right"/>
    </xf>
    <xf numFmtId="0" fontId="4" fillId="0" borderId="0" xfId="0" applyFont="1"/>
    <xf numFmtId="0" fontId="4" fillId="0" borderId="0" xfId="0" applyFont="1" applyAlignment="1">
      <alignment horizontal="right"/>
    </xf>
    <xf numFmtId="165" fontId="4" fillId="0" borderId="0" xfId="1" applyNumberFormat="1" applyFont="1" applyAlignment="1">
      <alignment horizontal="right"/>
    </xf>
    <xf numFmtId="9" fontId="4" fillId="0" borderId="0" xfId="2" applyFont="1" applyAlignment="1">
      <alignment horizontal="right"/>
    </xf>
    <xf numFmtId="165" fontId="4" fillId="0" borderId="5" xfId="1" quotePrefix="1" applyNumberFormat="1" applyFont="1" applyBorder="1" applyAlignment="1">
      <alignment horizontal="right"/>
    </xf>
    <xf numFmtId="0" fontId="4" fillId="0" borderId="0" xfId="0" applyFont="1" applyAlignment="1">
      <alignment horizontal="left"/>
    </xf>
    <xf numFmtId="0" fontId="53" fillId="0" borderId="0" xfId="0" applyFont="1"/>
    <xf numFmtId="9" fontId="4" fillId="0" borderId="5" xfId="2" applyFont="1" applyBorder="1" applyAlignment="1">
      <alignment horizontal="right"/>
    </xf>
    <xf numFmtId="164" fontId="53" fillId="0" borderId="0" xfId="1" quotePrefix="1" applyNumberFormat="1" applyFont="1" applyAlignment="1">
      <alignment horizontal="right"/>
    </xf>
    <xf numFmtId="43" fontId="53" fillId="0" borderId="0" xfId="1" quotePrefix="1" applyFont="1" applyAlignment="1">
      <alignment horizontal="right"/>
    </xf>
    <xf numFmtId="164" fontId="52" fillId="3" borderId="0" xfId="1" quotePrefix="1" applyNumberFormat="1" applyFont="1" applyFill="1" applyAlignment="1">
      <alignment horizontal="right"/>
    </xf>
    <xf numFmtId="164" fontId="54" fillId="2" borderId="2" xfId="1" quotePrefix="1" applyNumberFormat="1" applyFont="1" applyFill="1" applyBorder="1" applyAlignment="1">
      <alignment horizontal="right"/>
    </xf>
    <xf numFmtId="164" fontId="55" fillId="2" borderId="0" xfId="1" quotePrefix="1" applyNumberFormat="1" applyFont="1" applyFill="1" applyAlignment="1">
      <alignment horizontal="right"/>
    </xf>
    <xf numFmtId="164" fontId="2" fillId="3" borderId="2" xfId="1" quotePrefix="1" applyNumberFormat="1" applyFont="1" applyFill="1" applyBorder="1" applyAlignment="1">
      <alignment horizontal="right"/>
    </xf>
    <xf numFmtId="165" fontId="58" fillId="0" borderId="0" xfId="1" applyNumberFormat="1" applyFont="1" applyAlignment="1">
      <alignment horizontal="right"/>
    </xf>
    <xf numFmtId="165" fontId="58" fillId="0" borderId="5" xfId="1" applyNumberFormat="1" applyFont="1" applyBorder="1" applyAlignment="1">
      <alignment horizontal="right"/>
    </xf>
    <xf numFmtId="0" fontId="4" fillId="0" borderId="4" xfId="0" applyFont="1" applyBorder="1"/>
    <xf numFmtId="0" fontId="59" fillId="0" borderId="4" xfId="0" applyFont="1" applyBorder="1"/>
    <xf numFmtId="0" fontId="59" fillId="0" borderId="0" xfId="0" applyFont="1"/>
    <xf numFmtId="165" fontId="59" fillId="0" borderId="0" xfId="1" applyNumberFormat="1" applyFont="1" applyAlignment="1">
      <alignment horizontal="right"/>
    </xf>
    <xf numFmtId="165" fontId="59" fillId="0" borderId="5" xfId="1" applyNumberFormat="1" applyFont="1" applyBorder="1" applyAlignment="1">
      <alignment horizontal="right"/>
    </xf>
    <xf numFmtId="0" fontId="58" fillId="0" borderId="0" xfId="0" applyFont="1"/>
    <xf numFmtId="43" fontId="59" fillId="0" borderId="0" xfId="1" applyFont="1" applyAlignment="1">
      <alignment horizontal="right"/>
    </xf>
    <xf numFmtId="43" fontId="59" fillId="0" borderId="5" xfId="1" applyFont="1" applyBorder="1" applyAlignment="1">
      <alignment horizontal="right"/>
    </xf>
    <xf numFmtId="165" fontId="58" fillId="0" borderId="5" xfId="1" quotePrefix="1" applyNumberFormat="1" applyFont="1" applyBorder="1" applyAlignment="1">
      <alignment horizontal="right"/>
    </xf>
    <xf numFmtId="166" fontId="58" fillId="0" borderId="0" xfId="2" applyNumberFormat="1" applyFont="1" applyAlignment="1">
      <alignment horizontal="right"/>
    </xf>
    <xf numFmtId="9" fontId="58" fillId="0" borderId="5" xfId="2" applyFont="1" applyBorder="1" applyAlignment="1">
      <alignment horizontal="right"/>
    </xf>
    <xf numFmtId="166" fontId="58" fillId="0" borderId="5" xfId="2" applyNumberFormat="1" applyFont="1" applyBorder="1" applyAlignment="1">
      <alignment horizontal="right"/>
    </xf>
    <xf numFmtId="9" fontId="58" fillId="0" borderId="0" xfId="2" applyFont="1" applyAlignment="1">
      <alignment horizontal="right"/>
    </xf>
    <xf numFmtId="164" fontId="58" fillId="0" borderId="5" xfId="1" quotePrefix="1" applyNumberFormat="1" applyFont="1" applyBorder="1" applyAlignment="1">
      <alignment horizontal="right"/>
    </xf>
    <xf numFmtId="165" fontId="60" fillId="9" borderId="0" xfId="1" applyNumberFormat="1" applyFont="1" applyFill="1" applyAlignment="1">
      <alignment horizontal="right"/>
    </xf>
    <xf numFmtId="165" fontId="58" fillId="9" borderId="0" xfId="1" applyNumberFormat="1" applyFont="1" applyFill="1" applyAlignment="1">
      <alignment horizontal="right"/>
    </xf>
    <xf numFmtId="9" fontId="58" fillId="9" borderId="0" xfId="2" applyFont="1" applyFill="1" applyAlignment="1">
      <alignment horizontal="right"/>
    </xf>
    <xf numFmtId="166" fontId="58" fillId="9" borderId="0" xfId="2" applyNumberFormat="1" applyFont="1" applyFill="1" applyAlignment="1">
      <alignment horizontal="right"/>
    </xf>
    <xf numFmtId="7" fontId="58" fillId="0" borderId="0" xfId="1" applyNumberFormat="1" applyFont="1" applyAlignment="1">
      <alignment horizontal="right"/>
    </xf>
    <xf numFmtId="165" fontId="58" fillId="0" borderId="8" xfId="1" applyNumberFormat="1" applyFont="1" applyBorder="1" applyAlignment="1">
      <alignment horizontal="right"/>
    </xf>
    <xf numFmtId="0" fontId="58" fillId="0" borderId="3" xfId="0" applyFont="1" applyBorder="1" applyAlignment="1">
      <alignment horizontal="left" indent="2"/>
    </xf>
    <xf numFmtId="164" fontId="54" fillId="2" borderId="29" xfId="1" quotePrefix="1" applyNumberFormat="1" applyFont="1" applyFill="1" applyBorder="1" applyAlignment="1">
      <alignment horizontal="right"/>
    </xf>
    <xf numFmtId="164" fontId="55" fillId="2" borderId="5" xfId="1" quotePrefix="1" applyNumberFormat="1" applyFont="1" applyFill="1" applyBorder="1" applyAlignment="1">
      <alignment horizontal="right"/>
    </xf>
    <xf numFmtId="164" fontId="2" fillId="3" borderId="29" xfId="1" quotePrefix="1" applyNumberFormat="1" applyFont="1" applyFill="1" applyBorder="1" applyAlignment="1">
      <alignment horizontal="right"/>
    </xf>
    <xf numFmtId="164" fontId="52" fillId="3" borderId="5" xfId="1" quotePrefix="1" applyNumberFormat="1" applyFont="1" applyFill="1" applyBorder="1" applyAlignment="1">
      <alignment horizontal="right"/>
    </xf>
    <xf numFmtId="167" fontId="58" fillId="0" borderId="0" xfId="1" applyNumberFormat="1" applyFont="1" applyAlignment="1">
      <alignment horizontal="right"/>
    </xf>
    <xf numFmtId="0" fontId="58" fillId="0" borderId="4" xfId="0" applyFont="1" applyBorder="1"/>
    <xf numFmtId="9" fontId="4" fillId="0" borderId="0" xfId="1" applyNumberFormat="1" applyFont="1"/>
    <xf numFmtId="0" fontId="59" fillId="0" borderId="3" xfId="0" applyFont="1" applyBorder="1" applyAlignment="1">
      <alignment horizontal="left" indent="4"/>
    </xf>
    <xf numFmtId="0" fontId="58" fillId="0" borderId="3" xfId="0" applyFont="1" applyBorder="1" applyAlignment="1">
      <alignment horizontal="left" indent="5"/>
    </xf>
    <xf numFmtId="164" fontId="58" fillId="0" borderId="0" xfId="1" applyNumberFormat="1" applyFont="1" applyAlignment="1">
      <alignment horizontal="right"/>
    </xf>
    <xf numFmtId="164" fontId="58" fillId="0" borderId="5" xfId="1" applyNumberFormat="1" applyFont="1" applyBorder="1" applyAlignment="1">
      <alignment horizontal="right"/>
    </xf>
    <xf numFmtId="164" fontId="59" fillId="0" borderId="0" xfId="1" applyNumberFormat="1" applyFont="1" applyAlignment="1">
      <alignment horizontal="right"/>
    </xf>
    <xf numFmtId="164" fontId="59" fillId="0" borderId="5" xfId="1" applyNumberFormat="1" applyFont="1" applyBorder="1" applyAlignment="1">
      <alignment horizontal="right"/>
    </xf>
    <xf numFmtId="164" fontId="60" fillId="0" borderId="0" xfId="1" applyNumberFormat="1" applyFont="1" applyAlignment="1">
      <alignment horizontal="right"/>
    </xf>
    <xf numFmtId="164" fontId="60" fillId="0" borderId="5" xfId="1" applyNumberFormat="1" applyFont="1" applyBorder="1" applyAlignment="1">
      <alignment horizontal="right"/>
    </xf>
    <xf numFmtId="164" fontId="52" fillId="0" borderId="0" xfId="1" applyNumberFormat="1" applyFont="1" applyAlignment="1">
      <alignment horizontal="right"/>
    </xf>
    <xf numFmtId="164" fontId="52" fillId="0" borderId="5" xfId="1" applyNumberFormat="1" applyFont="1" applyBorder="1" applyAlignment="1">
      <alignment horizontal="right"/>
    </xf>
    <xf numFmtId="164" fontId="60" fillId="9" borderId="0" xfId="1" applyNumberFormat="1" applyFont="1" applyFill="1" applyAlignment="1">
      <alignment horizontal="right"/>
    </xf>
    <xf numFmtId="165" fontId="53" fillId="0" borderId="5" xfId="1" quotePrefix="1" applyNumberFormat="1" applyFont="1" applyBorder="1" applyAlignment="1">
      <alignment horizontal="right"/>
    </xf>
    <xf numFmtId="165" fontId="4" fillId="0" borderId="25" xfId="1" quotePrefix="1" applyNumberFormat="1" applyFont="1" applyBorder="1" applyAlignment="1">
      <alignment horizontal="right"/>
    </xf>
    <xf numFmtId="9" fontId="62" fillId="0" borderId="0" xfId="2" applyFont="1" applyAlignment="1">
      <alignment horizontal="right"/>
    </xf>
    <xf numFmtId="9" fontId="62" fillId="0" borderId="5" xfId="2" applyFont="1" applyBorder="1" applyAlignment="1">
      <alignment horizontal="right"/>
    </xf>
    <xf numFmtId="9" fontId="59" fillId="0" borderId="5" xfId="2" applyFont="1" applyBorder="1" applyAlignment="1">
      <alignment horizontal="right"/>
    </xf>
    <xf numFmtId="167" fontId="58" fillId="9" borderId="0" xfId="1" applyNumberFormat="1" applyFont="1" applyFill="1" applyAlignment="1">
      <alignment horizontal="right"/>
    </xf>
    <xf numFmtId="0" fontId="63" fillId="0" borderId="0" xfId="0" applyFont="1"/>
    <xf numFmtId="0" fontId="63" fillId="0" borderId="3" xfId="0" applyFont="1" applyBorder="1" applyAlignment="1">
      <alignment horizontal="left"/>
    </xf>
    <xf numFmtId="165" fontId="63" fillId="0" borderId="0" xfId="1" applyNumberFormat="1" applyFont="1" applyAlignment="1">
      <alignment horizontal="right"/>
    </xf>
    <xf numFmtId="165" fontId="63" fillId="0" borderId="5" xfId="1" quotePrefix="1" applyNumberFormat="1" applyFont="1" applyBorder="1" applyAlignment="1">
      <alignment horizontal="right"/>
    </xf>
    <xf numFmtId="165" fontId="59" fillId="0" borderId="27" xfId="1" applyNumberFormat="1" applyFont="1" applyBorder="1" applyAlignment="1">
      <alignment horizontal="right"/>
    </xf>
    <xf numFmtId="165" fontId="53" fillId="0" borderId="28" xfId="1" quotePrefix="1" applyNumberFormat="1" applyFont="1" applyBorder="1" applyAlignment="1">
      <alignment horizontal="right"/>
    </xf>
    <xf numFmtId="0" fontId="58" fillId="0" borderId="12" xfId="0" applyFont="1" applyBorder="1" applyAlignment="1">
      <alignment horizontal="left" indent="2"/>
    </xf>
    <xf numFmtId="0" fontId="58" fillId="0" borderId="13" xfId="0" applyFont="1" applyBorder="1" applyAlignment="1">
      <alignment horizontal="left" indent="1"/>
    </xf>
    <xf numFmtId="9" fontId="58" fillId="9" borderId="26" xfId="2" applyFont="1" applyFill="1" applyBorder="1" applyAlignment="1">
      <alignment horizontal="right"/>
    </xf>
    <xf numFmtId="164" fontId="59" fillId="0" borderId="26" xfId="1" applyNumberFormat="1" applyFont="1" applyBorder="1" applyAlignment="1">
      <alignment horizontal="right"/>
    </xf>
    <xf numFmtId="164" fontId="59" fillId="0" borderId="25" xfId="1" quotePrefix="1" applyNumberFormat="1" applyFont="1" applyBorder="1" applyAlignment="1">
      <alignment horizontal="right"/>
    </xf>
    <xf numFmtId="164" fontId="59" fillId="0" borderId="0" xfId="2" applyNumberFormat="1" applyFont="1" applyAlignment="1">
      <alignment horizontal="right"/>
    </xf>
    <xf numFmtId="166" fontId="59" fillId="0" borderId="0" xfId="2" applyNumberFormat="1" applyFont="1" applyAlignment="1">
      <alignment horizontal="right"/>
    </xf>
    <xf numFmtId="164" fontId="58" fillId="0" borderId="28" xfId="1" applyNumberFormat="1" applyFont="1" applyBorder="1" applyAlignment="1">
      <alignment horizontal="right"/>
    </xf>
    <xf numFmtId="0" fontId="65" fillId="0" borderId="0" xfId="0" applyFont="1"/>
    <xf numFmtId="0" fontId="66" fillId="0" borderId="4" xfId="0" applyFont="1" applyBorder="1" applyAlignment="1">
      <alignment horizontal="left"/>
    </xf>
    <xf numFmtId="0" fontId="64" fillId="0" borderId="13" xfId="0" applyFont="1" applyBorder="1"/>
    <xf numFmtId="164" fontId="64" fillId="0" borderId="26" xfId="1" applyNumberFormat="1" applyFont="1" applyBorder="1" applyAlignment="1">
      <alignment horizontal="right"/>
    </xf>
    <xf numFmtId="164" fontId="64" fillId="0" borderId="25" xfId="1" applyNumberFormat="1" applyFont="1" applyBorder="1" applyAlignment="1">
      <alignment horizontal="right"/>
    </xf>
    <xf numFmtId="43" fontId="64" fillId="0" borderId="32" xfId="1" applyFont="1" applyBorder="1" applyAlignment="1">
      <alignment horizontal="right"/>
    </xf>
    <xf numFmtId="43" fontId="64" fillId="0" borderId="30" xfId="1" applyFont="1" applyBorder="1" applyAlignment="1">
      <alignment horizontal="right"/>
    </xf>
    <xf numFmtId="0" fontId="64" fillId="0" borderId="24" xfId="0" applyFont="1" applyBorder="1" applyAlignment="1">
      <alignment horizontal="left"/>
    </xf>
    <xf numFmtId="0" fontId="64" fillId="0" borderId="12" xfId="0" applyFont="1" applyBorder="1" applyAlignment="1">
      <alignment horizontal="left" indent="2"/>
    </xf>
    <xf numFmtId="0" fontId="64" fillId="0" borderId="13" xfId="0" applyFont="1" applyBorder="1" applyAlignment="1">
      <alignment horizontal="left"/>
    </xf>
    <xf numFmtId="0" fontId="63" fillId="0" borderId="23" xfId="0" applyFont="1" applyBorder="1" applyAlignment="1">
      <alignment horizontal="left" indent="1"/>
    </xf>
    <xf numFmtId="0" fontId="63" fillId="0" borderId="24" xfId="0" applyFont="1" applyBorder="1"/>
    <xf numFmtId="164" fontId="67" fillId="0" borderId="27" xfId="1" applyNumberFormat="1" applyFont="1" applyBorder="1" applyAlignment="1">
      <alignment horizontal="right"/>
    </xf>
    <xf numFmtId="164" fontId="67" fillId="0" borderId="28" xfId="1" applyNumberFormat="1" applyFont="1" applyBorder="1" applyAlignment="1">
      <alignment horizontal="right"/>
    </xf>
    <xf numFmtId="164" fontId="68" fillId="0" borderId="27" xfId="1" applyNumberFormat="1" applyFont="1" applyBorder="1" applyAlignment="1">
      <alignment horizontal="right"/>
    </xf>
    <xf numFmtId="164" fontId="68" fillId="0" borderId="28" xfId="1" applyNumberFormat="1" applyFont="1" applyBorder="1" applyAlignment="1">
      <alignment horizontal="right"/>
    </xf>
    <xf numFmtId="0" fontId="64" fillId="0" borderId="31" xfId="0" applyFont="1" applyBorder="1" applyAlignment="1">
      <alignment horizontal="left" indent="2"/>
    </xf>
    <xf numFmtId="9" fontId="58" fillId="9" borderId="7" xfId="2" applyFont="1" applyFill="1" applyBorder="1" applyAlignment="1">
      <alignment horizontal="right"/>
    </xf>
    <xf numFmtId="164" fontId="58" fillId="9" borderId="0" xfId="1" applyNumberFormat="1" applyFont="1" applyFill="1" applyAlignment="1">
      <alignment horizontal="right"/>
    </xf>
    <xf numFmtId="164" fontId="58" fillId="0" borderId="27" xfId="1" applyNumberFormat="1" applyFont="1" applyBorder="1" applyAlignment="1">
      <alignment horizontal="right"/>
    </xf>
    <xf numFmtId="164" fontId="59" fillId="0" borderId="5" xfId="1" quotePrefix="1" applyNumberFormat="1" applyFont="1" applyBorder="1" applyAlignment="1">
      <alignment horizontal="right"/>
    </xf>
    <xf numFmtId="166" fontId="59" fillId="0" borderId="5" xfId="2" quotePrefix="1" applyNumberFormat="1" applyFont="1" applyBorder="1" applyAlignment="1">
      <alignment horizontal="right"/>
    </xf>
    <xf numFmtId="0" fontId="69" fillId="0" borderId="0" xfId="0" applyFont="1"/>
    <xf numFmtId="0" fontId="64" fillId="0" borderId="33" xfId="0" applyFont="1" applyBorder="1" applyAlignment="1">
      <alignment horizontal="left" indent="1"/>
    </xf>
    <xf numFmtId="165" fontId="58" fillId="0" borderId="0" xfId="1" applyNumberFormat="1" applyFont="1" applyFill="1" applyAlignment="1">
      <alignment horizontal="right"/>
    </xf>
    <xf numFmtId="43" fontId="58" fillId="0" borderId="0" xfId="1" applyFont="1" applyFill="1" applyAlignment="1">
      <alignment horizontal="right"/>
    </xf>
    <xf numFmtId="164" fontId="59" fillId="0" borderId="0" xfId="1" applyNumberFormat="1" applyFont="1" applyFill="1" applyAlignment="1">
      <alignment horizontal="right"/>
    </xf>
    <xf numFmtId="164" fontId="60" fillId="0" borderId="0" xfId="1" applyNumberFormat="1" applyFont="1" applyFill="1" applyAlignment="1">
      <alignment horizontal="right"/>
    </xf>
    <xf numFmtId="164" fontId="58" fillId="0" borderId="0" xfId="1" applyNumberFormat="1" applyFont="1" applyFill="1" applyAlignment="1">
      <alignment horizontal="right"/>
    </xf>
    <xf numFmtId="164" fontId="52" fillId="0" borderId="0" xfId="1" applyNumberFormat="1" applyFont="1" applyFill="1" applyAlignment="1">
      <alignment horizontal="right"/>
    </xf>
    <xf numFmtId="164" fontId="67" fillId="0" borderId="27" xfId="1" applyNumberFormat="1" applyFont="1" applyFill="1" applyBorder="1" applyAlignment="1">
      <alignment horizontal="right"/>
    </xf>
    <xf numFmtId="164" fontId="64" fillId="0" borderId="26" xfId="1" applyNumberFormat="1" applyFont="1" applyFill="1" applyBorder="1" applyAlignment="1">
      <alignment horizontal="right"/>
    </xf>
    <xf numFmtId="164" fontId="68" fillId="0" borderId="27" xfId="1" applyNumberFormat="1" applyFont="1" applyFill="1" applyBorder="1" applyAlignment="1">
      <alignment horizontal="right"/>
    </xf>
    <xf numFmtId="43" fontId="59" fillId="0" borderId="0" xfId="1" applyFont="1" applyFill="1" applyAlignment="1">
      <alignment horizontal="right"/>
    </xf>
    <xf numFmtId="43" fontId="64" fillId="0" borderId="32" xfId="1" applyFont="1" applyFill="1" applyBorder="1" applyAlignment="1">
      <alignment horizontal="right"/>
    </xf>
    <xf numFmtId="165" fontId="60" fillId="0" borderId="0" xfId="1" applyNumberFormat="1" applyFont="1" applyFill="1" applyAlignment="1">
      <alignment horizontal="right"/>
    </xf>
    <xf numFmtId="166" fontId="58" fillId="0" borderId="0" xfId="2" applyNumberFormat="1" applyFont="1" applyFill="1" applyAlignment="1">
      <alignment horizontal="right"/>
    </xf>
    <xf numFmtId="167" fontId="58" fillId="0" borderId="0" xfId="1" applyNumberFormat="1" applyFont="1" applyFill="1" applyAlignment="1">
      <alignment horizontal="right"/>
    </xf>
    <xf numFmtId="164" fontId="59" fillId="0" borderId="26" xfId="1" applyNumberFormat="1" applyFont="1" applyFill="1" applyBorder="1" applyAlignment="1">
      <alignment horizontal="right"/>
    </xf>
    <xf numFmtId="165" fontId="59" fillId="0" borderId="0" xfId="1" applyNumberFormat="1" applyFont="1" applyFill="1" applyAlignment="1">
      <alignment horizontal="right"/>
    </xf>
    <xf numFmtId="165" fontId="59" fillId="0" borderId="27" xfId="1" applyNumberFormat="1" applyFont="1" applyFill="1" applyBorder="1" applyAlignment="1">
      <alignment horizontal="right"/>
    </xf>
    <xf numFmtId="9" fontId="58" fillId="0" borderId="0" xfId="2" applyFont="1" applyFill="1" applyAlignment="1">
      <alignment horizontal="right"/>
    </xf>
    <xf numFmtId="164" fontId="60" fillId="0" borderId="0" xfId="2" applyNumberFormat="1" applyFont="1" applyFill="1" applyAlignment="1">
      <alignment horizontal="right"/>
    </xf>
    <xf numFmtId="9" fontId="58" fillId="0" borderId="26" xfId="2" applyFont="1" applyFill="1" applyBorder="1" applyAlignment="1">
      <alignment horizontal="right"/>
    </xf>
    <xf numFmtId="165" fontId="63" fillId="0" borderId="0" xfId="1" applyNumberFormat="1" applyFont="1" applyFill="1" applyAlignment="1">
      <alignment horizontal="right"/>
    </xf>
    <xf numFmtId="165" fontId="58" fillId="0" borderId="5" xfId="1" quotePrefix="1" applyNumberFormat="1" applyFont="1" applyFill="1" applyBorder="1" applyAlignment="1">
      <alignment horizontal="right"/>
    </xf>
    <xf numFmtId="0" fontId="63" fillId="0" borderId="23" xfId="0" applyFont="1" applyBorder="1" applyAlignment="1">
      <alignment horizontal="left" indent="5"/>
    </xf>
    <xf numFmtId="0" fontId="64" fillId="0" borderId="12" xfId="0" applyFont="1" applyBorder="1" applyAlignment="1">
      <alignment horizontal="left" indent="6"/>
    </xf>
    <xf numFmtId="166" fontId="58" fillId="0" borderId="5" xfId="2" quotePrefix="1" applyNumberFormat="1" applyFont="1" applyFill="1" applyBorder="1" applyAlignment="1">
      <alignment horizontal="right"/>
    </xf>
    <xf numFmtId="164" fontId="58" fillId="0" borderId="5" xfId="1" quotePrefix="1" applyNumberFormat="1" applyFont="1" applyFill="1" applyBorder="1" applyAlignment="1">
      <alignment horizontal="right"/>
    </xf>
    <xf numFmtId="43" fontId="58" fillId="0" borderId="5" xfId="1" quotePrefix="1" applyFont="1" applyFill="1" applyBorder="1" applyAlignment="1">
      <alignment horizontal="right"/>
    </xf>
    <xf numFmtId="9" fontId="58" fillId="0" borderId="5" xfId="2" applyFont="1" applyFill="1" applyBorder="1" applyAlignment="1">
      <alignment horizontal="right"/>
    </xf>
    <xf numFmtId="164" fontId="58" fillId="0" borderId="28" xfId="1" applyNumberFormat="1" applyFont="1" applyFill="1" applyBorder="1" applyAlignment="1">
      <alignment horizontal="right"/>
    </xf>
    <xf numFmtId="165" fontId="4" fillId="0" borderId="5" xfId="1" quotePrefix="1" applyNumberFormat="1" applyFont="1" applyFill="1" applyBorder="1" applyAlignment="1">
      <alignment horizontal="right"/>
    </xf>
    <xf numFmtId="164" fontId="60" fillId="0" borderId="5" xfId="2" applyNumberFormat="1" applyFont="1" applyFill="1" applyBorder="1" applyAlignment="1">
      <alignment horizontal="right"/>
    </xf>
    <xf numFmtId="164" fontId="59" fillId="0" borderId="5" xfId="1" quotePrefix="1" applyNumberFormat="1" applyFont="1" applyFill="1" applyBorder="1" applyAlignment="1">
      <alignment horizontal="right"/>
    </xf>
    <xf numFmtId="166" fontId="59" fillId="0" borderId="5" xfId="2" quotePrefix="1" applyNumberFormat="1" applyFont="1" applyFill="1" applyBorder="1" applyAlignment="1">
      <alignment horizontal="right"/>
    </xf>
    <xf numFmtId="9" fontId="59" fillId="0" borderId="5" xfId="2" applyFont="1" applyFill="1" applyBorder="1" applyAlignment="1">
      <alignment horizontal="right"/>
    </xf>
    <xf numFmtId="0" fontId="59" fillId="0" borderId="3" xfId="0" applyFont="1" applyBorder="1" applyAlignment="1">
      <alignment horizontal="left" indent="5"/>
    </xf>
    <xf numFmtId="0" fontId="53" fillId="0" borderId="4" xfId="0" applyFont="1" applyBorder="1"/>
    <xf numFmtId="166" fontId="58" fillId="0" borderId="5" xfId="2" applyNumberFormat="1" applyFont="1" applyFill="1" applyBorder="1" applyAlignment="1">
      <alignment horizontal="right"/>
    </xf>
    <xf numFmtId="43" fontId="60" fillId="0" borderId="0" xfId="1" applyFont="1" applyFill="1" applyAlignment="1">
      <alignment horizontal="right"/>
    </xf>
    <xf numFmtId="164" fontId="58" fillId="0" borderId="0" xfId="1" applyNumberFormat="1" applyFont="1" applyBorder="1" applyAlignment="1">
      <alignment horizontal="right"/>
    </xf>
    <xf numFmtId="164" fontId="58" fillId="0" borderId="26" xfId="1" applyNumberFormat="1" applyFont="1" applyBorder="1" applyAlignment="1">
      <alignment horizontal="right"/>
    </xf>
    <xf numFmtId="164" fontId="58" fillId="0" borderId="25" xfId="1" applyNumberFormat="1" applyFont="1" applyBorder="1" applyAlignment="1">
      <alignment horizontal="right"/>
    </xf>
    <xf numFmtId="164" fontId="58" fillId="0" borderId="0" xfId="1" applyNumberFormat="1" applyFont="1" applyFill="1" applyBorder="1" applyAlignment="1">
      <alignment horizontal="right"/>
    </xf>
    <xf numFmtId="7" fontId="58" fillId="0" borderId="23" xfId="1" applyNumberFormat="1" applyFont="1" applyBorder="1" applyAlignment="1">
      <alignment horizontal="right"/>
    </xf>
    <xf numFmtId="7" fontId="58" fillId="0" borderId="27" xfId="1" applyNumberFormat="1" applyFont="1" applyFill="1" applyBorder="1" applyAlignment="1">
      <alignment horizontal="right"/>
    </xf>
    <xf numFmtId="165" fontId="58" fillId="0" borderId="3" xfId="1" applyNumberFormat="1" applyFont="1" applyBorder="1" applyAlignment="1">
      <alignment horizontal="right"/>
    </xf>
    <xf numFmtId="165" fontId="58" fillId="0" borderId="0" xfId="1" applyNumberFormat="1" applyFont="1" applyFill="1" applyBorder="1" applyAlignment="1">
      <alignment horizontal="right"/>
    </xf>
    <xf numFmtId="164" fontId="58" fillId="0" borderId="12" xfId="1" applyNumberFormat="1" applyFont="1" applyBorder="1" applyAlignment="1">
      <alignment horizontal="right"/>
    </xf>
    <xf numFmtId="9" fontId="62" fillId="0" borderId="5" xfId="2" applyFont="1" applyFill="1" applyBorder="1" applyAlignment="1">
      <alignment horizontal="right"/>
    </xf>
    <xf numFmtId="166" fontId="4" fillId="0" borderId="0" xfId="1" applyNumberFormat="1" applyFont="1"/>
    <xf numFmtId="165" fontId="59" fillId="0" borderId="5" xfId="1" applyNumberFormat="1" applyFont="1" applyFill="1" applyBorder="1" applyAlignment="1">
      <alignment horizontal="right"/>
    </xf>
    <xf numFmtId="9" fontId="62" fillId="0" borderId="0" xfId="2" applyFont="1" applyFill="1" applyAlignment="1">
      <alignment horizontal="right"/>
    </xf>
    <xf numFmtId="9" fontId="59" fillId="0" borderId="0" xfId="2" applyFont="1" applyFill="1" applyAlignment="1">
      <alignment horizontal="right"/>
    </xf>
    <xf numFmtId="164" fontId="53" fillId="0" borderId="25" xfId="1" quotePrefix="1" applyNumberFormat="1" applyFont="1" applyFill="1" applyBorder="1" applyAlignment="1">
      <alignment horizontal="right"/>
    </xf>
    <xf numFmtId="165" fontId="53" fillId="0" borderId="5" xfId="1" quotePrefix="1" applyNumberFormat="1" applyFont="1" applyFill="1" applyBorder="1" applyAlignment="1">
      <alignment horizontal="right"/>
    </xf>
    <xf numFmtId="165" fontId="4" fillId="0" borderId="25" xfId="1" quotePrefix="1" applyNumberFormat="1" applyFont="1" applyFill="1" applyBorder="1" applyAlignment="1">
      <alignment horizontal="right"/>
    </xf>
    <xf numFmtId="164" fontId="59" fillId="0" borderId="0" xfId="2" applyNumberFormat="1" applyFont="1" applyFill="1" applyAlignment="1">
      <alignment horizontal="right"/>
    </xf>
    <xf numFmtId="166" fontId="59" fillId="0" borderId="0" xfId="2" applyNumberFormat="1" applyFont="1" applyFill="1" applyAlignment="1">
      <alignment horizontal="right"/>
    </xf>
    <xf numFmtId="225" fontId="4" fillId="0" borderId="5" xfId="1" quotePrefix="1" applyNumberFormat="1" applyFont="1" applyFill="1" applyBorder="1" applyAlignment="1">
      <alignment horizontal="right"/>
    </xf>
    <xf numFmtId="43" fontId="58" fillId="0" borderId="5" xfId="1" applyFont="1" applyFill="1" applyBorder="1" applyAlignment="1">
      <alignment horizontal="right"/>
    </xf>
    <xf numFmtId="43" fontId="60" fillId="0" borderId="5" xfId="1" applyFont="1" applyFill="1" applyBorder="1" applyAlignment="1">
      <alignment horizontal="right"/>
    </xf>
    <xf numFmtId="165" fontId="4" fillId="0" borderId="0" xfId="1" applyNumberFormat="1" applyFont="1" applyFill="1"/>
    <xf numFmtId="43" fontId="4" fillId="0" borderId="0" xfId="1" applyFont="1"/>
    <xf numFmtId="9" fontId="58" fillId="0" borderId="0" xfId="2" applyFont="1" applyFill="1" applyAlignment="1">
      <alignment horizontal="left"/>
    </xf>
    <xf numFmtId="164" fontId="4" fillId="0" borderId="0" xfId="1" applyNumberFormat="1" applyFont="1" applyFill="1" applyAlignment="1">
      <alignment horizontal="right"/>
    </xf>
    <xf numFmtId="10" fontId="58" fillId="0" borderId="5" xfId="2" applyNumberFormat="1" applyFont="1" applyBorder="1" applyAlignment="1">
      <alignment horizontal="right"/>
    </xf>
    <xf numFmtId="165" fontId="59" fillId="0" borderId="5" xfId="1" quotePrefix="1" applyNumberFormat="1" applyFont="1" applyFill="1" applyBorder="1" applyAlignment="1">
      <alignment horizontal="right"/>
    </xf>
    <xf numFmtId="166" fontId="71" fillId="0" borderId="0" xfId="2" applyNumberFormat="1" applyFont="1" applyFill="1" applyAlignment="1">
      <alignment horizontal="right"/>
    </xf>
    <xf numFmtId="166" fontId="58" fillId="0" borderId="25" xfId="2" quotePrefix="1" applyNumberFormat="1" applyFont="1" applyFill="1" applyBorder="1" applyAlignment="1">
      <alignment horizontal="right"/>
    </xf>
    <xf numFmtId="165" fontId="58" fillId="0" borderId="5" xfId="1" applyNumberFormat="1" applyFont="1" applyFill="1" applyBorder="1" applyAlignment="1">
      <alignment horizontal="right"/>
    </xf>
    <xf numFmtId="164" fontId="58" fillId="0" borderId="5" xfId="1" applyNumberFormat="1" applyFont="1" applyFill="1" applyBorder="1" applyAlignment="1">
      <alignment horizontal="right"/>
    </xf>
    <xf numFmtId="164" fontId="59" fillId="0" borderId="5" xfId="1" applyNumberFormat="1" applyFont="1" applyFill="1" applyBorder="1" applyAlignment="1">
      <alignment horizontal="right"/>
    </xf>
    <xf numFmtId="43" fontId="64" fillId="0" borderId="30" xfId="1" applyFont="1" applyFill="1" applyBorder="1" applyAlignment="1">
      <alignment horizontal="right"/>
    </xf>
    <xf numFmtId="164" fontId="60" fillId="0" borderId="5" xfId="1" applyNumberFormat="1" applyFont="1" applyFill="1" applyBorder="1" applyAlignment="1">
      <alignment horizontal="right"/>
    </xf>
    <xf numFmtId="43" fontId="59" fillId="0" borderId="5" xfId="1" applyFont="1" applyFill="1" applyBorder="1" applyAlignment="1">
      <alignment horizontal="right"/>
    </xf>
    <xf numFmtId="164" fontId="52" fillId="0" borderId="5" xfId="1" applyNumberFormat="1" applyFont="1" applyFill="1" applyBorder="1" applyAlignment="1">
      <alignment horizontal="right"/>
    </xf>
    <xf numFmtId="164" fontId="67" fillId="0" borderId="28" xfId="1" applyNumberFormat="1" applyFont="1" applyFill="1" applyBorder="1" applyAlignment="1">
      <alignment horizontal="right"/>
    </xf>
    <xf numFmtId="164" fontId="64" fillId="0" borderId="25" xfId="1" applyNumberFormat="1" applyFont="1" applyFill="1" applyBorder="1" applyAlignment="1">
      <alignment horizontal="right"/>
    </xf>
    <xf numFmtId="164" fontId="68" fillId="0" borderId="28" xfId="1" applyNumberFormat="1" applyFont="1" applyFill="1" applyBorder="1" applyAlignment="1">
      <alignment horizontal="right"/>
    </xf>
    <xf numFmtId="9" fontId="58" fillId="0" borderId="0" xfId="2" applyFont="1" applyBorder="1" applyAlignment="1">
      <alignment horizontal="right"/>
    </xf>
    <xf numFmtId="0" fontId="58" fillId="0" borderId="3" xfId="0" applyFont="1" applyBorder="1" applyAlignment="1">
      <alignment horizontal="left" indent="1"/>
    </xf>
    <xf numFmtId="0" fontId="71" fillId="0" borderId="3" xfId="0" applyFont="1" applyBorder="1" applyAlignment="1">
      <alignment horizontal="left" indent="2"/>
    </xf>
    <xf numFmtId="0" fontId="71" fillId="0" borderId="4" xfId="0" applyFont="1" applyBorder="1" applyAlignment="1">
      <alignment horizontal="left" indent="2"/>
    </xf>
    <xf numFmtId="0" fontId="72" fillId="0" borderId="0" xfId="0" applyFont="1" applyAlignment="1">
      <alignment horizontal="left" indent="1"/>
    </xf>
    <xf numFmtId="0" fontId="72" fillId="0" borderId="0" xfId="0" applyFont="1"/>
    <xf numFmtId="0" fontId="71" fillId="0" borderId="4" xfId="0" applyFont="1" applyBorder="1" applyAlignment="1">
      <alignment horizontal="left" indent="1"/>
    </xf>
    <xf numFmtId="166" fontId="71" fillId="0" borderId="5" xfId="2" applyNumberFormat="1" applyFont="1" applyFill="1" applyBorder="1" applyAlignment="1">
      <alignment horizontal="right"/>
    </xf>
    <xf numFmtId="166" fontId="71" fillId="0" borderId="0" xfId="2" applyNumberFormat="1" applyFont="1" applyAlignment="1">
      <alignment horizontal="right"/>
    </xf>
    <xf numFmtId="166" fontId="71" fillId="0" borderId="5" xfId="2" applyNumberFormat="1" applyFont="1" applyBorder="1" applyAlignment="1">
      <alignment horizontal="right"/>
    </xf>
    <xf numFmtId="166" fontId="71" fillId="9" borderId="0" xfId="2" applyNumberFormat="1" applyFont="1" applyFill="1" applyAlignment="1">
      <alignment horizontal="right"/>
    </xf>
    <xf numFmtId="0" fontId="72" fillId="0" borderId="4" xfId="0" applyFont="1" applyBorder="1"/>
    <xf numFmtId="165" fontId="59" fillId="0" borderId="5" xfId="1" quotePrefix="1" applyNumberFormat="1" applyFont="1" applyBorder="1" applyAlignment="1">
      <alignment horizontal="right"/>
    </xf>
    <xf numFmtId="165" fontId="59" fillId="0" borderId="28" xfId="1" quotePrefix="1" applyNumberFormat="1" applyFont="1" applyBorder="1" applyAlignment="1">
      <alignment horizontal="right"/>
    </xf>
    <xf numFmtId="164" fontId="60" fillId="0" borderId="5" xfId="1" quotePrefix="1" applyNumberFormat="1" applyFont="1" applyBorder="1" applyAlignment="1">
      <alignment horizontal="right"/>
    </xf>
    <xf numFmtId="164" fontId="59" fillId="0" borderId="5" xfId="2" applyNumberFormat="1" applyFont="1" applyBorder="1" applyAlignment="1">
      <alignment horizontal="right"/>
    </xf>
    <xf numFmtId="43" fontId="4" fillId="0" borderId="0" xfId="1" applyFont="1" applyFill="1"/>
    <xf numFmtId="9" fontId="63" fillId="0" borderId="0" xfId="2" applyFont="1" applyFill="1" applyAlignment="1">
      <alignment horizontal="right"/>
    </xf>
    <xf numFmtId="166" fontId="58" fillId="9" borderId="26" xfId="2" applyNumberFormat="1" applyFont="1" applyFill="1" applyBorder="1" applyAlignment="1">
      <alignment horizontal="right"/>
    </xf>
    <xf numFmtId="0" fontId="63" fillId="0" borderId="0" xfId="0" quotePrefix="1" applyFont="1"/>
    <xf numFmtId="166" fontId="58" fillId="0" borderId="25" xfId="2" applyNumberFormat="1" applyFont="1" applyBorder="1" applyAlignment="1">
      <alignment horizontal="right"/>
    </xf>
    <xf numFmtId="0" fontId="58" fillId="0" borderId="3" xfId="0" applyFont="1" applyBorder="1" applyAlignment="1">
      <alignment horizontal="left"/>
    </xf>
    <xf numFmtId="0" fontId="58" fillId="0" borderId="4" xfId="0" applyFont="1" applyBorder="1" applyAlignment="1">
      <alignment horizontal="left"/>
    </xf>
    <xf numFmtId="0" fontId="59" fillId="0" borderId="4" xfId="0" applyFont="1" applyBorder="1" applyAlignment="1">
      <alignment horizontal="left"/>
    </xf>
    <xf numFmtId="0" fontId="58" fillId="0" borderId="6" xfId="0" applyFont="1" applyBorder="1" applyAlignment="1">
      <alignment horizontal="left"/>
    </xf>
    <xf numFmtId="0" fontId="58" fillId="0" borderId="10" xfId="0" applyFont="1" applyBorder="1" applyAlignment="1">
      <alignment horizontal="left"/>
    </xf>
    <xf numFmtId="0" fontId="59" fillId="0" borderId="3" xfId="0" applyFont="1" applyBorder="1" applyAlignment="1">
      <alignment horizontal="left" indent="1"/>
    </xf>
    <xf numFmtId="0" fontId="59" fillId="0" borderId="4" xfId="0" applyFont="1" applyBorder="1" applyAlignment="1">
      <alignment horizontal="left" indent="1"/>
    </xf>
    <xf numFmtId="0" fontId="58" fillId="0" borderId="4" xfId="0" applyFont="1" applyBorder="1" applyAlignment="1">
      <alignment horizontal="left" indent="1"/>
    </xf>
    <xf numFmtId="0" fontId="59" fillId="0" borderId="3" xfId="0" applyFont="1" applyBorder="1" applyAlignment="1">
      <alignment horizontal="left" indent="2"/>
    </xf>
    <xf numFmtId="0" fontId="59" fillId="0" borderId="3" xfId="0" applyFont="1" applyBorder="1" applyAlignment="1">
      <alignment horizontal="left" indent="3"/>
    </xf>
    <xf numFmtId="0" fontId="58" fillId="0" borderId="3" xfId="0" applyFont="1" applyBorder="1" applyAlignment="1">
      <alignment horizontal="left" indent="4"/>
    </xf>
    <xf numFmtId="9" fontId="58" fillId="0" borderId="7" xfId="2" applyFont="1" applyFill="1" applyBorder="1" applyAlignment="1">
      <alignment horizontal="right"/>
    </xf>
    <xf numFmtId="165" fontId="58" fillId="0" borderId="8" xfId="1" applyNumberFormat="1" applyFont="1" applyFill="1" applyBorder="1" applyAlignment="1">
      <alignment horizontal="right"/>
    </xf>
    <xf numFmtId="164" fontId="59" fillId="0" borderId="25" xfId="1" quotePrefix="1" applyNumberFormat="1" applyFont="1" applyFill="1" applyBorder="1" applyAlignment="1">
      <alignment horizontal="right"/>
    </xf>
    <xf numFmtId="164" fontId="60" fillId="0" borderId="5" xfId="1" quotePrefix="1" applyNumberFormat="1" applyFont="1" applyFill="1" applyBorder="1" applyAlignment="1">
      <alignment horizontal="right"/>
    </xf>
    <xf numFmtId="10" fontId="58" fillId="0" borderId="0" xfId="2" applyNumberFormat="1" applyFont="1" applyAlignment="1">
      <alignment horizontal="right"/>
    </xf>
    <xf numFmtId="9" fontId="4" fillId="0" borderId="0" xfId="2" applyFont="1" applyFill="1"/>
    <xf numFmtId="9" fontId="62" fillId="0" borderId="5" xfId="1" applyNumberFormat="1" applyFont="1" applyFill="1" applyBorder="1" applyAlignment="1">
      <alignment horizontal="right"/>
    </xf>
    <xf numFmtId="9" fontId="62" fillId="0" borderId="5" xfId="1" applyNumberFormat="1" applyFont="1" applyBorder="1" applyAlignment="1">
      <alignment horizontal="right"/>
    </xf>
    <xf numFmtId="167" fontId="71" fillId="10" borderId="0" xfId="1" applyNumberFormat="1" applyFont="1" applyFill="1" applyAlignment="1">
      <alignment horizontal="right"/>
    </xf>
    <xf numFmtId="0" fontId="58" fillId="0" borderId="23" xfId="0" applyFont="1" applyBorder="1" applyAlignment="1">
      <alignment horizontal="left" indent="2"/>
    </xf>
    <xf numFmtId="0" fontId="58" fillId="0" borderId="24" xfId="0" applyFont="1" applyBorder="1" applyAlignment="1">
      <alignment horizontal="left" indent="1"/>
    </xf>
    <xf numFmtId="9" fontId="58" fillId="0" borderId="27" xfId="2" applyFont="1" applyFill="1" applyBorder="1" applyAlignment="1">
      <alignment horizontal="right"/>
    </xf>
    <xf numFmtId="9" fontId="58" fillId="0" borderId="28" xfId="2" applyFont="1" applyFill="1" applyBorder="1" applyAlignment="1">
      <alignment horizontal="right"/>
    </xf>
    <xf numFmtId="9" fontId="58" fillId="0" borderId="27" xfId="2" applyFont="1" applyBorder="1" applyAlignment="1">
      <alignment horizontal="right"/>
    </xf>
    <xf numFmtId="9" fontId="58" fillId="0" borderId="28" xfId="2" applyFont="1" applyBorder="1" applyAlignment="1">
      <alignment horizontal="right"/>
    </xf>
    <xf numFmtId="9" fontId="62" fillId="0" borderId="0" xfId="1" applyNumberFormat="1" applyFont="1" applyFill="1" applyBorder="1" applyAlignment="1">
      <alignment horizontal="right"/>
    </xf>
    <xf numFmtId="9" fontId="62" fillId="0" borderId="0" xfId="1" applyNumberFormat="1" applyFont="1" applyBorder="1" applyAlignment="1">
      <alignment horizontal="right"/>
    </xf>
    <xf numFmtId="9" fontId="62" fillId="0" borderId="0" xfId="2" applyFont="1" applyBorder="1" applyAlignment="1">
      <alignment horizontal="right"/>
    </xf>
    <xf numFmtId="0" fontId="59" fillId="0" borderId="12" xfId="0" applyFont="1" applyBorder="1" applyAlignment="1">
      <alignment horizontal="left" indent="3"/>
    </xf>
    <xf numFmtId="0" fontId="59" fillId="0" borderId="13" xfId="0" applyFont="1" applyBorder="1" applyAlignment="1">
      <alignment horizontal="left" indent="1"/>
    </xf>
    <xf numFmtId="9" fontId="59" fillId="0" borderId="26" xfId="2" applyFont="1" applyFill="1" applyBorder="1" applyAlignment="1">
      <alignment horizontal="right"/>
    </xf>
    <xf numFmtId="9" fontId="59" fillId="0" borderId="25" xfId="2" applyFont="1" applyFill="1" applyBorder="1" applyAlignment="1">
      <alignment horizontal="right"/>
    </xf>
    <xf numFmtId="166" fontId="59" fillId="0" borderId="26" xfId="2" applyNumberFormat="1" applyFont="1" applyFill="1" applyBorder="1" applyAlignment="1">
      <alignment horizontal="right"/>
    </xf>
    <xf numFmtId="226" fontId="59" fillId="0" borderId="25" xfId="2" applyNumberFormat="1" applyFont="1" applyFill="1" applyBorder="1" applyAlignment="1">
      <alignment horizontal="right"/>
    </xf>
    <xf numFmtId="9" fontId="59" fillId="0" borderId="25" xfId="2" applyFont="1" applyBorder="1" applyAlignment="1">
      <alignment horizontal="right"/>
    </xf>
    <xf numFmtId="0" fontId="58" fillId="0" borderId="23" xfId="0" applyFont="1" applyBorder="1" applyAlignment="1">
      <alignment horizontal="left" indent="1"/>
    </xf>
    <xf numFmtId="0" fontId="71" fillId="0" borderId="0" xfId="0" applyFont="1"/>
    <xf numFmtId="0" fontId="72" fillId="0" borderId="0" xfId="0" applyFont="1" applyAlignment="1">
      <alignment horizontal="left"/>
    </xf>
    <xf numFmtId="43" fontId="58" fillId="0" borderId="0" xfId="1" applyFont="1" applyFill="1" applyBorder="1" applyAlignment="1">
      <alignment horizontal="right"/>
    </xf>
    <xf numFmtId="43" fontId="58" fillId="9" borderId="0" xfId="1" applyFont="1" applyFill="1" applyBorder="1" applyAlignment="1">
      <alignment horizontal="right"/>
    </xf>
    <xf numFmtId="9" fontId="4" fillId="0" borderId="0" xfId="2" applyFont="1"/>
    <xf numFmtId="9" fontId="58" fillId="0" borderId="6" xfId="2" applyFont="1" applyFill="1" applyBorder="1" applyAlignment="1">
      <alignment horizontal="left" indent="2"/>
    </xf>
    <xf numFmtId="9" fontId="58" fillId="0" borderId="10" xfId="2" applyFont="1" applyFill="1" applyBorder="1" applyAlignment="1">
      <alignment horizontal="left" indent="1"/>
    </xf>
    <xf numFmtId="9" fontId="59" fillId="0" borderId="8" xfId="2" applyFont="1" applyFill="1" applyBorder="1" applyAlignment="1">
      <alignment horizontal="right"/>
    </xf>
    <xf numFmtId="7" fontId="58" fillId="0" borderId="27" xfId="1" applyNumberFormat="1" applyFont="1" applyBorder="1" applyAlignment="1">
      <alignment horizontal="right"/>
    </xf>
    <xf numFmtId="7" fontId="4" fillId="0" borderId="28" xfId="1" applyNumberFormat="1" applyFont="1" applyBorder="1" applyAlignment="1">
      <alignment horizontal="right"/>
    </xf>
    <xf numFmtId="7" fontId="58" fillId="9" borderId="27" xfId="1" applyNumberFormat="1" applyFont="1" applyFill="1" applyBorder="1" applyAlignment="1">
      <alignment horizontal="right"/>
    </xf>
    <xf numFmtId="0" fontId="58" fillId="0" borderId="23" xfId="0" applyFont="1" applyBorder="1" applyAlignment="1">
      <alignment horizontal="left"/>
    </xf>
    <xf numFmtId="0" fontId="58" fillId="0" borderId="24" xfId="0" applyFont="1" applyBorder="1" applyAlignment="1">
      <alignment horizontal="left"/>
    </xf>
    <xf numFmtId="0" fontId="61" fillId="0" borderId="23" xfId="0" applyFont="1" applyBorder="1" applyAlignment="1">
      <alignment horizontal="left"/>
    </xf>
    <xf numFmtId="0" fontId="57" fillId="2" borderId="3" xfId="0" applyFont="1" applyFill="1" applyBorder="1" applyAlignment="1">
      <alignment horizontal="left"/>
    </xf>
    <xf numFmtId="0" fontId="57" fillId="2" borderId="4" xfId="0" applyFont="1" applyFill="1" applyBorder="1" applyAlignment="1">
      <alignment horizontal="left"/>
    </xf>
    <xf numFmtId="165" fontId="59" fillId="0" borderId="28" xfId="1" quotePrefix="1" applyNumberFormat="1" applyFont="1" applyFill="1" applyBorder="1" applyAlignment="1">
      <alignment horizontal="right"/>
    </xf>
    <xf numFmtId="166" fontId="73" fillId="0" borderId="5" xfId="2" quotePrefix="1" applyNumberFormat="1" applyFont="1" applyFill="1" applyBorder="1" applyAlignment="1">
      <alignment horizontal="right"/>
    </xf>
    <xf numFmtId="164" fontId="52" fillId="0" borderId="5" xfId="1" quotePrefix="1" applyNumberFormat="1" applyFont="1" applyFill="1" applyBorder="1" applyAlignment="1">
      <alignment horizontal="right"/>
    </xf>
    <xf numFmtId="9" fontId="4" fillId="0" borderId="5" xfId="2" applyFont="1" applyFill="1" applyBorder="1" applyAlignment="1">
      <alignment horizontal="right"/>
    </xf>
    <xf numFmtId="7" fontId="4" fillId="0" borderId="28" xfId="1" applyNumberFormat="1" applyFont="1" applyFill="1" applyBorder="1" applyAlignment="1">
      <alignment horizontal="right"/>
    </xf>
    <xf numFmtId="164" fontId="2" fillId="2" borderId="2" xfId="1" quotePrefix="1" applyNumberFormat="1" applyFont="1" applyFill="1" applyBorder="1" applyAlignment="1">
      <alignment horizontal="right"/>
    </xf>
    <xf numFmtId="164" fontId="2" fillId="2" borderId="29" xfId="1" quotePrefix="1" applyNumberFormat="1" applyFont="1" applyFill="1" applyBorder="1" applyAlignment="1">
      <alignment horizontal="right"/>
    </xf>
    <xf numFmtId="165" fontId="60" fillId="0" borderId="0" xfId="1" applyNumberFormat="1" applyFont="1" applyAlignment="1">
      <alignment horizontal="right"/>
    </xf>
    <xf numFmtId="165" fontId="60" fillId="0" borderId="5" xfId="1" applyNumberFormat="1" applyFont="1" applyBorder="1" applyAlignment="1">
      <alignment horizontal="right"/>
    </xf>
    <xf numFmtId="165" fontId="60" fillId="0" borderId="5" xfId="1" applyNumberFormat="1" applyFont="1" applyFill="1" applyBorder="1" applyAlignment="1">
      <alignment horizontal="right"/>
    </xf>
    <xf numFmtId="165" fontId="52" fillId="3" borderId="0" xfId="1" quotePrefix="1" applyNumberFormat="1" applyFont="1" applyFill="1" applyAlignment="1">
      <alignment horizontal="right"/>
    </xf>
    <xf numFmtId="165" fontId="52" fillId="3" borderId="5" xfId="1" quotePrefix="1" applyNumberFormat="1" applyFont="1" applyFill="1" applyBorder="1" applyAlignment="1">
      <alignment horizontal="right"/>
    </xf>
    <xf numFmtId="0" fontId="58" fillId="0" borderId="3" xfId="3" applyFont="1" applyBorder="1" applyAlignment="1">
      <alignment horizontal="left" vertical="top"/>
    </xf>
    <xf numFmtId="0" fontId="58" fillId="0" borderId="4" xfId="3" applyFont="1" applyBorder="1" applyAlignment="1">
      <alignment horizontal="left" vertical="top"/>
    </xf>
    <xf numFmtId="165" fontId="59" fillId="0" borderId="7" xfId="1" applyNumberFormat="1" applyFont="1" applyBorder="1" applyAlignment="1">
      <alignment horizontal="right"/>
    </xf>
    <xf numFmtId="165" fontId="59" fillId="0" borderId="8" xfId="1" applyNumberFormat="1" applyFont="1" applyBorder="1" applyAlignment="1">
      <alignment horizontal="right"/>
    </xf>
    <xf numFmtId="165" fontId="4" fillId="0" borderId="0" xfId="0" applyNumberFormat="1" applyFont="1" applyAlignment="1">
      <alignment horizontal="left"/>
    </xf>
    <xf numFmtId="43" fontId="53" fillId="0" borderId="0" xfId="0" applyNumberFormat="1" applyFont="1" applyAlignment="1">
      <alignment horizontal="left"/>
    </xf>
    <xf numFmtId="165" fontId="53" fillId="0" borderId="9" xfId="1" applyNumberFormat="1" applyFont="1" applyFill="1" applyBorder="1" applyAlignment="1">
      <alignment horizontal="right"/>
    </xf>
    <xf numFmtId="165" fontId="53" fillId="0" borderId="9" xfId="1" applyNumberFormat="1" applyFont="1" applyBorder="1" applyAlignment="1">
      <alignment horizontal="right"/>
    </xf>
    <xf numFmtId="0" fontId="74" fillId="0" borderId="4" xfId="0" applyFont="1" applyBorder="1" applyAlignment="1">
      <alignment horizontal="left"/>
    </xf>
    <xf numFmtId="165" fontId="58" fillId="0" borderId="0" xfId="1" quotePrefix="1" applyNumberFormat="1" applyFont="1" applyFill="1" applyAlignment="1">
      <alignment horizontal="right"/>
    </xf>
    <xf numFmtId="164" fontId="58" fillId="0" borderId="0" xfId="1" quotePrefix="1" applyNumberFormat="1" applyFont="1" applyAlignment="1">
      <alignment horizontal="right"/>
    </xf>
    <xf numFmtId="164" fontId="58" fillId="0" borderId="0" xfId="1" quotePrefix="1" applyNumberFormat="1" applyFont="1" applyFill="1" applyAlignment="1">
      <alignment horizontal="right"/>
    </xf>
    <xf numFmtId="164" fontId="58" fillId="9" borderId="0" xfId="1" quotePrefix="1" applyNumberFormat="1" applyFont="1" applyFill="1" applyAlignment="1">
      <alignment horizontal="right"/>
    </xf>
    <xf numFmtId="164" fontId="4" fillId="0" borderId="5" xfId="1" quotePrefix="1" applyNumberFormat="1" applyFont="1" applyBorder="1" applyAlignment="1">
      <alignment horizontal="right"/>
    </xf>
    <xf numFmtId="165" fontId="58" fillId="0" borderId="0" xfId="1" quotePrefix="1" applyNumberFormat="1" applyFont="1" applyAlignment="1">
      <alignment horizontal="right"/>
    </xf>
    <xf numFmtId="43" fontId="58" fillId="0" borderId="5" xfId="1" quotePrefix="1" applyFont="1" applyBorder="1" applyAlignment="1">
      <alignment horizontal="right"/>
    </xf>
    <xf numFmtId="166" fontId="58" fillId="0" borderId="0" xfId="2" quotePrefix="1" applyNumberFormat="1" applyFont="1" applyFill="1" applyAlignment="1">
      <alignment horizontal="right"/>
    </xf>
    <xf numFmtId="166" fontId="58" fillId="0" borderId="5" xfId="2" quotePrefix="1" applyNumberFormat="1" applyFont="1" applyBorder="1" applyAlignment="1">
      <alignment horizontal="right"/>
    </xf>
    <xf numFmtId="166" fontId="58" fillId="9" borderId="0" xfId="2" quotePrefix="1" applyNumberFormat="1" applyFont="1" applyFill="1" applyAlignment="1">
      <alignment horizontal="right"/>
    </xf>
    <xf numFmtId="166" fontId="58" fillId="9" borderId="4" xfId="2" applyNumberFormat="1" applyFont="1" applyFill="1" applyBorder="1" applyAlignment="1">
      <alignment horizontal="right"/>
    </xf>
    <xf numFmtId="166" fontId="58" fillId="0" borderId="0" xfId="2" quotePrefix="1" applyNumberFormat="1" applyFont="1" applyBorder="1" applyAlignment="1">
      <alignment horizontal="right"/>
    </xf>
    <xf numFmtId="166" fontId="58" fillId="0" borderId="0" xfId="2" applyNumberFormat="1" applyFont="1" applyFill="1" applyBorder="1" applyAlignment="1">
      <alignment horizontal="right"/>
    </xf>
    <xf numFmtId="166" fontId="58" fillId="0" borderId="0" xfId="2" quotePrefix="1" applyNumberFormat="1" applyFont="1" applyFill="1" applyBorder="1" applyAlignment="1">
      <alignment horizontal="right"/>
    </xf>
    <xf numFmtId="166" fontId="58" fillId="9" borderId="0" xfId="2" applyNumberFormat="1" applyFont="1" applyFill="1" applyBorder="1" applyAlignment="1">
      <alignment horizontal="right"/>
    </xf>
    <xf numFmtId="166" fontId="58" fillId="9" borderId="0" xfId="2" quotePrefix="1" applyNumberFormat="1" applyFont="1" applyFill="1" applyBorder="1" applyAlignment="1">
      <alignment horizontal="right"/>
    </xf>
    <xf numFmtId="166" fontId="4" fillId="0" borderId="5" xfId="2" quotePrefix="1" applyNumberFormat="1" applyFont="1" applyBorder="1" applyAlignment="1">
      <alignment horizontal="right"/>
    </xf>
    <xf numFmtId="0" fontId="75" fillId="0" borderId="23" xfId="0" applyFont="1" applyBorder="1" applyAlignment="1">
      <alignment horizontal="left"/>
    </xf>
    <xf numFmtId="166" fontId="58" fillId="0" borderId="27" xfId="2" quotePrefix="1" applyNumberFormat="1" applyFont="1" applyFill="1" applyBorder="1" applyAlignment="1">
      <alignment horizontal="right"/>
    </xf>
    <xf numFmtId="166" fontId="58" fillId="0" borderId="27" xfId="2" applyNumberFormat="1" applyFont="1" applyFill="1" applyBorder="1" applyAlignment="1">
      <alignment horizontal="right"/>
    </xf>
    <xf numFmtId="166" fontId="58" fillId="0" borderId="28" xfId="2" quotePrefix="1" applyNumberFormat="1" applyFont="1" applyFill="1" applyBorder="1" applyAlignment="1">
      <alignment horizontal="right"/>
    </xf>
    <xf numFmtId="166" fontId="4" fillId="0" borderId="28" xfId="2" quotePrefix="1" applyNumberFormat="1" applyFont="1" applyFill="1" applyBorder="1" applyAlignment="1">
      <alignment horizontal="right"/>
    </xf>
    <xf numFmtId="0" fontId="4" fillId="0" borderId="27" xfId="0" applyFont="1" applyBorder="1"/>
    <xf numFmtId="165" fontId="58" fillId="0" borderId="4" xfId="1" applyNumberFormat="1" applyFont="1" applyBorder="1" applyAlignment="1">
      <alignment horizontal="left"/>
    </xf>
    <xf numFmtId="165" fontId="58" fillId="0" borderId="0" xfId="1" quotePrefix="1" applyNumberFormat="1" applyFont="1" applyBorder="1" applyAlignment="1">
      <alignment horizontal="right"/>
    </xf>
    <xf numFmtId="165" fontId="58" fillId="0" borderId="0" xfId="1" quotePrefix="1" applyNumberFormat="1" applyFont="1" applyFill="1" applyBorder="1" applyAlignment="1">
      <alignment horizontal="right"/>
    </xf>
    <xf numFmtId="165" fontId="58" fillId="9" borderId="0" xfId="1" applyNumberFormat="1" applyFont="1" applyFill="1" applyBorder="1" applyAlignment="1">
      <alignment horizontal="right"/>
    </xf>
    <xf numFmtId="165" fontId="58" fillId="9" borderId="0" xfId="1" quotePrefix="1" applyNumberFormat="1" applyFont="1" applyFill="1" applyBorder="1" applyAlignment="1">
      <alignment horizontal="right"/>
    </xf>
    <xf numFmtId="165" fontId="4" fillId="0" borderId="0" xfId="1" applyNumberFormat="1" applyFont="1" applyBorder="1"/>
    <xf numFmtId="9" fontId="58" fillId="0" borderId="0" xfId="2" applyFont="1" applyFill="1" applyBorder="1" applyAlignment="1">
      <alignment horizontal="right"/>
    </xf>
    <xf numFmtId="165" fontId="59" fillId="0" borderId="0" xfId="1" quotePrefix="1" applyNumberFormat="1" applyFont="1" applyBorder="1" applyAlignment="1">
      <alignment horizontal="right"/>
    </xf>
    <xf numFmtId="164" fontId="59" fillId="0" borderId="0" xfId="1" quotePrefix="1" applyNumberFormat="1" applyFont="1" applyBorder="1" applyAlignment="1">
      <alignment horizontal="right"/>
    </xf>
    <xf numFmtId="227" fontId="59" fillId="0" borderId="5" xfId="1" quotePrefix="1" applyNumberFormat="1" applyFont="1" applyFill="1" applyBorder="1" applyAlignment="1">
      <alignment horizontal="right"/>
    </xf>
    <xf numFmtId="9" fontId="59" fillId="0" borderId="0" xfId="2" quotePrefix="1" applyFont="1" applyBorder="1" applyAlignment="1">
      <alignment horizontal="right"/>
    </xf>
    <xf numFmtId="0" fontId="58" fillId="0" borderId="3" xfId="0" applyFont="1" applyBorder="1"/>
    <xf numFmtId="0" fontId="58" fillId="0" borderId="0" xfId="0" applyFont="1" applyAlignment="1">
      <alignment horizontal="right"/>
    </xf>
    <xf numFmtId="43" fontId="58" fillId="0" borderId="0" xfId="1" quotePrefix="1" applyFont="1" applyBorder="1" applyAlignment="1">
      <alignment horizontal="right"/>
    </xf>
    <xf numFmtId="0" fontId="58" fillId="0" borderId="6" xfId="0" applyFont="1" applyBorder="1"/>
    <xf numFmtId="0" fontId="58" fillId="0" borderId="10" xfId="0" applyFont="1" applyBorder="1"/>
    <xf numFmtId="164" fontId="58" fillId="0" borderId="7" xfId="1" applyNumberFormat="1" applyFont="1" applyBorder="1" applyAlignment="1">
      <alignment horizontal="right"/>
    </xf>
    <xf numFmtId="0" fontId="58" fillId="0" borderId="7" xfId="0" applyFont="1" applyBorder="1" applyAlignment="1">
      <alignment horizontal="right"/>
    </xf>
    <xf numFmtId="43" fontId="58" fillId="0" borderId="7" xfId="1" quotePrefix="1" applyFont="1" applyBorder="1" applyAlignment="1">
      <alignment horizontal="right"/>
    </xf>
    <xf numFmtId="165" fontId="58" fillId="0" borderId="8" xfId="0" applyNumberFormat="1" applyFont="1" applyBorder="1" applyAlignment="1">
      <alignment horizontal="right"/>
    </xf>
    <xf numFmtId="165" fontId="4" fillId="0" borderId="5" xfId="1" applyNumberFormat="1" applyFont="1" applyBorder="1" applyAlignment="1">
      <alignment horizontal="right"/>
    </xf>
    <xf numFmtId="165" fontId="4" fillId="0" borderId="0" xfId="1" applyNumberFormat="1" applyFont="1" applyAlignment="1">
      <alignment horizontal="left"/>
    </xf>
    <xf numFmtId="0" fontId="58" fillId="0" borderId="12" xfId="0" applyFont="1" applyBorder="1"/>
    <xf numFmtId="0" fontId="58" fillId="0" borderId="13" xfId="0" applyFont="1" applyBorder="1"/>
    <xf numFmtId="165" fontId="58" fillId="11" borderId="27" xfId="1" applyNumberFormat="1" applyFont="1" applyFill="1" applyBorder="1" applyAlignment="1">
      <alignment horizontal="right"/>
    </xf>
    <xf numFmtId="165" fontId="4" fillId="11" borderId="27" xfId="1" applyNumberFormat="1" applyFont="1" applyFill="1" applyBorder="1" applyAlignment="1">
      <alignment horizontal="left"/>
    </xf>
    <xf numFmtId="165" fontId="4" fillId="11" borderId="27" xfId="1" applyNumberFormat="1" applyFont="1" applyFill="1" applyBorder="1" applyAlignment="1">
      <alignment horizontal="right"/>
    </xf>
    <xf numFmtId="165" fontId="58" fillId="11" borderId="28" xfId="1" applyNumberFormat="1" applyFont="1" applyFill="1" applyBorder="1" applyAlignment="1">
      <alignment horizontal="right"/>
    </xf>
    <xf numFmtId="0" fontId="58" fillId="11" borderId="3" xfId="0" applyFont="1" applyFill="1" applyBorder="1" applyAlignment="1">
      <alignment horizontal="left"/>
    </xf>
    <xf numFmtId="0" fontId="58" fillId="11" borderId="4" xfId="0" applyFont="1" applyFill="1" applyBorder="1" applyAlignment="1">
      <alignment horizontal="left"/>
    </xf>
    <xf numFmtId="165" fontId="58" fillId="11" borderId="0" xfId="1" applyNumberFormat="1" applyFont="1" applyFill="1" applyAlignment="1">
      <alignment horizontal="right"/>
    </xf>
    <xf numFmtId="165" fontId="58" fillId="11" borderId="5" xfId="1" applyNumberFormat="1" applyFont="1" applyFill="1" applyBorder="1" applyAlignment="1">
      <alignment horizontal="right"/>
    </xf>
    <xf numFmtId="165" fontId="60" fillId="11" borderId="0" xfId="1" applyNumberFormat="1" applyFont="1" applyFill="1" applyAlignment="1">
      <alignment horizontal="right"/>
    </xf>
    <xf numFmtId="165" fontId="60" fillId="11" borderId="5" xfId="1" applyNumberFormat="1" applyFont="1" applyFill="1" applyBorder="1" applyAlignment="1">
      <alignment horizontal="right"/>
    </xf>
    <xf numFmtId="165" fontId="59" fillId="11" borderId="0" xfId="1" applyNumberFormat="1" applyFont="1" applyFill="1" applyAlignment="1">
      <alignment horizontal="right"/>
    </xf>
    <xf numFmtId="165" fontId="59" fillId="11" borderId="5" xfId="1" applyNumberFormat="1" applyFont="1" applyFill="1" applyBorder="1" applyAlignment="1">
      <alignment horizontal="right"/>
    </xf>
    <xf numFmtId="165" fontId="58" fillId="0" borderId="27" xfId="1" applyNumberFormat="1" applyFont="1" applyBorder="1" applyAlignment="1">
      <alignment horizontal="right"/>
    </xf>
    <xf numFmtId="165" fontId="4" fillId="0" borderId="27" xfId="1" applyNumberFormat="1" applyFont="1" applyBorder="1" applyAlignment="1">
      <alignment horizontal="right"/>
    </xf>
    <xf numFmtId="165" fontId="4" fillId="0" borderId="28" xfId="1" applyNumberFormat="1" applyFont="1" applyBorder="1" applyAlignment="1">
      <alignment horizontal="right"/>
    </xf>
    <xf numFmtId="165" fontId="4" fillId="0" borderId="27" xfId="1" applyNumberFormat="1" applyFont="1" applyFill="1" applyBorder="1" applyAlignment="1">
      <alignment horizontal="right"/>
    </xf>
    <xf numFmtId="165" fontId="58" fillId="0" borderId="28" xfId="1" applyNumberFormat="1" applyFont="1" applyBorder="1" applyAlignment="1">
      <alignment horizontal="right"/>
    </xf>
    <xf numFmtId="0" fontId="58" fillId="11" borderId="0" xfId="0" applyFont="1" applyFill="1" applyAlignment="1">
      <alignment horizontal="left"/>
    </xf>
    <xf numFmtId="0" fontId="61" fillId="11" borderId="4" xfId="0" applyFont="1" applyFill="1" applyBorder="1" applyAlignment="1">
      <alignment horizontal="left"/>
    </xf>
    <xf numFmtId="165" fontId="58" fillId="0" borderId="27" xfId="1" applyNumberFormat="1" applyFont="1" applyFill="1" applyBorder="1" applyAlignment="1">
      <alignment horizontal="right"/>
    </xf>
    <xf numFmtId="165" fontId="58" fillId="9" borderId="27" xfId="1" applyNumberFormat="1" applyFont="1" applyFill="1" applyBorder="1" applyAlignment="1">
      <alignment horizontal="right"/>
    </xf>
    <xf numFmtId="165" fontId="59" fillId="11" borderId="28" xfId="1" applyNumberFormat="1" applyFont="1" applyFill="1" applyBorder="1" applyAlignment="1">
      <alignment horizontal="right"/>
    </xf>
    <xf numFmtId="165" fontId="4" fillId="11" borderId="0" xfId="1" applyNumberFormat="1" applyFont="1" applyFill="1" applyAlignment="1">
      <alignment horizontal="right"/>
    </xf>
    <xf numFmtId="165" fontId="58" fillId="11" borderId="26" xfId="1" applyNumberFormat="1" applyFont="1" applyFill="1" applyBorder="1" applyAlignment="1">
      <alignment horizontal="right"/>
    </xf>
    <xf numFmtId="165" fontId="58" fillId="11" borderId="25" xfId="1" applyNumberFormat="1" applyFont="1" applyFill="1" applyBorder="1" applyAlignment="1">
      <alignment horizontal="right"/>
    </xf>
    <xf numFmtId="43" fontId="58" fillId="0" borderId="7" xfId="1" applyFont="1" applyBorder="1" applyAlignment="1">
      <alignment horizontal="right"/>
    </xf>
    <xf numFmtId="43" fontId="58" fillId="0" borderId="8" xfId="1" applyFont="1" applyBorder="1" applyAlignment="1">
      <alignment horizontal="right"/>
    </xf>
    <xf numFmtId="165" fontId="4" fillId="0" borderId="2" xfId="1" applyNumberFormat="1" applyFont="1" applyBorder="1" applyAlignment="1">
      <alignment horizontal="right"/>
    </xf>
    <xf numFmtId="164" fontId="76" fillId="0" borderId="0" xfId="1" quotePrefix="1" applyNumberFormat="1" applyFont="1" applyAlignment="1">
      <alignment horizontal="right"/>
    </xf>
    <xf numFmtId="164" fontId="76" fillId="0" borderId="5" xfId="1" quotePrefix="1" applyNumberFormat="1" applyFont="1" applyBorder="1" applyAlignment="1">
      <alignment horizontal="right"/>
    </xf>
    <xf numFmtId="166" fontId="58" fillId="0" borderId="0" xfId="2" quotePrefix="1" applyNumberFormat="1" applyFont="1" applyAlignment="1">
      <alignment horizontal="right"/>
    </xf>
    <xf numFmtId="9" fontId="58" fillId="0" borderId="0" xfId="2" quotePrefix="1" applyFont="1" applyAlignment="1">
      <alignment horizontal="right"/>
    </xf>
    <xf numFmtId="9" fontId="58" fillId="0" borderId="5" xfId="2" quotePrefix="1" applyFont="1" applyBorder="1" applyAlignment="1">
      <alignment horizontal="right"/>
    </xf>
    <xf numFmtId="9" fontId="58" fillId="0" borderId="0" xfId="2" quotePrefix="1" applyFont="1" applyFill="1" applyAlignment="1">
      <alignment horizontal="right"/>
    </xf>
    <xf numFmtId="9" fontId="58" fillId="9" borderId="0" xfId="2" quotePrefix="1" applyFont="1" applyFill="1" applyAlignment="1">
      <alignment horizontal="right"/>
    </xf>
    <xf numFmtId="0" fontId="4" fillId="0" borderId="4" xfId="0" applyFont="1" applyBorder="1" applyAlignment="1">
      <alignment horizontal="left"/>
    </xf>
    <xf numFmtId="10" fontId="60" fillId="0" borderId="5" xfId="2" applyNumberFormat="1" applyFont="1" applyFill="1" applyBorder="1" applyAlignment="1">
      <alignment horizontal="right"/>
    </xf>
    <xf numFmtId="164" fontId="58" fillId="0" borderId="0" xfId="2" applyNumberFormat="1" applyFont="1" applyFill="1" applyAlignment="1">
      <alignment horizontal="right"/>
    </xf>
    <xf numFmtId="10" fontId="4" fillId="0" borderId="5" xfId="2" quotePrefix="1" applyNumberFormat="1" applyFont="1" applyFill="1" applyBorder="1" applyAlignment="1">
      <alignment horizontal="right"/>
    </xf>
    <xf numFmtId="164" fontId="58" fillId="9" borderId="0" xfId="2" applyNumberFormat="1" applyFont="1" applyFill="1" applyAlignment="1">
      <alignment horizontal="right"/>
    </xf>
    <xf numFmtId="164" fontId="59" fillId="0" borderId="25" xfId="1" applyNumberFormat="1" applyFont="1" applyFill="1" applyBorder="1" applyAlignment="1">
      <alignment horizontal="right"/>
    </xf>
    <xf numFmtId="165" fontId="62" fillId="0" borderId="5" xfId="1" applyNumberFormat="1" applyFont="1" applyBorder="1" applyAlignment="1">
      <alignment horizontal="right"/>
    </xf>
    <xf numFmtId="9" fontId="58" fillId="0" borderId="5" xfId="2" quotePrefix="1" applyFont="1" applyFill="1" applyBorder="1" applyAlignment="1">
      <alignment horizontal="right"/>
    </xf>
    <xf numFmtId="0" fontId="4" fillId="0" borderId="10" xfId="0" applyFont="1" applyBorder="1" applyAlignment="1">
      <alignment horizontal="left"/>
    </xf>
    <xf numFmtId="165" fontId="58" fillId="0" borderId="7" xfId="1" quotePrefix="1" applyNumberFormat="1" applyFont="1" applyFill="1" applyBorder="1" applyAlignment="1">
      <alignment horizontal="right"/>
    </xf>
    <xf numFmtId="165" fontId="58" fillId="0" borderId="7" xfId="1" applyNumberFormat="1" applyFont="1" applyFill="1" applyBorder="1" applyAlignment="1">
      <alignment horizontal="right"/>
    </xf>
    <xf numFmtId="165" fontId="58" fillId="0" borderId="8" xfId="1" quotePrefix="1" applyNumberFormat="1" applyFont="1" applyFill="1" applyBorder="1" applyAlignment="1">
      <alignment horizontal="right"/>
    </xf>
    <xf numFmtId="165" fontId="59" fillId="0" borderId="8" xfId="1" quotePrefix="1" applyNumberFormat="1" applyFont="1" applyFill="1" applyBorder="1" applyAlignment="1">
      <alignment horizontal="right"/>
    </xf>
    <xf numFmtId="9" fontId="73" fillId="0" borderId="0" xfId="2" applyFont="1" applyFill="1"/>
    <xf numFmtId="9" fontId="73" fillId="0" borderId="0" xfId="2" applyFont="1" applyFill="1" applyAlignment="1">
      <alignment horizontal="right"/>
    </xf>
    <xf numFmtId="165" fontId="63" fillId="0" borderId="0" xfId="2" applyNumberFormat="1" applyFont="1" applyAlignment="1">
      <alignment horizontal="right"/>
    </xf>
    <xf numFmtId="166" fontId="63" fillId="0" borderId="0" xfId="2" applyNumberFormat="1" applyFont="1" applyFill="1" applyAlignment="1">
      <alignment horizontal="right"/>
    </xf>
    <xf numFmtId="10" fontId="73" fillId="0" borderId="0" xfId="2" applyNumberFormat="1" applyFont="1" applyFill="1"/>
    <xf numFmtId="43" fontId="4" fillId="0" borderId="25" xfId="1" quotePrefix="1" applyFont="1" applyBorder="1" applyAlignment="1">
      <alignment horizontal="right"/>
    </xf>
    <xf numFmtId="9" fontId="59" fillId="0" borderId="5" xfId="2" quotePrefix="1" applyFont="1" applyBorder="1" applyAlignment="1">
      <alignment horizontal="right"/>
    </xf>
    <xf numFmtId="167" fontId="58" fillId="0" borderId="28" xfId="1" applyNumberFormat="1" applyFont="1" applyBorder="1" applyAlignment="1">
      <alignment horizontal="right"/>
    </xf>
    <xf numFmtId="166" fontId="59" fillId="0" borderId="5" xfId="2" applyNumberFormat="1" applyFont="1" applyFill="1" applyBorder="1" applyAlignment="1">
      <alignment horizontal="right"/>
    </xf>
    <xf numFmtId="43" fontId="4" fillId="0" borderId="5" xfId="1" quotePrefix="1" applyFont="1" applyBorder="1" applyAlignment="1">
      <alignment horizontal="right"/>
    </xf>
    <xf numFmtId="167" fontId="4" fillId="0" borderId="5" xfId="1" quotePrefix="1" applyNumberFormat="1" applyFont="1" applyBorder="1" applyAlignment="1">
      <alignment horizontal="right"/>
    </xf>
    <xf numFmtId="165" fontId="4" fillId="0" borderId="0" xfId="2" applyNumberFormat="1" applyFont="1" applyFill="1"/>
    <xf numFmtId="166" fontId="4" fillId="0" borderId="0" xfId="2" applyNumberFormat="1" applyFont="1" applyFill="1"/>
    <xf numFmtId="0" fontId="73" fillId="0" borderId="0" xfId="0" applyFont="1"/>
    <xf numFmtId="166" fontId="73" fillId="0" borderId="0" xfId="0" applyNumberFormat="1" applyFont="1" applyAlignment="1">
      <alignment horizontal="right"/>
    </xf>
    <xf numFmtId="166" fontId="73" fillId="0" borderId="0" xfId="2" applyNumberFormat="1" applyFont="1"/>
    <xf numFmtId="43" fontId="73" fillId="0" borderId="0" xfId="2" applyNumberFormat="1" applyFont="1" applyFill="1"/>
    <xf numFmtId="0" fontId="58" fillId="0" borderId="6" xfId="0" applyFont="1" applyBorder="1" applyAlignment="1">
      <alignment horizontal="left" indent="1"/>
    </xf>
    <xf numFmtId="165" fontId="58" fillId="0" borderId="5" xfId="0" applyNumberFormat="1" applyFont="1" applyBorder="1" applyAlignment="1">
      <alignment horizontal="right"/>
    </xf>
    <xf numFmtId="165" fontId="58" fillId="9" borderId="5" xfId="0" applyNumberFormat="1" applyFont="1" applyFill="1" applyBorder="1" applyAlignment="1">
      <alignment horizontal="right"/>
    </xf>
    <xf numFmtId="43" fontId="73" fillId="0" borderId="0" xfId="1" applyFont="1" applyFill="1"/>
    <xf numFmtId="166" fontId="4" fillId="0" borderId="28" xfId="2" applyNumberFormat="1" applyFont="1" applyBorder="1" applyAlignment="1">
      <alignment horizontal="right"/>
    </xf>
    <xf numFmtId="166" fontId="73" fillId="0" borderId="0" xfId="2" applyNumberFormat="1" applyFont="1" applyFill="1"/>
    <xf numFmtId="43" fontId="63" fillId="0" borderId="0" xfId="1" applyFont="1" applyFill="1" applyAlignment="1">
      <alignment horizontal="right"/>
    </xf>
    <xf numFmtId="7" fontId="58" fillId="12" borderId="27" xfId="1" applyNumberFormat="1" applyFont="1" applyFill="1" applyBorder="1" applyAlignment="1">
      <alignment horizontal="right"/>
    </xf>
    <xf numFmtId="165" fontId="59" fillId="12" borderId="8" xfId="1" quotePrefix="1" applyNumberFormat="1" applyFont="1" applyFill="1" applyBorder="1" applyAlignment="1">
      <alignment horizontal="right"/>
    </xf>
    <xf numFmtId="0" fontId="58" fillId="0" borderId="1" xfId="0" applyFont="1" applyBorder="1"/>
    <xf numFmtId="0" fontId="4" fillId="0" borderId="2" xfId="0" applyFont="1" applyBorder="1"/>
    <xf numFmtId="164" fontId="4" fillId="0" borderId="2" xfId="1" applyNumberFormat="1" applyFont="1" applyBorder="1" applyAlignment="1">
      <alignment horizontal="right"/>
    </xf>
    <xf numFmtId="0" fontId="4" fillId="0" borderId="2" xfId="0" applyFont="1" applyBorder="1" applyAlignment="1">
      <alignment horizontal="right"/>
    </xf>
    <xf numFmtId="164" fontId="4" fillId="0" borderId="0" xfId="1" applyNumberFormat="1" applyFont="1" applyBorder="1" applyAlignment="1">
      <alignment horizontal="right"/>
    </xf>
    <xf numFmtId="0" fontId="4" fillId="0" borderId="7" xfId="0" applyFont="1" applyBorder="1"/>
    <xf numFmtId="164" fontId="4" fillId="0" borderId="7" xfId="1" applyNumberFormat="1" applyFont="1" applyBorder="1" applyAlignment="1">
      <alignment horizontal="right"/>
    </xf>
    <xf numFmtId="0" fontId="4" fillId="0" borderId="7" xfId="0" applyFont="1" applyBorder="1" applyAlignment="1">
      <alignment horizontal="right"/>
    </xf>
    <xf numFmtId="166" fontId="58" fillId="0" borderId="29" xfId="2" applyNumberFormat="1" applyFont="1" applyBorder="1" applyAlignment="1">
      <alignment horizontal="right"/>
    </xf>
    <xf numFmtId="166" fontId="58" fillId="12" borderId="8" xfId="0" applyNumberFormat="1" applyFont="1" applyFill="1" applyBorder="1" applyAlignment="1">
      <alignment horizontal="right"/>
    </xf>
    <xf numFmtId="227" fontId="59" fillId="12" borderId="5" xfId="1" quotePrefix="1" applyNumberFormat="1" applyFont="1" applyFill="1" applyBorder="1" applyAlignment="1">
      <alignment horizontal="right"/>
    </xf>
    <xf numFmtId="166" fontId="58" fillId="12" borderId="5" xfId="2" applyNumberFormat="1" applyFont="1" applyFill="1" applyBorder="1" applyAlignment="1">
      <alignment horizontal="right"/>
    </xf>
    <xf numFmtId="43" fontId="58" fillId="0" borderId="0" xfId="1" applyFont="1" applyAlignment="1">
      <alignment horizontal="right"/>
    </xf>
    <xf numFmtId="225" fontId="58" fillId="0" borderId="0" xfId="1" applyNumberFormat="1" applyFont="1" applyAlignment="1">
      <alignment horizontal="right"/>
    </xf>
    <xf numFmtId="0" fontId="58" fillId="0" borderId="2" xfId="0" applyFont="1" applyBorder="1"/>
    <xf numFmtId="164" fontId="58" fillId="0" borderId="2" xfId="1" applyNumberFormat="1" applyFont="1" applyBorder="1" applyAlignment="1">
      <alignment horizontal="right"/>
    </xf>
    <xf numFmtId="0" fontId="58" fillId="0" borderId="2" xfId="0" applyFont="1" applyBorder="1" applyAlignment="1">
      <alignment horizontal="right"/>
    </xf>
    <xf numFmtId="0" fontId="58" fillId="0" borderId="11" xfId="0" applyFont="1" applyBorder="1" applyAlignment="1">
      <alignment horizontal="right"/>
    </xf>
    <xf numFmtId="0" fontId="58" fillId="0" borderId="7" xfId="0" applyFont="1" applyBorder="1"/>
    <xf numFmtId="0" fontId="58" fillId="0" borderId="10" xfId="0" applyFont="1" applyBorder="1" applyAlignment="1">
      <alignment horizontal="right"/>
    </xf>
    <xf numFmtId="43" fontId="64" fillId="12" borderId="30" xfId="1" applyFont="1" applyFill="1" applyBorder="1" applyAlignment="1">
      <alignment horizontal="right"/>
    </xf>
    <xf numFmtId="2" fontId="58" fillId="12" borderId="29" xfId="0" applyNumberFormat="1" applyFont="1" applyFill="1" applyBorder="1" applyAlignment="1">
      <alignment horizontal="right"/>
    </xf>
    <xf numFmtId="2" fontId="58" fillId="12" borderId="8" xfId="0" applyNumberFormat="1" applyFont="1" applyFill="1" applyBorder="1" applyAlignment="1">
      <alignment horizontal="right"/>
    </xf>
    <xf numFmtId="165" fontId="58" fillId="12" borderId="5" xfId="1" applyNumberFormat="1" applyFont="1" applyFill="1" applyBorder="1" applyAlignment="1">
      <alignment horizontal="right"/>
    </xf>
    <xf numFmtId="43" fontId="64" fillId="12" borderId="32" xfId="1" applyFont="1" applyFill="1" applyBorder="1" applyAlignment="1">
      <alignment horizontal="right"/>
    </xf>
    <xf numFmtId="166" fontId="58" fillId="12" borderId="0" xfId="2" applyNumberFormat="1" applyFont="1" applyFill="1" applyAlignment="1">
      <alignment horizontal="right"/>
    </xf>
    <xf numFmtId="227" fontId="58" fillId="0" borderId="4" xfId="1" applyNumberFormat="1" applyFont="1" applyFill="1" applyBorder="1" applyAlignment="1">
      <alignment horizontal="right"/>
    </xf>
    <xf numFmtId="43" fontId="60" fillId="0" borderId="4" xfId="1" quotePrefix="1" applyFont="1" applyBorder="1" applyAlignment="1">
      <alignment horizontal="right"/>
    </xf>
    <xf numFmtId="0" fontId="59" fillId="0" borderId="6" xfId="0" applyFont="1" applyBorder="1"/>
    <xf numFmtId="228" fontId="59" fillId="0" borderId="10" xfId="1" applyNumberFormat="1" applyFont="1" applyBorder="1" applyAlignment="1">
      <alignment horizontal="right"/>
    </xf>
    <xf numFmtId="166" fontId="58" fillId="0" borderId="8" xfId="2" applyNumberFormat="1" applyFont="1" applyBorder="1" applyAlignment="1">
      <alignment horizontal="right"/>
    </xf>
    <xf numFmtId="229" fontId="58" fillId="0" borderId="0" xfId="0" applyNumberFormat="1" applyFont="1"/>
    <xf numFmtId="43" fontId="4" fillId="0" borderId="0" xfId="1" applyFont="1" applyAlignment="1">
      <alignment horizontal="right"/>
    </xf>
    <xf numFmtId="166" fontId="59" fillId="12" borderId="8" xfId="2" applyNumberFormat="1" applyFont="1" applyFill="1" applyBorder="1" applyAlignment="1">
      <alignment horizontal="right"/>
    </xf>
    <xf numFmtId="165" fontId="73" fillId="0" borderId="0" xfId="2" applyNumberFormat="1" applyFont="1" applyFill="1"/>
    <xf numFmtId="164" fontId="60" fillId="12" borderId="5" xfId="1" applyNumberFormat="1" applyFont="1" applyFill="1" applyBorder="1" applyAlignment="1">
      <alignment horizontal="right"/>
    </xf>
    <xf numFmtId="9" fontId="59" fillId="12" borderId="8" xfId="2" applyFont="1" applyFill="1" applyBorder="1" applyAlignment="1">
      <alignment horizontal="right"/>
    </xf>
    <xf numFmtId="0" fontId="77" fillId="0" borderId="3" xfId="0" applyFont="1" applyBorder="1"/>
    <xf numFmtId="0" fontId="78" fillId="0" borderId="3" xfId="0" applyFont="1" applyBorder="1"/>
    <xf numFmtId="0" fontId="80" fillId="0" borderId="12" xfId="0" applyFont="1" applyBorder="1" applyAlignment="1">
      <alignment horizontal="left" indent="1"/>
    </xf>
    <xf numFmtId="0" fontId="80" fillId="0" borderId="3" xfId="0" applyFont="1" applyBorder="1" applyAlignment="1">
      <alignment horizontal="left" indent="1"/>
    </xf>
    <xf numFmtId="0" fontId="59" fillId="0" borderId="12" xfId="0" applyFont="1" applyBorder="1" applyAlignment="1">
      <alignment horizontal="left" indent="1"/>
    </xf>
    <xf numFmtId="0" fontId="61" fillId="0" borderId="3" xfId="0" applyFont="1" applyBorder="1"/>
    <xf numFmtId="10" fontId="58" fillId="9" borderId="11" xfId="1" applyNumberFormat="1" applyFont="1" applyFill="1" applyBorder="1" applyAlignment="1">
      <alignment horizontal="right"/>
    </xf>
    <xf numFmtId="10" fontId="58" fillId="9" borderId="4" xfId="2" applyNumberFormat="1" applyFont="1" applyFill="1" applyBorder="1" applyAlignment="1">
      <alignment horizontal="right"/>
    </xf>
    <xf numFmtId="5" fontId="58" fillId="0" borderId="4" xfId="1" applyNumberFormat="1" applyFont="1" applyBorder="1" applyAlignment="1">
      <alignment horizontal="right"/>
    </xf>
    <xf numFmtId="6" fontId="58" fillId="0" borderId="10" xfId="0" applyNumberFormat="1" applyFont="1" applyBorder="1"/>
    <xf numFmtId="0" fontId="54" fillId="13" borderId="3" xfId="0" applyFont="1" applyFill="1" applyBorder="1" applyAlignment="1">
      <alignment horizontal="left"/>
    </xf>
    <xf numFmtId="0" fontId="54" fillId="13" borderId="23" xfId="0" applyFont="1" applyFill="1" applyBorder="1" applyAlignment="1">
      <alignment horizontal="left"/>
    </xf>
    <xf numFmtId="5" fontId="78" fillId="0" borderId="0" xfId="1" applyNumberFormat="1" applyFont="1" applyBorder="1" applyAlignment="1">
      <alignment horizontal="right"/>
    </xf>
    <xf numFmtId="165" fontId="79" fillId="0" borderId="0" xfId="1" applyNumberFormat="1" applyFont="1" applyBorder="1" applyAlignment="1">
      <alignment horizontal="right"/>
    </xf>
    <xf numFmtId="165" fontId="80" fillId="0" borderId="26" xfId="1" applyNumberFormat="1" applyFont="1" applyBorder="1" applyAlignment="1">
      <alignment horizontal="right"/>
    </xf>
    <xf numFmtId="165" fontId="54" fillId="13" borderId="0" xfId="1" applyNumberFormat="1" applyFont="1" applyFill="1" applyBorder="1" applyAlignment="1">
      <alignment horizontal="right"/>
    </xf>
    <xf numFmtId="43" fontId="78" fillId="9" borderId="0" xfId="1" applyFont="1" applyFill="1" applyBorder="1" applyAlignment="1">
      <alignment horizontal="right"/>
    </xf>
    <xf numFmtId="43" fontId="78" fillId="0" borderId="0" xfId="1" applyFont="1" applyBorder="1" applyAlignment="1">
      <alignment horizontal="right"/>
    </xf>
    <xf numFmtId="166" fontId="78" fillId="9" borderId="0" xfId="1" applyNumberFormat="1" applyFont="1" applyFill="1" applyBorder="1" applyAlignment="1">
      <alignment horizontal="right"/>
    </xf>
    <xf numFmtId="166" fontId="80" fillId="0" borderId="0" xfId="2" applyNumberFormat="1" applyFont="1" applyBorder="1" applyAlignment="1">
      <alignment horizontal="right"/>
    </xf>
    <xf numFmtId="10" fontId="78" fillId="9" borderId="0" xfId="2" applyNumberFormat="1" applyFont="1" applyFill="1" applyBorder="1" applyAlignment="1">
      <alignment horizontal="right"/>
    </xf>
    <xf numFmtId="166" fontId="80" fillId="0" borderId="26" xfId="2" applyNumberFormat="1" applyFont="1" applyBorder="1" applyAlignment="1">
      <alignment horizontal="right"/>
    </xf>
    <xf numFmtId="166" fontId="58" fillId="0" borderId="0" xfId="2" applyNumberFormat="1" applyFont="1" applyBorder="1" applyAlignment="1">
      <alignment horizontal="right"/>
    </xf>
    <xf numFmtId="9" fontId="58" fillId="9" borderId="0" xfId="2" applyFont="1" applyFill="1" applyBorder="1" applyAlignment="1">
      <alignment horizontal="right"/>
    </xf>
    <xf numFmtId="166" fontId="59" fillId="0" borderId="26" xfId="2" applyNumberFormat="1" applyFont="1" applyBorder="1" applyAlignment="1">
      <alignment horizontal="right"/>
    </xf>
    <xf numFmtId="165" fontId="54" fillId="13" borderId="27" xfId="1" applyNumberFormat="1" applyFont="1" applyFill="1" applyBorder="1" applyAlignment="1">
      <alignment horizontal="right"/>
    </xf>
    <xf numFmtId="165" fontId="58" fillId="0" borderId="0" xfId="1" applyNumberFormat="1" applyFont="1" applyBorder="1" applyAlignment="1">
      <alignment horizontal="right"/>
    </xf>
    <xf numFmtId="43" fontId="60" fillId="0" borderId="0" xfId="1" applyFont="1" applyBorder="1" applyAlignment="1">
      <alignment horizontal="right"/>
    </xf>
    <xf numFmtId="0" fontId="56" fillId="2" borderId="29" xfId="0" applyFont="1" applyFill="1" applyBorder="1" applyAlignment="1">
      <alignment horizontal="left"/>
    </xf>
    <xf numFmtId="0" fontId="0" fillId="0" borderId="5" xfId="0" applyBorder="1"/>
    <xf numFmtId="0" fontId="0" fillId="0" borderId="8" xfId="0" applyBorder="1"/>
    <xf numFmtId="0" fontId="59" fillId="0" borderId="3" xfId="0" applyFont="1" applyBorder="1"/>
    <xf numFmtId="5" fontId="59" fillId="0" borderId="0" xfId="1" applyNumberFormat="1" applyFont="1" applyBorder="1" applyAlignment="1">
      <alignment horizontal="right"/>
    </xf>
    <xf numFmtId="0" fontId="63" fillId="0" borderId="6" xfId="0" applyFont="1" applyBorder="1" applyAlignment="1">
      <alignment horizontal="right"/>
    </xf>
    <xf numFmtId="5" fontId="81" fillId="0" borderId="10" xfId="0" applyNumberFormat="1" applyFont="1" applyBorder="1" applyAlignment="1">
      <alignment vertical="top" wrapText="1"/>
    </xf>
    <xf numFmtId="166" fontId="58" fillId="0" borderId="13" xfId="2" applyNumberFormat="1" applyFont="1" applyFill="1" applyBorder="1" applyAlignment="1">
      <alignment horizontal="right"/>
    </xf>
    <xf numFmtId="0" fontId="0" fillId="0" borderId="0" xfId="0" applyAlignment="1">
      <alignment horizontal="left" vertical="top" wrapText="1"/>
    </xf>
    <xf numFmtId="228" fontId="58" fillId="0" borderId="4" xfId="1" applyNumberFormat="1" applyFont="1" applyBorder="1" applyAlignment="1">
      <alignment horizontal="right"/>
    </xf>
    <xf numFmtId="228" fontId="58" fillId="0" borderId="11" xfId="1" applyNumberFormat="1" applyFont="1" applyBorder="1" applyAlignment="1">
      <alignment horizontal="right"/>
    </xf>
    <xf numFmtId="0" fontId="59" fillId="0" borderId="37" xfId="0" applyFont="1" applyBorder="1"/>
    <xf numFmtId="228" fontId="59" fillId="0" borderId="38" xfId="1" applyNumberFormat="1" applyFont="1" applyBorder="1" applyAlignment="1">
      <alignment horizontal="right"/>
    </xf>
    <xf numFmtId="167" fontId="59" fillId="0" borderId="5" xfId="1" quotePrefix="1" applyNumberFormat="1" applyFont="1" applyBorder="1" applyAlignment="1">
      <alignment horizontal="right"/>
    </xf>
    <xf numFmtId="230" fontId="58" fillId="0" borderId="0" xfId="1" applyNumberFormat="1" applyFont="1" applyAlignment="1">
      <alignment horizontal="right"/>
    </xf>
    <xf numFmtId="164" fontId="58" fillId="0" borderId="0" xfId="1" applyNumberFormat="1" applyFont="1" applyFill="1" applyAlignment="1">
      <alignment horizontal="left"/>
    </xf>
    <xf numFmtId="165" fontId="81" fillId="0" borderId="10" xfId="1" applyNumberFormat="1" applyFont="1" applyBorder="1" applyAlignment="1">
      <alignment vertical="top" wrapText="1"/>
    </xf>
    <xf numFmtId="10" fontId="82" fillId="9" borderId="0" xfId="2" applyNumberFormat="1" applyFont="1" applyFill="1" applyBorder="1" applyAlignment="1">
      <alignment horizontal="right"/>
    </xf>
    <xf numFmtId="166" fontId="62" fillId="0" borderId="0" xfId="2" applyNumberFormat="1" applyFont="1" applyBorder="1" applyAlignment="1">
      <alignment horizontal="right"/>
    </xf>
    <xf numFmtId="10" fontId="82" fillId="9" borderId="0" xfId="1" applyNumberFormat="1" applyFont="1" applyFill="1" applyBorder="1" applyAlignment="1">
      <alignment horizontal="right"/>
    </xf>
    <xf numFmtId="43" fontId="78" fillId="0" borderId="0" xfId="1" applyFont="1" applyFill="1" applyBorder="1" applyAlignment="1">
      <alignment horizontal="right"/>
    </xf>
    <xf numFmtId="227" fontId="58" fillId="0" borderId="4" xfId="2" applyNumberFormat="1" applyFont="1" applyFill="1" applyBorder="1" applyAlignment="1">
      <alignment horizontal="right"/>
    </xf>
    <xf numFmtId="227" fontId="58" fillId="9" borderId="4" xfId="1" applyNumberFormat="1" applyFont="1" applyFill="1" applyBorder="1" applyAlignment="1">
      <alignment horizontal="right"/>
    </xf>
    <xf numFmtId="5" fontId="78" fillId="0" borderId="0" xfId="1" applyNumberFormat="1" applyFont="1" applyFill="1" applyBorder="1" applyAlignment="1">
      <alignment horizontal="right"/>
    </xf>
    <xf numFmtId="10" fontId="58" fillId="9" borderId="0" xfId="2" applyNumberFormat="1" applyFont="1" applyFill="1" applyBorder="1" applyAlignment="1">
      <alignment horizontal="right"/>
    </xf>
    <xf numFmtId="167" fontId="71" fillId="9" borderId="0" xfId="1" applyNumberFormat="1" applyFont="1" applyFill="1" applyAlignment="1">
      <alignment horizontal="right"/>
    </xf>
    <xf numFmtId="0" fontId="58" fillId="0" borderId="3" xfId="0" applyFont="1" applyBorder="1" applyAlignment="1">
      <alignment horizontal="left"/>
    </xf>
    <xf numFmtId="0" fontId="58" fillId="0" borderId="4" xfId="0" applyFont="1" applyBorder="1" applyAlignment="1">
      <alignment horizontal="left"/>
    </xf>
    <xf numFmtId="0" fontId="0" fillId="0" borderId="23" xfId="0" applyBorder="1" applyAlignment="1">
      <alignment horizontal="left"/>
    </xf>
    <xf numFmtId="0" fontId="1" fillId="0" borderId="24" xfId="0" applyFont="1" applyBorder="1" applyAlignment="1">
      <alignment horizontal="left"/>
    </xf>
    <xf numFmtId="0" fontId="0" fillId="0" borderId="3" xfId="0" applyBorder="1" applyAlignment="1">
      <alignment horizontal="left"/>
    </xf>
    <xf numFmtId="0" fontId="1" fillId="0" borderId="4" xfId="0" applyFont="1" applyBorder="1" applyAlignment="1">
      <alignment horizontal="left"/>
    </xf>
    <xf numFmtId="0" fontId="0" fillId="0" borderId="12" xfId="0" applyBorder="1" applyAlignment="1">
      <alignment horizontal="left"/>
    </xf>
    <xf numFmtId="0" fontId="1" fillId="0" borderId="13" xfId="0" applyFont="1" applyBorder="1" applyAlignment="1">
      <alignment horizontal="left"/>
    </xf>
    <xf numFmtId="0" fontId="56" fillId="2" borderId="1" xfId="0" applyFont="1" applyFill="1" applyBorder="1" applyAlignment="1">
      <alignment horizontal="left"/>
    </xf>
    <xf numFmtId="0" fontId="56" fillId="2" borderId="11" xfId="0" applyFont="1" applyFill="1" applyBorder="1" applyAlignment="1">
      <alignment horizontal="left"/>
    </xf>
    <xf numFmtId="0" fontId="58" fillId="0" borderId="23" xfId="0" applyFont="1" applyBorder="1" applyAlignment="1">
      <alignment horizontal="left"/>
    </xf>
    <xf numFmtId="0" fontId="58" fillId="0" borderId="24" xfId="0" applyFont="1" applyBorder="1" applyAlignment="1">
      <alignment horizontal="left"/>
    </xf>
    <xf numFmtId="0" fontId="59" fillId="0" borderId="12" xfId="0" applyFont="1" applyBorder="1" applyAlignment="1">
      <alignment horizontal="left" indent="2"/>
    </xf>
    <xf numFmtId="0" fontId="59" fillId="0" borderId="13" xfId="0" applyFont="1" applyBorder="1" applyAlignment="1">
      <alignment horizontal="left" indent="2"/>
    </xf>
    <xf numFmtId="0" fontId="59" fillId="0" borderId="3" xfId="0" applyFont="1" applyBorder="1" applyAlignment="1">
      <alignment horizontal="left" indent="1"/>
    </xf>
    <xf numFmtId="0" fontId="59" fillId="0" borderId="4" xfId="0" applyFont="1" applyBorder="1" applyAlignment="1">
      <alignment horizontal="left" indent="1"/>
    </xf>
    <xf numFmtId="0" fontId="59" fillId="0" borderId="12" xfId="0" applyFont="1" applyBorder="1" applyAlignment="1">
      <alignment horizontal="left"/>
    </xf>
    <xf numFmtId="0" fontId="59" fillId="0" borderId="13" xfId="0" applyFont="1" applyBorder="1" applyAlignment="1">
      <alignment horizontal="left"/>
    </xf>
    <xf numFmtId="0" fontId="58" fillId="0" borderId="3" xfId="0" applyFont="1" applyBorder="1" applyAlignment="1">
      <alignment horizontal="left" indent="1"/>
    </xf>
    <xf numFmtId="0" fontId="58" fillId="0" borderId="4" xfId="0" applyFont="1" applyBorder="1" applyAlignment="1">
      <alignment horizontal="left" indent="1"/>
    </xf>
    <xf numFmtId="0" fontId="61" fillId="0" borderId="23" xfId="0" applyFont="1" applyBorder="1" applyAlignment="1">
      <alignment horizontal="left"/>
    </xf>
    <xf numFmtId="0" fontId="61" fillId="0" borderId="24" xfId="0" applyFont="1" applyBorder="1" applyAlignment="1">
      <alignment horizontal="left"/>
    </xf>
    <xf numFmtId="0" fontId="56" fillId="2" borderId="3" xfId="0" applyFont="1" applyFill="1" applyBorder="1" applyAlignment="1">
      <alignment horizontal="left"/>
    </xf>
    <xf numFmtId="0" fontId="56" fillId="2" borderId="4" xfId="0" applyFont="1" applyFill="1" applyBorder="1" applyAlignment="1">
      <alignment horizontal="left"/>
    </xf>
    <xf numFmtId="0" fontId="61" fillId="0" borderId="3" xfId="0" applyFont="1" applyBorder="1" applyAlignment="1">
      <alignment horizontal="left"/>
    </xf>
    <xf numFmtId="0" fontId="61" fillId="0" borderId="4" xfId="0" applyFont="1" applyBorder="1" applyAlignment="1">
      <alignment horizontal="left"/>
    </xf>
    <xf numFmtId="0" fontId="57" fillId="2" borderId="3" xfId="0" applyFont="1" applyFill="1" applyBorder="1" applyAlignment="1">
      <alignment horizontal="left"/>
    </xf>
    <xf numFmtId="0" fontId="57" fillId="2" borderId="4" xfId="0" applyFont="1" applyFill="1" applyBorder="1" applyAlignment="1">
      <alignment horizontal="left"/>
    </xf>
    <xf numFmtId="0" fontId="58" fillId="0" borderId="3" xfId="0" applyFont="1" applyBorder="1" applyAlignment="1">
      <alignment horizontal="left" indent="2"/>
    </xf>
    <xf numFmtId="0" fontId="58" fillId="0" borderId="4" xfId="0" applyFont="1" applyBorder="1" applyAlignment="1">
      <alignment horizontal="left" indent="2"/>
    </xf>
    <xf numFmtId="0" fontId="58" fillId="0" borderId="3" xfId="0" applyFont="1" applyBorder="1" applyAlignment="1">
      <alignment horizontal="left" indent="5"/>
    </xf>
    <xf numFmtId="0" fontId="58" fillId="0" borderId="4" xfId="0" applyFont="1" applyBorder="1" applyAlignment="1">
      <alignment horizontal="left" indent="5"/>
    </xf>
    <xf numFmtId="0" fontId="59" fillId="0" borderId="3" xfId="0" applyFont="1" applyBorder="1" applyAlignment="1">
      <alignment horizontal="left" indent="3"/>
    </xf>
    <xf numFmtId="0" fontId="59" fillId="0" borderId="4" xfId="0" applyFont="1" applyBorder="1" applyAlignment="1">
      <alignment horizontal="left" indent="3"/>
    </xf>
    <xf numFmtId="0" fontId="58" fillId="0" borderId="3" xfId="0" applyFont="1" applyBorder="1" applyAlignment="1">
      <alignment horizontal="left" indent="4"/>
    </xf>
    <xf numFmtId="0" fontId="58" fillId="0" borderId="4" xfId="0" applyFont="1" applyBorder="1" applyAlignment="1">
      <alignment horizontal="left" indent="4"/>
    </xf>
    <xf numFmtId="0" fontId="57" fillId="0" borderId="4" xfId="0" applyFont="1" applyBorder="1" applyAlignment="1">
      <alignment horizontal="center" wrapText="1"/>
    </xf>
    <xf numFmtId="0" fontId="59" fillId="0" borderId="6" xfId="0" applyFont="1" applyBorder="1" applyAlignment="1">
      <alignment horizontal="left" indent="2"/>
    </xf>
    <xf numFmtId="0" fontId="59" fillId="0" borderId="10" xfId="0" applyFont="1" applyBorder="1" applyAlignment="1">
      <alignment horizontal="left" indent="2"/>
    </xf>
    <xf numFmtId="0" fontId="59" fillId="0" borderId="3" xfId="0" applyFont="1" applyBorder="1" applyAlignment="1">
      <alignment horizontal="left" indent="2"/>
    </xf>
    <xf numFmtId="0" fontId="59" fillId="0" borderId="4" xfId="0" applyFont="1" applyBorder="1" applyAlignment="1">
      <alignment horizontal="left" indent="2"/>
    </xf>
    <xf numFmtId="0" fontId="58" fillId="0" borderId="3" xfId="3" applyFont="1" applyBorder="1" applyAlignment="1">
      <alignment horizontal="left" vertical="top"/>
    </xf>
    <xf numFmtId="0" fontId="58" fillId="0" borderId="4" xfId="3" applyFont="1" applyBorder="1" applyAlignment="1">
      <alignment horizontal="left" vertical="top"/>
    </xf>
    <xf numFmtId="0" fontId="59" fillId="0" borderId="3" xfId="0" applyFont="1" applyBorder="1" applyAlignment="1">
      <alignment horizontal="left"/>
    </xf>
    <xf numFmtId="0" fontId="59" fillId="0" borderId="4" xfId="0" applyFont="1" applyBorder="1" applyAlignment="1">
      <alignment horizontal="left"/>
    </xf>
    <xf numFmtId="0" fontId="58" fillId="11" borderId="23" xfId="0" applyFont="1" applyFill="1" applyBorder="1" applyAlignment="1">
      <alignment horizontal="left"/>
    </xf>
    <xf numFmtId="0" fontId="58" fillId="11" borderId="24" xfId="0" applyFont="1" applyFill="1" applyBorder="1" applyAlignment="1">
      <alignment horizontal="left"/>
    </xf>
    <xf numFmtId="0" fontId="58" fillId="11" borderId="12" xfId="0" applyFont="1" applyFill="1" applyBorder="1" applyAlignment="1">
      <alignment horizontal="left"/>
    </xf>
    <xf numFmtId="0" fontId="58" fillId="11" borderId="13" xfId="0" applyFont="1" applyFill="1" applyBorder="1" applyAlignment="1">
      <alignment horizontal="left"/>
    </xf>
    <xf numFmtId="0" fontId="58" fillId="0" borderId="6" xfId="0" applyFont="1" applyBorder="1" applyAlignment="1">
      <alignment horizontal="left"/>
    </xf>
    <xf numFmtId="0" fontId="58" fillId="0" borderId="10" xfId="0" applyFont="1" applyBorder="1" applyAlignment="1">
      <alignment horizontal="left"/>
    </xf>
    <xf numFmtId="0" fontId="4" fillId="0" borderId="2" xfId="0" applyFont="1" applyBorder="1" applyAlignment="1">
      <alignment horizontal="left"/>
    </xf>
    <xf numFmtId="0" fontId="58" fillId="11" borderId="3" xfId="0" applyFont="1" applyFill="1" applyBorder="1" applyAlignment="1">
      <alignment horizontal="left"/>
    </xf>
    <xf numFmtId="0" fontId="58" fillId="11" borderId="4" xfId="0" applyFont="1" applyFill="1" applyBorder="1" applyAlignment="1">
      <alignment horizontal="left"/>
    </xf>
    <xf numFmtId="0" fontId="59" fillId="11" borderId="3" xfId="0" applyFont="1" applyFill="1" applyBorder="1" applyAlignment="1">
      <alignment horizontal="left" indent="1"/>
    </xf>
    <xf numFmtId="0" fontId="59" fillId="11" borderId="4" xfId="0" applyFont="1" applyFill="1" applyBorder="1" applyAlignment="1">
      <alignment horizontal="left" indent="1"/>
    </xf>
    <xf numFmtId="0" fontId="61" fillId="11" borderId="23" xfId="0" applyFont="1" applyFill="1" applyBorder="1" applyAlignment="1">
      <alignment horizontal="left"/>
    </xf>
    <xf numFmtId="0" fontId="61" fillId="11" borderId="24" xfId="0" applyFont="1" applyFill="1" applyBorder="1" applyAlignment="1">
      <alignment horizontal="left"/>
    </xf>
    <xf numFmtId="0" fontId="56" fillId="2" borderId="2" xfId="0" applyFont="1" applyFill="1" applyBorder="1" applyAlignment="1">
      <alignment horizontal="left"/>
    </xf>
    <xf numFmtId="0" fontId="0" fillId="0" borderId="35" xfId="0" applyBorder="1" applyAlignment="1">
      <alignment horizontal="left" vertical="top" wrapText="1"/>
    </xf>
    <xf numFmtId="0" fontId="0" fillId="0" borderId="9" xfId="0" applyBorder="1" applyAlignment="1">
      <alignment horizontal="left" vertical="top" wrapText="1"/>
    </xf>
    <xf numFmtId="0" fontId="0" fillId="0" borderId="36" xfId="0" applyBorder="1" applyAlignment="1">
      <alignment horizontal="left" vertical="top" wrapText="1"/>
    </xf>
    <xf numFmtId="0" fontId="0" fillId="0" borderId="1" xfId="0" applyBorder="1" applyAlignment="1">
      <alignment horizontal="left" vertical="top" wrapText="1"/>
    </xf>
    <xf numFmtId="0" fontId="0" fillId="0" borderId="11"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6" xfId="0" applyBorder="1" applyAlignment="1">
      <alignment horizontal="left" vertical="top" wrapText="1"/>
    </xf>
    <xf numFmtId="0" fontId="0" fillId="0" borderId="10" xfId="0" applyBorder="1" applyAlignment="1">
      <alignment horizontal="left" vertical="top" wrapText="1"/>
    </xf>
    <xf numFmtId="0" fontId="54" fillId="13" borderId="23" xfId="0" applyFont="1" applyFill="1" applyBorder="1" applyAlignment="1">
      <alignment horizontal="left"/>
    </xf>
    <xf numFmtId="0" fontId="54" fillId="13" borderId="27" xfId="0" applyFont="1" applyFill="1" applyBorder="1" applyAlignment="1">
      <alignment horizontal="left"/>
    </xf>
    <xf numFmtId="0" fontId="0" fillId="0" borderId="5" xfId="0" applyBorder="1" applyAlignment="1">
      <alignment horizontal="left" vertical="top" wrapText="1"/>
    </xf>
    <xf numFmtId="0" fontId="0" fillId="0" borderId="5" xfId="0" applyBorder="1" applyAlignment="1">
      <alignment horizontal="left" vertical="center" wrapText="1"/>
    </xf>
  </cellXfs>
  <cellStyles count="336">
    <cellStyle name="_%(SignOnly)" xfId="6" xr:uid="{00000000-0005-0000-0000-000000000000}"/>
    <cellStyle name="_%(SignSpaceOnly)" xfId="7" xr:uid="{00000000-0005-0000-0000-000001000000}"/>
    <cellStyle name="_Comma" xfId="8" xr:uid="{00000000-0005-0000-0000-000002000000}"/>
    <cellStyle name="_Currency" xfId="9" xr:uid="{00000000-0005-0000-0000-000003000000}"/>
    <cellStyle name="_CurrencySpace" xfId="10" xr:uid="{00000000-0005-0000-0000-000004000000}"/>
    <cellStyle name="_Euro" xfId="11" xr:uid="{00000000-0005-0000-0000-000005000000}"/>
    <cellStyle name="_Heading" xfId="12" xr:uid="{00000000-0005-0000-0000-000006000000}"/>
    <cellStyle name="_Heading_prestemp" xfId="13" xr:uid="{00000000-0005-0000-0000-000007000000}"/>
    <cellStyle name="_Heading_prestemp_1st Qtr PL FY07" xfId="14" xr:uid="{00000000-0005-0000-0000-000008000000}"/>
    <cellStyle name="_Heading_prestemp_Financial Statements" xfId="15" xr:uid="{00000000-0005-0000-0000-000009000000}"/>
    <cellStyle name="_Heading_prestemp_Financial Statementsvs1" xfId="16" xr:uid="{00000000-0005-0000-0000-00000A000000}"/>
    <cellStyle name="_Highlight" xfId="17" xr:uid="{00000000-0005-0000-0000-00000B000000}"/>
    <cellStyle name="_Multiple" xfId="18" xr:uid="{00000000-0005-0000-0000-00000C000000}"/>
    <cellStyle name="_MultipleSpace" xfId="19" xr:uid="{00000000-0005-0000-0000-00000D000000}"/>
    <cellStyle name="_SubHeading" xfId="20" xr:uid="{00000000-0005-0000-0000-00000E000000}"/>
    <cellStyle name="_SubHeading_prestemp" xfId="21" xr:uid="{00000000-0005-0000-0000-00000F000000}"/>
    <cellStyle name="_SubHeading_prestemp_1st Qtr PL FY07" xfId="22" xr:uid="{00000000-0005-0000-0000-000010000000}"/>
    <cellStyle name="_SubHeading_prestemp_Financial Statements" xfId="23" xr:uid="{00000000-0005-0000-0000-000011000000}"/>
    <cellStyle name="_SubHeading_prestemp_Financial Statementsvs1" xfId="24" xr:uid="{00000000-0005-0000-0000-000012000000}"/>
    <cellStyle name="_Table" xfId="25" xr:uid="{00000000-0005-0000-0000-000013000000}"/>
    <cellStyle name="_TableHead" xfId="26" xr:uid="{00000000-0005-0000-0000-000014000000}"/>
    <cellStyle name="_TableRowHead" xfId="27" xr:uid="{00000000-0005-0000-0000-000015000000}"/>
    <cellStyle name="_TableSuperHead" xfId="28" xr:uid="{00000000-0005-0000-0000-000016000000}"/>
    <cellStyle name="=C:\WINNT\SYSTEM32\COMMAND.COM" xfId="29" xr:uid="{00000000-0005-0000-0000-000017000000}"/>
    <cellStyle name="=C:\WINNT\SYSTEM32\COMMAND.COM 2" xfId="30" xr:uid="{00000000-0005-0000-0000-000018000000}"/>
    <cellStyle name="6-0" xfId="31" xr:uid="{00000000-0005-0000-0000-000019000000}"/>
    <cellStyle name="Bold12" xfId="32" xr:uid="{00000000-0005-0000-0000-00001A000000}"/>
    <cellStyle name="BoldItal12" xfId="33" xr:uid="{00000000-0005-0000-0000-00001B000000}"/>
    <cellStyle name="Border" xfId="34" xr:uid="{00000000-0005-0000-0000-00001C000000}"/>
    <cellStyle name="Border 10" xfId="35" xr:uid="{00000000-0005-0000-0000-00001D000000}"/>
    <cellStyle name="Border 11" xfId="36" xr:uid="{00000000-0005-0000-0000-00001E000000}"/>
    <cellStyle name="Border 12" xfId="37" xr:uid="{00000000-0005-0000-0000-00001F000000}"/>
    <cellStyle name="Border 13" xfId="38" xr:uid="{00000000-0005-0000-0000-000020000000}"/>
    <cellStyle name="Border 14" xfId="39" xr:uid="{00000000-0005-0000-0000-000021000000}"/>
    <cellStyle name="Border 15" xfId="40" xr:uid="{00000000-0005-0000-0000-000022000000}"/>
    <cellStyle name="Border 16" xfId="41" xr:uid="{00000000-0005-0000-0000-000023000000}"/>
    <cellStyle name="Border 17" xfId="42" xr:uid="{00000000-0005-0000-0000-000024000000}"/>
    <cellStyle name="Border 18" xfId="43" xr:uid="{00000000-0005-0000-0000-000025000000}"/>
    <cellStyle name="Border 19" xfId="44" xr:uid="{00000000-0005-0000-0000-000026000000}"/>
    <cellStyle name="Border 2" xfId="45" xr:uid="{00000000-0005-0000-0000-000027000000}"/>
    <cellStyle name="Border 20" xfId="46" xr:uid="{00000000-0005-0000-0000-000028000000}"/>
    <cellStyle name="Border 21" xfId="47" xr:uid="{00000000-0005-0000-0000-000029000000}"/>
    <cellStyle name="Border 22" xfId="48" xr:uid="{00000000-0005-0000-0000-00002A000000}"/>
    <cellStyle name="Border 23" xfId="49" xr:uid="{00000000-0005-0000-0000-00002B000000}"/>
    <cellStyle name="Border 24" xfId="50" xr:uid="{00000000-0005-0000-0000-00002C000000}"/>
    <cellStyle name="Border 25" xfId="51" xr:uid="{00000000-0005-0000-0000-00002D000000}"/>
    <cellStyle name="Border 26" xfId="52" xr:uid="{00000000-0005-0000-0000-00002E000000}"/>
    <cellStyle name="Border 27" xfId="53" xr:uid="{00000000-0005-0000-0000-00002F000000}"/>
    <cellStyle name="Border 28" xfId="54" xr:uid="{00000000-0005-0000-0000-000030000000}"/>
    <cellStyle name="Border 29" xfId="55" xr:uid="{00000000-0005-0000-0000-000031000000}"/>
    <cellStyle name="Border 3" xfId="56" xr:uid="{00000000-0005-0000-0000-000032000000}"/>
    <cellStyle name="Border 30" xfId="57" xr:uid="{00000000-0005-0000-0000-000033000000}"/>
    <cellStyle name="Border 31" xfId="58" xr:uid="{00000000-0005-0000-0000-000034000000}"/>
    <cellStyle name="Border 32" xfId="59" xr:uid="{00000000-0005-0000-0000-000035000000}"/>
    <cellStyle name="Border 33" xfId="60" xr:uid="{00000000-0005-0000-0000-000036000000}"/>
    <cellStyle name="Border 34" xfId="61" xr:uid="{00000000-0005-0000-0000-000037000000}"/>
    <cellStyle name="Border 35" xfId="62" xr:uid="{00000000-0005-0000-0000-000038000000}"/>
    <cellStyle name="Border 36" xfId="63" xr:uid="{00000000-0005-0000-0000-000039000000}"/>
    <cellStyle name="Border 37" xfId="64" xr:uid="{00000000-0005-0000-0000-00003A000000}"/>
    <cellStyle name="Border 38" xfId="65" xr:uid="{00000000-0005-0000-0000-00003B000000}"/>
    <cellStyle name="Border 39" xfId="66" xr:uid="{00000000-0005-0000-0000-00003C000000}"/>
    <cellStyle name="Border 4" xfId="67" xr:uid="{00000000-0005-0000-0000-00003D000000}"/>
    <cellStyle name="Border 40" xfId="68" xr:uid="{00000000-0005-0000-0000-00003E000000}"/>
    <cellStyle name="Border 41" xfId="69" xr:uid="{00000000-0005-0000-0000-00003F000000}"/>
    <cellStyle name="Border 42" xfId="70" xr:uid="{00000000-0005-0000-0000-000040000000}"/>
    <cellStyle name="Border 5" xfId="71" xr:uid="{00000000-0005-0000-0000-000041000000}"/>
    <cellStyle name="Border 6" xfId="72" xr:uid="{00000000-0005-0000-0000-000042000000}"/>
    <cellStyle name="Border 7" xfId="73" xr:uid="{00000000-0005-0000-0000-000043000000}"/>
    <cellStyle name="Border 8" xfId="74" xr:uid="{00000000-0005-0000-0000-000044000000}"/>
    <cellStyle name="Border 9" xfId="75" xr:uid="{00000000-0005-0000-0000-000045000000}"/>
    <cellStyle name="Calc Currency (0)" xfId="76" xr:uid="{00000000-0005-0000-0000-000046000000}"/>
    <cellStyle name="Calc Currency (0) 2" xfId="77" xr:uid="{00000000-0005-0000-0000-000047000000}"/>
    <cellStyle name="Calc Currency (2)" xfId="78" xr:uid="{00000000-0005-0000-0000-000048000000}"/>
    <cellStyle name="Calc Currency (2) 2" xfId="79" xr:uid="{00000000-0005-0000-0000-000049000000}"/>
    <cellStyle name="Calc Percent (0)" xfId="80" xr:uid="{00000000-0005-0000-0000-00004A000000}"/>
    <cellStyle name="Calc Percent (0) 2" xfId="81" xr:uid="{00000000-0005-0000-0000-00004B000000}"/>
    <cellStyle name="Calc Percent (1)" xfId="82" xr:uid="{00000000-0005-0000-0000-00004C000000}"/>
    <cellStyle name="Calc Percent (1) 2" xfId="83" xr:uid="{00000000-0005-0000-0000-00004D000000}"/>
    <cellStyle name="Calc Percent (2)" xfId="84" xr:uid="{00000000-0005-0000-0000-00004E000000}"/>
    <cellStyle name="Calc Percent (2) 2" xfId="85" xr:uid="{00000000-0005-0000-0000-00004F000000}"/>
    <cellStyle name="Calc Units (0)" xfId="86" xr:uid="{00000000-0005-0000-0000-000050000000}"/>
    <cellStyle name="Calc Units (0) 2" xfId="87" xr:uid="{00000000-0005-0000-0000-000051000000}"/>
    <cellStyle name="Calc Units (1)" xfId="88" xr:uid="{00000000-0005-0000-0000-000052000000}"/>
    <cellStyle name="Calc Units (1) 2" xfId="89" xr:uid="{00000000-0005-0000-0000-000053000000}"/>
    <cellStyle name="Calc Units (2)" xfId="90" xr:uid="{00000000-0005-0000-0000-000054000000}"/>
    <cellStyle name="Calc Units (2) 2" xfId="91" xr:uid="{00000000-0005-0000-0000-000055000000}"/>
    <cellStyle name="Centered Heading" xfId="92" xr:uid="{00000000-0005-0000-0000-000056000000}"/>
    <cellStyle name="columns" xfId="93" xr:uid="{00000000-0005-0000-0000-000057000000}"/>
    <cellStyle name="Comma" xfId="1" builtinId="3"/>
    <cellStyle name="Comma  - Style1" xfId="94" xr:uid="{00000000-0005-0000-0000-000059000000}"/>
    <cellStyle name="Comma  - Style2" xfId="95" xr:uid="{00000000-0005-0000-0000-00005A000000}"/>
    <cellStyle name="Comma  - Style3" xfId="96" xr:uid="{00000000-0005-0000-0000-00005B000000}"/>
    <cellStyle name="Comma  - Style4" xfId="97" xr:uid="{00000000-0005-0000-0000-00005C000000}"/>
    <cellStyle name="Comma  - Style5" xfId="98" xr:uid="{00000000-0005-0000-0000-00005D000000}"/>
    <cellStyle name="Comma  - Style6" xfId="99" xr:uid="{00000000-0005-0000-0000-00005E000000}"/>
    <cellStyle name="Comma  - Style7" xfId="100" xr:uid="{00000000-0005-0000-0000-00005F000000}"/>
    <cellStyle name="Comma  - Style8" xfId="101" xr:uid="{00000000-0005-0000-0000-000060000000}"/>
    <cellStyle name="comma (0)" xfId="102" xr:uid="{00000000-0005-0000-0000-000061000000}"/>
    <cellStyle name="comma (0) 2" xfId="103" xr:uid="{00000000-0005-0000-0000-000062000000}"/>
    <cellStyle name="comma (0) 2 2" xfId="104" xr:uid="{00000000-0005-0000-0000-000063000000}"/>
    <cellStyle name="comma (0) 3" xfId="105" xr:uid="{00000000-0005-0000-0000-000064000000}"/>
    <cellStyle name="Comma [00]" xfId="106" xr:uid="{00000000-0005-0000-0000-000065000000}"/>
    <cellStyle name="Comma [00] 2" xfId="107" xr:uid="{00000000-0005-0000-0000-000066000000}"/>
    <cellStyle name="Comma 2" xfId="5" xr:uid="{00000000-0005-0000-0000-000067000000}"/>
    <cellStyle name="Comma 2 2" xfId="108" xr:uid="{00000000-0005-0000-0000-000068000000}"/>
    <cellStyle name="Comma 2 2 2" xfId="109" xr:uid="{00000000-0005-0000-0000-000069000000}"/>
    <cellStyle name="Comma 2 3" xfId="110" xr:uid="{00000000-0005-0000-0000-00006A000000}"/>
    <cellStyle name="Comma 2 4" xfId="111" xr:uid="{00000000-0005-0000-0000-00006B000000}"/>
    <cellStyle name="Comma 2 5" xfId="112" xr:uid="{00000000-0005-0000-0000-00006C000000}"/>
    <cellStyle name="Comma 2 6" xfId="113" xr:uid="{00000000-0005-0000-0000-00006D000000}"/>
    <cellStyle name="Comma 3" xfId="114" xr:uid="{00000000-0005-0000-0000-00006E000000}"/>
    <cellStyle name="Comma 3 2" xfId="115" xr:uid="{00000000-0005-0000-0000-00006F000000}"/>
    <cellStyle name="Comma 4" xfId="116" xr:uid="{00000000-0005-0000-0000-000070000000}"/>
    <cellStyle name="Comma 4 2" xfId="117" xr:uid="{00000000-0005-0000-0000-000071000000}"/>
    <cellStyle name="Comma 5" xfId="118" xr:uid="{00000000-0005-0000-0000-000072000000}"/>
    <cellStyle name="Comma 5 2" xfId="119" xr:uid="{00000000-0005-0000-0000-000073000000}"/>
    <cellStyle name="Comma Acctg" xfId="120" xr:uid="{00000000-0005-0000-0000-000074000000}"/>
    <cellStyle name="Comma Acctg 2" xfId="121" xr:uid="{00000000-0005-0000-0000-000075000000}"/>
    <cellStyle name="Comma0" xfId="122" xr:uid="{00000000-0005-0000-0000-000076000000}"/>
    <cellStyle name="Company Name" xfId="123" xr:uid="{00000000-0005-0000-0000-000077000000}"/>
    <cellStyle name="Contracts" xfId="124" xr:uid="{00000000-0005-0000-0000-000078000000}"/>
    <cellStyle name="CR Comma" xfId="125" xr:uid="{00000000-0005-0000-0000-000079000000}"/>
    <cellStyle name="CR Currency" xfId="126" xr:uid="{00000000-0005-0000-0000-00007A000000}"/>
    <cellStyle name="curr" xfId="127" xr:uid="{00000000-0005-0000-0000-00007B000000}"/>
    <cellStyle name="curr 2" xfId="333" xr:uid="{E830FEE5-BF3D-4B9F-89C3-BE51D3EB55EA}"/>
    <cellStyle name="Currency [00]" xfId="128" xr:uid="{00000000-0005-0000-0000-00007C000000}"/>
    <cellStyle name="Currency [00] 2" xfId="129" xr:uid="{00000000-0005-0000-0000-00007D000000}"/>
    <cellStyle name="Currency 2" xfId="130" xr:uid="{00000000-0005-0000-0000-00007E000000}"/>
    <cellStyle name="Currency Acctg" xfId="131" xr:uid="{00000000-0005-0000-0000-00007F000000}"/>
    <cellStyle name="Currency0" xfId="132" xr:uid="{00000000-0005-0000-0000-000080000000}"/>
    <cellStyle name="Data" xfId="133" xr:uid="{00000000-0005-0000-0000-000081000000}"/>
    <cellStyle name="Date" xfId="134" xr:uid="{00000000-0005-0000-0000-000082000000}"/>
    <cellStyle name="Date Short" xfId="135" xr:uid="{00000000-0005-0000-0000-000083000000}"/>
    <cellStyle name="DateJoel" xfId="136" xr:uid="{00000000-0005-0000-0000-000084000000}"/>
    <cellStyle name="debbie" xfId="137" xr:uid="{00000000-0005-0000-0000-000085000000}"/>
    <cellStyle name="Dezimal [0]_laroux" xfId="138" xr:uid="{00000000-0005-0000-0000-000086000000}"/>
    <cellStyle name="Dezimal_laroux" xfId="139" xr:uid="{00000000-0005-0000-0000-000087000000}"/>
    <cellStyle name="Enter Currency (0)" xfId="140" xr:uid="{00000000-0005-0000-0000-000088000000}"/>
    <cellStyle name="Enter Currency (0) 2" xfId="141" xr:uid="{00000000-0005-0000-0000-000089000000}"/>
    <cellStyle name="Enter Currency (2)" xfId="142" xr:uid="{00000000-0005-0000-0000-00008A000000}"/>
    <cellStyle name="Enter Currency (2) 2" xfId="143" xr:uid="{00000000-0005-0000-0000-00008B000000}"/>
    <cellStyle name="Enter Units (0)" xfId="144" xr:uid="{00000000-0005-0000-0000-00008C000000}"/>
    <cellStyle name="Enter Units (0) 2" xfId="145" xr:uid="{00000000-0005-0000-0000-00008D000000}"/>
    <cellStyle name="Enter Units (1)" xfId="146" xr:uid="{00000000-0005-0000-0000-00008E000000}"/>
    <cellStyle name="Enter Units (1) 2" xfId="147" xr:uid="{00000000-0005-0000-0000-00008F000000}"/>
    <cellStyle name="Enter Units (2)" xfId="148" xr:uid="{00000000-0005-0000-0000-000090000000}"/>
    <cellStyle name="Enter Units (2) 2" xfId="149" xr:uid="{00000000-0005-0000-0000-000091000000}"/>
    <cellStyle name="eps" xfId="150" xr:uid="{00000000-0005-0000-0000-000092000000}"/>
    <cellStyle name="eps 2" xfId="332" xr:uid="{E6BF08FD-99B4-4E49-8935-B8E309BE0144}"/>
    <cellStyle name="Euro" xfId="151" xr:uid="{00000000-0005-0000-0000-000093000000}"/>
    <cellStyle name="Grey" xfId="152" xr:uid="{00000000-0005-0000-0000-000094000000}"/>
    <cellStyle name="Header1" xfId="153" xr:uid="{00000000-0005-0000-0000-000095000000}"/>
    <cellStyle name="Header2" xfId="154" xr:uid="{00000000-0005-0000-0000-000096000000}"/>
    <cellStyle name="Header2 10" xfId="155" xr:uid="{00000000-0005-0000-0000-000097000000}"/>
    <cellStyle name="Header2 11" xfId="156" xr:uid="{00000000-0005-0000-0000-000098000000}"/>
    <cellStyle name="Header2 12" xfId="157" xr:uid="{00000000-0005-0000-0000-000099000000}"/>
    <cellStyle name="Header2 13" xfId="158" xr:uid="{00000000-0005-0000-0000-00009A000000}"/>
    <cellStyle name="Header2 14" xfId="159" xr:uid="{00000000-0005-0000-0000-00009B000000}"/>
    <cellStyle name="Header2 15" xfId="160" xr:uid="{00000000-0005-0000-0000-00009C000000}"/>
    <cellStyle name="Header2 16" xfId="161" xr:uid="{00000000-0005-0000-0000-00009D000000}"/>
    <cellStyle name="Header2 17" xfId="162" xr:uid="{00000000-0005-0000-0000-00009E000000}"/>
    <cellStyle name="Header2 18" xfId="163" xr:uid="{00000000-0005-0000-0000-00009F000000}"/>
    <cellStyle name="Header2 19" xfId="164" xr:uid="{00000000-0005-0000-0000-0000A0000000}"/>
    <cellStyle name="Header2 2" xfId="165" xr:uid="{00000000-0005-0000-0000-0000A1000000}"/>
    <cellStyle name="Header2 20" xfId="166" xr:uid="{00000000-0005-0000-0000-0000A2000000}"/>
    <cellStyle name="Header2 21" xfId="167" xr:uid="{00000000-0005-0000-0000-0000A3000000}"/>
    <cellStyle name="Header2 22" xfId="168" xr:uid="{00000000-0005-0000-0000-0000A4000000}"/>
    <cellStyle name="Header2 23" xfId="169" xr:uid="{00000000-0005-0000-0000-0000A5000000}"/>
    <cellStyle name="Header2 24" xfId="170" xr:uid="{00000000-0005-0000-0000-0000A6000000}"/>
    <cellStyle name="Header2 25" xfId="171" xr:uid="{00000000-0005-0000-0000-0000A7000000}"/>
    <cellStyle name="Header2 26" xfId="172" xr:uid="{00000000-0005-0000-0000-0000A8000000}"/>
    <cellStyle name="Header2 27" xfId="173" xr:uid="{00000000-0005-0000-0000-0000A9000000}"/>
    <cellStyle name="Header2 28" xfId="174" xr:uid="{00000000-0005-0000-0000-0000AA000000}"/>
    <cellStyle name="Header2 29" xfId="175" xr:uid="{00000000-0005-0000-0000-0000AB000000}"/>
    <cellStyle name="Header2 3" xfId="176" xr:uid="{00000000-0005-0000-0000-0000AC000000}"/>
    <cellStyle name="Header2 30" xfId="177" xr:uid="{00000000-0005-0000-0000-0000AD000000}"/>
    <cellStyle name="Header2 31" xfId="178" xr:uid="{00000000-0005-0000-0000-0000AE000000}"/>
    <cellStyle name="Header2 32" xfId="179" xr:uid="{00000000-0005-0000-0000-0000AF000000}"/>
    <cellStyle name="Header2 33" xfId="180" xr:uid="{00000000-0005-0000-0000-0000B0000000}"/>
    <cellStyle name="Header2 34" xfId="181" xr:uid="{00000000-0005-0000-0000-0000B1000000}"/>
    <cellStyle name="Header2 35" xfId="182" xr:uid="{00000000-0005-0000-0000-0000B2000000}"/>
    <cellStyle name="Header2 36" xfId="183" xr:uid="{00000000-0005-0000-0000-0000B3000000}"/>
    <cellStyle name="Header2 37" xfId="184" xr:uid="{00000000-0005-0000-0000-0000B4000000}"/>
    <cellStyle name="Header2 38" xfId="185" xr:uid="{00000000-0005-0000-0000-0000B5000000}"/>
    <cellStyle name="Header2 39" xfId="186" xr:uid="{00000000-0005-0000-0000-0000B6000000}"/>
    <cellStyle name="Header2 4" xfId="187" xr:uid="{00000000-0005-0000-0000-0000B7000000}"/>
    <cellStyle name="Header2 40" xfId="188" xr:uid="{00000000-0005-0000-0000-0000B8000000}"/>
    <cellStyle name="Header2 41" xfId="189" xr:uid="{00000000-0005-0000-0000-0000B9000000}"/>
    <cellStyle name="Header2 42" xfId="190" xr:uid="{00000000-0005-0000-0000-0000BA000000}"/>
    <cellStyle name="Header2 5" xfId="191" xr:uid="{00000000-0005-0000-0000-0000BB000000}"/>
    <cellStyle name="Header2 6" xfId="192" xr:uid="{00000000-0005-0000-0000-0000BC000000}"/>
    <cellStyle name="Header2 7" xfId="193" xr:uid="{00000000-0005-0000-0000-0000BD000000}"/>
    <cellStyle name="Header2 8" xfId="194" xr:uid="{00000000-0005-0000-0000-0000BE000000}"/>
    <cellStyle name="Header2 9" xfId="195" xr:uid="{00000000-0005-0000-0000-0000BF000000}"/>
    <cellStyle name="Heading" xfId="196" xr:uid="{00000000-0005-0000-0000-0000C0000000}"/>
    <cellStyle name="Heading 1 2" xfId="197" xr:uid="{00000000-0005-0000-0000-0000C1000000}"/>
    <cellStyle name="Heading 1 3" xfId="198" xr:uid="{00000000-0005-0000-0000-0000C2000000}"/>
    <cellStyle name="Heading 1 4" xfId="199" xr:uid="{00000000-0005-0000-0000-0000C3000000}"/>
    <cellStyle name="Heading 2 2" xfId="200" xr:uid="{00000000-0005-0000-0000-0000C4000000}"/>
    <cellStyle name="Heading 2 3" xfId="201" xr:uid="{00000000-0005-0000-0000-0000C5000000}"/>
    <cellStyle name="Heading 2 4" xfId="202" xr:uid="{00000000-0005-0000-0000-0000C6000000}"/>
    <cellStyle name="Heading 5" xfId="331" xr:uid="{C5860A2B-F2DD-4D6C-8B91-584D6ED375E4}"/>
    <cellStyle name="Heading No Underline" xfId="203" xr:uid="{00000000-0005-0000-0000-0000C7000000}"/>
    <cellStyle name="Heading With Underline" xfId="204" xr:uid="{00000000-0005-0000-0000-0000C8000000}"/>
    <cellStyle name="Hyperlink 2" xfId="205" xr:uid="{00000000-0005-0000-0000-0000CA000000}"/>
    <cellStyle name="Hyperlink 2 2" xfId="206" xr:uid="{00000000-0005-0000-0000-0000CB000000}"/>
    <cellStyle name="Hyperlink 2 2 2" xfId="207" xr:uid="{00000000-0005-0000-0000-0000CC000000}"/>
    <cellStyle name="Hyperlink 3" xfId="208" xr:uid="{00000000-0005-0000-0000-0000CD000000}"/>
    <cellStyle name="Hyperlink 4" xfId="209" xr:uid="{00000000-0005-0000-0000-0000CE000000}"/>
    <cellStyle name="Input [yellow]" xfId="210" xr:uid="{00000000-0005-0000-0000-0000CF000000}"/>
    <cellStyle name="Link Currency (0)" xfId="211" xr:uid="{00000000-0005-0000-0000-0000D0000000}"/>
    <cellStyle name="Link Currency (0) 2" xfId="212" xr:uid="{00000000-0005-0000-0000-0000D1000000}"/>
    <cellStyle name="Link Currency (2)" xfId="213" xr:uid="{00000000-0005-0000-0000-0000D2000000}"/>
    <cellStyle name="Link Currency (2) 2" xfId="214" xr:uid="{00000000-0005-0000-0000-0000D3000000}"/>
    <cellStyle name="Link Units (0)" xfId="215" xr:uid="{00000000-0005-0000-0000-0000D4000000}"/>
    <cellStyle name="Link Units (0) 2" xfId="216" xr:uid="{00000000-0005-0000-0000-0000D5000000}"/>
    <cellStyle name="Link Units (1)" xfId="217" xr:uid="{00000000-0005-0000-0000-0000D6000000}"/>
    <cellStyle name="Link Units (1) 2" xfId="218" xr:uid="{00000000-0005-0000-0000-0000D7000000}"/>
    <cellStyle name="Link Units (2)" xfId="219" xr:uid="{00000000-0005-0000-0000-0000D8000000}"/>
    <cellStyle name="Link Units (2) 2" xfId="220" xr:uid="{00000000-0005-0000-0000-0000D9000000}"/>
    <cellStyle name="Millares [0]_pldt" xfId="221" xr:uid="{00000000-0005-0000-0000-0000DA000000}"/>
    <cellStyle name="Millares_pldt" xfId="222" xr:uid="{00000000-0005-0000-0000-0000DB000000}"/>
    <cellStyle name="Milliers [0]_AR1194" xfId="223" xr:uid="{00000000-0005-0000-0000-0000DC000000}"/>
    <cellStyle name="Milliers_AR1194" xfId="224" xr:uid="{00000000-0005-0000-0000-0000DD000000}"/>
    <cellStyle name="Moneda [0]_pldt" xfId="225" xr:uid="{00000000-0005-0000-0000-0000DE000000}"/>
    <cellStyle name="Moneda_pldt" xfId="226" xr:uid="{00000000-0005-0000-0000-0000DF000000}"/>
    <cellStyle name="Monétaire [0]_AR1194" xfId="227" xr:uid="{00000000-0005-0000-0000-0000E0000000}"/>
    <cellStyle name="Monétaire_AR1194" xfId="228" xr:uid="{00000000-0005-0000-0000-0000E1000000}"/>
    <cellStyle name="negativ" xfId="229" xr:uid="{00000000-0005-0000-0000-0000E2000000}"/>
    <cellStyle name="no dec" xfId="230" xr:uid="{00000000-0005-0000-0000-0000E3000000}"/>
    <cellStyle name="nodollars" xfId="231" xr:uid="{00000000-0005-0000-0000-0000E4000000}"/>
    <cellStyle name="nodollars 2" xfId="232" xr:uid="{00000000-0005-0000-0000-0000E5000000}"/>
    <cellStyle name="Normal" xfId="0" builtinId="0"/>
    <cellStyle name="Normal - Style1" xfId="233" xr:uid="{00000000-0005-0000-0000-0000E7000000}"/>
    <cellStyle name="Normal - Style1 2" xfId="234" xr:uid="{00000000-0005-0000-0000-0000E8000000}"/>
    <cellStyle name="Normal - Style2" xfId="235" xr:uid="{00000000-0005-0000-0000-0000E9000000}"/>
    <cellStyle name="Normal - Style3" xfId="236" xr:uid="{00000000-0005-0000-0000-0000EA000000}"/>
    <cellStyle name="Normal - Style4" xfId="237" xr:uid="{00000000-0005-0000-0000-0000EB000000}"/>
    <cellStyle name="Normal - Style5" xfId="238" xr:uid="{00000000-0005-0000-0000-0000EC000000}"/>
    <cellStyle name="Normal 10" xfId="239" xr:uid="{00000000-0005-0000-0000-0000ED000000}"/>
    <cellStyle name="Normal 11" xfId="330" xr:uid="{401671C4-C6A2-4732-BC1D-7DED4CDB8213}"/>
    <cellStyle name="Normal 141" xfId="329" xr:uid="{4CEE5AEF-DC02-4BEC-A9D6-79FD34328DBC}"/>
    <cellStyle name="Normal 2" xfId="3" xr:uid="{00000000-0005-0000-0000-0000EE000000}"/>
    <cellStyle name="Normal 2 2" xfId="240" xr:uid="{00000000-0005-0000-0000-0000EF000000}"/>
    <cellStyle name="Normal 2 2 2" xfId="241" xr:uid="{00000000-0005-0000-0000-0000F0000000}"/>
    <cellStyle name="Normal 2 3" xfId="242" xr:uid="{00000000-0005-0000-0000-0000F1000000}"/>
    <cellStyle name="Normal 2 3 2" xfId="243" xr:uid="{00000000-0005-0000-0000-0000F2000000}"/>
    <cellStyle name="Normal 2 4" xfId="244" xr:uid="{00000000-0005-0000-0000-0000F3000000}"/>
    <cellStyle name="Normal 2 5" xfId="245" xr:uid="{00000000-0005-0000-0000-0000F4000000}"/>
    <cellStyle name="Normal 2 6" xfId="246" xr:uid="{00000000-0005-0000-0000-0000F5000000}"/>
    <cellStyle name="Normal 2 7" xfId="247" xr:uid="{00000000-0005-0000-0000-0000F6000000}"/>
    <cellStyle name="Normal 2 8" xfId="248" xr:uid="{00000000-0005-0000-0000-0000F7000000}"/>
    <cellStyle name="Normal 3" xfId="4" xr:uid="{00000000-0005-0000-0000-0000F8000000}"/>
    <cellStyle name="Normal 3 2" xfId="249" xr:uid="{00000000-0005-0000-0000-0000F9000000}"/>
    <cellStyle name="Normal 3 3" xfId="250" xr:uid="{00000000-0005-0000-0000-0000FA000000}"/>
    <cellStyle name="Normal 3 4" xfId="251" xr:uid="{00000000-0005-0000-0000-0000FB000000}"/>
    <cellStyle name="Normal 4" xfId="252" xr:uid="{00000000-0005-0000-0000-0000FC000000}"/>
    <cellStyle name="Normal 5" xfId="253" xr:uid="{00000000-0005-0000-0000-0000FD000000}"/>
    <cellStyle name="Normal 5 2" xfId="254" xr:uid="{00000000-0005-0000-0000-0000FE000000}"/>
    <cellStyle name="Normal 6" xfId="255" xr:uid="{00000000-0005-0000-0000-0000FF000000}"/>
    <cellStyle name="Normal 6 2" xfId="256" xr:uid="{00000000-0005-0000-0000-000000010000}"/>
    <cellStyle name="Normal 6 3" xfId="257" xr:uid="{00000000-0005-0000-0000-000001010000}"/>
    <cellStyle name="Normal 7" xfId="258" xr:uid="{00000000-0005-0000-0000-000002010000}"/>
    <cellStyle name="Normal 7 2" xfId="259" xr:uid="{00000000-0005-0000-0000-000003010000}"/>
    <cellStyle name="Normal 8" xfId="260" xr:uid="{00000000-0005-0000-0000-000004010000}"/>
    <cellStyle name="Normal 8 2" xfId="261" xr:uid="{00000000-0005-0000-0000-000005010000}"/>
    <cellStyle name="Normal 8 3" xfId="262" xr:uid="{00000000-0005-0000-0000-000006010000}"/>
    <cellStyle name="Normal 9" xfId="263" xr:uid="{00000000-0005-0000-0000-000007010000}"/>
    <cellStyle name="Number0DecimalStyle" xfId="264" xr:uid="{00000000-0005-0000-0000-000008010000}"/>
    <cellStyle name="Number0DecimalStyle 2" xfId="265" xr:uid="{00000000-0005-0000-0000-000009010000}"/>
    <cellStyle name="Number10DecimalStyle" xfId="266" xr:uid="{00000000-0005-0000-0000-00000A010000}"/>
    <cellStyle name="Number1DecimalStyle" xfId="267" xr:uid="{00000000-0005-0000-0000-00000B010000}"/>
    <cellStyle name="Number2DecimalStyle" xfId="268" xr:uid="{00000000-0005-0000-0000-00000C010000}"/>
    <cellStyle name="Number2DecimalStyle 2" xfId="269" xr:uid="{00000000-0005-0000-0000-00000D010000}"/>
    <cellStyle name="Number3DecimalStyle" xfId="270" xr:uid="{00000000-0005-0000-0000-00000E010000}"/>
    <cellStyle name="Number4DecimalStyle" xfId="271" xr:uid="{00000000-0005-0000-0000-00000F010000}"/>
    <cellStyle name="Number5DecimalStyle" xfId="272" xr:uid="{00000000-0005-0000-0000-000010010000}"/>
    <cellStyle name="Number6DecimalStyle" xfId="273" xr:uid="{00000000-0005-0000-0000-000011010000}"/>
    <cellStyle name="Number7DecimalStyle" xfId="274" xr:uid="{00000000-0005-0000-0000-000012010000}"/>
    <cellStyle name="Number8DecimalStyle" xfId="275" xr:uid="{00000000-0005-0000-0000-000013010000}"/>
    <cellStyle name="Number9DecimalStyle" xfId="276" xr:uid="{00000000-0005-0000-0000-000014010000}"/>
    <cellStyle name="over" xfId="277" xr:uid="{00000000-0005-0000-0000-000015010000}"/>
    <cellStyle name="Percent" xfId="2" builtinId="5"/>
    <cellStyle name="percent (0)" xfId="278" xr:uid="{00000000-0005-0000-0000-000017010000}"/>
    <cellStyle name="Percent [0]" xfId="279" xr:uid="{00000000-0005-0000-0000-000018010000}"/>
    <cellStyle name="Percent [0] 2" xfId="280" xr:uid="{00000000-0005-0000-0000-000019010000}"/>
    <cellStyle name="Percent [00]" xfId="281" xr:uid="{00000000-0005-0000-0000-00001A010000}"/>
    <cellStyle name="Percent [00] 2" xfId="282" xr:uid="{00000000-0005-0000-0000-00001B010000}"/>
    <cellStyle name="Percent [2]" xfId="283" xr:uid="{00000000-0005-0000-0000-00001C010000}"/>
    <cellStyle name="Percent 10" xfId="284" xr:uid="{00000000-0005-0000-0000-00001D010000}"/>
    <cellStyle name="Percent 2" xfId="285" xr:uid="{00000000-0005-0000-0000-00001E010000}"/>
    <cellStyle name="Percent 2 2" xfId="286" xr:uid="{00000000-0005-0000-0000-00001F010000}"/>
    <cellStyle name="Percent 2 3" xfId="287" xr:uid="{00000000-0005-0000-0000-000020010000}"/>
    <cellStyle name="Percent 2 4" xfId="288" xr:uid="{00000000-0005-0000-0000-000021010000}"/>
    <cellStyle name="Percent 3" xfId="289" xr:uid="{00000000-0005-0000-0000-000022010000}"/>
    <cellStyle name="Percent 3 2" xfId="290" xr:uid="{00000000-0005-0000-0000-000023010000}"/>
    <cellStyle name="Percent 4" xfId="291" xr:uid="{00000000-0005-0000-0000-000024010000}"/>
    <cellStyle name="Percent 6" xfId="292" xr:uid="{00000000-0005-0000-0000-000025010000}"/>
    <cellStyle name="PERCENTAGE" xfId="293" xr:uid="{00000000-0005-0000-0000-000026010000}"/>
    <cellStyle name="posit" xfId="294" xr:uid="{00000000-0005-0000-0000-000027010000}"/>
    <cellStyle name="Powerpoint Style" xfId="295" xr:uid="{00000000-0005-0000-0000-000028010000}"/>
    <cellStyle name="PrePop Currency (0)" xfId="296" xr:uid="{00000000-0005-0000-0000-000029010000}"/>
    <cellStyle name="PrePop Currency (0) 2" xfId="297" xr:uid="{00000000-0005-0000-0000-00002A010000}"/>
    <cellStyle name="PrePop Currency (2)" xfId="298" xr:uid="{00000000-0005-0000-0000-00002B010000}"/>
    <cellStyle name="PrePop Currency (2) 2" xfId="299" xr:uid="{00000000-0005-0000-0000-00002C010000}"/>
    <cellStyle name="PrePop Units (0)" xfId="300" xr:uid="{00000000-0005-0000-0000-00002D010000}"/>
    <cellStyle name="PrePop Units (0) 2" xfId="301" xr:uid="{00000000-0005-0000-0000-00002E010000}"/>
    <cellStyle name="PrePop Units (1)" xfId="302" xr:uid="{00000000-0005-0000-0000-00002F010000}"/>
    <cellStyle name="PrePop Units (1) 2" xfId="303" xr:uid="{00000000-0005-0000-0000-000030010000}"/>
    <cellStyle name="PrePop Units (2)" xfId="304" xr:uid="{00000000-0005-0000-0000-000031010000}"/>
    <cellStyle name="PrePop Units (2) 2" xfId="305" xr:uid="{00000000-0005-0000-0000-000032010000}"/>
    <cellStyle name="SingleTopDoubleBott" xfId="306" xr:uid="{00000000-0005-0000-0000-000033010000}"/>
    <cellStyle name="Standard_A" xfId="307" xr:uid="{00000000-0005-0000-0000-000034010000}"/>
    <cellStyle name="Style 1" xfId="308" xr:uid="{00000000-0005-0000-0000-000035010000}"/>
    <cellStyle name="Style 2" xfId="309" xr:uid="{00000000-0005-0000-0000-000036010000}"/>
    <cellStyle name="Style 3" xfId="310" xr:uid="{00000000-0005-0000-0000-000037010000}"/>
    <cellStyle name="Style 3 2" xfId="334" xr:uid="{F1440C57-A6D8-4BD0-B522-EFC58E8B070F}"/>
    <cellStyle name="Style 4" xfId="311" xr:uid="{00000000-0005-0000-0000-000038010000}"/>
    <cellStyle name="Style 4 2" xfId="335" xr:uid="{F8DD9E7D-3CD1-4B00-B4A6-2016D636B95A}"/>
    <cellStyle name="Text Indent A" xfId="312" xr:uid="{00000000-0005-0000-0000-000039010000}"/>
    <cellStyle name="Text Indent B" xfId="313" xr:uid="{00000000-0005-0000-0000-00003A010000}"/>
    <cellStyle name="Text Indent B 2" xfId="314" xr:uid="{00000000-0005-0000-0000-00003B010000}"/>
    <cellStyle name="Text Indent C" xfId="315" xr:uid="{00000000-0005-0000-0000-00003C010000}"/>
    <cellStyle name="Text Indent C 2" xfId="316" xr:uid="{00000000-0005-0000-0000-00003D010000}"/>
    <cellStyle name="TextStyle" xfId="317" xr:uid="{00000000-0005-0000-0000-00003E010000}"/>
    <cellStyle name="Tickmark" xfId="318" xr:uid="{00000000-0005-0000-0000-00003F010000}"/>
    <cellStyle name="TimStyle" xfId="319" xr:uid="{00000000-0005-0000-0000-000040010000}"/>
    <cellStyle name="Total 2" xfId="320" xr:uid="{00000000-0005-0000-0000-000041010000}"/>
    <cellStyle name="Total 3" xfId="321" xr:uid="{00000000-0005-0000-0000-000042010000}"/>
    <cellStyle name="Total 4" xfId="322" xr:uid="{00000000-0005-0000-0000-000043010000}"/>
    <cellStyle name="Underline" xfId="323" xr:uid="{00000000-0005-0000-0000-000044010000}"/>
    <cellStyle name="UnderlineDouble" xfId="324" xr:uid="{00000000-0005-0000-0000-000045010000}"/>
    <cellStyle name="Währung [0]_RESULTS" xfId="325" xr:uid="{00000000-0005-0000-0000-000046010000}"/>
    <cellStyle name="Währung_RESULTS" xfId="326" xr:uid="{00000000-0005-0000-0000-000047010000}"/>
    <cellStyle name="표준_BINV" xfId="327" xr:uid="{00000000-0005-0000-0000-000048010000}"/>
    <cellStyle name="標準_99B-05PE_IC2" xfId="328" xr:uid="{00000000-0005-0000-0000-000049010000}"/>
  </cellStyles>
  <dxfs count="0"/>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23D-44B4-BBF2-CA66B1FBD395}"/>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(After Changes)'!$B$8:$C$8</c:f>
              <c:strCache>
                <c:ptCount val="2"/>
                <c:pt idx="0">
                  <c:v>Total revenues</c:v>
                </c:pt>
              </c:strCache>
            </c:strRef>
          </c:tx>
          <c:spPr>
            <a:solidFill>
              <a:schemeClr val="accent1"/>
            </a:solidFill>
            <a:ln>
              <a:noFill/>
            </a:ln>
            <a:effectLst/>
          </c:spPr>
          <c:invertIfNegative val="0"/>
          <c:cat>
            <c:strRef>
              <c:f>('IS (After Changes)'!$H$4,'IS (After Changes)'!$M$4,'IS (After Changes)'!$R$4,'IS (After Changes)'!$W$4,'IS (After Changes)'!$AB$4,'IS (After Changes)'!$AG$4,'IS (After Changes)'!$AL$4)</c:f>
              <c:strCache>
                <c:ptCount val="7"/>
                <c:pt idx="0">
                  <c:v> FY 2019 </c:v>
                </c:pt>
                <c:pt idx="1">
                  <c:v> FY 2020 </c:v>
                </c:pt>
                <c:pt idx="2">
                  <c:v> FY 2021 </c:v>
                </c:pt>
                <c:pt idx="3">
                  <c:v> FY 2022 </c:v>
                </c:pt>
                <c:pt idx="4">
                  <c:v> FY 2023E </c:v>
                </c:pt>
                <c:pt idx="5">
                  <c:v> FY 2024E </c:v>
                </c:pt>
                <c:pt idx="6">
                  <c:v> FY 2025E </c:v>
                </c:pt>
              </c:strCache>
            </c:strRef>
          </c:cat>
          <c:val>
            <c:numRef>
              <c:f>('IS (After Changes)'!$H$8,'IS (After Changes)'!$M$8,'IS (After Changes)'!$R$8,'IS (After Changes)'!$W$8,'IS (After Changes)'!$AB$8,'IS (After Changes)'!$AG$8,'IS (After Changes)'!$AL$8)</c:f>
              <c:numCache>
                <c:formatCode>_(* #,##0.0_);_(* \(#,##0.0\);_(* "-"??_);_(@_)</c:formatCode>
                <c:ptCount val="7"/>
                <c:pt idx="0">
                  <c:v>26508.600000000002</c:v>
                </c:pt>
                <c:pt idx="1">
                  <c:v>23518.000000000004</c:v>
                </c:pt>
                <c:pt idx="2">
                  <c:v>29060.6</c:v>
                </c:pt>
                <c:pt idx="3">
                  <c:v>32250.3</c:v>
                </c:pt>
                <c:pt idx="4">
                  <c:v>36322.065175358781</c:v>
                </c:pt>
                <c:pt idx="5">
                  <c:v>40218.46645631062</c:v>
                </c:pt>
                <c:pt idx="6">
                  <c:v>44983.23468491665</c:v>
                </c:pt>
              </c:numCache>
            </c:numRef>
          </c:val>
          <c:extLst>
            <c:ext xmlns:c16="http://schemas.microsoft.com/office/drawing/2014/chart" uri="{C3380CC4-5D6E-409C-BE32-E72D297353CC}">
              <c16:uniqueId val="{00000000-582C-4FEB-B691-B9A81DD14C5E}"/>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(After Changes)'!$H$142,'IS (After Changes)'!$M$142,'IS (After Changes)'!$R$142,'IS (After Changes)'!$W$142,'IS (After Changes)'!$AB$142,'IS (After Changes)'!$AG$142,'IS (After Changes)'!$AL$142)</c:f>
              <c:numCache>
                <c:formatCode>0.0%</c:formatCode>
                <c:ptCount val="7"/>
                <c:pt idx="0">
                  <c:v>0.17201964645435841</c:v>
                </c:pt>
                <c:pt idx="1">
                  <c:v>9.0704141508631861E-2</c:v>
                </c:pt>
                <c:pt idx="2">
                  <c:v>0.18106990220435909</c:v>
                </c:pt>
                <c:pt idx="3">
                  <c:v>0.15054123527533064</c:v>
                </c:pt>
                <c:pt idx="4">
                  <c:v>0.15223250347564982</c:v>
                </c:pt>
                <c:pt idx="5">
                  <c:v>0.17382865218741941</c:v>
                </c:pt>
                <c:pt idx="6">
                  <c:v>0.18294998199454307</c:v>
                </c:pt>
              </c:numCache>
            </c:numRef>
          </c:val>
          <c:smooth val="0"/>
          <c:extLst>
            <c:ext xmlns:c16="http://schemas.microsoft.com/office/drawing/2014/chart" uri="{C3380CC4-5D6E-409C-BE32-E72D297353CC}">
              <c16:uniqueId val="{00000001-582C-4FEB-B691-B9A81DD14C5E}"/>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(After Changes)'!$B$41:$C$41</c:f>
              <c:strCache>
                <c:ptCount val="2"/>
                <c:pt idx="0">
                  <c:v>NA company-operated stores</c:v>
                </c:pt>
              </c:strCache>
            </c:strRef>
          </c:tx>
          <c:spPr>
            <a:solidFill>
              <a:schemeClr val="accent1"/>
            </a:solidFill>
            <a:ln>
              <a:noFill/>
            </a:ln>
            <a:effectLst/>
          </c:spPr>
          <c:invertIfNegative val="0"/>
          <c:cat>
            <c:strRef>
              <c:f>('IS (After Changes)'!$N$4,'IS (After Changes)'!$O$4,'IS (After Changes)'!$P$4,'IS (After Changes)'!$Q$4,'IS (After Changes)'!$S$4,'IS (After Changes)'!$T$4,'IS (After Changes)'!$U$4,'IS (After Changes)'!$V$4,'IS (After Changes)'!$X$4,'IS (After Changes)'!$Y$4,'IS (After Changes)'!$Z$4,'IS (After Changes)'!$AA$4)</c:f>
              <c:strCache>
                <c:ptCount val="12"/>
                <c:pt idx="0">
                  <c:v> F1Q21 </c:v>
                </c:pt>
                <c:pt idx="1">
                  <c:v> F2Q21 </c:v>
                </c:pt>
                <c:pt idx="2">
                  <c:v> F3Q21 </c:v>
                </c:pt>
                <c:pt idx="3">
                  <c:v> F4Q21 </c:v>
                </c:pt>
                <c:pt idx="4">
                  <c:v> F1Q22 </c:v>
                </c:pt>
                <c:pt idx="5">
                  <c:v> F2Q22 </c:v>
                </c:pt>
                <c:pt idx="6">
                  <c:v> F3Q22 </c:v>
                </c:pt>
                <c:pt idx="7">
                  <c:v> F4Q22 </c:v>
                </c:pt>
                <c:pt idx="8">
                  <c:v> F1Q23E </c:v>
                </c:pt>
                <c:pt idx="9">
                  <c:v> F2Q23E </c:v>
                </c:pt>
                <c:pt idx="10">
                  <c:v> F3Q23E </c:v>
                </c:pt>
                <c:pt idx="11">
                  <c:v> F4Q23E </c:v>
                </c:pt>
              </c:strCache>
            </c:strRef>
          </c:cat>
          <c:val>
            <c:numRef>
              <c:f>('IS (After Changes)'!$N$41,'IS (After Changes)'!$O$41,'IS (After Changes)'!$P$41,'IS (After Changes)'!$Q$41,'IS (After Changes)'!$S$41,'IS (After Changes)'!$T$41,'IS (After Changes)'!$U$41,'IS (After Changes)'!$V$41,'IS (After Changes)'!$X$41,'IS (After Changes)'!$Y$41,'IS (After Changes)'!$Z$41,'IS (After Changes)'!$AA$41)</c:f>
              <c:numCache>
                <c:formatCode>_(* #,##0_);_(* \(#,##0\);_(* "-"??_);_(@_)</c:formatCode>
                <c:ptCount val="12"/>
                <c:pt idx="0">
                  <c:v>10029</c:v>
                </c:pt>
                <c:pt idx="1">
                  <c:v>9820</c:v>
                </c:pt>
                <c:pt idx="2">
                  <c:v>9860</c:v>
                </c:pt>
                <c:pt idx="3">
                  <c:v>9861</c:v>
                </c:pt>
                <c:pt idx="4">
                  <c:v>9900</c:v>
                </c:pt>
                <c:pt idx="5">
                  <c:v>9954</c:v>
                </c:pt>
                <c:pt idx="6">
                  <c:v>10050</c:v>
                </c:pt>
                <c:pt idx="7">
                  <c:v>10216</c:v>
                </c:pt>
                <c:pt idx="8">
                  <c:v>10276.5</c:v>
                </c:pt>
                <c:pt idx="9">
                  <c:v>10337</c:v>
                </c:pt>
                <c:pt idx="10">
                  <c:v>10397.5</c:v>
                </c:pt>
                <c:pt idx="11">
                  <c:v>10458</c:v>
                </c:pt>
              </c:numCache>
            </c:numRef>
          </c:val>
          <c:extLst>
            <c:ext xmlns:c16="http://schemas.microsoft.com/office/drawing/2014/chart" uri="{C3380CC4-5D6E-409C-BE32-E72D297353CC}">
              <c16:uniqueId val="{00000000-EDC9-4B3B-B1E1-188EE1BAD110}"/>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(After Changes)'!$B$44</c:f>
              <c:strCache>
                <c:ptCount val="1"/>
                <c:pt idx="0">
                  <c:v>Average revenue per average company operated store</c:v>
                </c:pt>
              </c:strCache>
            </c:strRef>
          </c:tx>
          <c:spPr>
            <a:ln w="28575" cap="rnd">
              <a:solidFill>
                <a:schemeClr val="accent3"/>
              </a:solidFill>
              <a:round/>
            </a:ln>
            <a:effectLst/>
          </c:spPr>
          <c:marker>
            <c:symbol val="none"/>
          </c:marker>
          <c:val>
            <c:numRef>
              <c:f>('IS (After Changes)'!$N$44,'IS (After Changes)'!$O$44,'IS (After Changes)'!$P$44,'IS (After Changes)'!$Q$44,'IS (After Changes)'!$S$44,'IS (After Changes)'!$T$44,'IS (After Changes)'!$U$44,'IS (After Changes)'!$V$44,'IS (After Changes)'!$X$44,'IS (After Changes)'!$Y$44,'IS (After Changes)'!$Z$44,'IS (After Changes)'!$AA$44)</c:f>
              <c:numCache>
                <c:formatCode>_(* #,##0.000_);_(* \(#,##0.000\);_(* "-"??_);_(@_)</c:formatCode>
                <c:ptCount val="12"/>
                <c:pt idx="0">
                  <c:v>0.42554374813784884</c:v>
                </c:pt>
                <c:pt idx="1">
                  <c:v>0.43008715804322634</c:v>
                </c:pt>
                <c:pt idx="2">
                  <c:v>0.50099593495934958</c:v>
                </c:pt>
                <c:pt idx="3">
                  <c:v>0.53286344505856698</c:v>
                </c:pt>
                <c:pt idx="4">
                  <c:v>0.52771620869389202</c:v>
                </c:pt>
                <c:pt idx="5">
                  <c:v>0.49725999798529263</c:v>
                </c:pt>
                <c:pt idx="6">
                  <c:v>0.55120975804839034</c:v>
                </c:pt>
                <c:pt idx="7">
                  <c:v>0.54776472910293106</c:v>
                </c:pt>
                <c:pt idx="8">
                  <c:v>0.56747962501897675</c:v>
                </c:pt>
                <c:pt idx="9">
                  <c:v>0.53472853883348448</c:v>
                </c:pt>
                <c:pt idx="10">
                  <c:v>0.59274341331733649</c:v>
                </c:pt>
                <c:pt idx="11">
                  <c:v>0.58903880144083687</c:v>
                </c:pt>
              </c:numCache>
            </c:numRef>
          </c:val>
          <c:smooth val="0"/>
          <c:extLst>
            <c:ext xmlns:c16="http://schemas.microsoft.com/office/drawing/2014/chart" uri="{C3380CC4-5D6E-409C-BE32-E72D297353CC}">
              <c16:uniqueId val="{00000001-EDC9-4B3B-B1E1-188EE1BAD110}"/>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(After Changes)'!$B$74:$C$74</c:f>
              <c:strCache>
                <c:ptCount val="2"/>
                <c:pt idx="0">
                  <c:v>International company-operated stores</c:v>
                </c:pt>
              </c:strCache>
            </c:strRef>
          </c:tx>
          <c:spPr>
            <a:solidFill>
              <a:schemeClr val="accent1"/>
            </a:solidFill>
            <a:ln>
              <a:noFill/>
            </a:ln>
            <a:effectLst/>
          </c:spPr>
          <c:invertIfNegative val="0"/>
          <c:cat>
            <c:strRef>
              <c:f>('IS (After Changes)'!$N$4,'IS (After Changes)'!$O$4,'IS (After Changes)'!$P$4,'IS (After Changes)'!$Q$4,'IS (After Changes)'!$S$4,'IS (After Changes)'!$T$4,'IS (After Changes)'!$U$4,'IS (After Changes)'!$V$4,'IS (After Changes)'!$X$4,'IS (After Changes)'!$Y$4,'IS (After Changes)'!$Z$4,'IS (After Changes)'!$AA$4)</c:f>
              <c:strCache>
                <c:ptCount val="12"/>
                <c:pt idx="0">
                  <c:v> F1Q21 </c:v>
                </c:pt>
                <c:pt idx="1">
                  <c:v> F2Q21 </c:v>
                </c:pt>
                <c:pt idx="2">
                  <c:v> F3Q21 </c:v>
                </c:pt>
                <c:pt idx="3">
                  <c:v> F4Q21 </c:v>
                </c:pt>
                <c:pt idx="4">
                  <c:v> F1Q22 </c:v>
                </c:pt>
                <c:pt idx="5">
                  <c:v> F2Q22 </c:v>
                </c:pt>
                <c:pt idx="6">
                  <c:v> F3Q22 </c:v>
                </c:pt>
                <c:pt idx="7">
                  <c:v> F4Q22 </c:v>
                </c:pt>
                <c:pt idx="8">
                  <c:v> F1Q23E </c:v>
                </c:pt>
                <c:pt idx="9">
                  <c:v> F2Q23E </c:v>
                </c:pt>
                <c:pt idx="10">
                  <c:v> F3Q23E </c:v>
                </c:pt>
                <c:pt idx="11">
                  <c:v> F4Q23E </c:v>
                </c:pt>
              </c:strCache>
            </c:strRef>
          </c:cat>
          <c:val>
            <c:numRef>
              <c:f>('IS (After Changes)'!$N$74,'IS (After Changes)'!$O$74,'IS (After Changes)'!$P$74,'IS (After Changes)'!$Q$74,'IS (After Changes)'!$S$74,'IS (After Changes)'!$T$74,'IS (After Changes)'!$U$74,'IS (After Changes)'!$V$74,'IS (After Changes)'!$X$74,'IS (After Changes)'!$Y$74,'IS (After Changes)'!$Z$74,'IS (After Changes)'!$AA$74)</c:f>
              <c:numCache>
                <c:formatCode>_(* #,##0_);_(* \(#,##0\);_(* "-"??_);_(@_)</c:formatCode>
                <c:ptCount val="12"/>
                <c:pt idx="0">
                  <c:v>6713</c:v>
                </c:pt>
                <c:pt idx="1">
                  <c:v>6836</c:v>
                </c:pt>
                <c:pt idx="2">
                  <c:v>7013</c:v>
                </c:pt>
                <c:pt idx="3">
                  <c:v>7272</c:v>
                </c:pt>
                <c:pt idx="4">
                  <c:v>7485</c:v>
                </c:pt>
                <c:pt idx="5">
                  <c:v>7587</c:v>
                </c:pt>
                <c:pt idx="6">
                  <c:v>7717</c:v>
                </c:pt>
                <c:pt idx="7">
                  <c:v>8037</c:v>
                </c:pt>
                <c:pt idx="8">
                  <c:v>8292</c:v>
                </c:pt>
                <c:pt idx="9">
                  <c:v>8547</c:v>
                </c:pt>
                <c:pt idx="10">
                  <c:v>8802</c:v>
                </c:pt>
                <c:pt idx="11">
                  <c:v>9059</c:v>
                </c:pt>
              </c:numCache>
            </c:numRef>
          </c:val>
          <c:extLst>
            <c:ext xmlns:c16="http://schemas.microsoft.com/office/drawing/2014/chart" uri="{C3380CC4-5D6E-409C-BE32-E72D297353CC}">
              <c16:uniqueId val="{00000000-5BDA-4287-AADE-A4A3DF0702F6}"/>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(After Changes)'!$B$77</c:f>
              <c:strCache>
                <c:ptCount val="1"/>
                <c:pt idx="0">
                  <c:v>Average revenue per average company operated store </c:v>
                </c:pt>
              </c:strCache>
            </c:strRef>
          </c:tx>
          <c:spPr>
            <a:ln w="28575" cap="rnd">
              <a:solidFill>
                <a:schemeClr val="accent3"/>
              </a:solidFill>
              <a:round/>
            </a:ln>
            <a:effectLst/>
          </c:spPr>
          <c:marker>
            <c:symbol val="none"/>
          </c:marker>
          <c:val>
            <c:numRef>
              <c:f>('IS (After Changes)'!$N$77,'IS (After Changes)'!$O$77,'IS (After Changes)'!$P$77,'IS (After Changes)'!$Q$77,'IS (After Changes)'!$S$77,'IS (After Changes)'!$T$77,'IS (After Changes)'!$U$77,'IS (After Changes)'!$V$77,'IS (After Changes)'!$X$77,'IS (After Changes)'!$Y$77,'IS (After Changes)'!$Z$77,'IS (After Changes)'!$AA$77)</c:f>
              <c:numCache>
                <c:formatCode>_(* #,##0.000_);_(* \(#,##0.000\);_(* "-"??_);_(@_)</c:formatCode>
                <c:ptCount val="12"/>
                <c:pt idx="0">
                  <c:v>0.21776300883619062</c:v>
                </c:pt>
                <c:pt idx="1">
                  <c:v>0.20439884862351465</c:v>
                </c:pt>
                <c:pt idx="2">
                  <c:v>0.20698967434471802</c:v>
                </c:pt>
                <c:pt idx="3">
                  <c:v>0.22541127056352817</c:v>
                </c:pt>
                <c:pt idx="4">
                  <c:v>0.20441824219014704</c:v>
                </c:pt>
                <c:pt idx="5">
                  <c:v>0.17786624203821658</c:v>
                </c:pt>
                <c:pt idx="6">
                  <c:v>0.15189492943021432</c:v>
                </c:pt>
                <c:pt idx="7">
                  <c:v>0.17149930176463121</c:v>
                </c:pt>
                <c:pt idx="8">
                  <c:v>0.17375550586162497</c:v>
                </c:pt>
                <c:pt idx="9">
                  <c:v>0.16897292993630575</c:v>
                </c:pt>
                <c:pt idx="10">
                  <c:v>0.18227391531625717</c:v>
                </c:pt>
                <c:pt idx="11">
                  <c:v>0.20579916211755744</c:v>
                </c:pt>
              </c:numCache>
            </c:numRef>
          </c:val>
          <c:smooth val="0"/>
          <c:extLst>
            <c:ext xmlns:c16="http://schemas.microsoft.com/office/drawing/2014/chart" uri="{C3380CC4-5D6E-409C-BE32-E72D297353CC}">
              <c16:uniqueId val="{00000001-5BDA-4287-AADE-A4A3DF0702F6}"/>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FA2E-46A1-9671-4E142683052D}"/>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5CD-49A1-A33E-52B4F6C34606}"/>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D88B-49B6-AF4E-A7C425641B7D}"/>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0CA-4DD6-9936-57F172F52296}"/>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D491-4BB3-A3E5-838981B0F7A0}"/>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702-4F88-9AA3-EC8356E51559}"/>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7FF-442C-B4A7-F6DFB92EB41C}"/>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CBB-4429-9FD2-69B521A07A5E}"/>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D7BF-4474-A168-4C44B4CF9E31}"/>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AEC-40F5-9659-CD82826C5AF5}"/>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DD47-4359-993F-738A6F4082E1}"/>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4B2-47B2-AA3D-83299EF3A3CB}"/>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900-4B9E-91DD-FAC02C439578}"/>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BCCA-4F88-93E7-02583179AE7A}"/>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5B3-4EC5-915A-AF4FFBF13EF5}"/>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C8A-4A15-89E9-AD6E459DE51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E68-41CC-A139-8EDE3E3DF485}"/>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B67-41A8-AFAE-7762FB2A327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00B-49AE-9153-5A4D33B2F42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27F-4779-8AB3-7A6BC2C72CF9}"/>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F3B-4325-A8B7-E0FDFCF2B78B}"/>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9DC-457D-B993-3110C70E5BB3}"/>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7EA-43D0-B324-F110FD43FFEC}"/>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35B-425E-B42B-AAAF64DD1054}"/>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D06-4A3B-9977-1FC751AFC20E}"/>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E74-476F-B62F-9328F4CE52A7}"/>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170-4ABE-9C5E-04C105330CE6}"/>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EC3-4422-94C8-945EC159D6AD}"/>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953-4288-9F00-BC0BE6C18B4D}"/>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CF3-4B11-9046-9C460B60B4CD}"/>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Annual Revenue ($M) and Operating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72388294746738757"/>
          <c:h val="0.61084635741027571"/>
        </c:manualLayout>
      </c:layout>
      <c:barChart>
        <c:barDir val="col"/>
        <c:grouping val="clustered"/>
        <c:varyColors val="0"/>
        <c:ser>
          <c:idx val="0"/>
          <c:order val="0"/>
          <c:tx>
            <c:strRef>
              <c:f>'IS (Before Changes)'!$B$8:$C$8</c:f>
              <c:strCache>
                <c:ptCount val="2"/>
                <c:pt idx="0">
                  <c:v>Total revenues</c:v>
                </c:pt>
              </c:strCache>
            </c:strRef>
          </c:tx>
          <c:spPr>
            <a:solidFill>
              <a:schemeClr val="accent1"/>
            </a:solidFill>
            <a:ln>
              <a:noFill/>
            </a:ln>
            <a:effectLst/>
          </c:spPr>
          <c:invertIfNegative val="0"/>
          <c:cat>
            <c:strRef>
              <c:f>('IS (Before Changes)'!$H$4,'IS (Before Changes)'!$M$4,'IS (Before Changes)'!$R$4,'IS (Before Changes)'!$W$4,'IS (Before Changes)'!$AB$4,'IS (Before Changes)'!$AG$4,'IS (Before Changes)'!$AL$4)</c:f>
              <c:strCache>
                <c:ptCount val="7"/>
                <c:pt idx="0">
                  <c:v> FY 2019 </c:v>
                </c:pt>
                <c:pt idx="1">
                  <c:v> FY 2020 </c:v>
                </c:pt>
                <c:pt idx="2">
                  <c:v> FY 2021 </c:v>
                </c:pt>
                <c:pt idx="3">
                  <c:v> FY 2022 </c:v>
                </c:pt>
                <c:pt idx="4">
                  <c:v> FY 2023E </c:v>
                </c:pt>
                <c:pt idx="5">
                  <c:v> FY 2024E </c:v>
                </c:pt>
                <c:pt idx="6">
                  <c:v> FY 2025E </c:v>
                </c:pt>
              </c:strCache>
            </c:strRef>
          </c:cat>
          <c:val>
            <c:numRef>
              <c:f>('IS (Before Changes)'!$H$8,'IS (Before Changes)'!$M$8,'IS (Before Changes)'!$R$8,'IS (Before Changes)'!$W$8,'IS (Before Changes)'!$AB$8,'IS (Before Changes)'!$AG$8,'IS (Before Changes)'!$AL$8)</c:f>
              <c:numCache>
                <c:formatCode>_(* #,##0.0_);_(* \(#,##0.0\);_(* "-"??_);_(@_)</c:formatCode>
                <c:ptCount val="7"/>
                <c:pt idx="0">
                  <c:v>26508.600000000002</c:v>
                </c:pt>
                <c:pt idx="1">
                  <c:v>23518.000000000004</c:v>
                </c:pt>
                <c:pt idx="2">
                  <c:v>29060.6</c:v>
                </c:pt>
                <c:pt idx="3">
                  <c:v>32250.3</c:v>
                </c:pt>
                <c:pt idx="4">
                  <c:v>35976.05631107324</c:v>
                </c:pt>
                <c:pt idx="5">
                  <c:v>39718.424255367871</c:v>
                </c:pt>
                <c:pt idx="6">
                  <c:v>44291.04277926826</c:v>
                </c:pt>
              </c:numCache>
            </c:numRef>
          </c:val>
          <c:extLst>
            <c:ext xmlns:c16="http://schemas.microsoft.com/office/drawing/2014/chart" uri="{C3380CC4-5D6E-409C-BE32-E72D297353CC}">
              <c16:uniqueId val="{00000000-AB5F-44B0-A33F-D911CBB6B894}"/>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v>Operating Margin (Non-GAAP)</c:v>
          </c:tx>
          <c:spPr>
            <a:ln w="28575" cap="rnd">
              <a:solidFill>
                <a:schemeClr val="accent3"/>
              </a:solidFill>
              <a:round/>
            </a:ln>
            <a:effectLst/>
          </c:spPr>
          <c:marker>
            <c:symbol val="none"/>
          </c:marker>
          <c:val>
            <c:numRef>
              <c:f>('IS (Before Changes)'!$H$142,'IS (Before Changes)'!$M$142,'IS (Before Changes)'!$R$142,'IS (Before Changes)'!$W$142,'IS (Before Changes)'!$AB$142,'IS (Before Changes)'!$AG$142,'IS (Before Changes)'!$AL$142)</c:f>
              <c:numCache>
                <c:formatCode>0.0%</c:formatCode>
                <c:ptCount val="7"/>
                <c:pt idx="0">
                  <c:v>0.17201964645435841</c:v>
                </c:pt>
                <c:pt idx="1">
                  <c:v>9.0704141508631861E-2</c:v>
                </c:pt>
                <c:pt idx="2">
                  <c:v>0.18106990220435909</c:v>
                </c:pt>
                <c:pt idx="3">
                  <c:v>0.15054123527533064</c:v>
                </c:pt>
                <c:pt idx="4">
                  <c:v>0.15666080683528935</c:v>
                </c:pt>
                <c:pt idx="5">
                  <c:v>0.16480362488413791</c:v>
                </c:pt>
                <c:pt idx="6">
                  <c:v>0.17350945509470186</c:v>
                </c:pt>
              </c:numCache>
            </c:numRef>
          </c:val>
          <c:smooth val="0"/>
          <c:extLst>
            <c:ext xmlns:c16="http://schemas.microsoft.com/office/drawing/2014/chart" uri="{C3380CC4-5D6E-409C-BE32-E72D297353CC}">
              <c16:uniqueId val="{00000001-AB5F-44B0-A33F-D911CBB6B894}"/>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0.2026626438644322"/>
          <c:y val="0.87216800788484661"/>
          <c:w val="0.57060171583029728"/>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
            </a:r>
            <a:r>
              <a:rPr lang="en-US" baseline="0"/>
              <a:t> America Segment Metrics (Quarterly, stores and $M)</a:t>
            </a:r>
            <a:endParaRPr lang="en-US"/>
          </a:p>
        </c:rich>
      </c:tx>
      <c:layout>
        <c:manualLayout>
          <c:xMode val="edge"/>
          <c:yMode val="edge"/>
          <c:x val="7.0733732910251895E-2"/>
          <c:y val="3.209536909674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(Before Changes)'!$B$41:$C$41</c:f>
              <c:strCache>
                <c:ptCount val="2"/>
                <c:pt idx="0">
                  <c:v>NA company-operated stores</c:v>
                </c:pt>
              </c:strCache>
            </c:strRef>
          </c:tx>
          <c:spPr>
            <a:solidFill>
              <a:schemeClr val="accent1"/>
            </a:solidFill>
            <a:ln>
              <a:noFill/>
            </a:ln>
            <a:effectLst/>
          </c:spPr>
          <c:invertIfNegative val="0"/>
          <c:cat>
            <c:strRef>
              <c:f>('IS (Before Changes)'!$N$4,'IS (Before Changes)'!$O$4,'IS (Before Changes)'!$P$4,'IS (Before Changes)'!$Q$4,'IS (Before Changes)'!$S$4,'IS (Before Changes)'!$T$4,'IS (Before Changes)'!$U$4,'IS (Before Changes)'!$V$4,'IS (Before Changes)'!$X$4,'IS (Before Changes)'!$Y$4,'IS (Before Changes)'!$Z$4,'IS (Before Changes)'!$AA$4)</c:f>
              <c:strCache>
                <c:ptCount val="12"/>
                <c:pt idx="0">
                  <c:v> F1Q21 </c:v>
                </c:pt>
                <c:pt idx="1">
                  <c:v> F2Q21 </c:v>
                </c:pt>
                <c:pt idx="2">
                  <c:v> F3Q21 </c:v>
                </c:pt>
                <c:pt idx="3">
                  <c:v> F4Q21 </c:v>
                </c:pt>
                <c:pt idx="4">
                  <c:v> F1Q22 </c:v>
                </c:pt>
                <c:pt idx="5">
                  <c:v> F2Q22 </c:v>
                </c:pt>
                <c:pt idx="6">
                  <c:v> F3Q22 </c:v>
                </c:pt>
                <c:pt idx="7">
                  <c:v> F4Q22 </c:v>
                </c:pt>
                <c:pt idx="8">
                  <c:v> F1Q23E </c:v>
                </c:pt>
                <c:pt idx="9">
                  <c:v> F2Q23E </c:v>
                </c:pt>
                <c:pt idx="10">
                  <c:v> F3Q23E </c:v>
                </c:pt>
                <c:pt idx="11">
                  <c:v> F4Q23E </c:v>
                </c:pt>
              </c:strCache>
            </c:strRef>
          </c:cat>
          <c:val>
            <c:numRef>
              <c:f>('IS (Before Changes)'!$N$41,'IS (Before Changes)'!$O$41,'IS (Before Changes)'!$P$41,'IS (Before Changes)'!$Q$41,'IS (Before Changes)'!$S$41,'IS (Before Changes)'!$T$41,'IS (Before Changes)'!$U$41,'IS (Before Changes)'!$V$41,'IS (Before Changes)'!$X$41,'IS (Before Changes)'!$Y$41,'IS (Before Changes)'!$Z$41,'IS (Before Changes)'!$AA$41)</c:f>
              <c:numCache>
                <c:formatCode>_(* #,##0_);_(* \(#,##0\);_(* "-"??_);_(@_)</c:formatCode>
                <c:ptCount val="12"/>
                <c:pt idx="0">
                  <c:v>10029</c:v>
                </c:pt>
                <c:pt idx="1">
                  <c:v>9820</c:v>
                </c:pt>
                <c:pt idx="2">
                  <c:v>9860</c:v>
                </c:pt>
                <c:pt idx="3">
                  <c:v>9861</c:v>
                </c:pt>
                <c:pt idx="4">
                  <c:v>9900</c:v>
                </c:pt>
                <c:pt idx="5">
                  <c:v>9954</c:v>
                </c:pt>
                <c:pt idx="6">
                  <c:v>10050</c:v>
                </c:pt>
                <c:pt idx="7">
                  <c:v>10216</c:v>
                </c:pt>
                <c:pt idx="8">
                  <c:v>10276.5</c:v>
                </c:pt>
                <c:pt idx="9">
                  <c:v>10337</c:v>
                </c:pt>
                <c:pt idx="10">
                  <c:v>10397.5</c:v>
                </c:pt>
                <c:pt idx="11">
                  <c:v>10458</c:v>
                </c:pt>
              </c:numCache>
            </c:numRef>
          </c:val>
          <c:extLst>
            <c:ext xmlns:c16="http://schemas.microsoft.com/office/drawing/2014/chart" uri="{C3380CC4-5D6E-409C-BE32-E72D297353CC}">
              <c16:uniqueId val="{00000000-A670-428D-AB7E-3AC06C83062E}"/>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(Before Changes)'!$B$44</c:f>
              <c:strCache>
                <c:ptCount val="1"/>
                <c:pt idx="0">
                  <c:v>Average revenue per average company operated store</c:v>
                </c:pt>
              </c:strCache>
            </c:strRef>
          </c:tx>
          <c:spPr>
            <a:ln w="28575" cap="rnd">
              <a:solidFill>
                <a:schemeClr val="accent3"/>
              </a:solidFill>
              <a:round/>
            </a:ln>
            <a:effectLst/>
          </c:spPr>
          <c:marker>
            <c:symbol val="none"/>
          </c:marker>
          <c:val>
            <c:numRef>
              <c:f>('IS (Before Changes)'!$N$44,'IS (Before Changes)'!$O$44,'IS (Before Changes)'!$P$44,'IS (Before Changes)'!$Q$44,'IS (Before Changes)'!$S$44,'IS (Before Changes)'!$T$44,'IS (Before Changes)'!$U$44,'IS (Before Changes)'!$V$44,'IS (Before Changes)'!$X$44,'IS (Before Changes)'!$Y$44,'IS (Before Changes)'!$Z$44,'IS (Before Changes)'!$AA$44)</c:f>
              <c:numCache>
                <c:formatCode>_(* #,##0.000_);_(* \(#,##0.000\);_(* "-"??_);_(@_)</c:formatCode>
                <c:ptCount val="12"/>
                <c:pt idx="0">
                  <c:v>0.42554374813784884</c:v>
                </c:pt>
                <c:pt idx="1">
                  <c:v>0.43008715804322634</c:v>
                </c:pt>
                <c:pt idx="2">
                  <c:v>0.50099593495934958</c:v>
                </c:pt>
                <c:pt idx="3">
                  <c:v>0.53286344505856698</c:v>
                </c:pt>
                <c:pt idx="4">
                  <c:v>0.52771620869389202</c:v>
                </c:pt>
                <c:pt idx="5">
                  <c:v>0.49725999798529263</c:v>
                </c:pt>
                <c:pt idx="6">
                  <c:v>0.55120975804839034</c:v>
                </c:pt>
                <c:pt idx="7">
                  <c:v>0.54776472910293106</c:v>
                </c:pt>
                <c:pt idx="8">
                  <c:v>0.5646563433024645</c:v>
                </c:pt>
                <c:pt idx="9">
                  <c:v>0.53206819784426318</c:v>
                </c:pt>
                <c:pt idx="10">
                  <c:v>0.57877024595080984</c:v>
                </c:pt>
                <c:pt idx="11">
                  <c:v>0.5751529655580776</c:v>
                </c:pt>
              </c:numCache>
            </c:numRef>
          </c:val>
          <c:smooth val="0"/>
          <c:extLst>
            <c:ext xmlns:c16="http://schemas.microsoft.com/office/drawing/2014/chart" uri="{C3380CC4-5D6E-409C-BE32-E72D297353CC}">
              <c16:uniqueId val="{00000001-A670-428D-AB7E-3AC06C83062E}"/>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2.6045755474595516E-2"/>
          <c:y val="0.87216800788484661"/>
          <c:w val="0.95866141732283483"/>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International </a:t>
            </a:r>
            <a:r>
              <a:rPr lang="en-US" baseline="0"/>
              <a:t>Segment Metrics (Quarterly,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40839111528969"/>
          <c:y val="0.176298165617881"/>
          <c:w val="0.67910682806440237"/>
          <c:h val="0.51914530284814808"/>
        </c:manualLayout>
      </c:layout>
      <c:barChart>
        <c:barDir val="col"/>
        <c:grouping val="clustered"/>
        <c:varyColors val="0"/>
        <c:ser>
          <c:idx val="0"/>
          <c:order val="0"/>
          <c:tx>
            <c:strRef>
              <c:f>'IS (Before Changes)'!$B$74:$C$74</c:f>
              <c:strCache>
                <c:ptCount val="2"/>
                <c:pt idx="0">
                  <c:v>International company-operated stores</c:v>
                </c:pt>
              </c:strCache>
            </c:strRef>
          </c:tx>
          <c:spPr>
            <a:solidFill>
              <a:schemeClr val="accent1"/>
            </a:solidFill>
            <a:ln>
              <a:noFill/>
            </a:ln>
            <a:effectLst/>
          </c:spPr>
          <c:invertIfNegative val="0"/>
          <c:cat>
            <c:strRef>
              <c:f>('IS (Before Changes)'!$N$4,'IS (Before Changes)'!$O$4,'IS (Before Changes)'!$P$4,'IS (Before Changes)'!$Q$4,'IS (Before Changes)'!$S$4,'IS (Before Changes)'!$T$4,'IS (Before Changes)'!$U$4,'IS (Before Changes)'!$V$4,'IS (Before Changes)'!$X$4,'IS (Before Changes)'!$Y$4,'IS (Before Changes)'!$Z$4,'IS (Before Changes)'!$AA$4)</c:f>
              <c:strCache>
                <c:ptCount val="12"/>
                <c:pt idx="0">
                  <c:v> F1Q21 </c:v>
                </c:pt>
                <c:pt idx="1">
                  <c:v> F2Q21 </c:v>
                </c:pt>
                <c:pt idx="2">
                  <c:v> F3Q21 </c:v>
                </c:pt>
                <c:pt idx="3">
                  <c:v> F4Q21 </c:v>
                </c:pt>
                <c:pt idx="4">
                  <c:v> F1Q22 </c:v>
                </c:pt>
                <c:pt idx="5">
                  <c:v> F2Q22 </c:v>
                </c:pt>
                <c:pt idx="6">
                  <c:v> F3Q22 </c:v>
                </c:pt>
                <c:pt idx="7">
                  <c:v> F4Q22 </c:v>
                </c:pt>
                <c:pt idx="8">
                  <c:v> F1Q23E </c:v>
                </c:pt>
                <c:pt idx="9">
                  <c:v> F2Q23E </c:v>
                </c:pt>
                <c:pt idx="10">
                  <c:v> F3Q23E </c:v>
                </c:pt>
                <c:pt idx="11">
                  <c:v> F4Q23E </c:v>
                </c:pt>
              </c:strCache>
            </c:strRef>
          </c:cat>
          <c:val>
            <c:numRef>
              <c:f>('IS (Before Changes)'!$N$74,'IS (Before Changes)'!$O$74,'IS (Before Changes)'!$P$74,'IS (Before Changes)'!$Q$74,'IS (Before Changes)'!$S$74,'IS (Before Changes)'!$T$74,'IS (Before Changes)'!$U$74,'IS (Before Changes)'!$V$74,'IS (Before Changes)'!$X$74,'IS (Before Changes)'!$Y$74,'IS (Before Changes)'!$Z$74,'IS (Before Changes)'!$AA$74)</c:f>
              <c:numCache>
                <c:formatCode>_(* #,##0_);_(* \(#,##0\);_(* "-"??_);_(@_)</c:formatCode>
                <c:ptCount val="12"/>
                <c:pt idx="0">
                  <c:v>6713</c:v>
                </c:pt>
                <c:pt idx="1">
                  <c:v>6836</c:v>
                </c:pt>
                <c:pt idx="2">
                  <c:v>7013</c:v>
                </c:pt>
                <c:pt idx="3">
                  <c:v>7272</c:v>
                </c:pt>
                <c:pt idx="4">
                  <c:v>7485</c:v>
                </c:pt>
                <c:pt idx="5">
                  <c:v>7587</c:v>
                </c:pt>
                <c:pt idx="6">
                  <c:v>7717</c:v>
                </c:pt>
                <c:pt idx="7">
                  <c:v>8037</c:v>
                </c:pt>
                <c:pt idx="8">
                  <c:v>8292</c:v>
                </c:pt>
                <c:pt idx="9">
                  <c:v>8547</c:v>
                </c:pt>
                <c:pt idx="10">
                  <c:v>8802</c:v>
                </c:pt>
                <c:pt idx="11">
                  <c:v>9059</c:v>
                </c:pt>
              </c:numCache>
            </c:numRef>
          </c:val>
          <c:extLst>
            <c:ext xmlns:c16="http://schemas.microsoft.com/office/drawing/2014/chart" uri="{C3380CC4-5D6E-409C-BE32-E72D297353CC}">
              <c16:uniqueId val="{00000000-6762-45E7-BF5C-AD60D330E316}"/>
            </c:ext>
          </c:extLst>
        </c:ser>
        <c:dLbls>
          <c:showLegendKey val="0"/>
          <c:showVal val="0"/>
          <c:showCatName val="0"/>
          <c:showSerName val="0"/>
          <c:showPercent val="0"/>
          <c:showBubbleSize val="0"/>
        </c:dLbls>
        <c:gapWidth val="150"/>
        <c:axId val="659595343"/>
        <c:axId val="659595759"/>
      </c:barChart>
      <c:lineChart>
        <c:grouping val="standard"/>
        <c:varyColors val="0"/>
        <c:ser>
          <c:idx val="1"/>
          <c:order val="1"/>
          <c:tx>
            <c:strRef>
              <c:f>'IS (Before Changes)'!$B$77</c:f>
              <c:strCache>
                <c:ptCount val="1"/>
                <c:pt idx="0">
                  <c:v>Average revenue per average company operated store </c:v>
                </c:pt>
              </c:strCache>
            </c:strRef>
          </c:tx>
          <c:spPr>
            <a:ln w="28575" cap="rnd">
              <a:solidFill>
                <a:schemeClr val="accent3"/>
              </a:solidFill>
              <a:round/>
            </a:ln>
            <a:effectLst/>
          </c:spPr>
          <c:marker>
            <c:symbol val="none"/>
          </c:marker>
          <c:val>
            <c:numRef>
              <c:f>('IS (Before Changes)'!$N$77,'IS (Before Changes)'!$O$77,'IS (Before Changes)'!$P$77,'IS (Before Changes)'!$Q$77,'IS (Before Changes)'!$S$77,'IS (Before Changes)'!$T$77,'IS (Before Changes)'!$U$77,'IS (Before Changes)'!$V$77,'IS (Before Changes)'!$X$77,'IS (Before Changes)'!$Y$77,'IS (Before Changes)'!$Z$77,'IS (Before Changes)'!$AA$77)</c:f>
              <c:numCache>
                <c:formatCode>_(* #,##0.000_);_(* \(#,##0.000\);_(* "-"??_);_(@_)</c:formatCode>
                <c:ptCount val="12"/>
                <c:pt idx="0">
                  <c:v>0.21776300883619062</c:v>
                </c:pt>
                <c:pt idx="1">
                  <c:v>0.20439884862351465</c:v>
                </c:pt>
                <c:pt idx="2">
                  <c:v>0.20698967434471802</c:v>
                </c:pt>
                <c:pt idx="3">
                  <c:v>0.22541127056352817</c:v>
                </c:pt>
                <c:pt idx="4">
                  <c:v>0.20441824219014704</c:v>
                </c:pt>
                <c:pt idx="5">
                  <c:v>0.17786624203821658</c:v>
                </c:pt>
                <c:pt idx="6">
                  <c:v>0.15189492943021432</c:v>
                </c:pt>
                <c:pt idx="7">
                  <c:v>0.17149930176463121</c:v>
                </c:pt>
                <c:pt idx="8">
                  <c:v>0.17375550586162497</c:v>
                </c:pt>
                <c:pt idx="9">
                  <c:v>0.16897292993630575</c:v>
                </c:pt>
                <c:pt idx="10">
                  <c:v>0.18227391531625717</c:v>
                </c:pt>
                <c:pt idx="11">
                  <c:v>0.20579916211755744</c:v>
                </c:pt>
              </c:numCache>
            </c:numRef>
          </c:val>
          <c:smooth val="0"/>
          <c:extLst>
            <c:ext xmlns:c16="http://schemas.microsoft.com/office/drawing/2014/chart" uri="{C3380CC4-5D6E-409C-BE32-E72D297353CC}">
              <c16:uniqueId val="{00000001-6762-45E7-BF5C-AD60D330E316}"/>
            </c:ext>
          </c:extLst>
        </c:ser>
        <c:dLbls>
          <c:showLegendKey val="0"/>
          <c:showVal val="0"/>
          <c:showCatName val="0"/>
          <c:showSerName val="0"/>
          <c:showPercent val="0"/>
          <c:showBubbleSize val="0"/>
        </c:dLbls>
        <c:marker val="1"/>
        <c:smooth val="0"/>
        <c:axId val="656526847"/>
        <c:axId val="656529343"/>
      </c:lineChart>
      <c:catAx>
        <c:axId val="65959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759"/>
        <c:crosses val="autoZero"/>
        <c:auto val="1"/>
        <c:lblAlgn val="ctr"/>
        <c:lblOffset val="100"/>
        <c:noMultiLvlLbl val="0"/>
      </c:catAx>
      <c:valAx>
        <c:axId val="65959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595343"/>
        <c:crosses val="autoZero"/>
        <c:crossBetween val="between"/>
      </c:valAx>
      <c:valAx>
        <c:axId val="656529343"/>
        <c:scaling>
          <c:orientation val="minMax"/>
        </c:scaling>
        <c:delete val="0"/>
        <c:axPos val="r"/>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526847"/>
        <c:crosses val="max"/>
        <c:crossBetween val="between"/>
      </c:valAx>
      <c:catAx>
        <c:axId val="656526847"/>
        <c:scaling>
          <c:orientation val="minMax"/>
        </c:scaling>
        <c:delete val="1"/>
        <c:axPos val="b"/>
        <c:majorTickMark val="out"/>
        <c:minorTickMark val="none"/>
        <c:tickLblPos val="nextTo"/>
        <c:crossAx val="656529343"/>
        <c:crosses val="autoZero"/>
        <c:auto val="1"/>
        <c:lblAlgn val="ctr"/>
        <c:lblOffset val="100"/>
        <c:noMultiLvlLbl val="0"/>
      </c:catAx>
      <c:spPr>
        <a:noFill/>
        <a:ln>
          <a:noFill/>
        </a:ln>
        <a:effectLst/>
      </c:spPr>
    </c:plotArea>
    <c:legend>
      <c:legendPos val="r"/>
      <c:layout>
        <c:manualLayout>
          <c:xMode val="edge"/>
          <c:yMode val="edge"/>
          <c:x val="1.1701335840482614E-3"/>
          <c:y val="0.87216800788484661"/>
          <c:w val="0.98353703921338187"/>
          <c:h val="0.12723629628827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9F6-4864-AE7B-71BD9CB893D4}"/>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445-4DDA-BE38-358165723A2C}"/>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A8B-4942-9496-79C4BE8B5D51}"/>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3246-4C68-9DB1-9ADA97B1FEAB}"/>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FD1F-4C54-AE59-E06FAE0B88D1}"/>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ED4F-4622-BF49-FED69CFD2FDB}"/>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C43-47F8-A23B-06D7F1EC4F13}"/>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E92-46C1-9E99-1432ED019981}"/>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3B00-46FD-9BD4-46957E66D958}"/>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647-4520-928D-5DB2CA264C98}"/>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938-4B16-A52F-7D3B41A171B5}"/>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A0CA-4505-98B2-8A20B7726B33}"/>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6B4-45D4-89FF-66149375EBC6}"/>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42A5-49DE-824B-D3BC1DF7750B}"/>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BCE7FFC1-1F98-4275-B9BE-82FB3A0F0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F0A0F0E0-30C2-4562-9720-3E1700E74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2F936734-8D3F-40BF-B885-0EBE340FD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F00858EE-95A0-4852-BEF0-4C8C52E71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BE7E6B64-717A-4BFD-A689-100105AB4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08A3E776-CB3E-4532-9D76-3706234A7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3FEC6796-BBAA-4812-A080-4661A054E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B38B3808-D750-42E6-9282-B2A910CEC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FEBF422-4279-4658-AFCD-882F71F66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035945FF-B285-4629-83FE-22A35CFD4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436BFE5E-61D7-40E0-AE75-EF391083B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424B5A63-5619-421B-A20C-C14058870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D42E5C83-3497-4FCE-BA51-0BF783358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79BF9F93-0DDE-4FE7-9CCD-F44CA577F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79A0D1B6-A5AA-F7E4-7B9D-2D263C4FE4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ADAC700A-44A4-443A-9B77-9832B1714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B34C4A19-46DC-4AC2-BC85-DE067DB1B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276BDD3A-109D-41FF-9673-405026193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F1A01284-8CD4-4CC2-8066-64E703078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20339BF5-6E29-41B3-B145-A47EC2D80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A27CD76A-5C62-4E30-9E17-8EA3857AC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59993696-8FC8-460D-8379-629513F64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6358E71C-0168-4EC2-AAA0-B6227D524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DB215226-186B-4A18-9045-A0FEF2D2C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AFAF1AE4-526C-4A3D-9701-CCF5B3FF3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5C5771AD-1F03-470F-972B-B52A3470D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CAD379BD-F382-470F-B42E-0F43E3E40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334B0A61-AA73-4D7D-9A7C-30E4875E4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72268BEF-0EFD-4D02-AD51-DBD7E126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BC77EBA5-E7FD-4563-9087-1427953AE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BBE2E3B8-F443-4E8C-A187-AB141CDED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D598B68B-E3BD-4EE9-8AF3-95FDEF835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0E89D53E-B114-495B-865F-6D8DEA404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1233E0CD-2757-4418-A488-71774F8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236220</xdr:colOff>
      <xdr:row>1</xdr:row>
      <xdr:rowOff>140970</xdr:rowOff>
    </xdr:from>
    <xdr:to>
      <xdr:col>9</xdr:col>
      <xdr:colOff>464820</xdr:colOff>
      <xdr:row>16</xdr:row>
      <xdr:rowOff>167640</xdr:rowOff>
    </xdr:to>
    <xdr:graphicFrame macro="">
      <xdr:nvGraphicFramePr>
        <xdr:cNvPr id="2" name="Chart 1">
          <a:extLst>
            <a:ext uri="{FF2B5EF4-FFF2-40B4-BE49-F238E27FC236}">
              <a16:creationId xmlns:a16="http://schemas.microsoft.com/office/drawing/2014/main" id="{E284B3D2-4148-4E27-8BA9-BD10E46A7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19</xdr:row>
      <xdr:rowOff>106680</xdr:rowOff>
    </xdr:from>
    <xdr:to>
      <xdr:col>9</xdr:col>
      <xdr:colOff>419100</xdr:colOff>
      <xdr:row>34</xdr:row>
      <xdr:rowOff>133350</xdr:rowOff>
    </xdr:to>
    <xdr:graphicFrame macro="">
      <xdr:nvGraphicFramePr>
        <xdr:cNvPr id="3" name="Chart 2">
          <a:extLst>
            <a:ext uri="{FF2B5EF4-FFF2-40B4-BE49-F238E27FC236}">
              <a16:creationId xmlns:a16="http://schemas.microsoft.com/office/drawing/2014/main" id="{A24BD9AD-5F38-412F-8CB0-137C7C1D3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236220</xdr:colOff>
      <xdr:row>36</xdr:row>
      <xdr:rowOff>7620</xdr:rowOff>
    </xdr:from>
    <xdr:to>
      <xdr:col>9</xdr:col>
      <xdr:colOff>464820</xdr:colOff>
      <xdr:row>51</xdr:row>
      <xdr:rowOff>34290</xdr:rowOff>
    </xdr:to>
    <xdr:graphicFrame macro="">
      <xdr:nvGraphicFramePr>
        <xdr:cNvPr id="4" name="Chart 3">
          <a:extLst>
            <a:ext uri="{FF2B5EF4-FFF2-40B4-BE49-F238E27FC236}">
              <a16:creationId xmlns:a16="http://schemas.microsoft.com/office/drawing/2014/main" id="{63AD0E9E-A628-4077-BFD5-C2461D17C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2" name="Chart 1">
          <a:extLst>
            <a:ext uri="{FF2B5EF4-FFF2-40B4-BE49-F238E27FC236}">
              <a16:creationId xmlns:a16="http://schemas.microsoft.com/office/drawing/2014/main" id="{55358474-A91D-46B2-9DAB-AB8B882D1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F22CDF18-AC8A-4975-8590-A78A206CB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49D18B70-1C2D-42AA-84F0-9C9DAE198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EF84B3CE-C168-44B6-A959-C1080765B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C8B67DFA-1BD9-4F96-9534-FE9F768A4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20977B88-10CC-4C7E-B371-0389F905E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3" name="Chart 2">
          <a:extLst>
            <a:ext uri="{FF2B5EF4-FFF2-40B4-BE49-F238E27FC236}">
              <a16:creationId xmlns:a16="http://schemas.microsoft.com/office/drawing/2014/main" id="{E6FA518B-C537-45C0-845C-F9AF2FC6F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5E457AC-3CFF-4974-A7FA-0A74B28CC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50</xdr:row>
      <xdr:rowOff>0</xdr:rowOff>
    </xdr:from>
    <xdr:to>
      <xdr:col>3</xdr:col>
      <xdr:colOff>0</xdr:colOff>
      <xdr:row>50</xdr:row>
      <xdr:rowOff>0</xdr:rowOff>
    </xdr:to>
    <xdr:graphicFrame macro="">
      <xdr:nvGraphicFramePr>
        <xdr:cNvPr id="5" name="Chart 4">
          <a:extLst>
            <a:ext uri="{FF2B5EF4-FFF2-40B4-BE49-F238E27FC236}">
              <a16:creationId xmlns:a16="http://schemas.microsoft.com/office/drawing/2014/main" id="{9A05AEC8-060D-4D95-9DB7-68E180813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236802</xdr:colOff>
      <xdr:row>38</xdr:row>
      <xdr:rowOff>0</xdr:rowOff>
    </xdr:from>
    <xdr:to>
      <xdr:col>3</xdr:col>
      <xdr:colOff>0</xdr:colOff>
      <xdr:row>38</xdr:row>
      <xdr:rowOff>0</xdr:rowOff>
    </xdr:to>
    <xdr:graphicFrame macro="">
      <xdr:nvGraphicFramePr>
        <xdr:cNvPr id="5" name="Chart 4">
          <a:extLst>
            <a:ext uri="{FF2B5EF4-FFF2-40B4-BE49-F238E27FC236}">
              <a16:creationId xmlns:a16="http://schemas.microsoft.com/office/drawing/2014/main" id="{6B9BA363-6D51-4C5A-8B2C-5A9A03E89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236802</xdr:colOff>
      <xdr:row>3</xdr:row>
      <xdr:rowOff>0</xdr:rowOff>
    </xdr:from>
    <xdr:to>
      <xdr:col>3</xdr:col>
      <xdr:colOff>0</xdr:colOff>
      <xdr:row>3</xdr:row>
      <xdr:rowOff>0</xdr:rowOff>
    </xdr:to>
    <xdr:graphicFrame macro="">
      <xdr:nvGraphicFramePr>
        <xdr:cNvPr id="2" name="Chart 1">
          <a:extLst>
            <a:ext uri="{FF2B5EF4-FFF2-40B4-BE49-F238E27FC236}">
              <a16:creationId xmlns:a16="http://schemas.microsoft.com/office/drawing/2014/main" id="{3F7BABA0-FBC4-4D33-848F-AE0FF281D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3" name="Chart 2">
          <a:extLst>
            <a:ext uri="{FF2B5EF4-FFF2-40B4-BE49-F238E27FC236}">
              <a16:creationId xmlns:a16="http://schemas.microsoft.com/office/drawing/2014/main" id="{F29EC6B1-3BC9-4815-8E99-B4C80B508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3</xdr:row>
      <xdr:rowOff>0</xdr:rowOff>
    </xdr:from>
    <xdr:to>
      <xdr:col>3</xdr:col>
      <xdr:colOff>0</xdr:colOff>
      <xdr:row>3</xdr:row>
      <xdr:rowOff>0</xdr:rowOff>
    </xdr:to>
    <xdr:graphicFrame macro="">
      <xdr:nvGraphicFramePr>
        <xdr:cNvPr id="4" name="Chart 3">
          <a:extLst>
            <a:ext uri="{FF2B5EF4-FFF2-40B4-BE49-F238E27FC236}">
              <a16:creationId xmlns:a16="http://schemas.microsoft.com/office/drawing/2014/main" id="{BD788BF8-6BD7-4BAF-A6EE-8A291738F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44</xdr:row>
      <xdr:rowOff>0</xdr:rowOff>
    </xdr:from>
    <xdr:to>
      <xdr:col>3</xdr:col>
      <xdr:colOff>0</xdr:colOff>
      <xdr:row>44</xdr:row>
      <xdr:rowOff>0</xdr:rowOff>
    </xdr:to>
    <xdr:graphicFrame macro="">
      <xdr:nvGraphicFramePr>
        <xdr:cNvPr id="5" name="Chart 4">
          <a:extLst>
            <a:ext uri="{FF2B5EF4-FFF2-40B4-BE49-F238E27FC236}">
              <a16:creationId xmlns:a16="http://schemas.microsoft.com/office/drawing/2014/main" id="{B79B21A9-C7F3-4056-A036-93DE8BF66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57608-D79B-47B4-978A-4E64D98FE3C9}">
  <sheetPr>
    <tabColor theme="4" tint="0.39997558519241921"/>
    <pageSetUpPr fitToPage="1"/>
  </sheetPr>
  <dimension ref="A1:AV316"/>
  <sheetViews>
    <sheetView showGridLines="0" tabSelected="1" zoomScaleNormal="100" workbookViewId="0">
      <pane xSplit="3" ySplit="4" topLeftCell="T5" activePane="bottomRight" state="frozen"/>
      <selection activeCell="Q59" sqref="Q59"/>
      <selection pane="topRight" activeCell="Q59" sqref="Q59"/>
      <selection pane="bottomLeft" activeCell="Q59" sqref="Q59"/>
      <selection pane="bottomRight" activeCell="B1" sqref="B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91"/>
      <c r="AA1" s="391"/>
      <c r="AB1" s="391"/>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22"/>
      <c r="B3" s="494" t="s">
        <v>18</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22"/>
      <c r="B4" s="512" t="s">
        <v>3</v>
      </c>
      <c r="C4" s="513"/>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486" t="s">
        <v>101</v>
      </c>
      <c r="C5" s="487"/>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48">
        <f>+X45+X78</f>
        <v>7233.1649354579276</v>
      </c>
      <c r="Y5" s="48">
        <f>+Y45+Y78</f>
        <v>6933.9809512207421</v>
      </c>
      <c r="Z5" s="48">
        <f>+Z45+Z78</f>
        <v>7726.2542301250296</v>
      </c>
      <c r="AA5" s="48">
        <f>+AA45+AA78</f>
        <v>7980.2387790155335</v>
      </c>
      <c r="AB5" s="49">
        <f>SUM(X5:AA5)</f>
        <v>29873.638895819233</v>
      </c>
      <c r="AC5" s="48">
        <f>+AC45+AC78</f>
        <v>8200.5364081666157</v>
      </c>
      <c r="AD5" s="48">
        <f>+AD45+AD78</f>
        <v>7639.6220276973863</v>
      </c>
      <c r="AE5" s="48">
        <f>+AE45+AE78</f>
        <v>8514.3980140254716</v>
      </c>
      <c r="AF5" s="48">
        <f>+AF45+AF78</f>
        <v>8815.7382610347777</v>
      </c>
      <c r="AG5" s="49">
        <f>SUM(AC5:AF5)</f>
        <v>33170.294710924252</v>
      </c>
      <c r="AH5" s="48">
        <f>+AH45+AH78</f>
        <v>9194.2836143474433</v>
      </c>
      <c r="AI5" s="48">
        <f>+AI45+AI78</f>
        <v>8561.7187489971075</v>
      </c>
      <c r="AJ5" s="48">
        <f>+AJ45+AJ78</f>
        <v>9545.1090775469038</v>
      </c>
      <c r="AK5" s="48">
        <f>+AK45+AK78</f>
        <v>9899.1208648465836</v>
      </c>
      <c r="AL5" s="49">
        <f>SUM(AH5:AK5)</f>
        <v>37200.232305738042</v>
      </c>
      <c r="AM5" s="48">
        <f>+AM45+AM78</f>
        <v>10125.83045581453</v>
      </c>
      <c r="AN5" s="48">
        <f>+AN45+AN78</f>
        <v>9391.0598832713222</v>
      </c>
      <c r="AO5" s="48">
        <f>+AO45+AO78</f>
        <v>10438.694019569948</v>
      </c>
      <c r="AP5" s="48">
        <f>+AP45+AP78</f>
        <v>10801.349728971103</v>
      </c>
      <c r="AQ5" s="49">
        <f>SUM(AM5:AP5)</f>
        <v>40756.934087626905</v>
      </c>
      <c r="AR5" s="48">
        <f>+AR45+AR78</f>
        <v>10820.160219618245</v>
      </c>
      <c r="AS5" s="48">
        <f>+AS45+AS78</f>
        <v>10029.556489329058</v>
      </c>
      <c r="AT5" s="48">
        <f>+AT45+AT78</f>
        <v>11144.206818127128</v>
      </c>
      <c r="AU5" s="48">
        <f>+AU45+AU78</f>
        <v>11530.582570338618</v>
      </c>
      <c r="AV5" s="49">
        <f>SUM(AR5:AU5)</f>
        <v>43524.506097413047</v>
      </c>
    </row>
    <row r="6" spans="1:48" outlineLevel="1" x14ac:dyDescent="0.3">
      <c r="B6" s="486" t="s">
        <v>102</v>
      </c>
      <c r="C6" s="487"/>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48">
        <f>+X54+X87</f>
        <v>1007.3279572260561</v>
      </c>
      <c r="Y6" s="48">
        <f>+Y54+Y87</f>
        <v>1013.5447982914288</v>
      </c>
      <c r="Z6" s="48">
        <f>+Z54+Z87</f>
        <v>1128.0454970508563</v>
      </c>
      <c r="AA6" s="48">
        <f>+AA54+AA87</f>
        <v>1179.6200269712072</v>
      </c>
      <c r="AB6" s="49">
        <f t="shared" ref="AB6:AB7" si="3">SUM(X6:AA6)</f>
        <v>4328.538279539549</v>
      </c>
      <c r="AC6" s="48">
        <f>+AC54+AC87</f>
        <v>1122.3506506583644</v>
      </c>
      <c r="AD6" s="48">
        <f>+AD54+AD87</f>
        <v>1130.1038585778633</v>
      </c>
      <c r="AE6" s="48">
        <f>+AE54+AE87</f>
        <v>1260.3825469343951</v>
      </c>
      <c r="AF6" s="48">
        <f>+AF54+AF87</f>
        <v>1317.5653892157457</v>
      </c>
      <c r="AG6" s="49">
        <f t="shared" ref="AG6:AG7" si="4">SUM(AC6:AF6)</f>
        <v>4830.4024453863685</v>
      </c>
      <c r="AH6" s="48">
        <f>+AH54+AH87</f>
        <v>1266.0912988731188</v>
      </c>
      <c r="AI6" s="48">
        <f>+AI54+AI87</f>
        <v>1275.4955039870742</v>
      </c>
      <c r="AJ6" s="48">
        <f>+AJ54+AJ87</f>
        <v>1423.8740912931548</v>
      </c>
      <c r="AK6" s="48">
        <f>+AK54+AK87</f>
        <v>1488.542568025257</v>
      </c>
      <c r="AL6" s="49">
        <f t="shared" ref="AL6:AL7" si="5">SUM(AH6:AK6)</f>
        <v>5454.0034621786053</v>
      </c>
      <c r="AM6" s="48">
        <f>+AM54+AM87</f>
        <v>1406.7452168365685</v>
      </c>
      <c r="AN6" s="48">
        <f>+AN54+AN87</f>
        <v>1400.688919119146</v>
      </c>
      <c r="AO6" s="48">
        <f>+AO54+AO87</f>
        <v>1546.3860169361456</v>
      </c>
      <c r="AP6" s="48">
        <f>+AP54+AP87</f>
        <v>1597.692425773073</v>
      </c>
      <c r="AQ6" s="49">
        <f t="shared" ref="AQ6:AQ7" si="6">SUM(AM6:AP6)</f>
        <v>5951.5125786649332</v>
      </c>
      <c r="AR6" s="48">
        <f>+AR54+AR87</f>
        <v>1472.4845205117902</v>
      </c>
      <c r="AS6" s="48">
        <f>+AS54+AS87</f>
        <v>1466.0902454926754</v>
      </c>
      <c r="AT6" s="48">
        <f>+AT54+AT87</f>
        <v>1618.7999559528362</v>
      </c>
      <c r="AU6" s="48">
        <f>+AU54+AU87</f>
        <v>1672.2524174619641</v>
      </c>
      <c r="AV6" s="49">
        <f t="shared" ref="AV6:AV7" si="7">SUM(AR6:AU6)</f>
        <v>6229.6271394192654</v>
      </c>
    </row>
    <row r="7" spans="1:48" ht="16.2" outlineLevel="1" x14ac:dyDescent="0.45">
      <c r="B7" s="486" t="s">
        <v>103</v>
      </c>
      <c r="C7" s="487"/>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52">
        <f>+X55+X88+X108+X123</f>
        <v>514.53500000000008</v>
      </c>
      <c r="Y7" s="52">
        <f>+Y55+Y88+Y108+Y123</f>
        <v>527.98200000000008</v>
      </c>
      <c r="Z7" s="52">
        <f>+Z55+Z88+Z108+Z123</f>
        <v>541.15800000000002</v>
      </c>
      <c r="AA7" s="52">
        <f>+AA55+AA88+AA108+AA123</f>
        <v>536.21299999999997</v>
      </c>
      <c r="AB7" s="53">
        <f t="shared" si="3"/>
        <v>2119.8879999999999</v>
      </c>
      <c r="AC7" s="52">
        <f>+AC55+AC88+AC108+AC123</f>
        <v>538.26440000000014</v>
      </c>
      <c r="AD7" s="52">
        <f>+AD55+AD88+AD108+AD123</f>
        <v>552.56346000000008</v>
      </c>
      <c r="AE7" s="52">
        <f>+AE55+AE88+AE108+AE123</f>
        <v>566.17452000000003</v>
      </c>
      <c r="AF7" s="52">
        <f>+AF55+AF88+AF108+AF123</f>
        <v>560.76692000000003</v>
      </c>
      <c r="AG7" s="53">
        <f t="shared" si="4"/>
        <v>2217.7693000000004</v>
      </c>
      <c r="AH7" s="52">
        <f>+AH55+AH88+AH108+AH123</f>
        <v>567.58199600000012</v>
      </c>
      <c r="AI7" s="52">
        <f>+AI55+AI88+AI108+AI123</f>
        <v>580.59704340000019</v>
      </c>
      <c r="AJ7" s="52">
        <f>+AJ55+AJ88+AJ108+AJ123</f>
        <v>593.31856080000011</v>
      </c>
      <c r="AK7" s="52">
        <f>+AK55+AK88+AK108+AK123</f>
        <v>587.50131680000004</v>
      </c>
      <c r="AL7" s="53">
        <f t="shared" si="5"/>
        <v>2328.9989170000008</v>
      </c>
      <c r="AM7" s="52">
        <f>+AM55+AM88+AM108+AM123</f>
        <v>594.36976184000025</v>
      </c>
      <c r="AN7" s="52">
        <f>+AN55+AN88+AN108+AN123</f>
        <v>607.20447663600021</v>
      </c>
      <c r="AO7" s="52">
        <f>+AO55+AO88+AO108+AO123</f>
        <v>620.07958123200001</v>
      </c>
      <c r="AP7" s="52">
        <f>+AP55+AP88+AP108+AP123</f>
        <v>613.55564547200015</v>
      </c>
      <c r="AQ7" s="53">
        <f t="shared" si="6"/>
        <v>2435.2094651800007</v>
      </c>
      <c r="AR7" s="52">
        <f>+AR55+AR88+AR108+AR123</f>
        <v>620.6669569136003</v>
      </c>
      <c r="AS7" s="52">
        <f>+AS55+AS88+AS108+AS123</f>
        <v>633.83488747644026</v>
      </c>
      <c r="AT7" s="52">
        <f>+AT55+AT88+AT108+AT123</f>
        <v>647.37274528128012</v>
      </c>
      <c r="AU7" s="52">
        <f>+AU55+AU88+AU108+AU123</f>
        <v>639.94803739088024</v>
      </c>
      <c r="AV7" s="53">
        <f t="shared" si="7"/>
        <v>2541.8226270622008</v>
      </c>
    </row>
    <row r="8" spans="1:48" s="8" customFormat="1" x14ac:dyDescent="0.3">
      <c r="B8" s="500" t="s">
        <v>104</v>
      </c>
      <c r="C8" s="501"/>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50">
        <f t="shared" si="8"/>
        <v>8755.0278926839837</v>
      </c>
      <c r="Y8" s="50">
        <f t="shared" si="8"/>
        <v>8475.5077495121714</v>
      </c>
      <c r="Z8" s="50">
        <f t="shared" si="8"/>
        <v>9395.4577271758862</v>
      </c>
      <c r="AA8" s="50">
        <f t="shared" si="8"/>
        <v>9696.0718059867395</v>
      </c>
      <c r="AB8" s="171">
        <f t="shared" si="8"/>
        <v>36322.065175358781</v>
      </c>
      <c r="AC8" s="50">
        <f t="shared" ref="AC8:AV8" si="9">SUM(AC5:AC7)</f>
        <v>9861.1514588249811</v>
      </c>
      <c r="AD8" s="50">
        <f t="shared" si="9"/>
        <v>9322.289346275249</v>
      </c>
      <c r="AE8" s="50">
        <f t="shared" si="9"/>
        <v>10340.955080959868</v>
      </c>
      <c r="AF8" s="50">
        <f t="shared" si="9"/>
        <v>10694.070570250524</v>
      </c>
      <c r="AG8" s="51">
        <f t="shared" si="9"/>
        <v>40218.46645631062</v>
      </c>
      <c r="AH8" s="50">
        <f t="shared" si="9"/>
        <v>11027.956909220564</v>
      </c>
      <c r="AI8" s="50">
        <f t="shared" si="9"/>
        <v>10417.811296384183</v>
      </c>
      <c r="AJ8" s="50">
        <f t="shared" si="9"/>
        <v>11562.301729640059</v>
      </c>
      <c r="AK8" s="50">
        <f t="shared" si="9"/>
        <v>11975.164749671841</v>
      </c>
      <c r="AL8" s="51">
        <f t="shared" si="9"/>
        <v>44983.23468491665</v>
      </c>
      <c r="AM8" s="50">
        <f t="shared" si="9"/>
        <v>12126.945434491099</v>
      </c>
      <c r="AN8" s="50">
        <f t="shared" si="9"/>
        <v>11398.953279026467</v>
      </c>
      <c r="AO8" s="50">
        <f t="shared" si="9"/>
        <v>12605.159617738092</v>
      </c>
      <c r="AP8" s="50">
        <f t="shared" si="9"/>
        <v>13012.597800216177</v>
      </c>
      <c r="AQ8" s="51">
        <f t="shared" si="9"/>
        <v>49143.656131471842</v>
      </c>
      <c r="AR8" s="50">
        <f t="shared" si="9"/>
        <v>12913.311697043637</v>
      </c>
      <c r="AS8" s="50">
        <f t="shared" si="9"/>
        <v>12129.481622298174</v>
      </c>
      <c r="AT8" s="50">
        <f t="shared" si="9"/>
        <v>13410.379519361244</v>
      </c>
      <c r="AU8" s="50">
        <f t="shared" si="9"/>
        <v>13842.783025191464</v>
      </c>
      <c r="AV8" s="51">
        <f t="shared" si="9"/>
        <v>52295.955863894516</v>
      </c>
    </row>
    <row r="9" spans="1:48" outlineLevel="1" x14ac:dyDescent="0.3">
      <c r="B9" s="514" t="s">
        <v>100</v>
      </c>
      <c r="C9" s="515"/>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f>+X60+X93+X110+X125</f>
        <v>2814.9259845879383</v>
      </c>
      <c r="Y9" s="105">
        <f>+Y60+Y93+Y110+Y125</f>
        <v>2734.6648083962359</v>
      </c>
      <c r="Z9" s="105">
        <f>+Z60+Z93+Z110+Z125</f>
        <v>3024.7371115717879</v>
      </c>
      <c r="AA9" s="105">
        <f>+AA60+AA93+AA110+AA125</f>
        <v>3128.543847983502</v>
      </c>
      <c r="AB9" s="49">
        <f>SUM(X9:AA9)</f>
        <v>11702.871752539464</v>
      </c>
      <c r="AC9" s="105">
        <f>+AC60+AC93+AC110+AC125</f>
        <v>3052.0114619799756</v>
      </c>
      <c r="AD9" s="105">
        <f>+AD60+AD93+AD110+AD125</f>
        <v>2887.1472497072455</v>
      </c>
      <c r="AE9" s="105">
        <f>+AE60+AE93+AE110+AE125</f>
        <v>3235.7772620724454</v>
      </c>
      <c r="AF9" s="105">
        <f>+AF60+AF93+AF110+AF125</f>
        <v>3367.8093163236958</v>
      </c>
      <c r="AG9" s="49">
        <f>SUM(AC9:AF9)</f>
        <v>12542.745290083363</v>
      </c>
      <c r="AH9" s="105">
        <f>+AH60+AH93+AH110+AH125</f>
        <v>3385.7352964194329</v>
      </c>
      <c r="AI9" s="105">
        <f>+AI60+AI93+AI110+AI125</f>
        <v>3196.3655510383742</v>
      </c>
      <c r="AJ9" s="105">
        <f>+AJ60+AJ93+AJ110+AJ125</f>
        <v>3560.4589162650855</v>
      </c>
      <c r="AK9" s="105">
        <f>+AK60+AK93+AK110+AK125</f>
        <v>3742.3180461481688</v>
      </c>
      <c r="AL9" s="49">
        <f>SUM(AH9:AK9)</f>
        <v>13884.877809871061</v>
      </c>
      <c r="AM9" s="105">
        <f>+AM60+AM93+AM110+AM125</f>
        <v>3717.0289583180829</v>
      </c>
      <c r="AN9" s="105">
        <f>+AN60+AN93+AN110+AN125</f>
        <v>3487.4271134318842</v>
      </c>
      <c r="AO9" s="105">
        <f>+AO60+AO93+AO110+AO125</f>
        <v>3873.3667851226169</v>
      </c>
      <c r="AP9" s="105">
        <f>+AP60+AP93+AP110+AP125</f>
        <v>4058.4199585798165</v>
      </c>
      <c r="AQ9" s="49">
        <f>SUM(AM9:AP9)</f>
        <v>15136.2428154524</v>
      </c>
      <c r="AR9" s="105">
        <f>+AR60+AR93+AR110+AR125</f>
        <v>3952.6463640612651</v>
      </c>
      <c r="AS9" s="105">
        <f>+AS60+AS93+AS110+AS125</f>
        <v>3704.7526551973679</v>
      </c>
      <c r="AT9" s="105">
        <f>+AT60+AT93+AT110+AT125</f>
        <v>4115.0086721106163</v>
      </c>
      <c r="AU9" s="105">
        <f>+AU60+AU93+AU110+AU125</f>
        <v>4312.3454327442878</v>
      </c>
      <c r="AV9" s="49">
        <f>SUM(AR9:AU9)</f>
        <v>16084.753124113537</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48">
        <f>+X62+X95</f>
        <v>3724.2626841524589</v>
      </c>
      <c r="Y10" s="48">
        <f>+Y62+Y95</f>
        <v>3673.4045158502204</v>
      </c>
      <c r="Z10" s="48">
        <f>+Z62+Z95</f>
        <v>3856.2024286289802</v>
      </c>
      <c r="AA10" s="48">
        <f>+AA62+AA95</f>
        <v>4114.3834585902687</v>
      </c>
      <c r="AB10" s="49">
        <f t="shared" ref="AB10:AB13" si="13">SUM(X10:AA10)</f>
        <v>15368.253087221929</v>
      </c>
      <c r="AC10" s="48">
        <f>+AC62+AC95</f>
        <v>4143.9588544738826</v>
      </c>
      <c r="AD10" s="48">
        <f>+AD62+AD95</f>
        <v>3947.5443326063155</v>
      </c>
      <c r="AE10" s="48">
        <f>+AE62+AE95</f>
        <v>4185.6269534283465</v>
      </c>
      <c r="AF10" s="48">
        <f>+AF62+AF95</f>
        <v>4472.6932261538459</v>
      </c>
      <c r="AG10" s="49">
        <f t="shared" ref="AG10:AG14" si="14">SUM(AC10:AF10)</f>
        <v>16749.823366662389</v>
      </c>
      <c r="AH10" s="48">
        <f>+AH62+AH95</f>
        <v>4628.3315647927957</v>
      </c>
      <c r="AI10" s="48">
        <f>+AI62+AI95</f>
        <v>4406.7888127887172</v>
      </c>
      <c r="AJ10" s="48">
        <f>+AJ62+AJ95</f>
        <v>4643.0629279625118</v>
      </c>
      <c r="AK10" s="48">
        <f>+AK62+AK95</f>
        <v>5005.3861978952527</v>
      </c>
      <c r="AL10" s="49">
        <f t="shared" ref="AL10:AL14" si="15">SUM(AH10:AK10)</f>
        <v>18683.569503439277</v>
      </c>
      <c r="AM10" s="48">
        <f>+AM62+AM95</f>
        <v>5093.6125285576318</v>
      </c>
      <c r="AN10" s="48">
        <f>+AN62+AN95</f>
        <v>4830.2643334132172</v>
      </c>
      <c r="AO10" s="48">
        <f>+AO62+AO95</f>
        <v>5080.3193778409886</v>
      </c>
      <c r="AP10" s="48">
        <f>+AP62+AP95</f>
        <v>5461.2122084584344</v>
      </c>
      <c r="AQ10" s="49">
        <f t="shared" ref="AQ10:AQ14" si="16">SUM(AM10:AP10)</f>
        <v>20465.408448270271</v>
      </c>
      <c r="AR10" s="48">
        <f>+AR62+AR95</f>
        <v>5442.1831257616213</v>
      </c>
      <c r="AS10" s="48">
        <f>+AS62+AS95</f>
        <v>5157.8326073375201</v>
      </c>
      <c r="AT10" s="48">
        <f>+AT62+AT95</f>
        <v>5424.5897169906348</v>
      </c>
      <c r="AU10" s="48">
        <f>+AU62+AU95</f>
        <v>5829.6840694295815</v>
      </c>
      <c r="AV10" s="49">
        <f t="shared" ref="AV10:AV14" si="17">SUM(AR10:AU10)</f>
        <v>21854.28951951936</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48">
        <f>+X64+X97+X112+X126</f>
        <v>120.5395310126036</v>
      </c>
      <c r="Y11" s="48">
        <f>+Y64+Y97+Y112+Y126</f>
        <v>113.29580629495582</v>
      </c>
      <c r="Z11" s="48">
        <f>+Z64+Z97+Z112+Z126</f>
        <v>149.33340343616348</v>
      </c>
      <c r="AA11" s="48">
        <f>+AA64+AA97+AA112+AA126</f>
        <v>134.80171321715193</v>
      </c>
      <c r="AB11" s="49">
        <f t="shared" si="13"/>
        <v>517.97045396087481</v>
      </c>
      <c r="AC11" s="48">
        <f>+AC64+AC97+AC112+AC126</f>
        <v>128.01345546733711</v>
      </c>
      <c r="AD11" s="48">
        <f>+AD64+AD97+AD112+AD126</f>
        <v>125.54211911989945</v>
      </c>
      <c r="AE11" s="48">
        <f>+AE64+AE97+AE112+AE126</f>
        <v>154.33478656258001</v>
      </c>
      <c r="AF11" s="48">
        <f>+AF64+AF97+AF112+AF126</f>
        <v>140.99402767272167</v>
      </c>
      <c r="AG11" s="49">
        <f t="shared" si="14"/>
        <v>548.8843888225382</v>
      </c>
      <c r="AH11" s="48">
        <f>+AH64+AH97+AH112+AH126</f>
        <v>136.04658908036896</v>
      </c>
      <c r="AI11" s="48">
        <f>+AI64+AI97+AI112+AI126</f>
        <v>135.38833175531178</v>
      </c>
      <c r="AJ11" s="48">
        <f>+AJ64+AJ97+AJ112+AJ126</f>
        <v>155.98342226262426</v>
      </c>
      <c r="AK11" s="48">
        <f>+AK64+AK97+AK112+AK126</f>
        <v>151.91400911532568</v>
      </c>
      <c r="AL11" s="49">
        <f t="shared" si="15"/>
        <v>579.33235221363066</v>
      </c>
      <c r="AM11" s="48">
        <f>+AM64+AM97+AM112+AM126</f>
        <v>150.01329462791327</v>
      </c>
      <c r="AN11" s="48">
        <f>+AN64+AN97+AN112+AN126</f>
        <v>148.37015015978565</v>
      </c>
      <c r="AO11" s="48">
        <f>+AO64+AO97+AO112+AO126</f>
        <v>170.04612824060791</v>
      </c>
      <c r="AP11" s="48">
        <f>+AP64+AP97+AP112+AP126</f>
        <v>166.13158956495189</v>
      </c>
      <c r="AQ11" s="49">
        <f t="shared" si="16"/>
        <v>634.5611625932587</v>
      </c>
      <c r="AR11" s="48">
        <f>+AR64+AR97+AR112+AR126</f>
        <v>159.38070542040356</v>
      </c>
      <c r="AS11" s="48">
        <f>+AS64+AS97+AS112+AS126</f>
        <v>157.54078256150169</v>
      </c>
      <c r="AT11" s="48">
        <f>+AT64+AT97+AT112+AT126</f>
        <v>180.57704739211505</v>
      </c>
      <c r="AU11" s="48">
        <f>+AU64+AU97+AU112+AU126</f>
        <v>177.16969062131616</v>
      </c>
      <c r="AV11" s="49">
        <f t="shared" si="17"/>
        <v>674.66822599533646</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48">
        <f t="shared" ref="X12:AA13" si="21">+X66+X99+X114+X127</f>
        <v>370.4933872246732</v>
      </c>
      <c r="Y12" s="48">
        <f t="shared" si="21"/>
        <v>381.08343428032686</v>
      </c>
      <c r="Z12" s="48">
        <f t="shared" si="21"/>
        <v>388.85245384155922</v>
      </c>
      <c r="AA12" s="48">
        <f t="shared" si="21"/>
        <v>398.92116406194697</v>
      </c>
      <c r="AB12" s="49">
        <f t="shared" ref="AB12" si="22">SUM(X12:AA12)</f>
        <v>1539.3504394085062</v>
      </c>
      <c r="AC12" s="48">
        <f t="shared" ref="AC12:AF13" si="23">+AC66+AC99+AC114+AC127</f>
        <v>417.67966161611804</v>
      </c>
      <c r="AD12" s="48">
        <f t="shared" si="23"/>
        <v>430.28974258709883</v>
      </c>
      <c r="AE12" s="48">
        <f t="shared" si="23"/>
        <v>440.27319917782808</v>
      </c>
      <c r="AF12" s="48">
        <f t="shared" si="23"/>
        <v>454.17765603172256</v>
      </c>
      <c r="AG12" s="49">
        <f t="shared" si="14"/>
        <v>1742.4202594127676</v>
      </c>
      <c r="AH12" s="48">
        <f t="shared" ref="AH12:AK13" si="24">+AH66+AH99+AH114+AH127</f>
        <v>469.60317104591462</v>
      </c>
      <c r="AI12" s="48">
        <f t="shared" si="24"/>
        <v>479.90569522142812</v>
      </c>
      <c r="AJ12" s="48">
        <f t="shared" si="24"/>
        <v>487.67780854181586</v>
      </c>
      <c r="AK12" s="48">
        <f t="shared" si="24"/>
        <v>499.13426145789032</v>
      </c>
      <c r="AL12" s="49">
        <f t="shared" si="15"/>
        <v>1936.3209362670489</v>
      </c>
      <c r="AM12" s="48">
        <f t="shared" ref="AM12:AP13" si="25">+AM66+AM99+AM114+AM127</f>
        <v>511.41112132744263</v>
      </c>
      <c r="AN12" s="48">
        <f t="shared" si="25"/>
        <v>523.30160271939712</v>
      </c>
      <c r="AO12" s="48">
        <f t="shared" si="25"/>
        <v>532.0395937463079</v>
      </c>
      <c r="AP12" s="48">
        <f t="shared" si="25"/>
        <v>544.47336586786935</v>
      </c>
      <c r="AQ12" s="49">
        <f t="shared" si="16"/>
        <v>2111.2256836610172</v>
      </c>
      <c r="AR12" s="48">
        <f t="shared" ref="AR12:AU13" si="26">+AR66+AR99+AR114+AR127</f>
        <v>557.57979257533339</v>
      </c>
      <c r="AS12" s="48">
        <f t="shared" si="26"/>
        <v>569.54489134441189</v>
      </c>
      <c r="AT12" s="48">
        <f t="shared" si="26"/>
        <v>578.11095059322861</v>
      </c>
      <c r="AU12" s="48">
        <f t="shared" si="26"/>
        <v>590.61286503664826</v>
      </c>
      <c r="AV12" s="49">
        <f t="shared" si="17"/>
        <v>2295.8484995496219</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48">
        <f t="shared" si="21"/>
        <v>544.782962115327</v>
      </c>
      <c r="Y13" s="48">
        <f t="shared" si="21"/>
        <v>517.8438727808732</v>
      </c>
      <c r="Z13" s="48">
        <f t="shared" si="21"/>
        <v>535.91022755467304</v>
      </c>
      <c r="AA13" s="48">
        <f t="shared" si="21"/>
        <v>468.68783325130016</v>
      </c>
      <c r="AB13" s="49">
        <f t="shared" si="13"/>
        <v>2067.2248957021734</v>
      </c>
      <c r="AC13" s="48">
        <f t="shared" si="23"/>
        <v>553.84963204568635</v>
      </c>
      <c r="AD13" s="48">
        <f t="shared" si="23"/>
        <v>553.9860112046747</v>
      </c>
      <c r="AE13" s="48">
        <f t="shared" si="23"/>
        <v>553.90656330911679</v>
      </c>
      <c r="AF13" s="48">
        <f t="shared" si="23"/>
        <v>481.93021925585447</v>
      </c>
      <c r="AG13" s="49">
        <f t="shared" si="14"/>
        <v>2143.6724258153322</v>
      </c>
      <c r="AH13" s="48">
        <f t="shared" si="24"/>
        <v>570.53307447512634</v>
      </c>
      <c r="AI13" s="48">
        <f t="shared" si="24"/>
        <v>571.0127185221852</v>
      </c>
      <c r="AJ13" s="48">
        <f t="shared" si="24"/>
        <v>569.9998248639655</v>
      </c>
      <c r="AK13" s="48">
        <f t="shared" si="24"/>
        <v>489.90648960254407</v>
      </c>
      <c r="AL13" s="49">
        <f t="shared" si="15"/>
        <v>2201.4521074638214</v>
      </c>
      <c r="AM13" s="48">
        <f t="shared" si="25"/>
        <v>598.55387815123117</v>
      </c>
      <c r="AN13" s="48">
        <f t="shared" si="25"/>
        <v>596.47960385639976</v>
      </c>
      <c r="AO13" s="48">
        <f t="shared" si="25"/>
        <v>593.88987967137837</v>
      </c>
      <c r="AP13" s="48">
        <f t="shared" si="25"/>
        <v>505.27241471753723</v>
      </c>
      <c r="AQ13" s="49">
        <f t="shared" si="16"/>
        <v>2294.1957763965465</v>
      </c>
      <c r="AR13" s="48">
        <f t="shared" si="26"/>
        <v>616.53845126545832</v>
      </c>
      <c r="AS13" s="48">
        <f t="shared" si="26"/>
        <v>614.06505951933241</v>
      </c>
      <c r="AT13" s="48">
        <f t="shared" si="26"/>
        <v>611.29509254703908</v>
      </c>
      <c r="AU13" s="48">
        <f t="shared" si="26"/>
        <v>517.19102238196547</v>
      </c>
      <c r="AV13" s="49">
        <f t="shared" si="17"/>
        <v>2359.0896257137952</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52">
        <f>+X69+X102+X117+X129</f>
        <v>50</v>
      </c>
      <c r="Y14" s="52">
        <f>+Y69+Y102+Y117+Y129</f>
        <v>0</v>
      </c>
      <c r="Z14" s="52">
        <f>+Z69+Z102+Z117+Z129</f>
        <v>0</v>
      </c>
      <c r="AA14" s="52">
        <f>+AA69+AA102+AA117+AA129</f>
        <v>0</v>
      </c>
      <c r="AB14" s="53">
        <f t="shared" ref="AB14" si="30">SUM(X14:AA14)</f>
        <v>50</v>
      </c>
      <c r="AC14" s="52">
        <f>+AC69+AC102+AC117+AC129</f>
        <v>0</v>
      </c>
      <c r="AD14" s="52">
        <f>+AD69+AD102+AD117+AD129</f>
        <v>0</v>
      </c>
      <c r="AE14" s="52">
        <f>+AE69+AE102+AE117+AE129</f>
        <v>0</v>
      </c>
      <c r="AF14" s="52">
        <f>+AF69+AF102+AF117+AF129</f>
        <v>0</v>
      </c>
      <c r="AG14" s="53">
        <f t="shared" si="14"/>
        <v>0</v>
      </c>
      <c r="AH14" s="52">
        <f>+AH69+AH102+AH117+AH129</f>
        <v>0</v>
      </c>
      <c r="AI14" s="52">
        <f>+AI69+AI102+AI117+AI129</f>
        <v>0</v>
      </c>
      <c r="AJ14" s="52">
        <f>+AJ69+AJ102+AJ117+AJ129</f>
        <v>0</v>
      </c>
      <c r="AK14" s="52">
        <f>+AK69+AK102+AK117+AK129</f>
        <v>0</v>
      </c>
      <c r="AL14" s="53">
        <f t="shared" si="15"/>
        <v>0</v>
      </c>
      <c r="AM14" s="52">
        <f>+AM69+AM102+AM117+AM129</f>
        <v>0</v>
      </c>
      <c r="AN14" s="52">
        <f>+AN69+AN102+AN117+AN129</f>
        <v>0</v>
      </c>
      <c r="AO14" s="52">
        <f>+AO69+AO102+AO117+AO129</f>
        <v>0</v>
      </c>
      <c r="AP14" s="52">
        <f>+AP69+AP102+AP117+AP129</f>
        <v>0</v>
      </c>
      <c r="AQ14" s="53">
        <f t="shared" si="16"/>
        <v>0</v>
      </c>
      <c r="AR14" s="52">
        <f>+AR69+AR102+AR117+AR129</f>
        <v>0</v>
      </c>
      <c r="AS14" s="52">
        <f>+AS69+AS102+AS117+AS129</f>
        <v>0</v>
      </c>
      <c r="AT14" s="52">
        <f>+AT69+AT102+AT117+AT129</f>
        <v>0</v>
      </c>
      <c r="AU14" s="52">
        <f>+AU69+AU102+AU117+AU129</f>
        <v>0</v>
      </c>
      <c r="AV14" s="53">
        <f t="shared" si="17"/>
        <v>0</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54">
        <f t="shared" si="31"/>
        <v>7625.0045490930006</v>
      </c>
      <c r="Y15" s="54">
        <f t="shared" si="31"/>
        <v>7420.2924376026131</v>
      </c>
      <c r="Z15" s="54">
        <f t="shared" si="31"/>
        <v>7955.0356250331633</v>
      </c>
      <c r="AA15" s="54">
        <f>SUM(AA10:AA14)+AA9</f>
        <v>8245.3380171041681</v>
      </c>
      <c r="AB15" s="55">
        <f>SUM(AB10:AB14)+AB9</f>
        <v>31245.670628832948</v>
      </c>
      <c r="AC15" s="54">
        <f t="shared" si="31"/>
        <v>8295.5130655829998</v>
      </c>
      <c r="AD15" s="54">
        <f t="shared" si="31"/>
        <v>7944.509455225234</v>
      </c>
      <c r="AE15" s="54">
        <f t="shared" si="31"/>
        <v>8569.9187645503171</v>
      </c>
      <c r="AF15" s="54">
        <f t="shared" si="31"/>
        <v>8917.6044454378407</v>
      </c>
      <c r="AG15" s="55">
        <f t="shared" si="31"/>
        <v>33727.545730796395</v>
      </c>
      <c r="AH15" s="54">
        <f t="shared" si="31"/>
        <v>9190.249695813638</v>
      </c>
      <c r="AI15" s="54">
        <f t="shared" si="31"/>
        <v>8789.4611093260173</v>
      </c>
      <c r="AJ15" s="54">
        <f t="shared" si="31"/>
        <v>9417.1828998960027</v>
      </c>
      <c r="AK15" s="54">
        <f t="shared" si="31"/>
        <v>9888.659004219182</v>
      </c>
      <c r="AL15" s="55">
        <f t="shared" si="31"/>
        <v>37285.552709254844</v>
      </c>
      <c r="AM15" s="54">
        <f t="shared" ref="AM15:AQ15" si="32">SUM(AM10:AM14)+AM9</f>
        <v>10070.619780982302</v>
      </c>
      <c r="AN15" s="54">
        <f t="shared" si="32"/>
        <v>9585.8428035806828</v>
      </c>
      <c r="AO15" s="54">
        <f t="shared" si="32"/>
        <v>10249.6617646219</v>
      </c>
      <c r="AP15" s="54">
        <f t="shared" si="32"/>
        <v>10735.509537188609</v>
      </c>
      <c r="AQ15" s="55">
        <f t="shared" si="32"/>
        <v>40641.633886373493</v>
      </c>
      <c r="AR15" s="54">
        <f t="shared" ref="AR15:AV15" si="33">SUM(AR10:AR14)+AR9</f>
        <v>10728.328439084082</v>
      </c>
      <c r="AS15" s="54">
        <f t="shared" si="33"/>
        <v>10203.735995960134</v>
      </c>
      <c r="AT15" s="54">
        <f t="shared" si="33"/>
        <v>10909.581479633634</v>
      </c>
      <c r="AU15" s="54">
        <f t="shared" si="33"/>
        <v>11427.003080213799</v>
      </c>
      <c r="AV15" s="55">
        <f t="shared" si="33"/>
        <v>43268.64899489165</v>
      </c>
    </row>
    <row r="16" spans="1:48" s="23" customFormat="1" ht="17.25" customHeight="1" x14ac:dyDescent="0.45">
      <c r="B16" s="516" t="s">
        <v>36</v>
      </c>
      <c r="C16" s="517"/>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52">
        <f>+X104+X119</f>
        <v>90.4</v>
      </c>
      <c r="Y16" s="52">
        <f>+Y104+Y119</f>
        <v>90.5</v>
      </c>
      <c r="Z16" s="52">
        <f>+Z104+Z119</f>
        <v>90.6</v>
      </c>
      <c r="AA16" s="52">
        <f>+AA104+AA119</f>
        <v>90.7</v>
      </c>
      <c r="AB16" s="53">
        <f t="shared" ref="AB16" si="37">SUM(X16:AA16)</f>
        <v>362.2</v>
      </c>
      <c r="AC16" s="52">
        <f>+AC104+AC119</f>
        <v>91</v>
      </c>
      <c r="AD16" s="52">
        <f>+AD104+AD119</f>
        <v>91</v>
      </c>
      <c r="AE16" s="52">
        <f>+AE104+AE119</f>
        <v>91</v>
      </c>
      <c r="AF16" s="52">
        <f>+AF104+AF119</f>
        <v>91</v>
      </c>
      <c r="AG16" s="53">
        <f t="shared" ref="AG16" si="38">SUM(AC16:AF16)</f>
        <v>364</v>
      </c>
      <c r="AH16" s="52">
        <f>+AH104+AH119</f>
        <v>91</v>
      </c>
      <c r="AI16" s="52">
        <f>+AI104+AI119</f>
        <v>91</v>
      </c>
      <c r="AJ16" s="52">
        <f>+AJ104+AJ119</f>
        <v>91</v>
      </c>
      <c r="AK16" s="52">
        <f>+AK104+AK119</f>
        <v>91</v>
      </c>
      <c r="AL16" s="53">
        <f t="shared" ref="AL16" si="39">SUM(AH16:AK16)</f>
        <v>364</v>
      </c>
      <c r="AM16" s="52">
        <f>+AM104+AM119</f>
        <v>91</v>
      </c>
      <c r="AN16" s="52">
        <f>+AN104+AN119</f>
        <v>91</v>
      </c>
      <c r="AO16" s="52">
        <f>+AO104+AO119</f>
        <v>91</v>
      </c>
      <c r="AP16" s="52">
        <f>+AP104+AP119</f>
        <v>91</v>
      </c>
      <c r="AQ16" s="53">
        <f t="shared" ref="AQ16" si="40">SUM(AM16:AP16)</f>
        <v>364</v>
      </c>
      <c r="AR16" s="52">
        <f>+AR104+AR119</f>
        <v>91</v>
      </c>
      <c r="AS16" s="52">
        <f>+AS104+AS119</f>
        <v>91</v>
      </c>
      <c r="AT16" s="52">
        <f>+AT104+AT119</f>
        <v>91</v>
      </c>
      <c r="AU16" s="52">
        <f>+AU104+AU119</f>
        <v>91</v>
      </c>
      <c r="AV16" s="53">
        <f t="shared" ref="AV16" si="41">SUM(AR16:AU16)</f>
        <v>364</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50">
        <f t="shared" si="42"/>
        <v>1220.4233435909832</v>
      </c>
      <c r="Y17" s="50">
        <f t="shared" si="42"/>
        <v>1145.7153119095583</v>
      </c>
      <c r="Z17" s="50">
        <f t="shared" si="42"/>
        <v>1531.0221021427228</v>
      </c>
      <c r="AA17" s="50">
        <f t="shared" si="42"/>
        <v>1541.4337888825714</v>
      </c>
      <c r="AB17" s="51">
        <f>AB8-AB15+AB16</f>
        <v>5438.5945465258328</v>
      </c>
      <c r="AC17" s="50">
        <f t="shared" si="42"/>
        <v>1656.6383932419812</v>
      </c>
      <c r="AD17" s="50">
        <f t="shared" si="42"/>
        <v>1468.7798910500151</v>
      </c>
      <c r="AE17" s="50">
        <f t="shared" si="42"/>
        <v>1862.0363164095506</v>
      </c>
      <c r="AF17" s="50">
        <f t="shared" si="42"/>
        <v>1867.4661248126831</v>
      </c>
      <c r="AG17" s="51">
        <f t="shared" si="42"/>
        <v>6854.9207255142246</v>
      </c>
      <c r="AH17" s="50">
        <f t="shared" si="42"/>
        <v>1928.7072134069258</v>
      </c>
      <c r="AI17" s="50">
        <f t="shared" si="42"/>
        <v>1719.3501870581658</v>
      </c>
      <c r="AJ17" s="50">
        <f t="shared" si="42"/>
        <v>2236.1188297440567</v>
      </c>
      <c r="AK17" s="50">
        <f t="shared" si="42"/>
        <v>2177.5057454526595</v>
      </c>
      <c r="AL17" s="51">
        <f t="shared" si="42"/>
        <v>8061.6819756618061</v>
      </c>
      <c r="AM17" s="50">
        <f t="shared" si="42"/>
        <v>2147.3256535087967</v>
      </c>
      <c r="AN17" s="50">
        <f t="shared" si="42"/>
        <v>1904.1104754457847</v>
      </c>
      <c r="AO17" s="50">
        <f t="shared" si="42"/>
        <v>2446.4978531161923</v>
      </c>
      <c r="AP17" s="50">
        <f t="shared" si="42"/>
        <v>2368.0882630275682</v>
      </c>
      <c r="AQ17" s="51">
        <f t="shared" si="42"/>
        <v>8866.0222450983492</v>
      </c>
      <c r="AR17" s="50">
        <f t="shared" si="42"/>
        <v>2275.983257959555</v>
      </c>
      <c r="AS17" s="50">
        <f t="shared" si="42"/>
        <v>2016.7456263380391</v>
      </c>
      <c r="AT17" s="50">
        <f t="shared" si="42"/>
        <v>2591.7980397276096</v>
      </c>
      <c r="AU17" s="50">
        <f t="shared" si="42"/>
        <v>2506.7799449776649</v>
      </c>
      <c r="AV17" s="51">
        <f t="shared" si="42"/>
        <v>9391.3068690028667</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89">
        <f>+X170</f>
        <v>60.201091631188127</v>
      </c>
      <c r="Y18" s="89">
        <f>+Y170</f>
        <v>10.201091631188127</v>
      </c>
      <c r="Z18" s="89">
        <f>+Z170</f>
        <v>10.201091631188127</v>
      </c>
      <c r="AA18" s="89">
        <f>+AA170</f>
        <v>10.201091631188127</v>
      </c>
      <c r="AB18" s="90">
        <f>SUM(X18:AA18)</f>
        <v>90.80436652475251</v>
      </c>
      <c r="AC18" s="89">
        <f t="shared" ref="AC18:AF18" si="43">+AC170</f>
        <v>10.201091631188127</v>
      </c>
      <c r="AD18" s="89">
        <f t="shared" si="43"/>
        <v>42</v>
      </c>
      <c r="AE18" s="89">
        <f t="shared" si="43"/>
        <v>42</v>
      </c>
      <c r="AF18" s="89">
        <f t="shared" si="43"/>
        <v>42</v>
      </c>
      <c r="AG18" s="90">
        <f>SUM(AC18:AF18)</f>
        <v>136.20109163118812</v>
      </c>
      <c r="AH18" s="89">
        <f t="shared" ref="AH18:AK18" si="44">+AH170</f>
        <v>42</v>
      </c>
      <c r="AI18" s="89">
        <f t="shared" si="44"/>
        <v>42</v>
      </c>
      <c r="AJ18" s="89">
        <f t="shared" si="44"/>
        <v>42</v>
      </c>
      <c r="AK18" s="89">
        <f t="shared" si="44"/>
        <v>42</v>
      </c>
      <c r="AL18" s="90">
        <f>SUM(AH18:AK18)</f>
        <v>168</v>
      </c>
      <c r="AM18" s="89">
        <f t="shared" ref="AM18:AP18" si="45">+AM170</f>
        <v>42</v>
      </c>
      <c r="AN18" s="89">
        <f t="shared" si="45"/>
        <v>42</v>
      </c>
      <c r="AO18" s="89">
        <f t="shared" si="45"/>
        <v>42</v>
      </c>
      <c r="AP18" s="89">
        <f t="shared" si="45"/>
        <v>42</v>
      </c>
      <c r="AQ18" s="90">
        <f>SUM(AM18:AP18)</f>
        <v>168</v>
      </c>
      <c r="AR18" s="89">
        <f t="shared" ref="AR18:AU18" si="46">+AR170</f>
        <v>42</v>
      </c>
      <c r="AS18" s="89">
        <f t="shared" si="46"/>
        <v>42</v>
      </c>
      <c r="AT18" s="89">
        <f t="shared" si="46"/>
        <v>42</v>
      </c>
      <c r="AU18" s="89">
        <f t="shared" si="46"/>
        <v>42</v>
      </c>
      <c r="AV18" s="90">
        <f>SUM(AR18:AU18)</f>
        <v>168</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80">
        <f t="shared" si="47"/>
        <v>1280.6244352221713</v>
      </c>
      <c r="Y19" s="80">
        <f t="shared" si="47"/>
        <v>1155.9164035407464</v>
      </c>
      <c r="Z19" s="80">
        <f t="shared" si="47"/>
        <v>1541.2231937739109</v>
      </c>
      <c r="AA19" s="80">
        <f t="shared" si="47"/>
        <v>1551.6348805137595</v>
      </c>
      <c r="AB19" s="81">
        <f>+AB17+AB18</f>
        <v>5529.3989130505852</v>
      </c>
      <c r="AC19" s="80">
        <f t="shared" si="47"/>
        <v>1666.8394848731693</v>
      </c>
      <c r="AD19" s="80">
        <f t="shared" si="47"/>
        <v>1510.7798910500151</v>
      </c>
      <c r="AE19" s="80">
        <f t="shared" si="47"/>
        <v>1904.0363164095506</v>
      </c>
      <c r="AF19" s="80">
        <f t="shared" si="47"/>
        <v>1909.4661248126831</v>
      </c>
      <c r="AG19" s="81">
        <f t="shared" si="47"/>
        <v>6991.1218171454129</v>
      </c>
      <c r="AH19" s="80">
        <f t="shared" si="47"/>
        <v>1970.7072134069258</v>
      </c>
      <c r="AI19" s="80">
        <f t="shared" si="47"/>
        <v>1761.3501870581658</v>
      </c>
      <c r="AJ19" s="80">
        <f t="shared" si="47"/>
        <v>2278.1188297440567</v>
      </c>
      <c r="AK19" s="80">
        <f t="shared" si="47"/>
        <v>2219.5057454526595</v>
      </c>
      <c r="AL19" s="81">
        <f t="shared" si="47"/>
        <v>8229.6819756618061</v>
      </c>
      <c r="AM19" s="80">
        <f t="shared" si="47"/>
        <v>2189.3256535087967</v>
      </c>
      <c r="AN19" s="80">
        <f t="shared" si="47"/>
        <v>1946.1104754457847</v>
      </c>
      <c r="AO19" s="80">
        <f t="shared" si="47"/>
        <v>2488.4978531161923</v>
      </c>
      <c r="AP19" s="80">
        <f t="shared" si="47"/>
        <v>2410.0882630275682</v>
      </c>
      <c r="AQ19" s="81">
        <f t="shared" si="47"/>
        <v>9034.0222450983492</v>
      </c>
      <c r="AR19" s="80">
        <f t="shared" si="47"/>
        <v>2317.983257959555</v>
      </c>
      <c r="AS19" s="80">
        <f t="shared" si="47"/>
        <v>2058.7456263380391</v>
      </c>
      <c r="AT19" s="80">
        <f t="shared" si="47"/>
        <v>2633.7980397276096</v>
      </c>
      <c r="AU19" s="80">
        <f t="shared" si="47"/>
        <v>2548.7799449776649</v>
      </c>
      <c r="AV19" s="81">
        <f t="shared" si="47"/>
        <v>9559.3068690028667</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f>('BS (After Changes)'!V6+'BS (After Changes)'!V7+'BS (After Changes)'!V12)*'IS (After Changes)'!X144</f>
        <v>29.1536469218868</v>
      </c>
      <c r="Y21" s="105">
        <f>('BS (After Changes)'!X6+'BS (After Changes)'!X7+'BS (After Changes)'!X12)*'IS (After Changes)'!Y144</f>
        <v>57.281176058413124</v>
      </c>
      <c r="Z21" s="105">
        <f>('BS (After Changes)'!Y6+'BS (After Changes)'!Y7+'BS (After Changes)'!Y12)*'IS (After Changes)'!Z144</f>
        <v>51.074153917785971</v>
      </c>
      <c r="AA21" s="105">
        <f>('BS (After Changes)'!Z6+'BS (After Changes)'!Z7+'BS (After Changes)'!Z12)*'IS (After Changes)'!AA144</f>
        <v>30.623392083854526</v>
      </c>
      <c r="AB21" s="170">
        <f t="shared" ref="AB21:AB22" si="52">SUM(X21:AA21)</f>
        <v>168.13236898194043</v>
      </c>
      <c r="AC21" s="105">
        <f>('BS (After Changes)'!AA6+'BS (After Changes)'!AA7+'BS (After Changes)'!AA12)*'IS (After Changes)'!AC144</f>
        <v>34.615092460822893</v>
      </c>
      <c r="AD21" s="105">
        <f>('BS (After Changes)'!AC6+'BS (After Changes)'!AC7+'BS (After Changes)'!AC12)*'IS (After Changes)'!AD144</f>
        <v>42.839464190069279</v>
      </c>
      <c r="AE21" s="105">
        <f>('BS (After Changes)'!AD6+'BS (After Changes)'!AD7+'BS (After Changes)'!AD12)*'IS (After Changes)'!AE144</f>
        <v>41.584532961866977</v>
      </c>
      <c r="AF21" s="105">
        <f>('BS (After Changes)'!AE6+'BS (After Changes)'!AE7+'BS (After Changes)'!AE12)*'IS (After Changes)'!AF144</f>
        <v>42.845572258192711</v>
      </c>
      <c r="AG21" s="170">
        <f t="shared" ref="AG21:AG22" si="53">SUM(AC21:AF21)</f>
        <v>161.88466187095185</v>
      </c>
      <c r="AH21" s="105">
        <f>('BS (After Changes)'!AF6+'BS (After Changes)'!AF7+'BS (After Changes)'!AF12)*'IS (After Changes)'!AH144</f>
        <v>47.367644074658671</v>
      </c>
      <c r="AI21" s="105">
        <f>('BS (After Changes)'!AH6+'BS (After Changes)'!AH7+'BS (After Changes)'!AH12)*'IS (After Changes)'!AI144</f>
        <v>56.393418285364454</v>
      </c>
      <c r="AJ21" s="105">
        <f>('BS (After Changes)'!AI6+'BS (After Changes)'!AI7+'BS (After Changes)'!AI12)*'IS (After Changes)'!AJ144</f>
        <v>55.329687533502891</v>
      </c>
      <c r="AK21" s="105">
        <f>('BS (After Changes)'!AJ6+'BS (After Changes)'!AJ7+'BS (After Changes)'!AJ12)*'IS (After Changes)'!AK144</f>
        <v>59.570200541478577</v>
      </c>
      <c r="AL21" s="170">
        <f t="shared" ref="AL21:AL22" si="54">SUM(AH21:AK21)</f>
        <v>218.66095043500459</v>
      </c>
      <c r="AM21" s="105">
        <f>('BS (After Changes)'!AK6+'BS (After Changes)'!AK7+'BS (After Changes)'!AK12)*'IS (After Changes)'!AM144</f>
        <v>20.835067165968468</v>
      </c>
      <c r="AN21" s="105">
        <f>('BS (After Changes)'!AM6+'BS (After Changes)'!AM7+'BS (After Changes)'!AM12)*'IS (After Changes)'!AN144</f>
        <v>30.729017395537813</v>
      </c>
      <c r="AO21" s="105">
        <f>('BS (After Changes)'!AN6+'BS (After Changes)'!AN7+'BS (After Changes)'!AN12)*'IS (After Changes)'!AO144</f>
        <v>28.508542278556391</v>
      </c>
      <c r="AP21" s="105">
        <f>('BS (After Changes)'!AO6+'BS (After Changes)'!AO7+'BS (After Changes)'!AO12)*'IS (After Changes)'!AP144</f>
        <v>30.229164291239346</v>
      </c>
      <c r="AQ21" s="170">
        <f t="shared" ref="AQ21:AQ22" si="55">SUM(AM21:AP21)</f>
        <v>110.30179113130201</v>
      </c>
      <c r="AR21" s="105">
        <f>('BS (After Changes)'!AP6+'BS (After Changes)'!AP7+'BS (After Changes)'!AP12)*'IS (After Changes)'!AR144</f>
        <v>36.251850908207473</v>
      </c>
      <c r="AS21" s="105">
        <f>('BS (After Changes)'!AR6+'BS (After Changes)'!AR7+'BS (After Changes)'!AR12)*'IS (After Changes)'!AS144</f>
        <v>47.596555610243726</v>
      </c>
      <c r="AT21" s="105">
        <f>('BS (After Changes)'!AS6+'BS (After Changes)'!AS7+'BS (After Changes)'!AS12)*'IS (After Changes)'!AT144</f>
        <v>46.212700134716606</v>
      </c>
      <c r="AU21" s="105">
        <f>('BS (After Changes)'!AT6+'BS (After Changes)'!AT7+'BS (After Changes)'!AT12)*'IS (After Changes)'!AU144</f>
        <v>49.114274294433145</v>
      </c>
      <c r="AV21" s="170">
        <f t="shared" ref="AV21:AV22" si="56">SUM(AR21:AU21)</f>
        <v>179.17538094760096</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f>-('BS (After Changes)'!V28+'BS (After Changes)'!V31)*X145</f>
        <v>-137.49999999999989</v>
      </c>
      <c r="Y22" s="104">
        <f>-('BS (After Changes)'!X28+'BS (After Changes)'!X31)*Y145</f>
        <v>-137.49999999999989</v>
      </c>
      <c r="Z22" s="104">
        <f>-('BS (After Changes)'!Y28+'BS (After Changes)'!Y31)*Z145</f>
        <v>-137.49999999999989</v>
      </c>
      <c r="AA22" s="104">
        <f>-('BS (After Changes)'!Z28+'BS (After Changes)'!Z31)*AA145</f>
        <v>-137.49999999999991</v>
      </c>
      <c r="AB22" s="430">
        <f t="shared" si="52"/>
        <v>-549.99999999999955</v>
      </c>
      <c r="AC22" s="104">
        <f>-('BS (After Changes)'!AA28+'BS (After Changes)'!AA31)*AC145</f>
        <v>-139.00438999999989</v>
      </c>
      <c r="AD22" s="104">
        <f>-('BS (After Changes)'!AC28+'BS (After Changes)'!AC31)*AD145</f>
        <v>-140.50877999999989</v>
      </c>
      <c r="AE22" s="104">
        <f>-('BS (After Changes)'!AD28+'BS (After Changes)'!AD31)*AE145</f>
        <v>-142.01033802484716</v>
      </c>
      <c r="AF22" s="104">
        <f>-('BS (After Changes)'!AE28+'BS (After Changes)'!AE31)*AF145</f>
        <v>-143.51469802484715</v>
      </c>
      <c r="AG22" s="173">
        <f t="shared" si="53"/>
        <v>-565.03820604969405</v>
      </c>
      <c r="AH22" s="104">
        <f>-('BS (After Changes)'!AF28+'BS (After Changes)'!AF31)*AH145</f>
        <v>-145.98304974242038</v>
      </c>
      <c r="AI22" s="104">
        <f>-('BS (After Changes)'!AH28+'BS (After Changes)'!AH31)*AI145</f>
        <v>-147.49740974242036</v>
      </c>
      <c r="AJ22" s="104">
        <f>-('BS (After Changes)'!AI28+'BS (After Changes)'!AI31)*AJ145</f>
        <v>-149.01176974242034</v>
      </c>
      <c r="AK22" s="104">
        <f>-('BS (After Changes)'!AJ28+'BS (After Changes)'!AJ31)*AK145</f>
        <v>-205.61296383319919</v>
      </c>
      <c r="AL22" s="173">
        <f t="shared" si="54"/>
        <v>-648.10519306046024</v>
      </c>
      <c r="AM22" s="104">
        <f>-('BS (After Changes)'!AK28+'BS (After Changes)'!AK31)*AM145</f>
        <v>-205.61296383319919</v>
      </c>
      <c r="AN22" s="104">
        <f>-('BS (After Changes)'!AM28+'BS (After Changes)'!AM31)*AN145</f>
        <v>-205.61296383319919</v>
      </c>
      <c r="AO22" s="104">
        <f>-('BS (After Changes)'!AN28+'BS (After Changes)'!AN31)*AO145</f>
        <v>-205.61296383319919</v>
      </c>
      <c r="AP22" s="104">
        <f>-('BS (After Changes)'!AO28+'BS (After Changes)'!AO31)*AP145</f>
        <v>-205.61296383319919</v>
      </c>
      <c r="AQ22" s="173">
        <f t="shared" si="55"/>
        <v>-822.45185533279675</v>
      </c>
      <c r="AR22" s="104">
        <f>-('BS (After Changes)'!AP28+'BS (After Changes)'!AP31)*AR145</f>
        <v>-205.61296383319919</v>
      </c>
      <c r="AS22" s="104">
        <f>-('BS (After Changes)'!AR28+'BS (After Changes)'!AR31)*AS145</f>
        <v>-205.61296383319919</v>
      </c>
      <c r="AT22" s="104">
        <f>-('BS (After Changes)'!AS28+'BS (After Changes)'!AS31)*AT145</f>
        <v>-205.61296383319919</v>
      </c>
      <c r="AU22" s="104">
        <f>-('BS (After Changes)'!AT28+'BS (After Changes)'!AT31)*AU145</f>
        <v>-205.61296383319919</v>
      </c>
      <c r="AV22" s="173">
        <f t="shared" si="56"/>
        <v>-822.45185533279675</v>
      </c>
    </row>
    <row r="23" spans="1:48" x14ac:dyDescent="0.3">
      <c r="B23" s="518" t="s">
        <v>11</v>
      </c>
      <c r="C23" s="519"/>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50">
        <f t="shared" si="58"/>
        <v>1112.07699051287</v>
      </c>
      <c r="Y23" s="50">
        <f t="shared" si="58"/>
        <v>1065.4964879679715</v>
      </c>
      <c r="Z23" s="50">
        <f t="shared" si="58"/>
        <v>1444.5962560605089</v>
      </c>
      <c r="AA23" s="50">
        <f>AA17+AA21+AA22+AA20</f>
        <v>1434.5571809664259</v>
      </c>
      <c r="AB23" s="51">
        <f>AB17+AB21+AB22+AB20</f>
        <v>5056.7269155077738</v>
      </c>
      <c r="AC23" s="50">
        <f t="shared" si="58"/>
        <v>1552.2490957028042</v>
      </c>
      <c r="AD23" s="50">
        <f t="shared" si="58"/>
        <v>1371.1105752400845</v>
      </c>
      <c r="AE23" s="50">
        <f t="shared" si="58"/>
        <v>1761.6105113465703</v>
      </c>
      <c r="AF23" s="50">
        <f t="shared" si="58"/>
        <v>1766.7969990460288</v>
      </c>
      <c r="AG23" s="51">
        <f t="shared" si="58"/>
        <v>6451.7671813354827</v>
      </c>
      <c r="AH23" s="50">
        <f t="shared" si="58"/>
        <v>1830.0918077391641</v>
      </c>
      <c r="AI23" s="50">
        <f t="shared" si="58"/>
        <v>1628.24619560111</v>
      </c>
      <c r="AJ23" s="50">
        <f t="shared" si="58"/>
        <v>2142.4367475351391</v>
      </c>
      <c r="AK23" s="50">
        <f t="shared" si="58"/>
        <v>2031.462982160939</v>
      </c>
      <c r="AL23" s="51">
        <f t="shared" si="58"/>
        <v>7632.2377330363515</v>
      </c>
      <c r="AM23" s="50">
        <f t="shared" si="58"/>
        <v>1962.5477568415661</v>
      </c>
      <c r="AN23" s="50">
        <f t="shared" si="58"/>
        <v>1729.2265290081232</v>
      </c>
      <c r="AO23" s="50">
        <f t="shared" si="58"/>
        <v>2269.3934315615497</v>
      </c>
      <c r="AP23" s="50">
        <f t="shared" si="58"/>
        <v>2192.7044634856084</v>
      </c>
      <c r="AQ23" s="51">
        <f t="shared" si="58"/>
        <v>8153.8721808968539</v>
      </c>
      <c r="AR23" s="50">
        <f t="shared" si="58"/>
        <v>2106.6221450345633</v>
      </c>
      <c r="AS23" s="50">
        <f t="shared" si="58"/>
        <v>1858.7292181150835</v>
      </c>
      <c r="AT23" s="50">
        <f t="shared" si="58"/>
        <v>2432.3977760291273</v>
      </c>
      <c r="AU23" s="50">
        <f t="shared" si="58"/>
        <v>2350.2812554388988</v>
      </c>
      <c r="AV23" s="51">
        <f t="shared" si="58"/>
        <v>8748.0303946176718</v>
      </c>
    </row>
    <row r="24" spans="1:48" ht="16.2" x14ac:dyDescent="0.45">
      <c r="B24" s="520" t="s">
        <v>5</v>
      </c>
      <c r="C24" s="521"/>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52">
        <f>+X23*X143</f>
        <v>272.45886267565317</v>
      </c>
      <c r="Y24" s="52">
        <f>+Y23*Y143</f>
        <v>261.04663955215301</v>
      </c>
      <c r="Z24" s="52">
        <f>+Z23*Z143</f>
        <v>353.92608273482466</v>
      </c>
      <c r="AA24" s="52">
        <f>+AA23*AA143</f>
        <v>351.46650933677432</v>
      </c>
      <c r="AB24" s="53">
        <f>SUM(X24:AA24)</f>
        <v>1238.8980942994051</v>
      </c>
      <c r="AC24" s="52">
        <f>+AC23*AC143</f>
        <v>380.30102844718704</v>
      </c>
      <c r="AD24" s="52">
        <f>+AD23*AD143</f>
        <v>335.9220909338207</v>
      </c>
      <c r="AE24" s="52">
        <f>+AE23*AE143</f>
        <v>431.59457527990975</v>
      </c>
      <c r="AF24" s="52">
        <f>+AF23*AF143</f>
        <v>432.86526476627705</v>
      </c>
      <c r="AG24" s="53">
        <f>SUM(AC24:AF24)</f>
        <v>1580.6829594271946</v>
      </c>
      <c r="AH24" s="52">
        <f>+AH23*AH143</f>
        <v>448.3724928960952</v>
      </c>
      <c r="AI24" s="52">
        <f>+AI23*AI143</f>
        <v>398.92031792227192</v>
      </c>
      <c r="AJ24" s="52">
        <f>+AJ23*AJ143</f>
        <v>524.89700314610911</v>
      </c>
      <c r="AK24" s="52">
        <f>+AK23*AK143</f>
        <v>497.70843062943004</v>
      </c>
      <c r="AL24" s="53">
        <f>SUM(AH24:AK24)</f>
        <v>1869.8982445939064</v>
      </c>
      <c r="AM24" s="52">
        <f>+AM23*AM143</f>
        <v>480.82420042618367</v>
      </c>
      <c r="AN24" s="52">
        <f>+AN23*AN143</f>
        <v>423.66049960699019</v>
      </c>
      <c r="AO24" s="52">
        <f>+AO23*AO143</f>
        <v>556.00139073257969</v>
      </c>
      <c r="AP24" s="52">
        <f>+AP23*AP143</f>
        <v>537.21259355397399</v>
      </c>
      <c r="AQ24" s="53">
        <f>SUM(AM24:AP24)</f>
        <v>1997.6986843197274</v>
      </c>
      <c r="AR24" s="52">
        <f>+AR23*AR143</f>
        <v>516.122425533468</v>
      </c>
      <c r="AS24" s="52">
        <f>+AS23*AS143</f>
        <v>455.38865843819548</v>
      </c>
      <c r="AT24" s="52">
        <f>+AT23*AT143</f>
        <v>595.93745512713622</v>
      </c>
      <c r="AU24" s="52">
        <f>+AU23*AU143</f>
        <v>575.81890758253019</v>
      </c>
      <c r="AV24" s="53">
        <f>SUM(AR24:AU24)</f>
        <v>2143.2674466813301</v>
      </c>
    </row>
    <row r="25" spans="1:48" x14ac:dyDescent="0.3">
      <c r="A25" s="23"/>
      <c r="B25" s="518" t="s">
        <v>39</v>
      </c>
      <c r="C25" s="519"/>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50">
        <f t="shared" si="60"/>
        <v>839.61812783721689</v>
      </c>
      <c r="Y25" s="50">
        <f t="shared" si="60"/>
        <v>804.44984841581845</v>
      </c>
      <c r="Z25" s="50">
        <f t="shared" si="60"/>
        <v>1090.6701733256843</v>
      </c>
      <c r="AA25" s="50">
        <f>+AA23-AA24</f>
        <v>1083.0906716296515</v>
      </c>
      <c r="AB25" s="51">
        <f>+AB23-AB24</f>
        <v>3817.8288212083689</v>
      </c>
      <c r="AC25" s="50">
        <f t="shared" si="60"/>
        <v>1171.9480672556172</v>
      </c>
      <c r="AD25" s="50">
        <f t="shared" si="60"/>
        <v>1035.1884843062637</v>
      </c>
      <c r="AE25" s="50">
        <f t="shared" si="60"/>
        <v>1330.0159360666605</v>
      </c>
      <c r="AF25" s="103">
        <f t="shared" si="60"/>
        <v>1333.9317342797517</v>
      </c>
      <c r="AG25" s="171">
        <f t="shared" si="60"/>
        <v>4871.0842219082879</v>
      </c>
      <c r="AH25" s="103">
        <f t="shared" si="60"/>
        <v>1381.7193148430688</v>
      </c>
      <c r="AI25" s="103">
        <f t="shared" si="60"/>
        <v>1229.325877678838</v>
      </c>
      <c r="AJ25" s="103">
        <f t="shared" si="60"/>
        <v>1617.5397443890301</v>
      </c>
      <c r="AK25" s="103">
        <f t="shared" si="60"/>
        <v>1533.7545515315089</v>
      </c>
      <c r="AL25" s="51">
        <f t="shared" si="60"/>
        <v>5762.3394884424451</v>
      </c>
      <c r="AM25" s="103">
        <f t="shared" si="60"/>
        <v>1481.7235564153825</v>
      </c>
      <c r="AN25" s="103">
        <f t="shared" si="60"/>
        <v>1305.5660294011329</v>
      </c>
      <c r="AO25" s="103">
        <f t="shared" si="60"/>
        <v>1713.39204082897</v>
      </c>
      <c r="AP25" s="103">
        <f t="shared" si="60"/>
        <v>1655.4918699316345</v>
      </c>
      <c r="AQ25" s="51">
        <f t="shared" si="60"/>
        <v>6156.1734965771266</v>
      </c>
      <c r="AR25" s="103">
        <f t="shared" si="60"/>
        <v>1590.4997195010953</v>
      </c>
      <c r="AS25" s="103">
        <f t="shared" si="60"/>
        <v>1403.340559676888</v>
      </c>
      <c r="AT25" s="103">
        <f t="shared" si="60"/>
        <v>1836.4603209019911</v>
      </c>
      <c r="AU25" s="103">
        <f t="shared" si="60"/>
        <v>1774.4623478563685</v>
      </c>
      <c r="AV25" s="51">
        <f t="shared" si="60"/>
        <v>6604.7629479363422</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f>AVERAGE(V26,U26,T26,S26)</f>
        <v>0.44999999999999996</v>
      </c>
      <c r="Y26" s="104">
        <f>AVERAGE(X26,V26,U26,T26)</f>
        <v>0.51249999999999996</v>
      </c>
      <c r="Z26" s="104">
        <f>AVERAGE(Y26,X26,V26,U26)</f>
        <v>0.56562499999999993</v>
      </c>
      <c r="AA26" s="104">
        <f>AVERAGE(Z26,Y26,X26,V26)</f>
        <v>0.50703124999999993</v>
      </c>
      <c r="AB26" s="173">
        <f>SUM(X26:AA26)</f>
        <v>2.0351562499999996</v>
      </c>
      <c r="AC26" s="104">
        <f>AVERAGE(AA26,Z26,Y26,X26)</f>
        <v>0.5087890625</v>
      </c>
      <c r="AD26" s="104">
        <f>AVERAGE(AC26,AA26,Z26,Y26)</f>
        <v>0.52348632812499996</v>
      </c>
      <c r="AE26" s="104">
        <f>AVERAGE(AD26,AC26,AA26,Z26)</f>
        <v>0.52623291015624996</v>
      </c>
      <c r="AF26" s="104">
        <f>AVERAGE(AE26,AD26,AC26,AA26)</f>
        <v>0.51638488769531243</v>
      </c>
      <c r="AG26" s="173">
        <f>SUM(AC26:AF26)</f>
        <v>2.0748931884765622</v>
      </c>
      <c r="AH26" s="104">
        <f>AVERAGE(AF26,AE26,AD26,AC26)</f>
        <v>0.51872329711914067</v>
      </c>
      <c r="AI26" s="104">
        <f>AVERAGE(AH26,AF26,AE26,AD26)</f>
        <v>0.52120685577392578</v>
      </c>
      <c r="AJ26" s="104">
        <f>AVERAGE(AI26,AH26,AF26,AE26)</f>
        <v>0.52063698768615718</v>
      </c>
      <c r="AK26" s="104">
        <f>AVERAGE(AJ26,AI26,AH26,AF26)</f>
        <v>0.51923800706863399</v>
      </c>
      <c r="AL26" s="53">
        <f>SUM(AH26:AK26)</f>
        <v>2.0798051476478578</v>
      </c>
      <c r="AM26" s="104">
        <f>AVERAGE(AK26,AJ26,AI26,AH26)</f>
        <v>0.51995128691196446</v>
      </c>
      <c r="AN26" s="104">
        <f>AVERAGE(AM26,AK26,AJ26,AI26)</f>
        <v>0.52025828436017041</v>
      </c>
      <c r="AO26" s="104">
        <f>AVERAGE(AN26,AM26,AK26,AJ26)</f>
        <v>0.52002114150673151</v>
      </c>
      <c r="AP26" s="104">
        <f>AVERAGE(AO26,AN26,AM26,AK26)</f>
        <v>0.51986717996187504</v>
      </c>
      <c r="AQ26" s="53">
        <f>SUM(AM26:AP26)</f>
        <v>2.0800978927407412</v>
      </c>
      <c r="AR26" s="104">
        <f>AVERAGE(AP26,AO26,AN26,AM26)</f>
        <v>0.5200244731851853</v>
      </c>
      <c r="AS26" s="104">
        <f>AVERAGE(AR26,AP26,AO26,AN26)</f>
        <v>0.52004276975349062</v>
      </c>
      <c r="AT26" s="104">
        <f>AVERAGE(AS26,AR26,AP26,AO26)</f>
        <v>0.51998889110182067</v>
      </c>
      <c r="AU26" s="104">
        <f>AVERAGE(AT26,AS26,AR26,AP26)</f>
        <v>0.51998082850059291</v>
      </c>
      <c r="AV26" s="53">
        <f>SUM(AR26:AU26)</f>
        <v>2.0800369625410893</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50">
        <f t="shared" si="62"/>
        <v>839.16812783721684</v>
      </c>
      <c r="Y27" s="50">
        <f t="shared" si="62"/>
        <v>803.93734841581841</v>
      </c>
      <c r="Z27" s="50">
        <f t="shared" si="62"/>
        <v>1090.1045483256844</v>
      </c>
      <c r="AA27" s="50">
        <f>+AA25-AA26</f>
        <v>1082.5836403796516</v>
      </c>
      <c r="AB27" s="51">
        <f>+AB25-AB26</f>
        <v>3815.7936649583689</v>
      </c>
      <c r="AC27" s="50">
        <f t="shared" si="62"/>
        <v>1171.4392781931172</v>
      </c>
      <c r="AD27" s="50">
        <f t="shared" si="62"/>
        <v>1034.6649979781387</v>
      </c>
      <c r="AE27" s="50">
        <f t="shared" si="62"/>
        <v>1329.4897031565042</v>
      </c>
      <c r="AF27" s="50">
        <f t="shared" si="62"/>
        <v>1333.4153493920564</v>
      </c>
      <c r="AG27" s="51">
        <f t="shared" si="62"/>
        <v>4869.0093287198115</v>
      </c>
      <c r="AH27" s="50">
        <f t="shared" si="62"/>
        <v>1381.2005915459497</v>
      </c>
      <c r="AI27" s="50">
        <f t="shared" si="62"/>
        <v>1228.804670823064</v>
      </c>
      <c r="AJ27" s="50">
        <f t="shared" si="62"/>
        <v>1617.0191074013439</v>
      </c>
      <c r="AK27" s="50">
        <f t="shared" si="62"/>
        <v>1533.2353135244402</v>
      </c>
      <c r="AL27" s="51">
        <f t="shared" si="62"/>
        <v>5760.2596832947975</v>
      </c>
      <c r="AM27" s="50">
        <f t="shared" si="62"/>
        <v>1481.2036051284706</v>
      </c>
      <c r="AN27" s="50">
        <f t="shared" si="62"/>
        <v>1305.0457711167728</v>
      </c>
      <c r="AO27" s="50">
        <f t="shared" si="62"/>
        <v>1712.8720196874633</v>
      </c>
      <c r="AP27" s="50">
        <f t="shared" si="62"/>
        <v>1654.9720027516726</v>
      </c>
      <c r="AQ27" s="51">
        <f t="shared" si="62"/>
        <v>6154.0933986843856</v>
      </c>
      <c r="AR27" s="50">
        <f t="shared" si="62"/>
        <v>1589.9796950279101</v>
      </c>
      <c r="AS27" s="50">
        <f t="shared" si="62"/>
        <v>1402.8205169071346</v>
      </c>
      <c r="AT27" s="50">
        <f t="shared" si="62"/>
        <v>1835.9403320108893</v>
      </c>
      <c r="AU27" s="50">
        <f t="shared" si="62"/>
        <v>1773.9423670278679</v>
      </c>
      <c r="AV27" s="51">
        <f t="shared" si="62"/>
        <v>6602.682910973801</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91">
        <f t="shared" si="63"/>
        <v>-17.99786202462888</v>
      </c>
      <c r="Y28" s="91">
        <f t="shared" si="63"/>
        <v>-3.0497426990776444</v>
      </c>
      <c r="Z28" s="91">
        <f t="shared" si="63"/>
        <v>-3.0497426990776444</v>
      </c>
      <c r="AA28" s="91">
        <f t="shared" si="63"/>
        <v>-3.0497426990776444</v>
      </c>
      <c r="AB28" s="92">
        <f>SUM(X28:AA28)</f>
        <v>-27.147090121861812</v>
      </c>
      <c r="AC28" s="91">
        <f t="shared" ref="AC28:AF28" si="64">-AC171-AC172</f>
        <v>-3.0497426990776444</v>
      </c>
      <c r="AD28" s="91">
        <f t="shared" si="64"/>
        <v>-12.556420233463037</v>
      </c>
      <c r="AE28" s="91">
        <f t="shared" si="64"/>
        <v>-12.556420233463037</v>
      </c>
      <c r="AF28" s="91">
        <f t="shared" si="64"/>
        <v>-12.556420233463037</v>
      </c>
      <c r="AG28" s="92">
        <f>SUM(AC28:AF28)</f>
        <v>-40.719003399466757</v>
      </c>
      <c r="AH28" s="91">
        <f t="shared" ref="AH28:AK28" si="65">-AH171-AH172</f>
        <v>-12.556420233463037</v>
      </c>
      <c r="AI28" s="91">
        <f t="shared" si="65"/>
        <v>-12.556420233463037</v>
      </c>
      <c r="AJ28" s="91">
        <f t="shared" si="65"/>
        <v>-12.556420233463037</v>
      </c>
      <c r="AK28" s="91">
        <f t="shared" si="65"/>
        <v>-12.556420233463037</v>
      </c>
      <c r="AL28" s="92">
        <f>SUM(AH28:AK28)</f>
        <v>-50.225680933852146</v>
      </c>
      <c r="AM28" s="91">
        <f t="shared" ref="AM28:AP28" si="66">-AM171-AM172</f>
        <v>-12.556420233463037</v>
      </c>
      <c r="AN28" s="91">
        <f t="shared" si="66"/>
        <v>-12.556420233463037</v>
      </c>
      <c r="AO28" s="91">
        <f t="shared" si="66"/>
        <v>-12.556420233463037</v>
      </c>
      <c r="AP28" s="91">
        <f t="shared" si="66"/>
        <v>-12.556420233463037</v>
      </c>
      <c r="AQ28" s="92">
        <f>SUM(AM28:AP28)</f>
        <v>-50.225680933852146</v>
      </c>
      <c r="AR28" s="91">
        <f t="shared" ref="AR28:AU28" si="67">-AR171-AR172</f>
        <v>-12.556420233463037</v>
      </c>
      <c r="AS28" s="91">
        <f t="shared" si="67"/>
        <v>-12.556420233463037</v>
      </c>
      <c r="AT28" s="91">
        <f t="shared" si="67"/>
        <v>-12.556420233463037</v>
      </c>
      <c r="AU28" s="91">
        <f t="shared" si="67"/>
        <v>-12.556420233463037</v>
      </c>
      <c r="AV28" s="92">
        <f>SUM(AR28:AU28)</f>
        <v>-50.225680933852146</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80">
        <f t="shared" si="68"/>
        <v>881.37135744377633</v>
      </c>
      <c r="Y29" s="80">
        <f t="shared" si="68"/>
        <v>811.08869734792904</v>
      </c>
      <c r="Z29" s="80">
        <f t="shared" si="68"/>
        <v>1097.2558972577947</v>
      </c>
      <c r="AA29" s="80">
        <f t="shared" si="68"/>
        <v>1089.7349893117621</v>
      </c>
      <c r="AB29" s="81">
        <f t="shared" si="68"/>
        <v>3879.4509413612586</v>
      </c>
      <c r="AC29" s="80">
        <f t="shared" si="68"/>
        <v>1178.5906271252279</v>
      </c>
      <c r="AD29" s="80">
        <f t="shared" si="68"/>
        <v>1064.1085777446756</v>
      </c>
      <c r="AE29" s="80">
        <f t="shared" si="68"/>
        <v>1358.9332829230411</v>
      </c>
      <c r="AF29" s="80">
        <f t="shared" si="68"/>
        <v>1362.8589291585934</v>
      </c>
      <c r="AG29" s="81">
        <f t="shared" si="68"/>
        <v>4964.4914169515332</v>
      </c>
      <c r="AH29" s="80">
        <f t="shared" si="68"/>
        <v>1410.6441713124866</v>
      </c>
      <c r="AI29" s="80">
        <f t="shared" si="68"/>
        <v>1258.248250589601</v>
      </c>
      <c r="AJ29" s="80">
        <f t="shared" si="68"/>
        <v>1646.4626871678809</v>
      </c>
      <c r="AK29" s="80">
        <f t="shared" si="68"/>
        <v>1562.6788932909774</v>
      </c>
      <c r="AL29" s="81">
        <f t="shared" si="68"/>
        <v>5878.0340023609451</v>
      </c>
      <c r="AM29" s="80">
        <f t="shared" si="68"/>
        <v>1510.6471848950075</v>
      </c>
      <c r="AN29" s="80">
        <f t="shared" si="68"/>
        <v>1334.4893508833097</v>
      </c>
      <c r="AO29" s="80">
        <f t="shared" si="68"/>
        <v>1742.3155994540002</v>
      </c>
      <c r="AP29" s="80">
        <f t="shared" si="68"/>
        <v>1684.4155825182095</v>
      </c>
      <c r="AQ29" s="81">
        <f t="shared" si="68"/>
        <v>6271.8677177505342</v>
      </c>
      <c r="AR29" s="80">
        <f t="shared" si="68"/>
        <v>1619.423274794447</v>
      </c>
      <c r="AS29" s="80">
        <f t="shared" si="68"/>
        <v>1432.2640966736715</v>
      </c>
      <c r="AT29" s="80">
        <f t="shared" si="68"/>
        <v>1865.3839117774262</v>
      </c>
      <c r="AU29" s="80">
        <f t="shared" si="68"/>
        <v>1803.3859467944048</v>
      </c>
      <c r="AV29" s="81">
        <f t="shared" si="68"/>
        <v>6720.4572300399486</v>
      </c>
    </row>
    <row r="30" spans="1:48" x14ac:dyDescent="0.3">
      <c r="B30" s="486" t="s">
        <v>0</v>
      </c>
      <c r="C30" s="487"/>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6">
        <f>V30*(1+X151)-X155-X158-X161</f>
        <v>1150.1515239895211</v>
      </c>
      <c r="Y30" s="16">
        <f>X30*(1+Y151)-Y155-Y158-Y161</f>
        <v>1152.4518270375002</v>
      </c>
      <c r="Z30" s="16">
        <f>Y30*(1+Z151)-Z155-Z158-Z161</f>
        <v>1154.7567306915751</v>
      </c>
      <c r="AA30" s="16">
        <f>Z30*(1+AA151)-AA155-AA158-AA161</f>
        <v>1157.0662441529582</v>
      </c>
      <c r="AB30" s="17">
        <f>+(X27/AB27*X30)+(Y27/AB27*Y30)+(Z27/AB27*Z30)+(AA27/AB27*AA30)</f>
        <v>1153.9135773110634</v>
      </c>
      <c r="AC30" s="16">
        <f>AA30*(1+AC151)-AC155-AC158-AC161</f>
        <v>1159.3803766412641</v>
      </c>
      <c r="AD30" s="16">
        <f>AC30*(1+AD151)-AD155-AD158-AD161</f>
        <v>1161.6991373945466</v>
      </c>
      <c r="AE30" s="16">
        <f>AD30*(1+AE151)-AE155-AE158-AE161</f>
        <v>1163.1351553270288</v>
      </c>
      <c r="AF30" s="16">
        <f>AE30*(1+AF151)-AF155-AF158-AF161</f>
        <v>1164.574045295376</v>
      </c>
      <c r="AG30" s="17">
        <f>+(AC27/AG27*AC30)+(AD27/AG27*AD30)+(AE27/AG27*AE30)+(AF27/AG27*AF30)</f>
        <v>1162.3206868208056</v>
      </c>
      <c r="AH30" s="16">
        <f>AF30*(1+AH151)-AH155-AH158-AH161</f>
        <v>1166.0580692504363</v>
      </c>
      <c r="AI30" s="16">
        <f>AH30*(1+AI151)-AI155-AI158-AI161</f>
        <v>1167.5450612534069</v>
      </c>
      <c r="AJ30" s="16">
        <f>AI30*(1+AJ151)-AJ155-AJ158-AJ161</f>
        <v>1123.8886548263745</v>
      </c>
      <c r="AK30" s="16">
        <f>AJ30*(1+AK151)-AK155-AK158-AK161</f>
        <v>1080.1449355864879</v>
      </c>
      <c r="AL30" s="17">
        <f>+(AH27/AL27*AH30)+(AI27/AL27*AI30)+(AJ27/AL27*AJ30)+(AK27/AL27*AK30)</f>
        <v>1131.6695889608263</v>
      </c>
      <c r="AM30" s="16">
        <f>AK30*(1+AM151)-AM155-AM158-AM161</f>
        <v>1080.2780087146509</v>
      </c>
      <c r="AN30" s="16">
        <f>AM30*(1+AN151)-AN155-AN158-AN161</f>
        <v>1080.4113479890702</v>
      </c>
      <c r="AO30" s="16">
        <f>AN30*(1+AO151)-AO155-AO158-AO161</f>
        <v>1080.5449539420383</v>
      </c>
      <c r="AP30" s="16">
        <f>AO30*(1+AP151)-AP155-AP158-AP161</f>
        <v>1080.6788271069124</v>
      </c>
      <c r="AQ30" s="17">
        <f>+(AM27/AQ27*AM30)+(AN27/AQ27*AN30)+(AO27/AQ27*AO30)+(AP27/AQ27*AP30)</f>
        <v>1080.4883727765023</v>
      </c>
      <c r="AR30" s="16">
        <f>AP30*(1+AR151)-AR155-AR158-AR161</f>
        <v>1080.8527173660182</v>
      </c>
      <c r="AS30" s="16">
        <f>AR30*(1+AS151)-AS155-AS158-AS161</f>
        <v>1081.0269554056422</v>
      </c>
      <c r="AT30" s="16">
        <f>AS30*(1+AT151)-AT155-AT158-AT161</f>
        <v>1081.2015419213453</v>
      </c>
      <c r="AU30" s="16">
        <f>AT30*(1+AU151)-AU155-AU158-AU161</f>
        <v>1081.37647761008</v>
      </c>
      <c r="AV30" s="17">
        <f>+(AR27/AV27*AR30)+(AS27/AV27*AS30)+(AT27/AV27*AT30)+(AU27/AV27*AU30)</f>
        <v>1081.1274490589217</v>
      </c>
    </row>
    <row r="31" spans="1:48" ht="15.75" customHeight="1" x14ac:dyDescent="0.3">
      <c r="B31" s="486" t="s">
        <v>1</v>
      </c>
      <c r="C31" s="487"/>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6">
        <f>V31*(1+X152)-X155-X158-X161</f>
        <v>1153.6524999999999</v>
      </c>
      <c r="Y31" s="16">
        <f>X31*(1+Y152)-Y155-Y158-Y161</f>
        <v>1154.8061524999998</v>
      </c>
      <c r="Z31" s="16">
        <f>Y31*(1+Z152)-Z155-Z158-Z161</f>
        <v>1155.9609586524996</v>
      </c>
      <c r="AA31" s="16">
        <f>Z31*(1+AA152)-AA155-AA158-AA161</f>
        <v>1157.1169196111521</v>
      </c>
      <c r="AB31" s="17">
        <f>+(X27/AB27*X31)+(Y27/AB27*Y31)+(Z27/AB27*Z31)+(AA27/AB27*AA31)</f>
        <v>1155.5379398939519</v>
      </c>
      <c r="AC31" s="16">
        <f>AA31*(1+AC152)-AC155-AC158-AC161</f>
        <v>1158.2740365307632</v>
      </c>
      <c r="AD31" s="16">
        <f>AC31*(1+AD152)-AD155-AD158-AD161</f>
        <v>1159.4323105672938</v>
      </c>
      <c r="AE31" s="16">
        <f>AD31*(1+AE152)-AE155-AE158-AE161</f>
        <v>1159.7043625355541</v>
      </c>
      <c r="AF31" s="16">
        <f>AE31*(1+AF152)-AF155-AF158-AF161</f>
        <v>1159.9766865557826</v>
      </c>
      <c r="AG31" s="17">
        <f>+(AC27/AG27*AC31)+(AD27/AG27*AD31)+(AE27/AG27*AE31)+(AF27/AG27*AF31)</f>
        <v>1159.37700607028</v>
      </c>
      <c r="AH31" s="16">
        <f>AF31*(1+AH152)-AH155-AH158-AH161</f>
        <v>1160.2915391068079</v>
      </c>
      <c r="AI31" s="16">
        <f>AH31*(1+AI152)-AI155-AI158-AI161</f>
        <v>1160.6067065103844</v>
      </c>
      <c r="AJ31" s="16">
        <f>AI31*(1+AJ152)-AJ155-AJ158-AJ161</f>
        <v>1115.7758166673552</v>
      </c>
      <c r="AK31" s="16">
        <f>AJ31*(1+AK152)-AK155-AK158-AK161</f>
        <v>1070.9000959344833</v>
      </c>
      <c r="AL31" s="17">
        <f>+(AH27/AL27*AH31)+(AI27/AL27*AI31)+(AJ27/AL27*AJ31)+(AK27/AL27*AK31)</f>
        <v>1124.068586764816</v>
      </c>
      <c r="AM31" s="16">
        <f>AK31*(1+AM152)-AM155-AM158-AM161</f>
        <v>1069.9437792874076</v>
      </c>
      <c r="AN31" s="16">
        <f>AM31*(1+AN152)-AN155-AN158-AN161</f>
        <v>1068.9865063236848</v>
      </c>
      <c r="AO31" s="16">
        <f>AN31*(1+AO152)-AO155-AO158-AO161</f>
        <v>1068.0282760869984</v>
      </c>
      <c r="AP31" s="16">
        <f>AO31*(1+AP152)-AP155-AP158-AP161</f>
        <v>1067.0690876200752</v>
      </c>
      <c r="AQ31" s="17">
        <f>+(AM27/AQ27*AM31)+(AN27/AQ27*AN31)+(AO27/AQ27*AO31)+(AP27/AQ27*AP31)</f>
        <v>1068.4345673705584</v>
      </c>
      <c r="AR31" s="16">
        <f>AP31*(1+AR152)-AR155-AR158-AR161</f>
        <v>1066.1486893125871</v>
      </c>
      <c r="AS31" s="16">
        <f>AR31*(1+AS152)-AS155-AS158-AS161</f>
        <v>1065.2273706067915</v>
      </c>
      <c r="AT31" s="16">
        <f>AS31*(1+AT152)-AT155-AT158-AT161</f>
        <v>1064.3051305822901</v>
      </c>
      <c r="AU31" s="16">
        <f>AT31*(1+AU152)-AU155-AU158-AU161</f>
        <v>1063.3819683177642</v>
      </c>
      <c r="AV31" s="17">
        <f>+(AR27/AV27*AR31)+(AS27/AV27*AS31)+(AT27/AV27*AT31)+(AU27/AV27*AU31)</f>
        <v>1064.696989703476</v>
      </c>
    </row>
    <row r="32" spans="1:48" ht="15.75" customHeight="1" x14ac:dyDescent="0.3">
      <c r="B32" s="500" t="s">
        <v>6</v>
      </c>
      <c r="C32" s="501"/>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24">
        <f t="shared" si="69"/>
        <v>0.7296152814077933</v>
      </c>
      <c r="Y32" s="24">
        <f t="shared" si="69"/>
        <v>0.69758867967819949</v>
      </c>
      <c r="Z32" s="24">
        <f t="shared" si="69"/>
        <v>0.94401229224516325</v>
      </c>
      <c r="AA32" s="24">
        <f t="shared" si="69"/>
        <v>0.935628055740376</v>
      </c>
      <c r="AB32" s="25">
        <f t="shared" si="69"/>
        <v>3.3068279462056593</v>
      </c>
      <c r="AC32" s="24">
        <f t="shared" si="69"/>
        <v>1.0104011606499568</v>
      </c>
      <c r="AD32" s="24">
        <f t="shared" si="69"/>
        <v>0.89064798679172685</v>
      </c>
      <c r="AE32" s="24">
        <f t="shared" si="69"/>
        <v>1.1430225430532215</v>
      </c>
      <c r="AF32" s="24">
        <f t="shared" si="69"/>
        <v>1.1449811669586509</v>
      </c>
      <c r="AG32" s="25">
        <f t="shared" si="69"/>
        <v>4.189041272282255</v>
      </c>
      <c r="AH32" s="24">
        <f t="shared" si="69"/>
        <v>1.1845041237387182</v>
      </c>
      <c r="AI32" s="24">
        <f t="shared" si="69"/>
        <v>1.0524687325591464</v>
      </c>
      <c r="AJ32" s="24">
        <f t="shared" si="69"/>
        <v>1.4387716260479126</v>
      </c>
      <c r="AK32" s="24">
        <f t="shared" si="69"/>
        <v>1.4194718347607094</v>
      </c>
      <c r="AL32" s="25">
        <f t="shared" si="69"/>
        <v>5.0900543228207162</v>
      </c>
      <c r="AM32" s="24">
        <f t="shared" si="69"/>
        <v>1.3711318689999565</v>
      </c>
      <c r="AN32" s="24">
        <f t="shared" si="69"/>
        <v>1.2079156457823275</v>
      </c>
      <c r="AO32" s="24">
        <f t="shared" si="69"/>
        <v>1.5851927431973771</v>
      </c>
      <c r="AP32" s="24">
        <f t="shared" si="69"/>
        <v>1.5314189204411468</v>
      </c>
      <c r="AQ32" s="25">
        <f t="shared" si="69"/>
        <v>5.6956590683806949</v>
      </c>
      <c r="AR32" s="24">
        <f t="shared" si="69"/>
        <v>1.4710419555613534</v>
      </c>
      <c r="AS32" s="24">
        <f t="shared" si="69"/>
        <v>1.2976739478071047</v>
      </c>
      <c r="AT32" s="24">
        <f t="shared" si="69"/>
        <v>1.6980555990961113</v>
      </c>
      <c r="AU32" s="24">
        <f t="shared" si="69"/>
        <v>1.6404484504308883</v>
      </c>
      <c r="AV32" s="25">
        <f t="shared" si="69"/>
        <v>6.1072197516779108</v>
      </c>
    </row>
    <row r="33" spans="2:48" x14ac:dyDescent="0.3">
      <c r="B33" s="500" t="s">
        <v>7</v>
      </c>
      <c r="C33" s="501"/>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24">
        <f>X27/X31</f>
        <v>0.72740112628128217</v>
      </c>
      <c r="Y33" s="24">
        <f t="shared" si="70"/>
        <v>0.69616649225101745</v>
      </c>
      <c r="Z33" s="24">
        <f t="shared" si="70"/>
        <v>0.94302886284015697</v>
      </c>
      <c r="AA33" s="24">
        <f>AA27/AA31</f>
        <v>0.93558708029561322</v>
      </c>
      <c r="AB33" s="25">
        <f>AB27/AB31</f>
        <v>3.3021794726260207</v>
      </c>
      <c r="AC33" s="24">
        <f t="shared" si="70"/>
        <v>1.0113662581108924</v>
      </c>
      <c r="AD33" s="24">
        <f t="shared" si="70"/>
        <v>0.89238930858489851</v>
      </c>
      <c r="AE33" s="24">
        <f t="shared" si="70"/>
        <v>1.146403985451719</v>
      </c>
      <c r="AF33" s="24">
        <f t="shared" si="70"/>
        <v>1.1495190936563131</v>
      </c>
      <c r="AG33" s="25">
        <f t="shared" si="70"/>
        <v>4.199677329485227</v>
      </c>
      <c r="AH33" s="24">
        <f t="shared" si="70"/>
        <v>1.190390987948768</v>
      </c>
      <c r="AI33" s="24">
        <f t="shared" si="70"/>
        <v>1.0587606154006568</v>
      </c>
      <c r="AJ33" s="24">
        <f t="shared" si="70"/>
        <v>1.4492329760570746</v>
      </c>
      <c r="AK33" s="24">
        <f t="shared" si="70"/>
        <v>1.4317258158302026</v>
      </c>
      <c r="AL33" s="25">
        <f t="shared" si="70"/>
        <v>5.124473498430743</v>
      </c>
      <c r="AM33" s="24">
        <f t="shared" si="70"/>
        <v>1.38437517353946</v>
      </c>
      <c r="AN33" s="24">
        <f t="shared" si="70"/>
        <v>1.220825298913184</v>
      </c>
      <c r="AO33" s="24">
        <f t="shared" si="70"/>
        <v>1.6037702915160814</v>
      </c>
      <c r="AP33" s="24">
        <f t="shared" si="70"/>
        <v>1.5509511258008792</v>
      </c>
      <c r="AQ33" s="25">
        <f t="shared" si="70"/>
        <v>5.7599160366270707</v>
      </c>
      <c r="AR33" s="24">
        <f t="shared" si="70"/>
        <v>1.4913301596356787</v>
      </c>
      <c r="AS33" s="24">
        <f t="shared" si="70"/>
        <v>1.3169212091387006</v>
      </c>
      <c r="AT33" s="24">
        <f t="shared" si="70"/>
        <v>1.7250131369811506</v>
      </c>
      <c r="AU33" s="24">
        <f t="shared" si="70"/>
        <v>1.6682080568228812</v>
      </c>
      <c r="AV33" s="25">
        <f t="shared" si="70"/>
        <v>6.2014666847256557</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82">
        <f t="shared" si="71"/>
        <v>0.76398339833162621</v>
      </c>
      <c r="Y34" s="82">
        <f t="shared" si="71"/>
        <v>0.7023591756867863</v>
      </c>
      <c r="Z34" s="82">
        <f t="shared" si="71"/>
        <v>0.94921535977898663</v>
      </c>
      <c r="AA34" s="82">
        <f t="shared" si="71"/>
        <v>0.94176739691782085</v>
      </c>
      <c r="AB34" s="83">
        <f t="shared" si="71"/>
        <v>3.3572683400748318</v>
      </c>
      <c r="AC34" s="82">
        <f t="shared" si="71"/>
        <v>1.0175404005906206</v>
      </c>
      <c r="AD34" s="82">
        <f t="shared" si="71"/>
        <v>0.91778413284344496</v>
      </c>
      <c r="AE34" s="82">
        <f t="shared" si="71"/>
        <v>1.1717928524058467</v>
      </c>
      <c r="AF34" s="82">
        <f t="shared" si="71"/>
        <v>1.1749020001472712</v>
      </c>
      <c r="AG34" s="83">
        <f t="shared" si="71"/>
        <v>4.2820337051350768</v>
      </c>
      <c r="AH34" s="82">
        <f t="shared" si="71"/>
        <v>1.2157670066252488</v>
      </c>
      <c r="AI34" s="82">
        <f t="shared" si="71"/>
        <v>1.0841297431175434</v>
      </c>
      <c r="AJ34" s="82">
        <f t="shared" si="71"/>
        <v>1.475621412987425</v>
      </c>
      <c r="AK34" s="82">
        <f t="shared" si="71"/>
        <v>1.4592200516401679</v>
      </c>
      <c r="AL34" s="415">
        <f t="shared" si="71"/>
        <v>5.2292485276886227</v>
      </c>
      <c r="AM34" s="82">
        <f t="shared" si="71"/>
        <v>1.4118939837204461</v>
      </c>
      <c r="AN34" s="82">
        <f t="shared" si="71"/>
        <v>1.2483687520740618</v>
      </c>
      <c r="AO34" s="82">
        <f t="shared" si="71"/>
        <v>1.6313384565410853</v>
      </c>
      <c r="AP34" s="82">
        <f t="shared" si="71"/>
        <v>1.5785440718510793</v>
      </c>
      <c r="AQ34" s="83">
        <f t="shared" si="71"/>
        <v>5.8701467635830449</v>
      </c>
      <c r="AR34" s="82">
        <f t="shared" si="71"/>
        <v>1.5189469264728832</v>
      </c>
      <c r="AS34" s="82">
        <f t="shared" si="71"/>
        <v>1.3445618618096555</v>
      </c>
      <c r="AT34" s="82">
        <f t="shared" si="71"/>
        <v>1.7526777407874181</v>
      </c>
      <c r="AU34" s="82">
        <f t="shared" si="71"/>
        <v>1.6958966773221695</v>
      </c>
      <c r="AV34" s="83">
        <f t="shared" si="71"/>
        <v>6.3120843723918423</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40">
        <f>+V35</f>
        <v>0.53</v>
      </c>
      <c r="Y35" s="240">
        <f>+X35</f>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0.65002523872302442</v>
      </c>
      <c r="AC36" s="211"/>
      <c r="AD36" s="211"/>
      <c r="AE36" s="211"/>
      <c r="AF36" s="211"/>
      <c r="AG36" s="244">
        <f>AG35/AG33</f>
        <v>0.53666623008779146</v>
      </c>
      <c r="AH36" s="211"/>
      <c r="AI36" s="211"/>
      <c r="AJ36" s="211"/>
      <c r="AK36" s="211"/>
      <c r="AL36" s="431">
        <f>AL35/AL33</f>
        <v>0.4618067106259196</v>
      </c>
      <c r="AM36" s="211"/>
      <c r="AN36" s="211"/>
      <c r="AO36" s="211"/>
      <c r="AP36" s="211"/>
      <c r="AQ36" s="244">
        <f>AQ35/AQ33</f>
        <v>0.42820690602363576</v>
      </c>
      <c r="AR36" s="211"/>
      <c r="AS36" s="211"/>
      <c r="AT36" s="211"/>
      <c r="AU36" s="211"/>
      <c r="AV36" s="244">
        <f>AV35/AV33</f>
        <v>0.40567250771440599</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494" t="s">
        <v>13</v>
      </c>
      <c r="C38" s="495"/>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12"/>
      <c r="C39" s="513"/>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08" t="s">
        <v>174</v>
      </c>
      <c r="C40" s="509"/>
      <c r="D40" s="14"/>
      <c r="E40" s="14"/>
      <c r="F40" s="14"/>
      <c r="G40" s="14"/>
      <c r="H40" s="40"/>
      <c r="I40" s="14"/>
      <c r="J40" s="14"/>
      <c r="K40" s="14"/>
      <c r="L40" s="14"/>
      <c r="M40" s="40"/>
      <c r="N40" s="14"/>
      <c r="O40" s="14"/>
      <c r="P40" s="14"/>
      <c r="Q40" s="14"/>
      <c r="R40" s="40"/>
      <c r="S40" s="14"/>
      <c r="T40" s="14"/>
      <c r="U40" s="14"/>
      <c r="V40" s="14"/>
      <c r="W40" s="40"/>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510" t="s">
        <v>175</v>
      </c>
      <c r="C41" s="511"/>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10276.5</v>
      </c>
      <c r="Y41" s="21">
        <f>+X41+Y42</f>
        <v>10337</v>
      </c>
      <c r="Z41" s="21">
        <f>+Y41+Z42</f>
        <v>10397.5</v>
      </c>
      <c r="AA41" s="21">
        <f>+Z41+AA42</f>
        <v>10458</v>
      </c>
      <c r="AB41" s="191">
        <f>AA41</f>
        <v>10458</v>
      </c>
      <c r="AC41" s="21">
        <f>+AA41+AC42</f>
        <v>10530</v>
      </c>
      <c r="AD41" s="21">
        <f>+AC41+AD42</f>
        <v>10602</v>
      </c>
      <c r="AE41" s="21">
        <f>+AD41+AE42</f>
        <v>10675</v>
      </c>
      <c r="AF41" s="21">
        <f>+AE41+AF42</f>
        <v>10748</v>
      </c>
      <c r="AG41" s="191">
        <f>AF41</f>
        <v>10748</v>
      </c>
      <c r="AH41" s="21">
        <f>+AF41+AH42</f>
        <v>10834</v>
      </c>
      <c r="AI41" s="21">
        <f>+AH41+AI42</f>
        <v>10920</v>
      </c>
      <c r="AJ41" s="21">
        <f>+AI41+AJ42</f>
        <v>11006</v>
      </c>
      <c r="AK41" s="21">
        <f>+AJ41+AK42</f>
        <v>11092</v>
      </c>
      <c r="AL41" s="191">
        <f>AK41</f>
        <v>11092</v>
      </c>
      <c r="AM41" s="21">
        <f>+AK41+AM42</f>
        <v>11188</v>
      </c>
      <c r="AN41" s="21">
        <f>+AM41+AN42</f>
        <v>11284</v>
      </c>
      <c r="AO41" s="21">
        <f>+AN41+AO42</f>
        <v>11380</v>
      </c>
      <c r="AP41" s="21">
        <f>+AO41+AP42</f>
        <v>11476</v>
      </c>
      <c r="AQ41" s="191">
        <f>AP41</f>
        <v>11476</v>
      </c>
      <c r="AR41" s="21">
        <f>+AP41+AR42</f>
        <v>11572</v>
      </c>
      <c r="AS41" s="21">
        <f>+AR41+AS42</f>
        <v>11668</v>
      </c>
      <c r="AT41" s="21">
        <f>+AS41+AT42</f>
        <v>11764</v>
      </c>
      <c r="AU41" s="21">
        <f>+AT41+AU42</f>
        <v>11860</v>
      </c>
      <c r="AV41" s="191">
        <f>AU41</f>
        <v>11860</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33">
        <v>60.5</v>
      </c>
      <c r="Y42" s="33">
        <v>60.5</v>
      </c>
      <c r="Z42" s="33">
        <v>60.5</v>
      </c>
      <c r="AA42" s="33">
        <v>60.5</v>
      </c>
      <c r="AB42" s="26">
        <f>+SUM(X42:AA42)</f>
        <v>242</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10246.25</v>
      </c>
      <c r="Y43" s="101">
        <f>AVERAGE(X41,Y41)</f>
        <v>10306.75</v>
      </c>
      <c r="Z43" s="101">
        <f t="shared" ref="Z43:AA43" si="76">AVERAGE(Y41,Z41)</f>
        <v>10367.25</v>
      </c>
      <c r="AA43" s="101">
        <f t="shared" si="76"/>
        <v>10427.75</v>
      </c>
      <c r="AB43" s="122"/>
      <c r="AC43" s="101">
        <f>AVERAGE(AA41,AC41)</f>
        <v>10494</v>
      </c>
      <c r="AD43" s="101">
        <f>AVERAGE(AC41,AD41)</f>
        <v>10566</v>
      </c>
      <c r="AE43" s="101">
        <f t="shared" ref="AE43:AF43" si="77">AVERAGE(AD41,AE41)</f>
        <v>10638.5</v>
      </c>
      <c r="AF43" s="101">
        <f t="shared" si="77"/>
        <v>10711.5</v>
      </c>
      <c r="AG43" s="122"/>
      <c r="AH43" s="101">
        <f>AVERAGE(AF41,AH41)</f>
        <v>10791</v>
      </c>
      <c r="AI43" s="101">
        <f>AVERAGE(AH41,AI41)</f>
        <v>10877</v>
      </c>
      <c r="AJ43" s="101">
        <f t="shared" ref="AJ43:AK43" si="78">AVERAGE(AI41,AJ41)</f>
        <v>10963</v>
      </c>
      <c r="AK43" s="101">
        <f t="shared" si="78"/>
        <v>11049</v>
      </c>
      <c r="AL43" s="122"/>
      <c r="AM43" s="101">
        <f>AVERAGE(AK41,AM41)</f>
        <v>11140</v>
      </c>
      <c r="AN43" s="101">
        <f>AVERAGE(AM41,AN41)</f>
        <v>11236</v>
      </c>
      <c r="AO43" s="101">
        <f t="shared" ref="AO43:AP43" si="79">AVERAGE(AN41,AO41)</f>
        <v>11332</v>
      </c>
      <c r="AP43" s="101">
        <f t="shared" si="79"/>
        <v>11428</v>
      </c>
      <c r="AQ43" s="122"/>
      <c r="AR43" s="101">
        <f>AVERAGE(AP41,AR41)</f>
        <v>11524</v>
      </c>
      <c r="AS43" s="101">
        <f>AVERAGE(AR41,AS41)</f>
        <v>11620</v>
      </c>
      <c r="AT43" s="101">
        <f t="shared" ref="AT43:AU43" si="80">AVERAGE(AS41,AT41)</f>
        <v>11716</v>
      </c>
      <c r="AU43" s="101">
        <f t="shared" si="80"/>
        <v>11812</v>
      </c>
      <c r="AV43" s="122"/>
    </row>
    <row r="44" spans="2:48" s="8" customFormat="1" outlineLevel="1" x14ac:dyDescent="0.3">
      <c r="B44" s="180" t="s">
        <v>205</v>
      </c>
      <c r="C44" s="206"/>
      <c r="D44" s="474"/>
      <c r="E44" s="43">
        <f>+E45/E43</f>
        <v>0.39376054825346496</v>
      </c>
      <c r="F44" s="43">
        <f>+F45/F43</f>
        <v>0.42603779351092547</v>
      </c>
      <c r="G44" s="43">
        <f>+G45/G43</f>
        <v>0.4199687358176592</v>
      </c>
      <c r="H44" s="473"/>
      <c r="I44" s="43">
        <f>+I45/I43</f>
        <v>0.44723417025107531</v>
      </c>
      <c r="J44" s="43">
        <f>+J45/J43</f>
        <v>0.38499327387773402</v>
      </c>
      <c r="K44" s="43">
        <f>+K45/K43</f>
        <v>0.25601953358580826</v>
      </c>
      <c r="L44" s="43">
        <f>+L45/L43</f>
        <v>0.3851038457716387</v>
      </c>
      <c r="M44" s="473"/>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219">
        <f>S44*1.07*1.005</f>
        <v>0.56747962501897675</v>
      </c>
      <c r="Y44" s="219">
        <f t="shared" ref="Y44:AA44" si="81">T44*1.07*1.005</f>
        <v>0.53472853883348448</v>
      </c>
      <c r="Z44" s="219">
        <f t="shared" si="81"/>
        <v>0.59274341331733649</v>
      </c>
      <c r="AA44" s="219">
        <f t="shared" si="81"/>
        <v>0.58903880144083687</v>
      </c>
      <c r="AB44" s="97"/>
      <c r="AC44" s="219">
        <f>X44*1.05*1.005</f>
        <v>0.59883287430127508</v>
      </c>
      <c r="AD44" s="219">
        <f t="shared" ref="AD44:AF44" si="82">Y44*1.05*1.005</f>
        <v>0.56427229060403439</v>
      </c>
      <c r="AE44" s="219">
        <f t="shared" si="82"/>
        <v>0.6254924869031192</v>
      </c>
      <c r="AF44" s="219">
        <f t="shared" si="82"/>
        <v>0.62158319522044303</v>
      </c>
      <c r="AG44" s="97"/>
      <c r="AH44" s="219">
        <f>AC44*1.07*1.005</f>
        <v>0.64395493137987614</v>
      </c>
      <c r="AI44" s="219">
        <f t="shared" ref="AI44:AK44" si="83">AD44*1.07*1.005</f>
        <v>0.60679020770104841</v>
      </c>
      <c r="AJ44" s="219">
        <f t="shared" si="83"/>
        <v>0.67262334579126926</v>
      </c>
      <c r="AK44" s="219">
        <f t="shared" si="83"/>
        <v>0.66841948898030334</v>
      </c>
      <c r="AL44" s="97"/>
      <c r="AM44" s="485">
        <f>AH44*1.05</f>
        <v>0.67615267794887002</v>
      </c>
      <c r="AN44" s="485">
        <f>AI44*1.05</f>
        <v>0.63712971808610086</v>
      </c>
      <c r="AO44" s="485">
        <f>AJ44*1.05</f>
        <v>0.70625451308083276</v>
      </c>
      <c r="AP44" s="485">
        <f>AK44*1.05</f>
        <v>0.7018404634293185</v>
      </c>
      <c r="AQ44" s="97"/>
      <c r="AR44" s="485">
        <f>AM44*1.03</f>
        <v>0.69643725828733616</v>
      </c>
      <c r="AS44" s="485">
        <f>AN44*1.03</f>
        <v>0.65624360962868389</v>
      </c>
      <c r="AT44" s="485">
        <f>AO44*1.03</f>
        <v>0.72744214847325772</v>
      </c>
      <c r="AU44" s="485">
        <f>AP44*1.03</f>
        <v>0.72289567733219806</v>
      </c>
      <c r="AV44" s="97"/>
    </row>
    <row r="45" spans="2:48" s="8" customFormat="1" outlineLevel="1" x14ac:dyDescent="0.3">
      <c r="B45" s="500" t="s">
        <v>176</v>
      </c>
      <c r="C45" s="501"/>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50">
        <f>X44*X43</f>
        <v>5814.5381078506907</v>
      </c>
      <c r="Y45" s="50">
        <f>Y44*Y43</f>
        <v>5511.3133676220159</v>
      </c>
      <c r="Z45" s="50">
        <f>Z44*Z43</f>
        <v>6145.1191517141569</v>
      </c>
      <c r="AA45" s="50">
        <f>AA44*AA43</f>
        <v>6142.3493617246868</v>
      </c>
      <c r="AB45" s="97">
        <f>SUM(X45:AA45)</f>
        <v>23613.319988911549</v>
      </c>
      <c r="AC45" s="50">
        <f>AC44*AC43</f>
        <v>6284.1521829175808</v>
      </c>
      <c r="AD45" s="50">
        <f>AD44*AD43</f>
        <v>5962.1010225222271</v>
      </c>
      <c r="AE45" s="50">
        <f>AE44*AE43</f>
        <v>6654.3018219188334</v>
      </c>
      <c r="AF45" s="50">
        <f>AF44*AF43</f>
        <v>6658.0883956037751</v>
      </c>
      <c r="AG45" s="97">
        <f>SUM(AC45:AF45)</f>
        <v>25558.643422962417</v>
      </c>
      <c r="AH45" s="50">
        <f>AH44*AH43</f>
        <v>6948.9176645202433</v>
      </c>
      <c r="AI45" s="50">
        <f>AI44*AI43</f>
        <v>6600.0570891643038</v>
      </c>
      <c r="AJ45" s="50">
        <f>AJ44*AJ43</f>
        <v>7373.9697399096849</v>
      </c>
      <c r="AK45" s="50">
        <f>AK44*AK43</f>
        <v>7385.3669337433721</v>
      </c>
      <c r="AL45" s="97">
        <f>SUM(AH45:AK45)</f>
        <v>28308.311427337601</v>
      </c>
      <c r="AM45" s="50">
        <f>AM44*AM43</f>
        <v>7532.3408323504118</v>
      </c>
      <c r="AN45" s="50">
        <f>AN44*AN43</f>
        <v>7158.7895124154293</v>
      </c>
      <c r="AO45" s="50">
        <f>AO44*AO43</f>
        <v>8003.2761422319973</v>
      </c>
      <c r="AP45" s="50">
        <f>AP44*AP43</f>
        <v>8020.6328160702515</v>
      </c>
      <c r="AQ45" s="97">
        <f>SUM(AM45:AP45)</f>
        <v>30715.03930306809</v>
      </c>
      <c r="AR45" s="50">
        <f>AR44*AR43</f>
        <v>8025.7429645032616</v>
      </c>
      <c r="AS45" s="50">
        <f>AS44*AS43</f>
        <v>7625.5507438853065</v>
      </c>
      <c r="AT45" s="50">
        <f>AT44*AT43</f>
        <v>8522.7122115126876</v>
      </c>
      <c r="AU45" s="50">
        <f>AU44*AU43</f>
        <v>8538.8437406479243</v>
      </c>
      <c r="AV45" s="97">
        <f>SUM(AR45:AU45)</f>
        <v>32712.849660549178</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27">
        <f t="shared" ref="X46:AV46" si="84">X45/S45-1</f>
        <v>0.11515661530286914</v>
      </c>
      <c r="Y46" s="27">
        <f t="shared" si="84"/>
        <v>0.11648671426412815</v>
      </c>
      <c r="Z46" s="27">
        <f t="shared" si="84"/>
        <v>0.11461930488902228</v>
      </c>
      <c r="AA46" s="27">
        <f t="shared" si="84"/>
        <v>0.10662991833612945</v>
      </c>
      <c r="AB46" s="98">
        <f t="shared" si="84"/>
        <v>0.11309553499377989</v>
      </c>
      <c r="AC46" s="27">
        <f t="shared" si="84"/>
        <v>8.0765499573014266E-2</v>
      </c>
      <c r="AD46" s="27">
        <f t="shared" si="84"/>
        <v>8.1793145268876932E-2</v>
      </c>
      <c r="AE46" s="27">
        <f t="shared" si="84"/>
        <v>8.2859690371120287E-2</v>
      </c>
      <c r="AF46" s="27">
        <f t="shared" si="84"/>
        <v>8.3964457816882554E-2</v>
      </c>
      <c r="AG46" s="98">
        <f t="shared" si="84"/>
        <v>8.2382461888644176E-2</v>
      </c>
      <c r="AH46" s="27">
        <f t="shared" si="84"/>
        <v>0.105784433962264</v>
      </c>
      <c r="AI46" s="27">
        <f t="shared" si="84"/>
        <v>0.10700188813174338</v>
      </c>
      <c r="AJ46" s="27">
        <f t="shared" si="84"/>
        <v>0.10815077783522131</v>
      </c>
      <c r="AK46" s="27">
        <f t="shared" si="84"/>
        <v>0.10923233440694591</v>
      </c>
      <c r="AL46" s="98">
        <f t="shared" si="84"/>
        <v>0.10758270534440117</v>
      </c>
      <c r="AM46" s="27">
        <f t="shared" si="84"/>
        <v>8.3958854601056565E-2</v>
      </c>
      <c r="AN46" s="27">
        <f t="shared" si="84"/>
        <v>8.4655695504274986E-2</v>
      </c>
      <c r="AO46" s="27">
        <f t="shared" si="84"/>
        <v>8.5341603575663783E-2</v>
      </c>
      <c r="AP46" s="27">
        <f t="shared" si="84"/>
        <v>8.6016834102633499E-2</v>
      </c>
      <c r="AQ46" s="98">
        <f t="shared" si="84"/>
        <v>8.5018418774575499E-2</v>
      </c>
      <c r="AR46" s="27">
        <f t="shared" si="84"/>
        <v>6.550448833034106E-2</v>
      </c>
      <c r="AS46" s="27">
        <f t="shared" si="84"/>
        <v>6.5201139195443236E-2</v>
      </c>
      <c r="AT46" s="27">
        <f t="shared" si="84"/>
        <v>6.4902929756441852E-2</v>
      </c>
      <c r="AU46" s="27">
        <f t="shared" si="84"/>
        <v>6.4609730486524519E-2</v>
      </c>
      <c r="AV46" s="98">
        <f t="shared" si="84"/>
        <v>6.5043392514283038E-2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4"/>
      <c r="Y47" s="224"/>
      <c r="Z47" s="224"/>
      <c r="AA47" s="224"/>
      <c r="AB47" s="376">
        <f>AB59/W59-1</f>
        <v>0.11257334568432542</v>
      </c>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8"/>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06" t="s">
        <v>177</v>
      </c>
      <c r="C50" s="507"/>
      <c r="D50" s="67">
        <v>7876</v>
      </c>
      <c r="E50" s="67">
        <v>7943</v>
      </c>
      <c r="F50" s="117">
        <v>7996</v>
      </c>
      <c r="G50" s="67">
        <v>8093</v>
      </c>
      <c r="H50" s="68"/>
      <c r="I50" s="67">
        <v>8183</v>
      </c>
      <c r="J50" s="67">
        <v>8220</v>
      </c>
      <c r="K50" s="67">
        <v>8218</v>
      </c>
      <c r="L50" s="67">
        <v>6831</v>
      </c>
      <c r="M50" s="68"/>
      <c r="N50" s="67">
        <v>8279</v>
      </c>
      <c r="O50" s="67">
        <f>+N50+O51</f>
        <v>8300</v>
      </c>
      <c r="P50" s="67">
        <f t="shared" ref="P50" si="85">+O50+P51</f>
        <v>8315</v>
      </c>
      <c r="Q50" s="67">
        <v>6965</v>
      </c>
      <c r="R50" s="192"/>
      <c r="S50" s="67">
        <f>+Q50+S51</f>
        <v>6988</v>
      </c>
      <c r="T50" s="67">
        <f>+S50+T51</f>
        <v>6972</v>
      </c>
      <c r="U50" s="67">
        <f t="shared" ref="U50:V50" si="86">+T50+U51</f>
        <v>7000</v>
      </c>
      <c r="V50" s="67">
        <f t="shared" si="86"/>
        <v>7079</v>
      </c>
      <c r="W50" s="253">
        <f>V50</f>
        <v>7079</v>
      </c>
      <c r="X50" s="67">
        <f>+V50+X51</f>
        <v>7147</v>
      </c>
      <c r="Y50" s="67">
        <f>+X50+Y51</f>
        <v>7215</v>
      </c>
      <c r="Z50" s="67">
        <f t="shared" ref="Z50:AA50" si="87">+Y50+Z51</f>
        <v>7283</v>
      </c>
      <c r="AA50" s="67">
        <f t="shared" si="87"/>
        <v>7352</v>
      </c>
      <c r="AB50" s="192">
        <f>AA50</f>
        <v>7352</v>
      </c>
      <c r="AC50" s="67">
        <f>+AA50+AC51</f>
        <v>7434</v>
      </c>
      <c r="AD50" s="67">
        <f>+AC50+AD51</f>
        <v>7516</v>
      </c>
      <c r="AE50" s="67">
        <f t="shared" ref="AE50:AF50" si="88">+AD50+AE51</f>
        <v>7598</v>
      </c>
      <c r="AF50" s="67">
        <f t="shared" si="88"/>
        <v>7681</v>
      </c>
      <c r="AG50" s="192">
        <f>AF50</f>
        <v>7681</v>
      </c>
      <c r="AH50" s="67">
        <f>+AF50+AH51</f>
        <v>7778</v>
      </c>
      <c r="AI50" s="67">
        <f>+AH50+AI51</f>
        <v>7875</v>
      </c>
      <c r="AJ50" s="67">
        <f t="shared" ref="AJ50:AK50" si="89">+AI50+AJ51</f>
        <v>7972</v>
      </c>
      <c r="AK50" s="67">
        <f t="shared" si="89"/>
        <v>8069</v>
      </c>
      <c r="AL50" s="192">
        <f>AK50</f>
        <v>8069</v>
      </c>
      <c r="AM50" s="67">
        <f>+AK50+AM51</f>
        <v>8097</v>
      </c>
      <c r="AN50" s="67">
        <f>+AM50+AN51</f>
        <v>8125</v>
      </c>
      <c r="AO50" s="67">
        <f t="shared" ref="AO50:AP50" si="90">+AN50+AO51</f>
        <v>8153</v>
      </c>
      <c r="AP50" s="67">
        <f t="shared" si="90"/>
        <v>8181</v>
      </c>
      <c r="AQ50" s="192">
        <f>AP50</f>
        <v>8181</v>
      </c>
      <c r="AR50" s="67">
        <f>+AP50+AR51</f>
        <v>8209</v>
      </c>
      <c r="AS50" s="67">
        <f>+AR50+AS51</f>
        <v>8237</v>
      </c>
      <c r="AT50" s="67">
        <f t="shared" ref="AT50:AU50" si="91">+AS50+AT51</f>
        <v>8265</v>
      </c>
      <c r="AU50" s="67">
        <f t="shared" si="91"/>
        <v>8293</v>
      </c>
      <c r="AV50" s="192">
        <f>AU50</f>
        <v>8293</v>
      </c>
    </row>
    <row r="51" spans="2:48" outlineLevel="1" x14ac:dyDescent="0.3">
      <c r="B51" s="180" t="s">
        <v>47</v>
      </c>
      <c r="C51" s="201"/>
      <c r="D51" s="101">
        <f>+D50-7770</f>
        <v>106</v>
      </c>
      <c r="E51" s="101">
        <f>E50-D50</f>
        <v>67</v>
      </c>
      <c r="F51" s="101">
        <f t="shared" ref="F51:G51" si="92">F50-E50</f>
        <v>53</v>
      </c>
      <c r="G51" s="101">
        <f t="shared" si="92"/>
        <v>97</v>
      </c>
      <c r="H51" s="122">
        <f>+SUM(D51:G51)</f>
        <v>323</v>
      </c>
      <c r="I51" s="101">
        <f>I50-G50</f>
        <v>90</v>
      </c>
      <c r="J51" s="101">
        <f t="shared" ref="J51:K51" si="93">J50-I50</f>
        <v>37</v>
      </c>
      <c r="K51" s="101">
        <f t="shared" si="93"/>
        <v>-2</v>
      </c>
      <c r="L51" s="101">
        <v>32</v>
      </c>
      <c r="M51" s="122"/>
      <c r="N51" s="101">
        <v>34</v>
      </c>
      <c r="O51" s="101">
        <v>21</v>
      </c>
      <c r="P51" s="101">
        <v>15</v>
      </c>
      <c r="Q51" s="101">
        <v>73</v>
      </c>
      <c r="R51" s="26"/>
      <c r="S51" s="101">
        <v>23</v>
      </c>
      <c r="T51" s="101">
        <v>-16</v>
      </c>
      <c r="U51" s="101">
        <v>28</v>
      </c>
      <c r="V51" s="101">
        <v>79</v>
      </c>
      <c r="W51" s="122">
        <f>+SUM(S51:V51)</f>
        <v>114</v>
      </c>
      <c r="X51" s="33">
        <v>68</v>
      </c>
      <c r="Y51" s="33">
        <v>68</v>
      </c>
      <c r="Z51" s="33">
        <v>68</v>
      </c>
      <c r="AA51" s="33">
        <v>69</v>
      </c>
      <c r="AB51" s="26">
        <f>+SUM(X51:AA51)</f>
        <v>273</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4">AVERAGE(F50,E50)</f>
        <v>7969.5</v>
      </c>
      <c r="G52" s="16">
        <f t="shared" si="94"/>
        <v>8044.5</v>
      </c>
      <c r="H52" s="26"/>
      <c r="I52" s="16">
        <f>AVERAGE(I50,G50)</f>
        <v>8138</v>
      </c>
      <c r="J52" s="16">
        <f>AVERAGE(J50,I50)</f>
        <v>8201.5</v>
      </c>
      <c r="K52" s="16">
        <f t="shared" ref="K52:L52" si="95">AVERAGE(K50,J50)</f>
        <v>8219</v>
      </c>
      <c r="L52" s="16">
        <f t="shared" si="95"/>
        <v>7524.5</v>
      </c>
      <c r="M52" s="6"/>
      <c r="N52" s="16">
        <f>AVERAGE(N50,L50)</f>
        <v>7555</v>
      </c>
      <c r="O52" s="16">
        <f>AVERAGE(O50,N50)</f>
        <v>8289.5</v>
      </c>
      <c r="P52" s="16">
        <f t="shared" ref="P52:Q52" si="96">AVERAGE(P50,O50)</f>
        <v>8307.5</v>
      </c>
      <c r="Q52" s="16">
        <f t="shared" si="96"/>
        <v>7640</v>
      </c>
      <c r="R52" s="6"/>
      <c r="S52" s="16">
        <f>AVERAGE(S50,Q50)</f>
        <v>6976.5</v>
      </c>
      <c r="T52" s="16">
        <f>AVERAGE(T50,S50)</f>
        <v>6980</v>
      </c>
      <c r="U52" s="16">
        <f t="shared" ref="U52:V52" si="97">AVERAGE(U50,T50)</f>
        <v>6986</v>
      </c>
      <c r="V52" s="16">
        <f t="shared" si="97"/>
        <v>7039.5</v>
      </c>
      <c r="W52" s="130"/>
      <c r="X52" s="16">
        <f>AVERAGE(X50,V50)</f>
        <v>7113</v>
      </c>
      <c r="Y52" s="16">
        <f>AVERAGE(Y50,X50)</f>
        <v>7181</v>
      </c>
      <c r="Z52" s="16">
        <f t="shared" ref="Z52:AA52" si="98">AVERAGE(Z50,Y50)</f>
        <v>7249</v>
      </c>
      <c r="AA52" s="16">
        <f t="shared" si="98"/>
        <v>7317.5</v>
      </c>
      <c r="AB52" s="6"/>
      <c r="AC52" s="16">
        <f>AVERAGE(AC50,AA50)</f>
        <v>7393</v>
      </c>
      <c r="AD52" s="16">
        <f>AVERAGE(AD50,AC50)</f>
        <v>7475</v>
      </c>
      <c r="AE52" s="16">
        <f t="shared" ref="AE52:AF52" si="99">AVERAGE(AE50,AD50)</f>
        <v>7557</v>
      </c>
      <c r="AF52" s="16">
        <f t="shared" si="99"/>
        <v>7639.5</v>
      </c>
      <c r="AG52" s="6"/>
      <c r="AH52" s="16">
        <f>AVERAGE(AH50,AF50)</f>
        <v>7729.5</v>
      </c>
      <c r="AI52" s="16">
        <f>AVERAGE(AI50,AH50)</f>
        <v>7826.5</v>
      </c>
      <c r="AJ52" s="16">
        <f t="shared" ref="AJ52:AK52" si="100">AVERAGE(AJ50,AI50)</f>
        <v>7923.5</v>
      </c>
      <c r="AK52" s="16">
        <f t="shared" si="100"/>
        <v>8020.5</v>
      </c>
      <c r="AL52" s="6"/>
      <c r="AM52" s="16">
        <f>AVERAGE(AM50,AK50)</f>
        <v>8083</v>
      </c>
      <c r="AN52" s="16">
        <f>AVERAGE(AN50,AM50)</f>
        <v>8111</v>
      </c>
      <c r="AO52" s="16">
        <f t="shared" ref="AO52:AP52" si="101">AVERAGE(AO50,AN50)</f>
        <v>8139</v>
      </c>
      <c r="AP52" s="16">
        <f t="shared" si="101"/>
        <v>8167</v>
      </c>
      <c r="AQ52" s="6"/>
      <c r="AR52" s="16">
        <f>AVERAGE(AR50,AP50)</f>
        <v>8195</v>
      </c>
      <c r="AS52" s="16">
        <f>AVERAGE(AS50,AR50)</f>
        <v>8223</v>
      </c>
      <c r="AT52" s="16">
        <f t="shared" ref="AT52:AU52" si="102">AVERAGE(AT50,AS50)</f>
        <v>8251</v>
      </c>
      <c r="AU52" s="16">
        <f t="shared" si="102"/>
        <v>8279</v>
      </c>
      <c r="AV52" s="6"/>
    </row>
    <row r="53" spans="2:48" outlineLevel="1" x14ac:dyDescent="0.3">
      <c r="B53" s="180" t="s">
        <v>202</v>
      </c>
      <c r="C53" s="201"/>
      <c r="D53" s="43">
        <f>+D54/D52</f>
        <v>6.5780391154288645E-2</v>
      </c>
      <c r="E53" s="43">
        <f>+E54/E52</f>
        <v>5.8549845122953414E-2</v>
      </c>
      <c r="F53" s="43">
        <f>+F54/F52</f>
        <v>6.2274923144488362E-2</v>
      </c>
      <c r="G53" s="114">
        <f t="shared" ref="G53:S53" si="103">+G54/G52</f>
        <v>6.016533034992852E-2</v>
      </c>
      <c r="H53" s="127"/>
      <c r="I53" s="114">
        <f t="shared" si="103"/>
        <v>6.6023593020398133E-2</v>
      </c>
      <c r="J53" s="114">
        <f t="shared" si="103"/>
        <v>5.6599402548314331E-2</v>
      </c>
      <c r="K53" s="114">
        <f t="shared" si="103"/>
        <v>2.8653120817617714E-2</v>
      </c>
      <c r="L53" s="114">
        <f t="shared" si="103"/>
        <v>4.4773739118878331E-2</v>
      </c>
      <c r="M53" s="6"/>
      <c r="N53" s="114">
        <f t="shared" si="103"/>
        <v>5.5089344804765052E-2</v>
      </c>
      <c r="O53" s="114">
        <f t="shared" si="103"/>
        <v>4.7554134748778572E-2</v>
      </c>
      <c r="P53" s="114">
        <f t="shared" si="103"/>
        <v>5.6394823954258204E-2</v>
      </c>
      <c r="Q53" s="114">
        <f t="shared" si="103"/>
        <v>6.6295811518324602E-2</v>
      </c>
      <c r="R53" s="6"/>
      <c r="S53" s="114">
        <f t="shared" si="103"/>
        <v>7.3948254855586606E-2</v>
      </c>
      <c r="T53" s="114">
        <f>+T54/T52</f>
        <v>7.2636103151862461E-2</v>
      </c>
      <c r="U53" s="114">
        <f>+U54/U52</f>
        <v>7.7898654451760668E-2</v>
      </c>
      <c r="V53" s="114">
        <f>+V54/V52</f>
        <v>8.2875204204844094E-2</v>
      </c>
      <c r="W53" s="130"/>
      <c r="X53" s="62">
        <f>S53*1.1</f>
        <v>8.1343080341145277E-2</v>
      </c>
      <c r="Y53" s="62">
        <f>T53*1.1</f>
        <v>7.9899713467048716E-2</v>
      </c>
      <c r="Z53" s="62">
        <f>U53*1.05</f>
        <v>8.1793587174348703E-2</v>
      </c>
      <c r="AA53" s="62">
        <f>V53*1.05</f>
        <v>8.7018964415086303E-2</v>
      </c>
      <c r="AB53" s="378"/>
      <c r="AC53" s="62">
        <f>X53*1.05</f>
        <v>8.5410234358202539E-2</v>
      </c>
      <c r="AD53" s="62">
        <f>Y53*1.05</f>
        <v>8.3894699140401152E-2</v>
      </c>
      <c r="AE53" s="62">
        <f>Z53*1.05</f>
        <v>8.5883266533066147E-2</v>
      </c>
      <c r="AF53" s="62">
        <f>AA53*1.05</f>
        <v>9.1369912635840628E-2</v>
      </c>
      <c r="AG53" s="378"/>
      <c r="AH53" s="62">
        <f>AC53*1.07</f>
        <v>9.1388950763276716E-2</v>
      </c>
      <c r="AI53" s="62">
        <f>AD53*1.07</f>
        <v>8.9767328080229233E-2</v>
      </c>
      <c r="AJ53" s="62">
        <f>AE53*1.07</f>
        <v>9.1895095190380777E-2</v>
      </c>
      <c r="AK53" s="62">
        <f>AF53*1.07</f>
        <v>9.7765806520349482E-2</v>
      </c>
      <c r="AL53" s="379"/>
      <c r="AM53" s="485">
        <f>AH53*1.05</f>
        <v>9.5958398301440553E-2</v>
      </c>
      <c r="AN53" s="485">
        <f>AI53*1.05</f>
        <v>9.4255694484240704E-2</v>
      </c>
      <c r="AO53" s="485">
        <f>AJ53*1.05</f>
        <v>9.6489849949899814E-2</v>
      </c>
      <c r="AP53" s="485">
        <f>AK53*1.05</f>
        <v>0.10265409684636696</v>
      </c>
      <c r="AQ53" s="97"/>
      <c r="AR53" s="485">
        <f>AM53*1.03</f>
        <v>9.8837150250483771E-2</v>
      </c>
      <c r="AS53" s="485">
        <f>AN53*1.03</f>
        <v>9.7083365318767934E-2</v>
      </c>
      <c r="AT53" s="485">
        <f>AO53*1.03</f>
        <v>9.938454544839681E-2</v>
      </c>
      <c r="AU53" s="485">
        <f>AP53*1.03</f>
        <v>0.10573371975175798</v>
      </c>
      <c r="AV53" s="6"/>
    </row>
    <row r="54" spans="2:48" s="8" customFormat="1" outlineLevel="1" x14ac:dyDescent="0.3">
      <c r="B54" s="498" t="s">
        <v>178</v>
      </c>
      <c r="C54" s="499"/>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72">
        <f>+X52*X53</f>
        <v>578.59333046656639</v>
      </c>
      <c r="Y54" s="72">
        <f>+Y52*Y53</f>
        <v>573.75984240687683</v>
      </c>
      <c r="Z54" s="72">
        <f t="shared" ref="Z54:AA54" si="104">+Z52*Z53</f>
        <v>592.92171342685378</v>
      </c>
      <c r="AA54" s="72">
        <f t="shared" si="104"/>
        <v>636.76127210739401</v>
      </c>
      <c r="AB54" s="73">
        <f>SUM(X54:AA54)</f>
        <v>2382.0361584076909</v>
      </c>
      <c r="AC54" s="72">
        <f>+AC52*AC53</f>
        <v>631.43786261019136</v>
      </c>
      <c r="AD54" s="72">
        <f>+AD52*AD53</f>
        <v>627.11287607449856</v>
      </c>
      <c r="AE54" s="72">
        <f t="shared" ref="AE54:AF54" si="105">+AE52*AE53</f>
        <v>649.01984519038092</v>
      </c>
      <c r="AF54" s="72">
        <f t="shared" si="105"/>
        <v>698.02044758150453</v>
      </c>
      <c r="AG54" s="73">
        <f>SUM(AC54:AF54)</f>
        <v>2605.5910314565754</v>
      </c>
      <c r="AH54" s="72">
        <f>+AH52*AH53</f>
        <v>706.39089492474739</v>
      </c>
      <c r="AI54" s="72">
        <f>+AI52*AI53</f>
        <v>702.5639932199141</v>
      </c>
      <c r="AJ54" s="72">
        <f t="shared" ref="AJ54:AK54" si="106">+AJ52*AJ53</f>
        <v>728.1307867409821</v>
      </c>
      <c r="AK54" s="72">
        <f t="shared" si="106"/>
        <v>784.13065119646308</v>
      </c>
      <c r="AL54" s="73">
        <f>SUM(AH54:AK54)</f>
        <v>2921.2163260821067</v>
      </c>
      <c r="AM54" s="72">
        <f>+AM52*AM53</f>
        <v>775.63173347054396</v>
      </c>
      <c r="AN54" s="72">
        <f>+AN52*AN53</f>
        <v>764.50793796167636</v>
      </c>
      <c r="AO54" s="72">
        <f t="shared" ref="AO54:AP54" si="107">+AO52*AO53</f>
        <v>785.33088874223461</v>
      </c>
      <c r="AP54" s="72">
        <f t="shared" si="107"/>
        <v>838.37600894427896</v>
      </c>
      <c r="AQ54" s="73">
        <f>SUM(AM54:AP54)</f>
        <v>3163.8465691187339</v>
      </c>
      <c r="AR54" s="72">
        <f>+AR52*AR53</f>
        <v>809.97044630271455</v>
      </c>
      <c r="AS54" s="72">
        <f>+AS52*AS53</f>
        <v>798.31651301622867</v>
      </c>
      <c r="AT54" s="72">
        <f t="shared" ref="AT54:AU54" si="108">+AT52*AT53</f>
        <v>820.02188449472203</v>
      </c>
      <c r="AU54" s="72">
        <f t="shared" si="108"/>
        <v>875.36946582480437</v>
      </c>
      <c r="AV54" s="73">
        <f>SUM(AR54:AU54)</f>
        <v>3303.6783096384697</v>
      </c>
    </row>
    <row r="55" spans="2:48" s="8" customFormat="1" outlineLevel="1" x14ac:dyDescent="0.3">
      <c r="B55" s="500" t="s">
        <v>179</v>
      </c>
      <c r="C55" s="501"/>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50">
        <f>+S55*(1+X56)</f>
        <v>1.9549999999999998</v>
      </c>
      <c r="Y55" s="50">
        <f>+T55*(1+Y56)</f>
        <v>1.968</v>
      </c>
      <c r="Z55" s="50">
        <f>+U55*(1+Z56)</f>
        <v>1.95</v>
      </c>
      <c r="AA55" s="50">
        <f t="shared" ref="AA55" si="109">+V55*(1+AA56)</f>
        <v>0.5</v>
      </c>
      <c r="AB55" s="191">
        <f>SUM(X55:AA55)</f>
        <v>6.3730000000000002</v>
      </c>
      <c r="AC55" s="50">
        <f>+X55*(1+AC56)</f>
        <v>1.9549999999999998</v>
      </c>
      <c r="AD55" s="50">
        <f>+Y55*(1+AD56)</f>
        <v>1.968</v>
      </c>
      <c r="AE55" s="50">
        <f>+Z55*(1+AE56)</f>
        <v>1.95</v>
      </c>
      <c r="AF55" s="50">
        <f t="shared" ref="AF55" si="110">+AA55*(1+AF56)</f>
        <v>0.5</v>
      </c>
      <c r="AG55" s="191">
        <f>SUM(AC55:AF55)</f>
        <v>6.3730000000000002</v>
      </c>
      <c r="AH55" s="50">
        <f>+AC55*(1+AH56)</f>
        <v>1.9549999999999998</v>
      </c>
      <c r="AI55" s="50">
        <f>+AD55*(1+AI56)</f>
        <v>1.968</v>
      </c>
      <c r="AJ55" s="50">
        <f>+AE55*(1+AJ56)</f>
        <v>1.95</v>
      </c>
      <c r="AK55" s="50">
        <f t="shared" ref="AK55" si="111">+AF55*(1+AK56)</f>
        <v>0.5</v>
      </c>
      <c r="AL55" s="191">
        <f>SUM(AH55:AK55)</f>
        <v>6.3730000000000002</v>
      </c>
      <c r="AM55" s="50">
        <f>+AH55*(1+AM56)</f>
        <v>1.9549999999999998</v>
      </c>
      <c r="AN55" s="50">
        <f>+AI55*(1+AN56)</f>
        <v>1.968</v>
      </c>
      <c r="AO55" s="50">
        <f>+AJ55*(1+AO56)</f>
        <v>1.95</v>
      </c>
      <c r="AP55" s="50">
        <f t="shared" ref="AP55" si="112">+AK55*(1+AP56)</f>
        <v>0.5</v>
      </c>
      <c r="AQ55" s="191">
        <f>SUM(AM55:AP55)</f>
        <v>6.3730000000000002</v>
      </c>
      <c r="AR55" s="50">
        <f>+AM55*(1+AR56)</f>
        <v>1.9549999999999998</v>
      </c>
      <c r="AS55" s="50">
        <f>+AN55*(1+AS56)</f>
        <v>1.968</v>
      </c>
      <c r="AT55" s="50">
        <f>+AO55*(1+AT56)</f>
        <v>1.95</v>
      </c>
      <c r="AU55" s="50">
        <f t="shared" ref="AU55" si="113">+AP55*(1+AU56)</f>
        <v>0.5</v>
      </c>
      <c r="AV55" s="191">
        <f>SUM(AR55:AU55)</f>
        <v>6.3730000000000002</v>
      </c>
    </row>
    <row r="56" spans="2:48" outlineLevel="1" x14ac:dyDescent="0.3">
      <c r="B56" s="69" t="s">
        <v>50</v>
      </c>
      <c r="C56" s="70"/>
      <c r="D56" s="120"/>
      <c r="E56" s="120"/>
      <c r="F56" s="120"/>
      <c r="G56" s="120"/>
      <c r="H56" s="155"/>
      <c r="I56" s="120">
        <f>I55/D55-1</f>
        <v>-0.54385964912280704</v>
      </c>
      <c r="J56" s="120">
        <f t="shared" ref="J56" si="114">J55/E55-1</f>
        <v>0.57142857142857162</v>
      </c>
      <c r="K56" s="120">
        <f>K55/F55-1</f>
        <v>-0.57692307692307687</v>
      </c>
      <c r="L56" s="120">
        <f>L55/G55-1</f>
        <v>-0.46875</v>
      </c>
      <c r="M56" s="58"/>
      <c r="N56" s="120">
        <f>N55/I55-1</f>
        <v>-0.15384615384615385</v>
      </c>
      <c r="O56" s="120">
        <f t="shared" ref="O56" si="115">O55/J55-1</f>
        <v>-9.0909090909090939E-2</v>
      </c>
      <c r="P56" s="120">
        <f>P55/K55-1</f>
        <v>0.81818181818181812</v>
      </c>
      <c r="Q56" s="120">
        <f>Q55/L55-1</f>
        <v>0.29411764705882359</v>
      </c>
      <c r="R56" s="58"/>
      <c r="S56" s="120">
        <f>S55/N55-1</f>
        <v>4.5454545454545192E-2</v>
      </c>
      <c r="T56" s="120">
        <f t="shared" ref="T56:U56" si="116">T55/O55-1</f>
        <v>0.19999999999999996</v>
      </c>
      <c r="U56" s="120">
        <f t="shared" si="116"/>
        <v>-0.5</v>
      </c>
      <c r="V56" s="120">
        <f>V55/Q55-1</f>
        <v>-0.77272727272727271</v>
      </c>
      <c r="W56" s="155"/>
      <c r="X56" s="71">
        <v>-0.15</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7">+D50+D41</f>
        <v>17653</v>
      </c>
      <c r="E57" s="101">
        <f t="shared" si="117"/>
        <v>17719</v>
      </c>
      <c r="F57" s="101">
        <f t="shared" si="117"/>
        <v>17853</v>
      </c>
      <c r="G57" s="101">
        <f t="shared" si="117"/>
        <v>18067</v>
      </c>
      <c r="H57" s="122"/>
      <c r="I57" s="101">
        <f t="shared" ref="I57:L58" si="118">+I50+I41</f>
        <v>18203</v>
      </c>
      <c r="J57" s="101">
        <f t="shared" si="118"/>
        <v>18271</v>
      </c>
      <c r="K57" s="101">
        <f t="shared" si="118"/>
        <v>18235</v>
      </c>
      <c r="L57" s="16">
        <f t="shared" si="118"/>
        <v>16940</v>
      </c>
      <c r="M57" s="6"/>
      <c r="N57" s="16">
        <f t="shared" ref="N57:Q58" si="119">+N50+N41</f>
        <v>18308</v>
      </c>
      <c r="O57" s="16">
        <f t="shared" si="119"/>
        <v>18120</v>
      </c>
      <c r="P57" s="16">
        <f t="shared" si="119"/>
        <v>18175</v>
      </c>
      <c r="Q57" s="101">
        <f t="shared" si="119"/>
        <v>16826</v>
      </c>
      <c r="R57" s="6"/>
      <c r="S57" s="16">
        <f t="shared" ref="S57:V58" si="120">+S50+S41</f>
        <v>16888</v>
      </c>
      <c r="T57" s="16">
        <f t="shared" si="120"/>
        <v>16926</v>
      </c>
      <c r="U57" s="16">
        <f t="shared" si="120"/>
        <v>17050</v>
      </c>
      <c r="V57" s="16">
        <f t="shared" si="120"/>
        <v>17295</v>
      </c>
      <c r="W57" s="254">
        <f>W58/Q57</f>
        <v>2.7873529062165697E-2</v>
      </c>
      <c r="X57" s="16">
        <f t="shared" ref="X57:AA58" si="121">+X50+X41</f>
        <v>17423.5</v>
      </c>
      <c r="Y57" s="16">
        <f t="shared" si="121"/>
        <v>17552</v>
      </c>
      <c r="Z57" s="16">
        <f t="shared" si="121"/>
        <v>17680.5</v>
      </c>
      <c r="AA57" s="16">
        <f t="shared" si="121"/>
        <v>17810</v>
      </c>
      <c r="AB57" s="254">
        <f>AB58/V57</f>
        <v>2.9777392309916162E-2</v>
      </c>
      <c r="AC57" s="16">
        <f t="shared" ref="AC57:AF58" si="122">+AC50+AC41</f>
        <v>17964</v>
      </c>
      <c r="AD57" s="16">
        <f t="shared" si="122"/>
        <v>18118</v>
      </c>
      <c r="AE57" s="16">
        <f t="shared" si="122"/>
        <v>18273</v>
      </c>
      <c r="AF57" s="16">
        <f t="shared" si="122"/>
        <v>18429</v>
      </c>
      <c r="AG57" s="254">
        <f>AG58/AA57</f>
        <v>3.47557551937114E-2</v>
      </c>
      <c r="AH57" s="16">
        <f t="shared" ref="AH57:AK58" si="123">+AH50+AH41</f>
        <v>18612</v>
      </c>
      <c r="AI57" s="16">
        <f t="shared" si="123"/>
        <v>18795</v>
      </c>
      <c r="AJ57" s="16">
        <f t="shared" si="123"/>
        <v>18978</v>
      </c>
      <c r="AK57" s="16">
        <f t="shared" si="123"/>
        <v>19161</v>
      </c>
      <c r="AL57" s="254">
        <f>AL58/AF57</f>
        <v>3.9720006511476474E-2</v>
      </c>
      <c r="AM57" s="16">
        <f t="shared" ref="AM57:AP58" si="124">+AM50+AM41</f>
        <v>19285</v>
      </c>
      <c r="AN57" s="16">
        <f t="shared" si="124"/>
        <v>19409</v>
      </c>
      <c r="AO57" s="16">
        <f t="shared" si="124"/>
        <v>19533</v>
      </c>
      <c r="AP57" s="16">
        <f t="shared" si="124"/>
        <v>19657</v>
      </c>
      <c r="AQ57" s="254">
        <f>AQ58/AK57</f>
        <v>2.5885914096341528E-2</v>
      </c>
      <c r="AR57" s="16">
        <f t="shared" ref="AR57:AU58" si="125">+AR50+AR41</f>
        <v>19781</v>
      </c>
      <c r="AS57" s="16">
        <f t="shared" si="125"/>
        <v>19905</v>
      </c>
      <c r="AT57" s="16">
        <f t="shared" si="125"/>
        <v>20029</v>
      </c>
      <c r="AU57" s="16">
        <f t="shared" si="125"/>
        <v>20153</v>
      </c>
      <c r="AV57" s="254">
        <f>AV58/AP57</f>
        <v>2.5232741517016839E-2</v>
      </c>
    </row>
    <row r="58" spans="2:48" outlineLevel="1" x14ac:dyDescent="0.3">
      <c r="B58" s="180" t="s">
        <v>181</v>
      </c>
      <c r="C58" s="207"/>
      <c r="D58" s="101">
        <f t="shared" si="117"/>
        <v>193</v>
      </c>
      <c r="E58" s="101">
        <f t="shared" si="117"/>
        <v>66</v>
      </c>
      <c r="F58" s="101">
        <f t="shared" si="117"/>
        <v>134</v>
      </c>
      <c r="G58" s="101">
        <f t="shared" si="117"/>
        <v>214</v>
      </c>
      <c r="H58" s="122">
        <f>+H51+H42</f>
        <v>607</v>
      </c>
      <c r="I58" s="101">
        <f t="shared" si="118"/>
        <v>136</v>
      </c>
      <c r="J58" s="101">
        <f t="shared" si="118"/>
        <v>68</v>
      </c>
      <c r="K58" s="101">
        <f t="shared" si="118"/>
        <v>-36</v>
      </c>
      <c r="L58" s="16">
        <f t="shared" si="118"/>
        <v>124</v>
      </c>
      <c r="M58" s="122"/>
      <c r="N58" s="16">
        <f t="shared" si="119"/>
        <v>-46</v>
      </c>
      <c r="O58" s="16">
        <f t="shared" si="119"/>
        <v>-188</v>
      </c>
      <c r="P58" s="16">
        <f t="shared" si="119"/>
        <v>55</v>
      </c>
      <c r="Q58" s="101">
        <f t="shared" si="119"/>
        <v>74</v>
      </c>
      <c r="R58" s="122"/>
      <c r="S58" s="16">
        <f t="shared" si="120"/>
        <v>62</v>
      </c>
      <c r="T58" s="16">
        <f t="shared" si="120"/>
        <v>38</v>
      </c>
      <c r="U58" s="16">
        <f t="shared" si="120"/>
        <v>124</v>
      </c>
      <c r="V58" s="16">
        <f t="shared" si="120"/>
        <v>245</v>
      </c>
      <c r="W58" s="122">
        <f>+W51+W42</f>
        <v>469</v>
      </c>
      <c r="X58" s="16">
        <f t="shared" si="121"/>
        <v>128.5</v>
      </c>
      <c r="Y58" s="16">
        <f t="shared" si="121"/>
        <v>128.5</v>
      </c>
      <c r="Z58" s="16">
        <f t="shared" si="121"/>
        <v>128.5</v>
      </c>
      <c r="AA58" s="16">
        <f t="shared" si="121"/>
        <v>129.5</v>
      </c>
      <c r="AB58" s="122">
        <f>+AB51+AB42</f>
        <v>515</v>
      </c>
      <c r="AC58" s="16">
        <f t="shared" si="122"/>
        <v>154</v>
      </c>
      <c r="AD58" s="16">
        <f t="shared" si="122"/>
        <v>154</v>
      </c>
      <c r="AE58" s="16">
        <f t="shared" si="122"/>
        <v>155</v>
      </c>
      <c r="AF58" s="16">
        <f t="shared" si="122"/>
        <v>156</v>
      </c>
      <c r="AG58" s="122">
        <f>+AG51+AG42</f>
        <v>619</v>
      </c>
      <c r="AH58" s="16">
        <f t="shared" si="123"/>
        <v>183</v>
      </c>
      <c r="AI58" s="16">
        <f t="shared" si="123"/>
        <v>183</v>
      </c>
      <c r="AJ58" s="16">
        <f t="shared" si="123"/>
        <v>183</v>
      </c>
      <c r="AK58" s="16">
        <f t="shared" si="123"/>
        <v>183</v>
      </c>
      <c r="AL58" s="122">
        <f>+AL51+AL42</f>
        <v>732</v>
      </c>
      <c r="AM58" s="16">
        <f t="shared" si="124"/>
        <v>124</v>
      </c>
      <c r="AN58" s="16">
        <f t="shared" si="124"/>
        <v>124</v>
      </c>
      <c r="AO58" s="16">
        <f t="shared" si="124"/>
        <v>124</v>
      </c>
      <c r="AP58" s="16">
        <f t="shared" si="124"/>
        <v>124</v>
      </c>
      <c r="AQ58" s="122">
        <f>+AQ51+AQ42</f>
        <v>496</v>
      </c>
      <c r="AR58" s="16">
        <f t="shared" si="125"/>
        <v>124</v>
      </c>
      <c r="AS58" s="16">
        <f t="shared" si="125"/>
        <v>124</v>
      </c>
      <c r="AT58" s="16">
        <f t="shared" si="125"/>
        <v>124</v>
      </c>
      <c r="AU58" s="16">
        <f t="shared" si="125"/>
        <v>124</v>
      </c>
      <c r="AV58" s="122">
        <f>+AV51+AV42</f>
        <v>496</v>
      </c>
    </row>
    <row r="59" spans="2:48" outlineLevel="1" x14ac:dyDescent="0.3">
      <c r="B59" s="502" t="s">
        <v>182</v>
      </c>
      <c r="C59" s="503"/>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72">
        <f>+X55+X54+X45</f>
        <v>6395.0864383172575</v>
      </c>
      <c r="Y59" s="72">
        <f>+Y55+Y54+Y45</f>
        <v>6087.0412100288922</v>
      </c>
      <c r="Z59" s="72">
        <f>+Z55+Z54+Z45</f>
        <v>6739.9908651410105</v>
      </c>
      <c r="AA59" s="72">
        <f>+AA55+AA54+AA45</f>
        <v>6779.6106338320806</v>
      </c>
      <c r="AB59" s="97">
        <f>SUM(X59:AA59)</f>
        <v>26001.729147319238</v>
      </c>
      <c r="AC59" s="72">
        <f>+AC55+AC54+AC45</f>
        <v>6917.5450455277723</v>
      </c>
      <c r="AD59" s="72">
        <f>+AD55+AD54+AD45</f>
        <v>6591.1818985967257</v>
      </c>
      <c r="AE59" s="72">
        <f>+AE55+AE54+AE45</f>
        <v>7305.2716671092148</v>
      </c>
      <c r="AF59" s="72">
        <f>+AF55+AF54+AF45</f>
        <v>7356.6088431852795</v>
      </c>
      <c r="AG59" s="97">
        <f>SUM(AC59:AF59)</f>
        <v>28170.607454418994</v>
      </c>
      <c r="AH59" s="72">
        <f>+AH55+AH54+AH45</f>
        <v>7657.2635594449912</v>
      </c>
      <c r="AI59" s="72">
        <f>+AI55+AI54+AI45</f>
        <v>7304.5890823842183</v>
      </c>
      <c r="AJ59" s="72">
        <f>+AJ55+AJ54+AJ45</f>
        <v>8104.0505266506671</v>
      </c>
      <c r="AK59" s="72">
        <f>+AK55+AK54+AK45</f>
        <v>8169.9975849398352</v>
      </c>
      <c r="AL59" s="97">
        <f>SUM(AH59:AK59)</f>
        <v>31235.900753419712</v>
      </c>
      <c r="AM59" s="72">
        <f>+AM55+AM54+AM45</f>
        <v>8309.9275658209554</v>
      </c>
      <c r="AN59" s="72">
        <f>+AN55+AN54+AN45</f>
        <v>7925.2654503771055</v>
      </c>
      <c r="AO59" s="72">
        <f>+AO55+AO54+AO45</f>
        <v>8790.5570309742325</v>
      </c>
      <c r="AP59" s="72">
        <f>+AP55+AP54+AP45</f>
        <v>8859.5088250145309</v>
      </c>
      <c r="AQ59" s="97">
        <f>SUM(AM59:AP59)</f>
        <v>33885.258872186823</v>
      </c>
      <c r="AR59" s="72">
        <f>+AR55+AR54+AR45</f>
        <v>8837.6684108059762</v>
      </c>
      <c r="AS59" s="72">
        <f>+AS55+AS54+AS45</f>
        <v>8425.8352569015351</v>
      </c>
      <c r="AT59" s="72">
        <f>+AT55+AT54+AT45</f>
        <v>9344.6840960074096</v>
      </c>
      <c r="AU59" s="72">
        <f>+AU55+AU54+AU45</f>
        <v>9414.7132064727284</v>
      </c>
      <c r="AV59" s="97">
        <f>SUM(AR59:AU59)</f>
        <v>36022.900970187649</v>
      </c>
    </row>
    <row r="60" spans="2:48" outlineLevel="1" x14ac:dyDescent="0.3">
      <c r="B60" s="504" t="s">
        <v>100</v>
      </c>
      <c r="C60" s="505"/>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48">
        <f t="shared" ref="X60:AA60" si="126">X61*X59</f>
        <v>1846.5742085290001</v>
      </c>
      <c r="Y60" s="48">
        <f t="shared" si="126"/>
        <v>1775.5842874035905</v>
      </c>
      <c r="Z60" s="48">
        <f t="shared" si="126"/>
        <v>1936.2708591571613</v>
      </c>
      <c r="AA60" s="48">
        <f t="shared" si="126"/>
        <v>1987.3383515727519</v>
      </c>
      <c r="AB60" s="76">
        <f>SUM(X60:AA60)</f>
        <v>7545.7677066625038</v>
      </c>
      <c r="AC60" s="48">
        <f t="shared" ref="AC60:AF60" si="127">AC61*AC59</f>
        <v>1924.7993364611202</v>
      </c>
      <c r="AD60" s="48">
        <f t="shared" si="127"/>
        <v>1853.4342497409239</v>
      </c>
      <c r="AE60" s="48">
        <f t="shared" si="127"/>
        <v>2021.959902430249</v>
      </c>
      <c r="AF60" s="48">
        <f t="shared" si="127"/>
        <v>2079.232089530849</v>
      </c>
      <c r="AG60" s="76">
        <f>SUM(AC60:AF60)</f>
        <v>7879.4255781631418</v>
      </c>
      <c r="AH60" s="48">
        <f t="shared" ref="AH60:AK60" si="128">AH61*AH59</f>
        <v>2119.1393078687647</v>
      </c>
      <c r="AI60" s="48">
        <f t="shared" si="128"/>
        <v>2043.0868059394327</v>
      </c>
      <c r="AJ60" s="48">
        <f t="shared" si="128"/>
        <v>2230.8905840532107</v>
      </c>
      <c r="AK60" s="48">
        <f t="shared" si="128"/>
        <v>2296.8688828583986</v>
      </c>
      <c r="AL60" s="76">
        <f>SUM(AH60:AK60)</f>
        <v>8689.9855807198073</v>
      </c>
      <c r="AM60" s="48">
        <f t="shared" ref="AM60:AP60" si="129">AM61*AM59</f>
        <v>2299.7633571789679</v>
      </c>
      <c r="AN60" s="48">
        <f t="shared" si="129"/>
        <v>2216.6894116305348</v>
      </c>
      <c r="AO60" s="48">
        <f t="shared" si="129"/>
        <v>2419.8727345655038</v>
      </c>
      <c r="AP60" s="48">
        <f t="shared" si="129"/>
        <v>2490.714339389257</v>
      </c>
      <c r="AQ60" s="76">
        <f>SUM(AM60:AP60)</f>
        <v>9427.0398427642631</v>
      </c>
      <c r="AR60" s="48">
        <f t="shared" ref="AR60:AU60" si="130">AR61*AR59</f>
        <v>2445.8150583243696</v>
      </c>
      <c r="AS60" s="48">
        <f t="shared" si="130"/>
        <v>2356.6983232376342</v>
      </c>
      <c r="AT60" s="48">
        <f t="shared" si="130"/>
        <v>2572.4133496179702</v>
      </c>
      <c r="AU60" s="48">
        <f t="shared" si="130"/>
        <v>2646.8014929214291</v>
      </c>
      <c r="AV60" s="76">
        <f>SUM(AR60:AU60)</f>
        <v>10021.728224101404</v>
      </c>
    </row>
    <row r="61" spans="2:48" s="184" customFormat="1" outlineLevel="1" x14ac:dyDescent="0.3">
      <c r="B61" s="181" t="s">
        <v>151</v>
      </c>
      <c r="C61" s="185"/>
      <c r="D61" s="167">
        <f>D60/D59</f>
        <v>0.29296476964769647</v>
      </c>
      <c r="E61" s="167">
        <f t="shared" ref="E61:W61" si="131">E60/E59</f>
        <v>0.28290952921814511</v>
      </c>
      <c r="F61" s="167">
        <f t="shared" si="131"/>
        <v>0.28283950353549381</v>
      </c>
      <c r="G61" s="167">
        <f t="shared" si="131"/>
        <v>0.27494947757664362</v>
      </c>
      <c r="H61" s="186"/>
      <c r="I61" s="167">
        <f t="shared" si="131"/>
        <v>0.27707597437586068</v>
      </c>
      <c r="J61" s="167">
        <f t="shared" si="131"/>
        <v>0.28826789838337186</v>
      </c>
      <c r="K61" s="167">
        <f t="shared" si="131"/>
        <v>0.28715024059882377</v>
      </c>
      <c r="L61" s="187">
        <f t="shared" si="131"/>
        <v>0.27487600560051256</v>
      </c>
      <c r="M61" s="188"/>
      <c r="N61" s="187">
        <f t="shared" si="131"/>
        <v>0.27134716788569485</v>
      </c>
      <c r="O61" s="167">
        <f t="shared" si="131"/>
        <v>0.26317369120610556</v>
      </c>
      <c r="P61" s="167">
        <f t="shared" si="131"/>
        <v>0.26224469010980872</v>
      </c>
      <c r="Q61" s="167">
        <f t="shared" si="131"/>
        <v>0.27421481867083114</v>
      </c>
      <c r="R61" s="188"/>
      <c r="S61" s="187">
        <f t="shared" si="131"/>
        <v>0.28424890532595992</v>
      </c>
      <c r="T61" s="167">
        <f t="shared" si="131"/>
        <v>0.28719907449914611</v>
      </c>
      <c r="U61" s="167">
        <f t="shared" si="131"/>
        <v>0.28278093225934242</v>
      </c>
      <c r="V61" s="167">
        <f t="shared" si="131"/>
        <v>0.28863458528951486</v>
      </c>
      <c r="W61" s="188">
        <f t="shared" si="131"/>
        <v>0.28570695055368239</v>
      </c>
      <c r="X61" s="189">
        <f>S61+0.5%-0.05%</f>
        <v>0.28874890532595993</v>
      </c>
      <c r="Y61" s="189">
        <f t="shared" ref="Y61:AA61" si="132">T61+0.5%-0.05%</f>
        <v>0.29169907449914612</v>
      </c>
      <c r="Z61" s="189">
        <f t="shared" si="132"/>
        <v>0.28728093225934243</v>
      </c>
      <c r="AA61" s="189">
        <f t="shared" si="132"/>
        <v>0.29313458528951486</v>
      </c>
      <c r="AB61" s="188">
        <f t="shared" ref="AB61" si="133">AB60/AB59</f>
        <v>0.29020253475874958</v>
      </c>
      <c r="AC61" s="189">
        <f>X61-1%-0.05%</f>
        <v>0.27824890532595992</v>
      </c>
      <c r="AD61" s="189">
        <f t="shared" ref="AD61:AF61" si="134">Y61-1%-0.05%</f>
        <v>0.28119907449914611</v>
      </c>
      <c r="AE61" s="189">
        <f t="shared" si="134"/>
        <v>0.27678093225934242</v>
      </c>
      <c r="AF61" s="189">
        <f t="shared" si="134"/>
        <v>0.28263458528951485</v>
      </c>
      <c r="AG61" s="188">
        <f t="shared" ref="AG61" si="135">AG60/AG59</f>
        <v>0.27970378668306395</v>
      </c>
      <c r="AH61" s="189">
        <f>AC61-0.1%-0.05%</f>
        <v>0.27674890532595992</v>
      </c>
      <c r="AI61" s="189">
        <f t="shared" ref="AI61:AK61" si="136">AD61-0.1%-0.05%</f>
        <v>0.27969907449914611</v>
      </c>
      <c r="AJ61" s="189">
        <f t="shared" si="136"/>
        <v>0.27528093225934241</v>
      </c>
      <c r="AK61" s="189">
        <f t="shared" si="136"/>
        <v>0.28113458528951485</v>
      </c>
      <c r="AL61" s="188">
        <f t="shared" ref="AL61" si="137">AL60/AL59</f>
        <v>0.27820505799783685</v>
      </c>
      <c r="AM61" s="189">
        <f>AH61</f>
        <v>0.27674890532595992</v>
      </c>
      <c r="AN61" s="189">
        <f t="shared" ref="AN61:AP61" si="138">AI61</f>
        <v>0.27969907449914611</v>
      </c>
      <c r="AO61" s="189">
        <f t="shared" si="138"/>
        <v>0.27528093225934241</v>
      </c>
      <c r="AP61" s="189">
        <f t="shared" si="138"/>
        <v>0.28113458528951485</v>
      </c>
      <c r="AQ61" s="188">
        <f t="shared" ref="AQ61" si="139">AQ60/AQ59</f>
        <v>0.27820474615001456</v>
      </c>
      <c r="AR61" s="189">
        <f>AM61</f>
        <v>0.27674890532595992</v>
      </c>
      <c r="AS61" s="189">
        <f t="shared" ref="AS61:AU61" si="140">AN61</f>
        <v>0.27969907449914611</v>
      </c>
      <c r="AT61" s="189">
        <f t="shared" si="140"/>
        <v>0.27528093225934241</v>
      </c>
      <c r="AU61" s="189">
        <f t="shared" si="140"/>
        <v>0.28113458528951485</v>
      </c>
      <c r="AV61" s="188">
        <f t="shared" ref="AV61" si="141">AV60/AV59</f>
        <v>0.27820436317428543</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48">
        <f>X63*X45</f>
        <v>3039.7646586798019</v>
      </c>
      <c r="Y62" s="48">
        <f>Y63*Y45</f>
        <v>2956.0251297833415</v>
      </c>
      <c r="Z62" s="48">
        <f>Z63*Z45</f>
        <v>3003.6865802364032</v>
      </c>
      <c r="AA62" s="48">
        <f>AA63*AA45</f>
        <v>3195.0367243894311</v>
      </c>
      <c r="AB62" s="49">
        <f>SUM(X62:AA62)</f>
        <v>12194.513093088977</v>
      </c>
      <c r="AC62" s="48">
        <f>AC63*AC45</f>
        <v>3219.2891720018351</v>
      </c>
      <c r="AD62" s="48">
        <f>AD63*AD45</f>
        <v>3135.2056619056784</v>
      </c>
      <c r="AE62" s="48">
        <f>AE63*AE45</f>
        <v>3182.7009511165329</v>
      </c>
      <c r="AF62" s="48">
        <f>AF63*AF45</f>
        <v>3393.3963225039788</v>
      </c>
      <c r="AG62" s="49">
        <f>SUM(AC62:AF62)</f>
        <v>12930.592107528026</v>
      </c>
      <c r="AH62" s="48">
        <f>AH63*AH45</f>
        <v>3549.4164783261149</v>
      </c>
      <c r="AI62" s="48">
        <f>AI63*AI45</f>
        <v>3460.7785017771726</v>
      </c>
      <c r="AJ62" s="48">
        <f>AJ63*AJ45</f>
        <v>3515.8515799868196</v>
      </c>
      <c r="AK62" s="48">
        <f>AK63*AK45</f>
        <v>3752.9868739784192</v>
      </c>
      <c r="AL62" s="49">
        <f>SUM(AH62:AK62)</f>
        <v>14279.033434068528</v>
      </c>
      <c r="AM62" s="48">
        <f>AM63*AM45</f>
        <v>3847.4214203484917</v>
      </c>
      <c r="AN62" s="48">
        <f>AN63*AN45</f>
        <v>3753.7531128313622</v>
      </c>
      <c r="AO62" s="48">
        <f>AO63*AO45</f>
        <v>3815.8999917569258</v>
      </c>
      <c r="AP62" s="48">
        <f>AP63*AP45</f>
        <v>4075.8069233067822</v>
      </c>
      <c r="AQ62" s="49">
        <f>SUM(AM62:AP62)</f>
        <v>15492.881448243561</v>
      </c>
      <c r="AR62" s="48">
        <f>AR63*AR45</f>
        <v>4099.4447918796141</v>
      </c>
      <c r="AS62" s="48">
        <f>AS63*AS45</f>
        <v>3998.5020920464076</v>
      </c>
      <c r="AT62" s="48">
        <f>AT63*AT45</f>
        <v>4063.5630808795327</v>
      </c>
      <c r="AU62" s="48">
        <f>AU63*AU45</f>
        <v>4339.1437101367437</v>
      </c>
      <c r="AV62" s="49">
        <f>SUM(AR62:AU62)</f>
        <v>16500.653674942299</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S62/S45</f>
        <v>0.51828695268598601</v>
      </c>
      <c r="T63" s="187">
        <f>T62/T45</f>
        <v>0.53185584344549564</v>
      </c>
      <c r="U63" s="187">
        <f>U62/U45</f>
        <v>0.48429224406878041</v>
      </c>
      <c r="V63" s="187">
        <f>V62/V45</f>
        <v>0.51566525538239794</v>
      </c>
      <c r="W63" s="188">
        <f>W62/W45</f>
        <v>0.51192367340589506</v>
      </c>
      <c r="X63" s="189">
        <f>S63+0.5%-0.05%</f>
        <v>0.52278695268598607</v>
      </c>
      <c r="Y63" s="189">
        <f t="shared" ref="Y63:AA63" si="142">T63+0.5%-0.05%</f>
        <v>0.53635584344549569</v>
      </c>
      <c r="Z63" s="189">
        <f t="shared" si="142"/>
        <v>0.48879224406878041</v>
      </c>
      <c r="AA63" s="189">
        <f t="shared" si="142"/>
        <v>0.520165255382398</v>
      </c>
      <c r="AB63" s="188">
        <f>AB62/AB45</f>
        <v>0.51642518285507211</v>
      </c>
      <c r="AC63" s="189">
        <f>X63-1%-0.05%</f>
        <v>0.51228695268598612</v>
      </c>
      <c r="AD63" s="189">
        <f t="shared" ref="AD63:AF63" si="143">Y63-1%-0.05%</f>
        <v>0.52585584344549574</v>
      </c>
      <c r="AE63" s="189">
        <f t="shared" si="143"/>
        <v>0.4782922440687804</v>
      </c>
      <c r="AF63" s="189">
        <f t="shared" si="143"/>
        <v>0.50966525538239804</v>
      </c>
      <c r="AG63" s="188">
        <f>AG62/AG45</f>
        <v>0.50591856122969781</v>
      </c>
      <c r="AH63" s="189">
        <f>AC63-0.1%-0.05%</f>
        <v>0.51078695268598617</v>
      </c>
      <c r="AI63" s="189">
        <f t="shared" ref="AI63:AK63" si="144">AD63-0.1%-0.05%</f>
        <v>0.5243558434454958</v>
      </c>
      <c r="AJ63" s="189">
        <f t="shared" si="144"/>
        <v>0.4767922440687804</v>
      </c>
      <c r="AK63" s="189">
        <f t="shared" si="144"/>
        <v>0.5081652553823981</v>
      </c>
      <c r="AL63" s="188">
        <f>AL62/AL45</f>
        <v>0.50441134472892413</v>
      </c>
      <c r="AM63" s="189">
        <f>AH63</f>
        <v>0.51078695268598617</v>
      </c>
      <c r="AN63" s="189">
        <f t="shared" ref="AN63:AP63" si="145">AI63</f>
        <v>0.5243558434454958</v>
      </c>
      <c r="AO63" s="189">
        <f t="shared" si="145"/>
        <v>0.4767922440687804</v>
      </c>
      <c r="AP63" s="189">
        <f t="shared" si="145"/>
        <v>0.5081652553823981</v>
      </c>
      <c r="AQ63" s="188">
        <f>AQ62/AQ45</f>
        <v>0.50440702013674432</v>
      </c>
      <c r="AR63" s="189">
        <f>AM63</f>
        <v>0.51078695268598617</v>
      </c>
      <c r="AS63" s="189">
        <f t="shared" ref="AS63:AU63" si="146">AN63</f>
        <v>0.5243558434454958</v>
      </c>
      <c r="AT63" s="189">
        <f t="shared" si="146"/>
        <v>0.4767922440687804</v>
      </c>
      <c r="AU63" s="189">
        <f t="shared" si="146"/>
        <v>0.5081652553823981</v>
      </c>
      <c r="AV63" s="188">
        <f>AV62/AV45</f>
        <v>0.50440893551507515</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48">
        <f>X59*X65</f>
        <v>53.773034615580457</v>
      </c>
      <c r="Y64" s="48">
        <f>Y59*Y65</f>
        <v>52.646976695807851</v>
      </c>
      <c r="Z64" s="48">
        <f t="shared" ref="Z64:AA64" si="147">Z59*Z65</f>
        <v>61.632690797704342</v>
      </c>
      <c r="AA64" s="48">
        <f t="shared" si="147"/>
        <v>56.806205428235685</v>
      </c>
      <c r="AB64" s="49">
        <f>SUM(X64:AA64)</f>
        <v>224.85890753732832</v>
      </c>
      <c r="AC64" s="48">
        <f>AC59*AC65</f>
        <v>58.16612375389262</v>
      </c>
      <c r="AD64" s="48">
        <f>AD59*AD65</f>
        <v>57.007302536663019</v>
      </c>
      <c r="AE64" s="48">
        <f t="shared" ref="AE64:AF64" si="148">AE59*AE65</f>
        <v>66.801804165761666</v>
      </c>
      <c r="AF64" s="48">
        <f t="shared" si="148"/>
        <v>61.64086048182763</v>
      </c>
      <c r="AG64" s="49">
        <f>SUM(AC64:AF64)</f>
        <v>243.61609093814496</v>
      </c>
      <c r="AH64" s="48">
        <f>AH59*AH65</f>
        <v>64.386041129258516</v>
      </c>
      <c r="AI64" s="48">
        <f>AI59*AI65</f>
        <v>63.177579701470279</v>
      </c>
      <c r="AJ64" s="48">
        <f t="shared" ref="AJ64:AK64" si="149">AJ59*AJ65</f>
        <v>74.106100484690174</v>
      </c>
      <c r="AK64" s="48">
        <f t="shared" si="149"/>
        <v>68.456226503962498</v>
      </c>
      <c r="AL64" s="49">
        <f>SUM(AH64:AK64)</f>
        <v>270.12594781938145</v>
      </c>
      <c r="AM64" s="48">
        <f>AM59*AM65</f>
        <v>69.873961354529612</v>
      </c>
      <c r="AN64" s="48">
        <f>AN59*AN65</f>
        <v>68.545825644593293</v>
      </c>
      <c r="AO64" s="48">
        <f t="shared" ref="AO64:AP64" si="150">AO59*AO65</f>
        <v>80.383741502042199</v>
      </c>
      <c r="AP64" s="48">
        <f t="shared" si="150"/>
        <v>74.233625718203399</v>
      </c>
      <c r="AQ64" s="49">
        <f>SUM(AM64:AP64)</f>
        <v>293.03715421936852</v>
      </c>
      <c r="AR64" s="48">
        <f>AR59*AR65</f>
        <v>74.31146614811648</v>
      </c>
      <c r="AS64" s="48">
        <f>AS59*AS65</f>
        <v>72.875266834394537</v>
      </c>
      <c r="AT64" s="48">
        <f t="shared" ref="AT64:AU64" si="151">AT59*AT65</f>
        <v>85.450861435166132</v>
      </c>
      <c r="AU64" s="48">
        <f t="shared" si="151"/>
        <v>78.885670776717902</v>
      </c>
      <c r="AV64" s="49">
        <f>SUM(AR64:AU64)</f>
        <v>311.52326519439504</v>
      </c>
    </row>
    <row r="65" spans="2:48" s="184" customFormat="1" outlineLevel="1" x14ac:dyDescent="0.3">
      <c r="B65" s="181" t="s">
        <v>152</v>
      </c>
      <c r="C65" s="190"/>
      <c r="D65" s="187">
        <f>D64/D59</f>
        <v>9.6476964769647705E-3</v>
      </c>
      <c r="E65" s="187">
        <f t="shared" ref="E65:W65" si="152">E64/E59</f>
        <v>9.1328434667717479E-3</v>
      </c>
      <c r="F65" s="187">
        <f t="shared" si="152"/>
        <v>8.908162611352034E-3</v>
      </c>
      <c r="G65" s="187">
        <f t="shared" si="152"/>
        <v>7.352625016124179E-3</v>
      </c>
      <c r="H65" s="188"/>
      <c r="I65" s="187">
        <f t="shared" si="152"/>
        <v>8.4815103075295863E-3</v>
      </c>
      <c r="J65" s="187">
        <f t="shared" si="152"/>
        <v>9.6535796766743648E-3</v>
      </c>
      <c r="K65" s="187">
        <f t="shared" si="152"/>
        <v>1.4507217964712174E-2</v>
      </c>
      <c r="L65" s="187">
        <f t="shared" si="152"/>
        <v>9.017774508175324E-3</v>
      </c>
      <c r="M65" s="188"/>
      <c r="N65" s="187">
        <f t="shared" si="152"/>
        <v>9.1001871066507915E-3</v>
      </c>
      <c r="O65" s="187">
        <f t="shared" si="152"/>
        <v>8.982549414740814E-3</v>
      </c>
      <c r="P65" s="187">
        <f t="shared" si="152"/>
        <v>7.3514434383275002E-3</v>
      </c>
      <c r="Q65" s="167">
        <f t="shared" si="152"/>
        <v>8.2075307999305916E-3</v>
      </c>
      <c r="R65" s="188"/>
      <c r="S65" s="187">
        <f t="shared" si="152"/>
        <v>8.4084922282504412E-3</v>
      </c>
      <c r="T65" s="187">
        <f t="shared" si="152"/>
        <v>8.6490258368988378E-3</v>
      </c>
      <c r="U65" s="187">
        <f t="shared" si="152"/>
        <v>9.1443285355869534E-3</v>
      </c>
      <c r="V65" s="187">
        <f t="shared" si="152"/>
        <v>8.3789775691184148E-3</v>
      </c>
      <c r="W65" s="188">
        <f t="shared" si="152"/>
        <v>8.6475430879559105E-3</v>
      </c>
      <c r="X65" s="189">
        <f>S65</f>
        <v>8.4084922282504412E-3</v>
      </c>
      <c r="Y65" s="189">
        <f t="shared" ref="Y65:AA65" si="153">T65</f>
        <v>8.6490258368988378E-3</v>
      </c>
      <c r="Z65" s="189">
        <f t="shared" si="153"/>
        <v>9.1443285355869534E-3</v>
      </c>
      <c r="AA65" s="189">
        <f t="shared" si="153"/>
        <v>8.3789775691184148E-3</v>
      </c>
      <c r="AB65" s="188">
        <f t="shared" ref="AB65" si="154">AB64/AB59</f>
        <v>8.647844390014774E-3</v>
      </c>
      <c r="AC65" s="189">
        <f>X65</f>
        <v>8.4084922282504412E-3</v>
      </c>
      <c r="AD65" s="189">
        <f t="shared" ref="AD65:AF65" si="155">Y65</f>
        <v>8.6490258368988378E-3</v>
      </c>
      <c r="AE65" s="189">
        <f t="shared" si="155"/>
        <v>9.1443285355869534E-3</v>
      </c>
      <c r="AF65" s="189">
        <f t="shared" si="155"/>
        <v>8.3789775691184148E-3</v>
      </c>
      <c r="AG65" s="188">
        <f t="shared" ref="AG65" si="156">AG64/AG59</f>
        <v>8.6478820640387023E-3</v>
      </c>
      <c r="AH65" s="189">
        <f>AC65</f>
        <v>8.4084922282504412E-3</v>
      </c>
      <c r="AI65" s="189">
        <f t="shared" ref="AI65:AK65" si="157">AD65</f>
        <v>8.6490258368988378E-3</v>
      </c>
      <c r="AJ65" s="189">
        <f t="shared" si="157"/>
        <v>9.1443285355869534E-3</v>
      </c>
      <c r="AK65" s="189">
        <f t="shared" si="157"/>
        <v>8.3789775691184148E-3</v>
      </c>
      <c r="AL65" s="188">
        <f t="shared" ref="AL65" si="158">AL64/AL59</f>
        <v>8.6479320686728717E-3</v>
      </c>
      <c r="AM65" s="189">
        <f>AH65</f>
        <v>8.4084922282504412E-3</v>
      </c>
      <c r="AN65" s="189">
        <f t="shared" ref="AN65:AP65" si="159">AI65</f>
        <v>8.6490258368988378E-3</v>
      </c>
      <c r="AO65" s="189">
        <f t="shared" si="159"/>
        <v>9.1443285355869534E-3</v>
      </c>
      <c r="AP65" s="189">
        <f t="shared" si="159"/>
        <v>8.3789775691184148E-3</v>
      </c>
      <c r="AQ65" s="188">
        <f t="shared" ref="AQ65" si="160">AQ64/AQ59</f>
        <v>8.6479243179073007E-3</v>
      </c>
      <c r="AR65" s="189">
        <f>AM65</f>
        <v>8.4084922282504412E-3</v>
      </c>
      <c r="AS65" s="189">
        <f t="shared" ref="AS65:AU65" si="161">AN65</f>
        <v>8.6490258368988378E-3</v>
      </c>
      <c r="AT65" s="189">
        <f t="shared" si="161"/>
        <v>9.1443285355869534E-3</v>
      </c>
      <c r="AU65" s="189">
        <f t="shared" si="161"/>
        <v>8.3789775691184148E-3</v>
      </c>
      <c r="AV65" s="188">
        <f t="shared" ref="AV65" si="162">AV64/AV59</f>
        <v>8.6479227603631914E-3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63">SUM(S66:V66)</f>
        <v>808.40000000000009</v>
      </c>
      <c r="X66" s="358">
        <f>(V66/(V66+V99+V114+V127))*'CFS (After Changes)'!X7*0.95</f>
        <v>212.7175239465667</v>
      </c>
      <c r="Y66" s="358">
        <f>(X66/(X66+X99+X114+X127))*'CFS (After Changes)'!Y7*0.95</f>
        <v>218.7977636103052</v>
      </c>
      <c r="Z66" s="358">
        <f>(Y66/(Y66+Y99+Y114+Y127))*'CFS (After Changes)'!Z7*0.95</f>
        <v>223.25831988888623</v>
      </c>
      <c r="AA66" s="358">
        <f>(Z66/(Z66+Z99+Z114+Z127))*'CFS (After Changes)'!AA7*0.95</f>
        <v>229.03923577367519</v>
      </c>
      <c r="AB66" s="170">
        <f t="shared" ref="AB66:AB67" si="164">SUM(X66:AA66)</f>
        <v>883.81284321943326</v>
      </c>
      <c r="AC66" s="358">
        <f>(AA66/(AA66+AA99+AA114+AA127))*'CFS (After Changes)'!AC7*0.95</f>
        <v>239.80936363633859</v>
      </c>
      <c r="AD66" s="358">
        <f>(AC66/(AC66+AC99+AC114+AC127))*'CFS (After Changes)'!AD7*0.95</f>
        <v>247.04939893361129</v>
      </c>
      <c r="AE66" s="358">
        <f>(AD66/(AD66+AD99+AD114+AD127))*'CFS (After Changes)'!AE7*0.95</f>
        <v>252.78136673556327</v>
      </c>
      <c r="AF66" s="358">
        <f>(AE66/(AE66+AE99+AE114+AE127))*'CFS (After Changes)'!AF7*0.95</f>
        <v>260.76456356382056</v>
      </c>
      <c r="AG66" s="170">
        <f t="shared" ref="AG66:AG67" si="165">SUM(AC66:AF66)</f>
        <v>1000.4046928693338</v>
      </c>
      <c r="AH66" s="358">
        <f>(AF66/(AF66+AF99+AF114+AF127))*'CFS (After Changes)'!AH7*0.95</f>
        <v>269.62107078517539</v>
      </c>
      <c r="AI66" s="358">
        <f>(AH66/(AH66+AH99+AH114+AH127))*'CFS (After Changes)'!AI7*0.95</f>
        <v>275.53623016070804</v>
      </c>
      <c r="AJ66" s="358">
        <f>(AI66/(AI66+AI99+AI114+AI127))*'CFS (After Changes)'!AJ7*0.95</f>
        <v>279.99856271063408</v>
      </c>
      <c r="AK66" s="358">
        <f>(AJ66/(AJ66+AJ99+AJ114+AJ127))*'CFS (After Changes)'!AK7*0.95</f>
        <v>286.57624636586206</v>
      </c>
      <c r="AL66" s="170">
        <f t="shared" ref="AL66:AL67" si="166">SUM(AH66:AK66)</f>
        <v>1111.7321100223796</v>
      </c>
      <c r="AM66" s="358">
        <f>(AK66/(AK66+AK99+AK114+AK127))*'CFS (After Changes)'!AM7*0.95</f>
        <v>293.6249638958904</v>
      </c>
      <c r="AN66" s="358">
        <f>(AM66/(AM66+AM99+AM114+AM127))*'CFS (After Changes)'!AN7*0.95</f>
        <v>300.45184353111443</v>
      </c>
      <c r="AO66" s="358">
        <f>(AN66/(AN66+AN99+AN114+AN127))*'CFS (After Changes)'!AO7*0.95</f>
        <v>305.46873149620143</v>
      </c>
      <c r="AP66" s="358">
        <f>(AO66/(AO66+AO99+AO114+AO127))*'CFS (After Changes)'!AP7*0.95</f>
        <v>312.60753966448459</v>
      </c>
      <c r="AQ66" s="170">
        <f t="shared" ref="AQ66:AQ67" si="167">SUM(AM66:AP66)</f>
        <v>1212.153078587691</v>
      </c>
      <c r="AR66" s="358">
        <f>(AP66/(AP66+AP99+AP114+AP127))*'CFS (After Changes)'!AR7*0.95</f>
        <v>320.1325501859497</v>
      </c>
      <c r="AS66" s="358">
        <f>(AR66/(AR66+AR99+AR114+AR127))*'CFS (After Changes)'!AS7*0.95</f>
        <v>327.00227113562767</v>
      </c>
      <c r="AT66" s="358">
        <f>(AS66/(AS66+AS99+AS114+AS127))*'CFS (After Changes)'!AT7*0.95</f>
        <v>331.92044505240767</v>
      </c>
      <c r="AU66" s="358">
        <f>(AT66/(AT66+AT99+AT114+AT127))*'CFS (After Changes)'!AU7*0.95</f>
        <v>339.09837690408568</v>
      </c>
      <c r="AV66" s="170">
        <f t="shared" ref="AV66:AV67" si="168">SUM(AR66:AU66)</f>
        <v>1318.1536432780708</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63"/>
        <v>303.3</v>
      </c>
      <c r="X67" s="48">
        <f>X68*X59</f>
        <v>117.54372586409708</v>
      </c>
      <c r="Y67" s="48">
        <f>Y68*Y59</f>
        <v>94.914618702590275</v>
      </c>
      <c r="Z67" s="48">
        <f t="shared" ref="Z67:AA67" si="169">Z68*Z59</f>
        <v>101.95649062899662</v>
      </c>
      <c r="AA67" s="48">
        <f t="shared" si="169"/>
        <v>19.29200626372144</v>
      </c>
      <c r="AB67" s="49">
        <f t="shared" si="164"/>
        <v>333.70684145940538</v>
      </c>
      <c r="AC67" s="48">
        <f>AC68*AC59</f>
        <v>106.39404635502989</v>
      </c>
      <c r="AD67" s="48">
        <f>AD68*AD59</f>
        <v>115.95799733060828</v>
      </c>
      <c r="AE67" s="48">
        <f t="shared" ref="AE67:AF67" si="170">AE68*AE59</f>
        <v>103.20227606890874</v>
      </c>
      <c r="AF67" s="48">
        <f t="shared" si="170"/>
        <v>13.577298950020616</v>
      </c>
      <c r="AG67" s="49">
        <f t="shared" si="165"/>
        <v>339.13161870456753</v>
      </c>
      <c r="AH67" s="48">
        <f>AH68*AH59</f>
        <v>110.11388917384598</v>
      </c>
      <c r="AI67" s="48">
        <f>AI68*AI59</f>
        <v>121.20430876742823</v>
      </c>
      <c r="AJ67" s="48">
        <f t="shared" ref="AJ67:AK67" si="171">AJ68*AJ59</f>
        <v>106.38265138388127</v>
      </c>
      <c r="AK67" s="48">
        <f t="shared" si="171"/>
        <v>6.908485177458255</v>
      </c>
      <c r="AL67" s="49">
        <f t="shared" si="166"/>
        <v>344.60933450261371</v>
      </c>
      <c r="AM67" s="48">
        <f>AM68*AM59</f>
        <v>119.49940548890021</v>
      </c>
      <c r="AN67" s="48">
        <f>AN68*AN59</f>
        <v>131.50312904361292</v>
      </c>
      <c r="AO67" s="48">
        <f t="shared" ref="AO67:AP67" si="172">AO68*AO59</f>
        <v>115.39448835133963</v>
      </c>
      <c r="AP67" s="48">
        <f t="shared" si="172"/>
        <v>7.491530414892309</v>
      </c>
      <c r="AQ67" s="49">
        <f t="shared" si="167"/>
        <v>373.88855329874502</v>
      </c>
      <c r="AR67" s="48">
        <f>AR68*AR59</f>
        <v>127.08848694940625</v>
      </c>
      <c r="AS67" s="48">
        <f>AS68*AS59</f>
        <v>139.80903327797344</v>
      </c>
      <c r="AT67" s="48">
        <f t="shared" ref="AT67:AU67" si="173">AT68*AT59</f>
        <v>122.66856767598583</v>
      </c>
      <c r="AU67" s="48">
        <f t="shared" si="173"/>
        <v>7.9610068376068313</v>
      </c>
      <c r="AV67" s="49">
        <f t="shared" si="168"/>
        <v>397.52709474097236</v>
      </c>
    </row>
    <row r="68" spans="2:48" s="184" customFormat="1" outlineLevel="1" x14ac:dyDescent="0.3">
      <c r="B68" s="181" t="s">
        <v>153</v>
      </c>
      <c r="C68" s="190"/>
      <c r="D68" s="187">
        <f>D67/D59</f>
        <v>1.6281842818428184E-2</v>
      </c>
      <c r="E68" s="187">
        <f t="shared" ref="E68:Q68" si="174">E67/E59</f>
        <v>1.6434482279038501E-2</v>
      </c>
      <c r="F68" s="187">
        <f t="shared" si="174"/>
        <v>1.5381000192262503E-2</v>
      </c>
      <c r="G68" s="187">
        <f t="shared" si="174"/>
        <v>2.2788837769273769E-2</v>
      </c>
      <c r="H68" s="188"/>
      <c r="I68" s="187">
        <f t="shared" si="174"/>
        <v>1.4448502265062167E-2</v>
      </c>
      <c r="J68" s="187">
        <f t="shared" si="174"/>
        <v>1.5750577367205542E-2</v>
      </c>
      <c r="K68" s="187">
        <f t="shared" si="174"/>
        <v>2.2170736054179293E-2</v>
      </c>
      <c r="L68" s="187">
        <f t="shared" si="174"/>
        <v>1.5472602577185029E-2</v>
      </c>
      <c r="M68" s="188"/>
      <c r="N68" s="187">
        <f t="shared" si="174"/>
        <v>1.5053580540908319E-2</v>
      </c>
      <c r="O68" s="187">
        <f t="shared" si="174"/>
        <v>1.6657376838314114E-2</v>
      </c>
      <c r="P68" s="187">
        <f t="shared" si="174"/>
        <v>1.3554802510971613E-2</v>
      </c>
      <c r="Q68" s="167">
        <f t="shared" si="174"/>
        <v>1.3604025681068889E-2</v>
      </c>
      <c r="R68" s="188"/>
      <c r="S68" s="187">
        <f t="shared" ref="S68:W68" si="175">S67/S59</f>
        <v>1.3380318545784415E-2</v>
      </c>
      <c r="T68" s="187">
        <f t="shared" si="175"/>
        <v>1.3092898984519897E-2</v>
      </c>
      <c r="U68" s="187">
        <f t="shared" si="175"/>
        <v>1.2627096263039747E-2</v>
      </c>
      <c r="V68" s="187">
        <f t="shared" si="175"/>
        <v>1.2845592070944184E-2</v>
      </c>
      <c r="W68" s="188">
        <f t="shared" si="175"/>
        <v>1.2977732897461789E-2</v>
      </c>
      <c r="X68" s="189">
        <f>S68+0.5%</f>
        <v>1.8380318545784414E-2</v>
      </c>
      <c r="Y68" s="189">
        <f>T68+0.25%</f>
        <v>1.5592898984519897E-2</v>
      </c>
      <c r="Z68" s="189">
        <f>U68+0.25%</f>
        <v>1.5127096263039748E-2</v>
      </c>
      <c r="AA68" s="189">
        <f>V68-1%</f>
        <v>2.8455920709441838E-3</v>
      </c>
      <c r="AB68" s="188">
        <f t="shared" ref="AB68" si="176">AB67/AB59</f>
        <v>1.2834024982288932E-2</v>
      </c>
      <c r="AC68" s="189">
        <f>X68-0.3%</f>
        <v>1.5380318545784415E-2</v>
      </c>
      <c r="AD68" s="189">
        <f>Y68+0.2%</f>
        <v>1.7592898984519899E-2</v>
      </c>
      <c r="AE68" s="189">
        <f>Z68-0.1%</f>
        <v>1.4127096263039748E-2</v>
      </c>
      <c r="AF68" s="189">
        <f>AA68-0.1%</f>
        <v>1.8455920709441838E-3</v>
      </c>
      <c r="AG68" s="188">
        <f t="shared" ref="AG68" si="177">AG67/AG59</f>
        <v>1.2038491511171496E-2</v>
      </c>
      <c r="AH68" s="189">
        <f t="shared" ref="AH68:AK68" si="178">AC68-0.1%</f>
        <v>1.4380318545784414E-2</v>
      </c>
      <c r="AI68" s="189">
        <f t="shared" si="178"/>
        <v>1.6592898984519898E-2</v>
      </c>
      <c r="AJ68" s="189">
        <f t="shared" si="178"/>
        <v>1.3127096263039748E-2</v>
      </c>
      <c r="AK68" s="189">
        <f t="shared" si="178"/>
        <v>8.4559207094418373E-4</v>
      </c>
      <c r="AL68" s="188">
        <f t="shared" ref="AL68" si="179">AL67/AL59</f>
        <v>1.1032476291399595E-2</v>
      </c>
      <c r="AM68" s="189">
        <f>AH68</f>
        <v>1.4380318545784414E-2</v>
      </c>
      <c r="AN68" s="189">
        <f t="shared" ref="AN68:AP68" si="180">AI68</f>
        <v>1.6592898984519898E-2</v>
      </c>
      <c r="AO68" s="189">
        <f t="shared" si="180"/>
        <v>1.3127096263039748E-2</v>
      </c>
      <c r="AP68" s="189">
        <f t="shared" si="180"/>
        <v>8.4559207094418373E-4</v>
      </c>
      <c r="AQ68" s="188">
        <f t="shared" ref="AQ68" si="181">AQ67/AQ59</f>
        <v>1.1033958887816981E-2</v>
      </c>
      <c r="AR68" s="189">
        <f>AM68</f>
        <v>1.4380318545784414E-2</v>
      </c>
      <c r="AS68" s="189">
        <f t="shared" ref="AS68:AU68" si="182">AN68</f>
        <v>1.6592898984519898E-2</v>
      </c>
      <c r="AT68" s="189">
        <f t="shared" si="182"/>
        <v>1.3127096263039748E-2</v>
      </c>
      <c r="AU68" s="189">
        <f t="shared" si="182"/>
        <v>8.4559207094418373E-4</v>
      </c>
      <c r="AV68" s="188">
        <f t="shared" ref="AV68" si="183">AV67/AV59</f>
        <v>1.1035399260874729E-2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f>IFERROR((X163*(V69/V163)),0)</f>
        <v>34.757834757834758</v>
      </c>
      <c r="Y69" s="119">
        <f t="shared" ref="Y69:AA69" si="184">IFERROR((Y163*(X69/X163)),0)</f>
        <v>0</v>
      </c>
      <c r="Z69" s="119">
        <f t="shared" si="184"/>
        <v>0</v>
      </c>
      <c r="AA69" s="119">
        <f t="shared" si="184"/>
        <v>0</v>
      </c>
      <c r="AB69" s="173">
        <f>SUM(X69:AA69)</f>
        <v>34.757834757834758</v>
      </c>
      <c r="AC69" s="119">
        <f>IFERROR((AC163*(AA69/AA163)),0)</f>
        <v>0</v>
      </c>
      <c r="AD69" s="119">
        <f t="shared" ref="AD69:AF69" si="185">IFERROR((AD163*(AC69/AC163)),0)</f>
        <v>0</v>
      </c>
      <c r="AE69" s="119">
        <f t="shared" si="185"/>
        <v>0</v>
      </c>
      <c r="AF69" s="119">
        <f t="shared" si="185"/>
        <v>0</v>
      </c>
      <c r="AG69" s="173">
        <f>SUM(AC69:AF69)</f>
        <v>0</v>
      </c>
      <c r="AH69" s="119">
        <f>IFERROR((AH163*(AF69/AF163)),0)</f>
        <v>0</v>
      </c>
      <c r="AI69" s="119">
        <f t="shared" ref="AI69:AK69" si="186">IFERROR((AI163*(AH69/AH163)),0)</f>
        <v>0</v>
      </c>
      <c r="AJ69" s="119">
        <f t="shared" si="186"/>
        <v>0</v>
      </c>
      <c r="AK69" s="119">
        <f t="shared" si="186"/>
        <v>0</v>
      </c>
      <c r="AL69" s="173">
        <f>SUM(AH69:AK69)</f>
        <v>0</v>
      </c>
      <c r="AM69" s="119">
        <f>IFERROR((AM163*(AK69/AK163)),0)</f>
        <v>0</v>
      </c>
      <c r="AN69" s="119">
        <f t="shared" ref="AN69:AP69" si="187">IFERROR((AN163*(AM69/AM163)),0)</f>
        <v>0</v>
      </c>
      <c r="AO69" s="119">
        <f t="shared" si="187"/>
        <v>0</v>
      </c>
      <c r="AP69" s="119">
        <f t="shared" si="187"/>
        <v>0</v>
      </c>
      <c r="AQ69" s="173">
        <f>SUM(AM69:AP69)</f>
        <v>0</v>
      </c>
      <c r="AR69" s="119">
        <f>IFERROR((AR163*(AP69/AP163)),0)</f>
        <v>0</v>
      </c>
      <c r="AS69" s="119">
        <f t="shared" ref="AS69:AU69" si="188">IFERROR((AS163*(AR69/AR163)),0)</f>
        <v>0</v>
      </c>
      <c r="AT69" s="119">
        <f t="shared" si="188"/>
        <v>0</v>
      </c>
      <c r="AU69" s="119">
        <f t="shared" si="188"/>
        <v>0</v>
      </c>
      <c r="AV69" s="173">
        <f>SUM(AR69:AU69)</f>
        <v>0</v>
      </c>
    </row>
    <row r="70" spans="2:48" outlineLevel="1" x14ac:dyDescent="0.3">
      <c r="B70" s="46" t="s">
        <v>183</v>
      </c>
      <c r="C70" s="19"/>
      <c r="D70" s="103">
        <f>+D60+D62+D64+D66+D67+D69</f>
        <v>3643.7999999999997</v>
      </c>
      <c r="E70" s="103">
        <f t="shared" ref="E70:G70" si="189">+E60+E62+E64+E66+E67+E69</f>
        <v>3457.7</v>
      </c>
      <c r="F70" s="103">
        <f t="shared" si="189"/>
        <v>3662.3999999999996</v>
      </c>
      <c r="G70" s="103">
        <f t="shared" si="189"/>
        <v>3712.4999999999995</v>
      </c>
      <c r="H70" s="166">
        <f>+H60+H62+H64+H66+H67+H69</f>
        <v>0</v>
      </c>
      <c r="I70" s="103">
        <f t="shared" ref="I70:L70" si="190">+I60+I62+I64+I66+I67+I69</f>
        <v>3912.1</v>
      </c>
      <c r="J70" s="103">
        <f t="shared" si="190"/>
        <v>3708.8</v>
      </c>
      <c r="K70" s="103">
        <f t="shared" si="190"/>
        <v>3210.3999999999996</v>
      </c>
      <c r="L70" s="50">
        <f t="shared" si="190"/>
        <v>3707.8999999999996</v>
      </c>
      <c r="M70" s="191"/>
      <c r="N70" s="50">
        <f t="shared" ref="N70:Q70" si="191">+N60+N62+N64+N66+N67+N69</f>
        <v>3889.7000000000003</v>
      </c>
      <c r="O70" s="50">
        <f t="shared" si="191"/>
        <v>3759.2999999999997</v>
      </c>
      <c r="P70" s="50">
        <f t="shared" si="191"/>
        <v>4084.6</v>
      </c>
      <c r="Q70" s="103">
        <f t="shared" si="191"/>
        <v>4507.2</v>
      </c>
      <c r="R70" s="191"/>
      <c r="S70" s="50">
        <f>+S60+S62+S64+S66+S67+S69</f>
        <v>4649.2</v>
      </c>
      <c r="T70" s="50">
        <f t="shared" ref="T70:AK70" si="192">+T60+T62+T64+T66+T67+T69</f>
        <v>4514.2</v>
      </c>
      <c r="U70" s="50">
        <f t="shared" si="192"/>
        <v>4728.2999999999993</v>
      </c>
      <c r="V70" s="50">
        <f>+V60+V62+V64+V66+V67+V69</f>
        <v>4992.5999999999985</v>
      </c>
      <c r="W70" s="191">
        <f>+W60+W62+W64+W66+W67+W69</f>
        <v>18884.3</v>
      </c>
      <c r="X70" s="50">
        <f t="shared" si="192"/>
        <v>5305.1309863928809</v>
      </c>
      <c r="Y70" s="50">
        <f t="shared" si="192"/>
        <v>5097.9687761956347</v>
      </c>
      <c r="Z70" s="50">
        <f t="shared" si="192"/>
        <v>5326.8049407091521</v>
      </c>
      <c r="AA70" s="50">
        <f t="shared" si="192"/>
        <v>5487.5125234278157</v>
      </c>
      <c r="AB70" s="191">
        <f>+AB60+AB62+AB64+AB66+AB67+AB69</f>
        <v>21217.417226725483</v>
      </c>
      <c r="AC70" s="50">
        <f t="shared" si="192"/>
        <v>5548.4580422082163</v>
      </c>
      <c r="AD70" s="50">
        <f t="shared" si="192"/>
        <v>5408.6546104474837</v>
      </c>
      <c r="AE70" s="50">
        <f t="shared" si="192"/>
        <v>5627.4463005170155</v>
      </c>
      <c r="AF70" s="50">
        <f t="shared" si="192"/>
        <v>5808.6111350304982</v>
      </c>
      <c r="AG70" s="191">
        <f>+AG60+AG62+AG64+AG66+AG67+AG69</f>
        <v>22393.170088203213</v>
      </c>
      <c r="AH70" s="50">
        <f t="shared" si="192"/>
        <v>6112.6767872831597</v>
      </c>
      <c r="AI70" s="50">
        <f t="shared" si="192"/>
        <v>5963.7834263462128</v>
      </c>
      <c r="AJ70" s="50">
        <f t="shared" si="192"/>
        <v>6207.229478619236</v>
      </c>
      <c r="AK70" s="50">
        <f t="shared" si="192"/>
        <v>6411.7967148840999</v>
      </c>
      <c r="AL70" s="191">
        <f>+AL60+AL62+AL64+AL66+AL67+AL69</f>
        <v>24695.486407132707</v>
      </c>
      <c r="AM70" s="50">
        <f t="shared" ref="AM70:AP70" si="193">+AM60+AM62+AM64+AM66+AM67+AM69</f>
        <v>6630.1831082667804</v>
      </c>
      <c r="AN70" s="50">
        <f t="shared" si="193"/>
        <v>6470.943322681218</v>
      </c>
      <c r="AO70" s="50">
        <f t="shared" si="193"/>
        <v>6737.0196876720129</v>
      </c>
      <c r="AP70" s="50">
        <f t="shared" si="193"/>
        <v>6960.8539584936198</v>
      </c>
      <c r="AQ70" s="191">
        <f>+AQ60+AQ62+AQ64+AQ66+AQ67+AQ69</f>
        <v>26799.000077113626</v>
      </c>
      <c r="AR70" s="50">
        <f t="shared" ref="AR70:AU70" si="194">+AR60+AR62+AR64+AR66+AR67+AR69</f>
        <v>7066.7923534874571</v>
      </c>
      <c r="AS70" s="50">
        <f t="shared" si="194"/>
        <v>6894.8869865320376</v>
      </c>
      <c r="AT70" s="50">
        <f t="shared" si="194"/>
        <v>7176.0163046610633</v>
      </c>
      <c r="AU70" s="50">
        <f t="shared" si="194"/>
        <v>7411.8902575765833</v>
      </c>
      <c r="AV70" s="191">
        <f>+AV60+AV62+AV64+AV66+AV67+AV69</f>
        <v>28549.585902257142</v>
      </c>
    </row>
    <row r="71" spans="2:48" outlineLevel="1" x14ac:dyDescent="0.3">
      <c r="B71" s="46" t="s">
        <v>184</v>
      </c>
      <c r="C71" s="44"/>
      <c r="D71" s="156">
        <f t="shared" ref="D71:G71" si="195">+D59-D70</f>
        <v>968.70000000000027</v>
      </c>
      <c r="E71" s="156">
        <f t="shared" si="195"/>
        <v>856.40000000000055</v>
      </c>
      <c r="F71" s="156">
        <f t="shared" si="195"/>
        <v>1018.6999999999998</v>
      </c>
      <c r="G71" s="156">
        <f t="shared" si="195"/>
        <v>938.90000000000009</v>
      </c>
      <c r="H71" s="132">
        <f>SUM(D71:G71)</f>
        <v>3782.7000000000007</v>
      </c>
      <c r="I71" s="156">
        <f t="shared" ref="I71:L71" si="196">+I59-I70</f>
        <v>1098.7999999999997</v>
      </c>
      <c r="J71" s="156">
        <f t="shared" si="196"/>
        <v>621.19999999999982</v>
      </c>
      <c r="K71" s="156">
        <f t="shared" si="196"/>
        <v>-404.89999999999964</v>
      </c>
      <c r="L71" s="74">
        <f t="shared" si="196"/>
        <v>506.00000000000091</v>
      </c>
      <c r="M71" s="97"/>
      <c r="N71" s="74">
        <f>+N59-N70</f>
        <v>813.49999999999955</v>
      </c>
      <c r="O71" s="74">
        <f t="shared" ref="O71:Q71" si="197">+O59-O70</f>
        <v>905.29999999999973</v>
      </c>
      <c r="P71" s="74">
        <f t="shared" si="197"/>
        <v>1315.7000000000003</v>
      </c>
      <c r="Q71" s="74">
        <f t="shared" si="197"/>
        <v>1255.8000000000002</v>
      </c>
      <c r="R71" s="97"/>
      <c r="S71" s="74">
        <f t="shared" ref="S71:U71" si="198">+S59-S70</f>
        <v>1083.1000000000004</v>
      </c>
      <c r="T71" s="74">
        <f t="shared" si="198"/>
        <v>931.5</v>
      </c>
      <c r="U71" s="74">
        <f t="shared" si="198"/>
        <v>1330.1000000000004</v>
      </c>
      <c r="V71" s="156">
        <f>+V59-V70</f>
        <v>1141.8000000000011</v>
      </c>
      <c r="W71" s="97">
        <f>SUM(S71:V71)</f>
        <v>4486.5000000000018</v>
      </c>
      <c r="X71" s="74">
        <f t="shared" ref="X71:AA71" si="199">+X59-X70</f>
        <v>1089.9554519243766</v>
      </c>
      <c r="Y71" s="74">
        <f t="shared" si="199"/>
        <v>989.07243383325749</v>
      </c>
      <c r="Z71" s="74">
        <f t="shared" si="199"/>
        <v>1413.1859244318584</v>
      </c>
      <c r="AA71" s="74">
        <f t="shared" si="199"/>
        <v>1292.0981104042648</v>
      </c>
      <c r="AB71" s="97">
        <f>SUM(X71:AA71)</f>
        <v>4784.3119205937573</v>
      </c>
      <c r="AC71" s="74">
        <f t="shared" ref="AC71:AF71" si="200">+AC59-AC70</f>
        <v>1369.0870033195561</v>
      </c>
      <c r="AD71" s="74">
        <f t="shared" si="200"/>
        <v>1182.5272881492419</v>
      </c>
      <c r="AE71" s="74">
        <f t="shared" si="200"/>
        <v>1677.8253665921993</v>
      </c>
      <c r="AF71" s="74">
        <f t="shared" si="200"/>
        <v>1547.9977081547813</v>
      </c>
      <c r="AG71" s="97">
        <f>SUM(AC71:AF71)</f>
        <v>5777.4373662157786</v>
      </c>
      <c r="AH71" s="74">
        <f t="shared" ref="AH71:AK71" si="201">+AH59-AH70</f>
        <v>1544.5867721618315</v>
      </c>
      <c r="AI71" s="74">
        <f t="shared" si="201"/>
        <v>1340.8056560380055</v>
      </c>
      <c r="AJ71" s="74">
        <f t="shared" si="201"/>
        <v>1896.821048031431</v>
      </c>
      <c r="AK71" s="74">
        <f t="shared" si="201"/>
        <v>1758.2008700557353</v>
      </c>
      <c r="AL71" s="97">
        <f>SUM(AH71:AK71)</f>
        <v>6540.4143462870034</v>
      </c>
      <c r="AM71" s="74">
        <f t="shared" ref="AM71:AP71" si="202">+AM59-AM70</f>
        <v>1679.7444575541749</v>
      </c>
      <c r="AN71" s="74">
        <f t="shared" si="202"/>
        <v>1454.3221276958875</v>
      </c>
      <c r="AO71" s="74">
        <f t="shared" si="202"/>
        <v>2053.5373433022196</v>
      </c>
      <c r="AP71" s="74">
        <f t="shared" si="202"/>
        <v>1898.6548665209111</v>
      </c>
      <c r="AQ71" s="97">
        <f>SUM(AM71:AP71)</f>
        <v>7086.2587950731931</v>
      </c>
      <c r="AR71" s="74">
        <f t="shared" ref="AR71:AU71" si="203">+AR59-AR70</f>
        <v>1770.8760573185191</v>
      </c>
      <c r="AS71" s="74">
        <f t="shared" si="203"/>
        <v>1530.9482703694975</v>
      </c>
      <c r="AT71" s="74">
        <f t="shared" si="203"/>
        <v>2168.6677913463463</v>
      </c>
      <c r="AU71" s="74">
        <f t="shared" si="203"/>
        <v>2002.8229488961451</v>
      </c>
      <c r="AV71" s="97">
        <f>SUM(AR71:AU71)</f>
        <v>7473.3150679305081</v>
      </c>
    </row>
    <row r="72" spans="2:48" outlineLevel="1" x14ac:dyDescent="0.3">
      <c r="B72" s="46" t="s">
        <v>185</v>
      </c>
      <c r="C72" s="44"/>
      <c r="D72" s="157">
        <f t="shared" ref="D72:G72" si="204">+D71/D59</f>
        <v>0.21001626016260169</v>
      </c>
      <c r="E72" s="157">
        <f t="shared" si="204"/>
        <v>0.19851185647064287</v>
      </c>
      <c r="F72" s="157">
        <f t="shared" si="204"/>
        <v>0.21761979022024736</v>
      </c>
      <c r="G72" s="157">
        <f t="shared" si="204"/>
        <v>0.20185320548652022</v>
      </c>
      <c r="H72" s="133">
        <f>H71/H59</f>
        <v>0.20716793270205</v>
      </c>
      <c r="I72" s="157">
        <f t="shared" ref="I72:L72" si="205">+I71/I59</f>
        <v>0.21928196531561192</v>
      </c>
      <c r="J72" s="157">
        <f t="shared" si="205"/>
        <v>0.14346420323325632</v>
      </c>
      <c r="K72" s="157">
        <f t="shared" si="205"/>
        <v>-0.14432364997326666</v>
      </c>
      <c r="L72" s="75">
        <f t="shared" si="205"/>
        <v>0.12007878687201899</v>
      </c>
      <c r="M72" s="98"/>
      <c r="N72" s="75">
        <f>+N71/N59</f>
        <v>0.17296734138458913</v>
      </c>
      <c r="O72" s="75">
        <f t="shared" ref="O72:Q72" si="206">+O71/O59</f>
        <v>0.19407880632851687</v>
      </c>
      <c r="P72" s="75">
        <f t="shared" si="206"/>
        <v>0.24363461289187641</v>
      </c>
      <c r="Q72" s="75">
        <f t="shared" si="206"/>
        <v>0.21790733992712133</v>
      </c>
      <c r="R72" s="98"/>
      <c r="S72" s="75">
        <f t="shared" ref="S72:V72" si="207">+S71/S59</f>
        <v>0.188946845070914</v>
      </c>
      <c r="T72" s="75">
        <f t="shared" si="207"/>
        <v>0.17105238995905026</v>
      </c>
      <c r="U72" s="75">
        <f t="shared" si="207"/>
        <v>0.21954641489502186</v>
      </c>
      <c r="V72" s="75">
        <f t="shared" si="207"/>
        <v>0.18613067292644778</v>
      </c>
      <c r="W72" s="98">
        <f>W71/W59</f>
        <v>0.19197032194019895</v>
      </c>
      <c r="X72" s="75">
        <f t="shared" ref="X72:AA72" si="208">+X71/X59</f>
        <v>0.17043639088186854</v>
      </c>
      <c r="Y72" s="75">
        <f t="shared" si="208"/>
        <v>0.16248821056175547</v>
      </c>
      <c r="Z72" s="75">
        <f t="shared" si="208"/>
        <v>0.20967178631365882</v>
      </c>
      <c r="AA72" s="75">
        <f t="shared" si="208"/>
        <v>0.19058588762551462</v>
      </c>
      <c r="AB72" s="98">
        <f>AB71/AB59</f>
        <v>0.18399975991931355</v>
      </c>
      <c r="AC72" s="75">
        <f t="shared" ref="AC72:AF72" si="209">+AC71/AC59</f>
        <v>0.19791515549359201</v>
      </c>
      <c r="AD72" s="75">
        <f t="shared" si="209"/>
        <v>0.17941050730234043</v>
      </c>
      <c r="AE72" s="75">
        <f t="shared" si="209"/>
        <v>0.22967323366581044</v>
      </c>
      <c r="AF72" s="75">
        <f t="shared" si="209"/>
        <v>0.21042272888937863</v>
      </c>
      <c r="AG72" s="98">
        <f>AG71/AG59</f>
        <v>0.20508742580591738</v>
      </c>
      <c r="AH72" s="75">
        <f t="shared" ref="AH72:AK72" si="210">+AH71/AH59</f>
        <v>0.20171524202750379</v>
      </c>
      <c r="AI72" s="75">
        <f t="shared" si="210"/>
        <v>0.18355661638400697</v>
      </c>
      <c r="AJ72" s="75">
        <f t="shared" si="210"/>
        <v>0.23405839361361566</v>
      </c>
      <c r="AK72" s="75">
        <f t="shared" si="210"/>
        <v>0.21520212849226722</v>
      </c>
      <c r="AL72" s="98">
        <f>AL71/AL59</f>
        <v>0.20938772977664036</v>
      </c>
      <c r="AM72" s="75">
        <f t="shared" ref="AM72:AP72" si="211">+AM71/AM59</f>
        <v>0.20213707571447759</v>
      </c>
      <c r="AN72" s="75">
        <f t="shared" si="211"/>
        <v>0.18350453203137657</v>
      </c>
      <c r="AO72" s="75">
        <f t="shared" si="211"/>
        <v>0.23360719190677179</v>
      </c>
      <c r="AP72" s="75">
        <f t="shared" si="211"/>
        <v>0.21430701227590876</v>
      </c>
      <c r="AQ72" s="98">
        <f>AQ71/AQ59</f>
        <v>0.20912511903191117</v>
      </c>
      <c r="AR72" s="75">
        <f t="shared" ref="AR72:AU72" si="212">+AR71/AR59</f>
        <v>0.20037819648825442</v>
      </c>
      <c r="AS72" s="75">
        <f t="shared" si="212"/>
        <v>0.18169691474984748</v>
      </c>
      <c r="AT72" s="75">
        <f t="shared" si="212"/>
        <v>0.23207502458782173</v>
      </c>
      <c r="AU72" s="75">
        <f t="shared" si="212"/>
        <v>0.21273329361952101</v>
      </c>
      <c r="AV72" s="98">
        <f>AV71/AV59</f>
        <v>0.20746011194699121</v>
      </c>
    </row>
    <row r="73" spans="2:48" ht="17.399999999999999" x14ac:dyDescent="0.45">
      <c r="B73" s="508" t="s">
        <v>114</v>
      </c>
      <c r="C73" s="509"/>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510" t="s">
        <v>115</v>
      </c>
      <c r="C74" s="511"/>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13">+O74+P75</f>
        <v>7013</v>
      </c>
      <c r="Q74" s="21">
        <f t="shared" si="213"/>
        <v>7272</v>
      </c>
      <c r="R74" s="191">
        <f>Q74</f>
        <v>7272</v>
      </c>
      <c r="S74" s="21">
        <f>+Q74+S75</f>
        <v>7485</v>
      </c>
      <c r="T74" s="21">
        <f>+S74+T75</f>
        <v>7587</v>
      </c>
      <c r="U74" s="21">
        <f t="shared" ref="U74:V74" si="214">+T74+U75</f>
        <v>7717</v>
      </c>
      <c r="V74" s="21">
        <f t="shared" si="214"/>
        <v>8037</v>
      </c>
      <c r="W74" s="191">
        <f>V74</f>
        <v>8037</v>
      </c>
      <c r="X74" s="21">
        <f>+V74+X75</f>
        <v>8292</v>
      </c>
      <c r="Y74" s="21">
        <f>+X74+Y75</f>
        <v>8547</v>
      </c>
      <c r="Z74" s="21">
        <f t="shared" ref="Z74:AA74" si="215">+Y74+Z75</f>
        <v>8802</v>
      </c>
      <c r="AA74" s="21">
        <f t="shared" si="215"/>
        <v>9059</v>
      </c>
      <c r="AB74" s="191">
        <f>AA74</f>
        <v>9059</v>
      </c>
      <c r="AC74" s="21">
        <f>+AA74+AC75</f>
        <v>9323</v>
      </c>
      <c r="AD74" s="21">
        <f>+AC74+AD75</f>
        <v>9587</v>
      </c>
      <c r="AE74" s="21">
        <f t="shared" ref="AE74:AF74" si="216">+AD74+AE75</f>
        <v>9851</v>
      </c>
      <c r="AF74" s="21">
        <f t="shared" si="216"/>
        <v>10119</v>
      </c>
      <c r="AG74" s="191">
        <f>AF74</f>
        <v>10119</v>
      </c>
      <c r="AH74" s="21">
        <f>+AF74+AH75</f>
        <v>10393</v>
      </c>
      <c r="AI74" s="21">
        <f>+AH74+AI75</f>
        <v>10667</v>
      </c>
      <c r="AJ74" s="21">
        <f t="shared" ref="AJ74:AK74" si="217">+AI74+AJ75</f>
        <v>10941</v>
      </c>
      <c r="AK74" s="21">
        <f t="shared" si="217"/>
        <v>11217</v>
      </c>
      <c r="AL74" s="191">
        <f>AK74</f>
        <v>11217</v>
      </c>
      <c r="AM74" s="21">
        <f>+AK74+AM75</f>
        <v>11347</v>
      </c>
      <c r="AN74" s="21">
        <f>+AM74+AN75</f>
        <v>11477</v>
      </c>
      <c r="AO74" s="21">
        <f t="shared" ref="AO74:AP74" si="218">+AN74+AO75</f>
        <v>11607</v>
      </c>
      <c r="AP74" s="21">
        <f t="shared" si="218"/>
        <v>11737</v>
      </c>
      <c r="AQ74" s="191">
        <f>AP74</f>
        <v>11737</v>
      </c>
      <c r="AR74" s="21">
        <f>+AP74+AR75</f>
        <v>11867</v>
      </c>
      <c r="AS74" s="21">
        <f>+AR74+AS75</f>
        <v>11997</v>
      </c>
      <c r="AT74" s="21">
        <f t="shared" ref="AT74:AU74" si="219">+AS74+AT75</f>
        <v>12127</v>
      </c>
      <c r="AU74" s="21">
        <f t="shared" si="219"/>
        <v>12257</v>
      </c>
      <c r="AV74" s="191">
        <f>AU74</f>
        <v>12257</v>
      </c>
    </row>
    <row r="75" spans="2:48" outlineLevel="1" x14ac:dyDescent="0.3">
      <c r="B75" s="180" t="s">
        <v>46</v>
      </c>
      <c r="C75" s="201"/>
      <c r="D75" s="101">
        <f>+D74-5651</f>
        <v>188</v>
      </c>
      <c r="E75" s="101">
        <f>+E74-D74</f>
        <v>40</v>
      </c>
      <c r="F75" s="101">
        <f t="shared" ref="F75:G75" si="220">+F74-E74</f>
        <v>-233</v>
      </c>
      <c r="G75" s="101">
        <f t="shared" si="220"/>
        <v>214</v>
      </c>
      <c r="H75" s="26">
        <f>+SUM(D75:G75)</f>
        <v>209</v>
      </c>
      <c r="I75" s="101">
        <f>+I74-G74</f>
        <v>199</v>
      </c>
      <c r="J75" s="101">
        <f t="shared" ref="J75:L75" si="221">+J74-I74</f>
        <v>78</v>
      </c>
      <c r="K75" s="101">
        <f t="shared" si="221"/>
        <v>117</v>
      </c>
      <c r="L75" s="101">
        <f t="shared" si="221"/>
        <v>274</v>
      </c>
      <c r="M75" s="26">
        <f>+SUM(I75:L75)</f>
        <v>668</v>
      </c>
      <c r="N75" s="101">
        <v>185</v>
      </c>
      <c r="O75" s="101">
        <v>123</v>
      </c>
      <c r="P75" s="101">
        <v>177</v>
      </c>
      <c r="Q75" s="101">
        <v>259</v>
      </c>
      <c r="R75" s="26">
        <f>+SUM(N75:Q75)</f>
        <v>744</v>
      </c>
      <c r="S75" s="101">
        <v>213</v>
      </c>
      <c r="T75" s="101">
        <v>102</v>
      </c>
      <c r="U75" s="101">
        <v>130</v>
      </c>
      <c r="V75" s="101">
        <v>320</v>
      </c>
      <c r="W75" s="122">
        <f>+SUM(S75:V75)</f>
        <v>765</v>
      </c>
      <c r="X75" s="33">
        <v>255</v>
      </c>
      <c r="Y75" s="33">
        <v>255</v>
      </c>
      <c r="Z75" s="33">
        <v>255</v>
      </c>
      <c r="AA75" s="33">
        <v>257</v>
      </c>
      <c r="AB75" s="26">
        <f>+SUM(X75:AA75)</f>
        <v>1022</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22">AVERAGE(E74,F74)</f>
        <v>5762.5</v>
      </c>
      <c r="G76" s="101">
        <f t="shared" si="222"/>
        <v>5753</v>
      </c>
      <c r="H76" s="26"/>
      <c r="I76" s="101">
        <f>AVERAGE(G74,I74)</f>
        <v>5959.5</v>
      </c>
      <c r="J76" s="101">
        <f t="shared" ref="J76:L76" si="223">AVERAGE(I74,J74)</f>
        <v>6098</v>
      </c>
      <c r="K76" s="101">
        <f t="shared" si="223"/>
        <v>6195.5</v>
      </c>
      <c r="L76" s="101">
        <f t="shared" si="223"/>
        <v>6391</v>
      </c>
      <c r="M76" s="26"/>
      <c r="N76" s="101">
        <f>AVERAGE(L74,N74)</f>
        <v>6620.5</v>
      </c>
      <c r="O76" s="101">
        <f t="shared" ref="O76:Q76" si="224">AVERAGE(N74,O74)</f>
        <v>6774.5</v>
      </c>
      <c r="P76" s="101">
        <f t="shared" si="224"/>
        <v>6924.5</v>
      </c>
      <c r="Q76" s="101">
        <f t="shared" si="224"/>
        <v>7142.5</v>
      </c>
      <c r="R76" s="26"/>
      <c r="S76" s="101">
        <f>AVERAGE(Q74,S74)</f>
        <v>7378.5</v>
      </c>
      <c r="T76" s="101">
        <f>AVERAGE(S74,T74)</f>
        <v>7536</v>
      </c>
      <c r="U76" s="101">
        <f t="shared" ref="U76:V76" si="225">AVERAGE(T74,U74)</f>
        <v>7652</v>
      </c>
      <c r="V76" s="101">
        <f t="shared" si="225"/>
        <v>7877</v>
      </c>
      <c r="W76" s="122"/>
      <c r="X76" s="101">
        <f>AVERAGE(V74,X74)</f>
        <v>8164.5</v>
      </c>
      <c r="Y76" s="101">
        <f t="shared" ref="Y76:AA76" si="226">AVERAGE(X74,Y74)</f>
        <v>8419.5</v>
      </c>
      <c r="Z76" s="101">
        <f t="shared" si="226"/>
        <v>8674.5</v>
      </c>
      <c r="AA76" s="101">
        <f t="shared" si="226"/>
        <v>8930.5</v>
      </c>
      <c r="AB76" s="26"/>
      <c r="AC76" s="101">
        <f>AVERAGE(AA74,AC74)</f>
        <v>9191</v>
      </c>
      <c r="AD76" s="101">
        <f t="shared" ref="AD76:AF76" si="227">AVERAGE(AC74,AD74)</f>
        <v>9455</v>
      </c>
      <c r="AE76" s="101">
        <f t="shared" si="227"/>
        <v>9719</v>
      </c>
      <c r="AF76" s="101">
        <f t="shared" si="227"/>
        <v>9985</v>
      </c>
      <c r="AG76" s="26"/>
      <c r="AH76" s="101">
        <f>AVERAGE(AF74,AH74)</f>
        <v>10256</v>
      </c>
      <c r="AI76" s="101">
        <f t="shared" ref="AI76:AK76" si="228">AVERAGE(AH74,AI74)</f>
        <v>10530</v>
      </c>
      <c r="AJ76" s="101">
        <f t="shared" si="228"/>
        <v>10804</v>
      </c>
      <c r="AK76" s="101">
        <f t="shared" si="228"/>
        <v>11079</v>
      </c>
      <c r="AL76" s="26"/>
      <c r="AM76" s="101">
        <f>AVERAGE(AK74,AM74)</f>
        <v>11282</v>
      </c>
      <c r="AN76" s="101">
        <f t="shared" ref="AN76:AP76" si="229">AVERAGE(AM74,AN74)</f>
        <v>11412</v>
      </c>
      <c r="AO76" s="101">
        <f t="shared" si="229"/>
        <v>11542</v>
      </c>
      <c r="AP76" s="101">
        <f t="shared" si="229"/>
        <v>11672</v>
      </c>
      <c r="AQ76" s="26"/>
      <c r="AR76" s="101">
        <f>AVERAGE(AP74,AR74)</f>
        <v>11802</v>
      </c>
      <c r="AS76" s="101">
        <f t="shared" ref="AS76:AU76" si="230">AVERAGE(AR74,AS74)</f>
        <v>11932</v>
      </c>
      <c r="AT76" s="101">
        <f t="shared" si="230"/>
        <v>12062</v>
      </c>
      <c r="AU76" s="101">
        <f t="shared" si="230"/>
        <v>12192</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62">
        <f>S77*0.85</f>
        <v>0.17375550586162497</v>
      </c>
      <c r="Y77" s="62">
        <f>T77*0.95</f>
        <v>0.16897292993630575</v>
      </c>
      <c r="Z77" s="62">
        <f>U77*1.2</f>
        <v>0.18227391531625717</v>
      </c>
      <c r="AA77" s="62">
        <f>V77*1.2</f>
        <v>0.20579916211755744</v>
      </c>
      <c r="AB77" s="97"/>
      <c r="AC77" s="62">
        <f>X77*1.2</f>
        <v>0.20850660703394996</v>
      </c>
      <c r="AD77" s="62">
        <f>Y77*1.05</f>
        <v>0.17742157643312104</v>
      </c>
      <c r="AE77" s="62">
        <f>Z77*1.05</f>
        <v>0.19138761108207003</v>
      </c>
      <c r="AF77" s="62">
        <f>AA77*1.05</f>
        <v>0.21608912022343532</v>
      </c>
      <c r="AG77" s="97"/>
      <c r="AH77" s="62">
        <f>AC77*1.05</f>
        <v>0.21893193738564748</v>
      </c>
      <c r="AI77" s="62">
        <f t="shared" ref="AI77:AK77" si="231">AD77*1.05</f>
        <v>0.18629265525477709</v>
      </c>
      <c r="AJ77" s="62">
        <f t="shared" si="231"/>
        <v>0.20095699163617353</v>
      </c>
      <c r="AK77" s="62">
        <f t="shared" si="231"/>
        <v>0.2268935762346071</v>
      </c>
      <c r="AL77" s="97"/>
      <c r="AM77" s="485">
        <f>AH77*1.05</f>
        <v>0.22987853425492985</v>
      </c>
      <c r="AN77" s="485">
        <f>AI77*1.05</f>
        <v>0.19560728801751595</v>
      </c>
      <c r="AO77" s="485">
        <f>AJ77*1.05</f>
        <v>0.21100484121798221</v>
      </c>
      <c r="AP77" s="485">
        <f>AK77*1.05</f>
        <v>0.23823825504633747</v>
      </c>
      <c r="AQ77" s="97"/>
      <c r="AR77" s="485">
        <f>AM77*1.03</f>
        <v>0.23677489028257775</v>
      </c>
      <c r="AS77" s="485">
        <f>AN77*1.03</f>
        <v>0.20147550665804143</v>
      </c>
      <c r="AT77" s="485">
        <f>AO77*1.03</f>
        <v>0.21733498645452168</v>
      </c>
      <c r="AU77" s="485">
        <f>AP77*1.03</f>
        <v>0.2453854026977276</v>
      </c>
      <c r="AV77" s="97"/>
    </row>
    <row r="78" spans="2:48" s="8" customFormat="1" outlineLevel="1" x14ac:dyDescent="0.3">
      <c r="B78" s="500" t="s">
        <v>116</v>
      </c>
      <c r="C78" s="501"/>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50">
        <f>X77*X76</f>
        <v>1418.6268276072371</v>
      </c>
      <c r="Y78" s="50">
        <f>Y77*Y76</f>
        <v>1422.6675835987262</v>
      </c>
      <c r="Z78" s="50">
        <f>Z77*Z76</f>
        <v>1581.1350784108729</v>
      </c>
      <c r="AA78" s="50">
        <f>AA77*AA76</f>
        <v>1837.8894172908467</v>
      </c>
      <c r="AB78" s="97">
        <f>SUM(X78:AA78)</f>
        <v>6260.3189069076825</v>
      </c>
      <c r="AC78" s="50">
        <f>AC77*AC76</f>
        <v>1916.3842252490342</v>
      </c>
      <c r="AD78" s="50">
        <f>AD77*AD76</f>
        <v>1677.5210051751594</v>
      </c>
      <c r="AE78" s="50">
        <f>AE77*AE76</f>
        <v>1860.0961921066387</v>
      </c>
      <c r="AF78" s="50">
        <f>AF77*AF76</f>
        <v>2157.6498654310017</v>
      </c>
      <c r="AG78" s="97">
        <f>SUM(AC78:AF78)</f>
        <v>7611.651287961834</v>
      </c>
      <c r="AH78" s="50">
        <f>AH77*AH76</f>
        <v>2245.3659498272004</v>
      </c>
      <c r="AI78" s="50">
        <f>AI77*AI76</f>
        <v>1961.6616598328028</v>
      </c>
      <c r="AJ78" s="50">
        <f>AJ77*AJ76</f>
        <v>2171.1393376372189</v>
      </c>
      <c r="AK78" s="50">
        <f>AK77*AK76</f>
        <v>2513.7539311032119</v>
      </c>
      <c r="AL78" s="97">
        <f>SUM(AH78:AK78)</f>
        <v>8891.9208784004331</v>
      </c>
      <c r="AM78" s="50">
        <f>AM77*AM76</f>
        <v>2593.4896234641187</v>
      </c>
      <c r="AN78" s="50">
        <f>AN77*AN76</f>
        <v>2232.270370855892</v>
      </c>
      <c r="AO78" s="50">
        <f>AO77*AO76</f>
        <v>2435.4178773379508</v>
      </c>
      <c r="AP78" s="50">
        <f>AP77*AP76</f>
        <v>2780.7169129008512</v>
      </c>
      <c r="AQ78" s="97">
        <f>SUM(AM78:AP78)</f>
        <v>10041.894784558814</v>
      </c>
      <c r="AR78" s="50">
        <f>AR77*AR76</f>
        <v>2794.4172551149827</v>
      </c>
      <c r="AS78" s="50">
        <f>AS77*AS76</f>
        <v>2404.0057454437501</v>
      </c>
      <c r="AT78" s="50">
        <f>AT77*AT76</f>
        <v>2621.4946066144403</v>
      </c>
      <c r="AU78" s="50">
        <f>AU77*AU76</f>
        <v>2991.7388296906947</v>
      </c>
      <c r="AV78" s="97">
        <f>SUM(AR78:AU78)</f>
        <v>10811.656436863868</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32">S78/N78-1</f>
        <v>4.6195463688700755E-2</v>
      </c>
      <c r="T79" s="27">
        <f t="shared" si="232"/>
        <v>-3.1992489347873132E-2</v>
      </c>
      <c r="U79" s="27">
        <f t="shared" si="232"/>
        <v>-0.18907416451545389</v>
      </c>
      <c r="V79" s="27">
        <f t="shared" si="232"/>
        <v>-0.16093167701863353</v>
      </c>
      <c r="W79" s="375">
        <f t="shared" si="232"/>
        <v>-8.6512087500212997E-2</v>
      </c>
      <c r="X79" s="27">
        <f t="shared" si="232"/>
        <v>-5.9453140882293143E-2</v>
      </c>
      <c r="Y79" s="27">
        <f t="shared" si="232"/>
        <v>6.1375398089172029E-2</v>
      </c>
      <c r="Z79" s="27">
        <f t="shared" si="232"/>
        <v>0.36035023523261889</v>
      </c>
      <c r="AA79" s="27">
        <f t="shared" si="232"/>
        <v>0.36049257331471352</v>
      </c>
      <c r="AB79" s="375">
        <f t="shared" si="232"/>
        <v>0.16755607283009444</v>
      </c>
      <c r="AC79" s="27">
        <f t="shared" si="232"/>
        <v>0.35087268050707321</v>
      </c>
      <c r="AD79" s="27">
        <f t="shared" si="232"/>
        <v>0.1791377160163905</v>
      </c>
      <c r="AE79" s="27">
        <f t="shared" si="232"/>
        <v>0.17643091820854218</v>
      </c>
      <c r="AF79" s="27">
        <f t="shared" si="232"/>
        <v>0.17398241979732387</v>
      </c>
      <c r="AG79" s="375">
        <f t="shared" si="232"/>
        <v>0.21585679597936802</v>
      </c>
      <c r="AH79" s="27">
        <f t="shared" si="232"/>
        <v>0.17166793602437158</v>
      </c>
      <c r="AI79" s="27">
        <f t="shared" si="232"/>
        <v>0.16938127974616601</v>
      </c>
      <c r="AJ79" s="27">
        <f t="shared" si="232"/>
        <v>0.16721884967589262</v>
      </c>
      <c r="AK79" s="27">
        <f t="shared" si="232"/>
        <v>0.16504256384576865</v>
      </c>
      <c r="AL79" s="375">
        <f t="shared" si="232"/>
        <v>0.16819866570390607</v>
      </c>
      <c r="AM79" s="27">
        <f t="shared" si="232"/>
        <v>0.15504095163806553</v>
      </c>
      <c r="AN79" s="27">
        <f t="shared" si="232"/>
        <v>0.13794871794871799</v>
      </c>
      <c r="AO79" s="27">
        <f t="shared" si="232"/>
        <v>0.1217234357645316</v>
      </c>
      <c r="AP79" s="27">
        <f t="shared" si="232"/>
        <v>0.10620092066070974</v>
      </c>
      <c r="AQ79" s="97"/>
      <c r="AR79" s="27">
        <f>AR78/AM78-1</f>
        <v>7.7473852153873368E-2</v>
      </c>
      <c r="AS79" s="27">
        <f>AS78/AN78-1</f>
        <v>7.6933052926743795E-2</v>
      </c>
      <c r="AT79" s="27">
        <f>AT78/AO78-1</f>
        <v>7.6404435972968088E-2</v>
      </c>
      <c r="AU79" s="27">
        <f>AU78/AP78-1</f>
        <v>7.5887594242631806E-2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4"/>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59"/>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7"/>
      <c r="Y82" s="157"/>
      <c r="Z82" s="157"/>
      <c r="AA82" s="157"/>
      <c r="AB82" s="377">
        <f>AB92/W92-1</f>
        <v>0.19199942767140343</v>
      </c>
      <c r="AC82" s="157"/>
      <c r="AD82" s="157"/>
      <c r="AE82" s="157"/>
      <c r="AF82" s="157"/>
      <c r="AG82" s="377">
        <f>AG92/AB92-1</f>
        <v>0.19816064359639762</v>
      </c>
      <c r="AH82" s="157"/>
      <c r="AI82" s="157"/>
      <c r="AJ82" s="157"/>
      <c r="AK82" s="157"/>
      <c r="AL82" s="377">
        <f>AL92/AG92-1</f>
        <v>0.16213762394965126</v>
      </c>
      <c r="AM82" s="157"/>
      <c r="AN82" s="157"/>
      <c r="AO82" s="157"/>
      <c r="AP82" s="157">
        <v>0.04</v>
      </c>
      <c r="AQ82" s="134"/>
      <c r="AR82" s="157"/>
      <c r="AS82" s="157"/>
      <c r="AT82" s="157"/>
      <c r="AU82" s="157">
        <v>0.04</v>
      </c>
      <c r="AV82" s="61"/>
    </row>
    <row r="83" spans="1:48" s="8" customFormat="1" outlineLevel="1" x14ac:dyDescent="0.3">
      <c r="B83" s="506" t="s">
        <v>117</v>
      </c>
      <c r="C83" s="507"/>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33">+O83+P84</f>
        <v>8107</v>
      </c>
      <c r="Q83" s="67">
        <v>9735</v>
      </c>
      <c r="R83" s="192">
        <f>Q83</f>
        <v>9735</v>
      </c>
      <c r="S83" s="67">
        <f>+Q83+S84</f>
        <v>9944</v>
      </c>
      <c r="T83" s="67">
        <f>+S83+T84</f>
        <v>10117</v>
      </c>
      <c r="U83" s="67">
        <f t="shared" ref="U83:V83" si="234">+T83+U84</f>
        <v>10181</v>
      </c>
      <c r="V83" s="67">
        <f t="shared" si="234"/>
        <v>10379</v>
      </c>
      <c r="W83" s="253">
        <f>V83</f>
        <v>10379</v>
      </c>
      <c r="X83" s="67">
        <f>+V83+X84</f>
        <v>10615</v>
      </c>
      <c r="Y83" s="67">
        <f>+X83+Y84</f>
        <v>10851</v>
      </c>
      <c r="Z83" s="67">
        <f t="shared" ref="Z83:AA83" si="235">+Y83+Z84</f>
        <v>11087</v>
      </c>
      <c r="AA83" s="67">
        <f t="shared" si="235"/>
        <v>11325</v>
      </c>
      <c r="AB83" s="192">
        <f>AA83</f>
        <v>11325</v>
      </c>
      <c r="AC83" s="67">
        <f>+AA83+AC84</f>
        <v>11569</v>
      </c>
      <c r="AD83" s="67">
        <f>+AC83+AD84</f>
        <v>11813</v>
      </c>
      <c r="AE83" s="67">
        <f t="shared" ref="AE83:AF83" si="236">+AD83+AE84</f>
        <v>12057</v>
      </c>
      <c r="AF83" s="67">
        <f t="shared" si="236"/>
        <v>12303</v>
      </c>
      <c r="AG83" s="192">
        <f>AF83</f>
        <v>12303</v>
      </c>
      <c r="AH83" s="67">
        <f>+AF83+AH84</f>
        <v>12556</v>
      </c>
      <c r="AI83" s="67">
        <f>+AH83+AI84</f>
        <v>12809</v>
      </c>
      <c r="AJ83" s="67">
        <f t="shared" ref="AJ83:AK83" si="237">+AI83+AJ84</f>
        <v>13062</v>
      </c>
      <c r="AK83" s="67">
        <f t="shared" si="237"/>
        <v>13316</v>
      </c>
      <c r="AL83" s="192">
        <f>AK83</f>
        <v>13316</v>
      </c>
      <c r="AM83" s="67">
        <f>+AK83+AM84</f>
        <v>13380</v>
      </c>
      <c r="AN83" s="67">
        <f>+AM83+AN84</f>
        <v>13444</v>
      </c>
      <c r="AO83" s="67">
        <f t="shared" ref="AO83:AP83" si="238">+AN83+AO84</f>
        <v>13508</v>
      </c>
      <c r="AP83" s="67">
        <f t="shared" si="238"/>
        <v>13572</v>
      </c>
      <c r="AQ83" s="192">
        <f>AP83</f>
        <v>13572</v>
      </c>
      <c r="AR83" s="67">
        <f>+AP83+AR84</f>
        <v>13636</v>
      </c>
      <c r="AS83" s="67">
        <f>+AR83+AS84</f>
        <v>13700</v>
      </c>
      <c r="AT83" s="67">
        <f t="shared" ref="AT83:AU83" si="239">+AS83+AT84</f>
        <v>13764</v>
      </c>
      <c r="AU83" s="67">
        <f t="shared" si="239"/>
        <v>13828</v>
      </c>
      <c r="AV83" s="192">
        <f>AU83</f>
        <v>13828</v>
      </c>
    </row>
    <row r="84" spans="1:48" outlineLevel="1" x14ac:dyDescent="0.3">
      <c r="B84" s="180" t="s">
        <v>47</v>
      </c>
      <c r="C84" s="201"/>
      <c r="D84" s="101">
        <f>+D83-6201</f>
        <v>172</v>
      </c>
      <c r="E84" s="101">
        <f>+E83-D83</f>
        <v>213</v>
      </c>
      <c r="F84" s="101">
        <f t="shared" ref="F84:G84" si="240">+F83-E83</f>
        <v>541</v>
      </c>
      <c r="G84" s="101">
        <f t="shared" si="240"/>
        <v>202</v>
      </c>
      <c r="H84" s="122">
        <f>+SUM(D84:G84)</f>
        <v>1128</v>
      </c>
      <c r="I84" s="101">
        <f>+I83-G83</f>
        <v>204</v>
      </c>
      <c r="J84" s="101">
        <f t="shared" ref="J84:K84" si="241">+J83-I83</f>
        <v>109</v>
      </c>
      <c r="K84" s="101">
        <f t="shared" si="241"/>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33">
        <v>236</v>
      </c>
      <c r="Y84" s="33">
        <v>236</v>
      </c>
      <c r="Z84" s="33">
        <v>236</v>
      </c>
      <c r="AA84" s="33">
        <v>238</v>
      </c>
      <c r="AB84" s="122">
        <f>+SUM(X84:AA84)</f>
        <v>946</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42">AVERAGE(F83,E83)</f>
        <v>6856.5</v>
      </c>
      <c r="G85" s="16">
        <f t="shared" si="242"/>
        <v>7228</v>
      </c>
      <c r="H85" s="26"/>
      <c r="I85" s="16">
        <f>AVERAGE(I83,G83)</f>
        <v>7431</v>
      </c>
      <c r="J85" s="16">
        <f>AVERAGE(J83,I83)</f>
        <v>7587.5</v>
      </c>
      <c r="K85" s="16">
        <f t="shared" ref="K85:L85" si="243">AVERAGE(K83,J83)</f>
        <v>7666.5</v>
      </c>
      <c r="L85" s="16">
        <f t="shared" si="243"/>
        <v>8713</v>
      </c>
      <c r="M85" s="6"/>
      <c r="N85" s="16">
        <f>AVERAGE(N83,L83)</f>
        <v>8826</v>
      </c>
      <c r="O85" s="16">
        <f>AVERAGE(O83,N83)</f>
        <v>7952</v>
      </c>
      <c r="P85" s="16">
        <f t="shared" ref="P85:Q85" si="244">AVERAGE(P83,O83)</f>
        <v>8047</v>
      </c>
      <c r="Q85" s="16">
        <f t="shared" si="244"/>
        <v>8921</v>
      </c>
      <c r="R85" s="6"/>
      <c r="S85" s="16">
        <f>AVERAGE(S83,Q83)</f>
        <v>9839.5</v>
      </c>
      <c r="T85" s="16">
        <f>AVERAGE(T83,S83)</f>
        <v>10030.5</v>
      </c>
      <c r="U85" s="16">
        <f t="shared" ref="U85:V85" si="245">AVERAGE(U83,T83)</f>
        <v>10149</v>
      </c>
      <c r="V85" s="16">
        <f t="shared" si="245"/>
        <v>10280</v>
      </c>
      <c r="W85" s="130"/>
      <c r="X85" s="16">
        <f>AVERAGE(X83,V83)</f>
        <v>10497</v>
      </c>
      <c r="Y85" s="16">
        <f>AVERAGE(Y83,X83)</f>
        <v>10733</v>
      </c>
      <c r="Z85" s="16">
        <f t="shared" ref="Z85:AA85" si="246">AVERAGE(Z83,Y83)</f>
        <v>10969</v>
      </c>
      <c r="AA85" s="16">
        <f t="shared" si="246"/>
        <v>11206</v>
      </c>
      <c r="AB85" s="6"/>
      <c r="AC85" s="16">
        <f>AVERAGE(AC83,AA83)</f>
        <v>11447</v>
      </c>
      <c r="AD85" s="16">
        <f>AVERAGE(AD83,AC83)</f>
        <v>11691</v>
      </c>
      <c r="AE85" s="16">
        <f t="shared" ref="AE85:AF85" si="247">AVERAGE(AE83,AD83)</f>
        <v>11935</v>
      </c>
      <c r="AF85" s="16">
        <f t="shared" si="247"/>
        <v>12180</v>
      </c>
      <c r="AG85" s="6"/>
      <c r="AH85" s="16">
        <f>AVERAGE(AH83,AF83)</f>
        <v>12429.5</v>
      </c>
      <c r="AI85" s="16">
        <f>AVERAGE(AI83,AH83)</f>
        <v>12682.5</v>
      </c>
      <c r="AJ85" s="16">
        <f t="shared" ref="AJ85:AK85" si="248">AVERAGE(AJ83,AI83)</f>
        <v>12935.5</v>
      </c>
      <c r="AK85" s="16">
        <f t="shared" si="248"/>
        <v>13189</v>
      </c>
      <c r="AL85" s="6"/>
      <c r="AM85" s="16">
        <f>AVERAGE(AM83,AK83)</f>
        <v>13348</v>
      </c>
      <c r="AN85" s="16">
        <f>AVERAGE(AN83,AM83)</f>
        <v>13412</v>
      </c>
      <c r="AO85" s="16">
        <f t="shared" ref="AO85:AP85" si="249">AVERAGE(AO83,AN83)</f>
        <v>13476</v>
      </c>
      <c r="AP85" s="16">
        <f t="shared" si="249"/>
        <v>13540</v>
      </c>
      <c r="AQ85" s="6"/>
      <c r="AR85" s="16">
        <f>AVERAGE(AR83,AP83)</f>
        <v>13604</v>
      </c>
      <c r="AS85" s="16">
        <f>AVERAGE(AS83,AR83)</f>
        <v>13668</v>
      </c>
      <c r="AT85" s="16">
        <f t="shared" ref="AT85:AU85" si="250">AVERAGE(AT83,AS83)</f>
        <v>13732</v>
      </c>
      <c r="AU85" s="16">
        <f t="shared" si="250"/>
        <v>13796</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51">+I87/I85</f>
        <v>3.4275333064190554E-2</v>
      </c>
      <c r="J86" s="114">
        <f t="shared" si="251"/>
        <v>2.97331136738056E-2</v>
      </c>
      <c r="K86" s="114">
        <f t="shared" si="251"/>
        <v>8.4784451835909474E-3</v>
      </c>
      <c r="L86" s="114">
        <f t="shared" si="251"/>
        <v>2.3837943303110294E-2</v>
      </c>
      <c r="M86" s="6"/>
      <c r="N86" s="114">
        <f t="shared" si="251"/>
        <v>2.2388397915250397E-2</v>
      </c>
      <c r="O86" s="114">
        <f t="shared" si="251"/>
        <v>2.5251509054325959E-2</v>
      </c>
      <c r="P86" s="114">
        <f t="shared" si="251"/>
        <v>2.6307940847520812E-2</v>
      </c>
      <c r="Q86" s="114">
        <f t="shared" si="251"/>
        <v>3.228337630310503E-2</v>
      </c>
      <c r="R86" s="6"/>
      <c r="S86" s="114">
        <f t="shared" si="251"/>
        <v>3.4036282331419275E-2</v>
      </c>
      <c r="T86" s="114">
        <f>+T87/T85</f>
        <v>3.4145855141817456E-2</v>
      </c>
      <c r="U86" s="114">
        <f>+U87/U85</f>
        <v>4.065425165040891E-2</v>
      </c>
      <c r="V86" s="114">
        <f>+V87/V85</f>
        <v>4.0369649805447473E-2</v>
      </c>
      <c r="W86" s="130"/>
      <c r="X86" s="62">
        <f>S86*1.2</f>
        <v>4.0843538797703131E-2</v>
      </c>
      <c r="Y86" s="62">
        <f>T86*1.2</f>
        <v>4.0975026170180943E-2</v>
      </c>
      <c r="Z86" s="62">
        <f>U86*1.2</f>
        <v>4.8785101980490693E-2</v>
      </c>
      <c r="AA86" s="62">
        <f>V86*1.2</f>
        <v>4.8443579766536966E-2</v>
      </c>
      <c r="AB86" s="6"/>
      <c r="AC86" s="62">
        <f>X86*1.05</f>
        <v>4.2885715737588287E-2</v>
      </c>
      <c r="AD86" s="62">
        <f>Y86*1.05</f>
        <v>4.302377747868999E-2</v>
      </c>
      <c r="AE86" s="62">
        <f>Z86*1.05</f>
        <v>5.1224357079515233E-2</v>
      </c>
      <c r="AF86" s="62">
        <f>AA86*1.05</f>
        <v>5.0865758754863814E-2</v>
      </c>
      <c r="AG86" s="6"/>
      <c r="AH86" s="62">
        <f>AC86*1.05</f>
        <v>4.5030001524467705E-2</v>
      </c>
      <c r="AI86" s="62">
        <f t="shared" ref="AI86:AK86" si="252">AD86*1.05</f>
        <v>4.5174966352624489E-2</v>
      </c>
      <c r="AJ86" s="62">
        <f t="shared" si="252"/>
        <v>5.3785574933490995E-2</v>
      </c>
      <c r="AK86" s="62">
        <f t="shared" si="252"/>
        <v>5.3409046692607008E-2</v>
      </c>
      <c r="AL86" s="6"/>
      <c r="AM86" s="485">
        <f>AH86*1.05</f>
        <v>4.7281501600691091E-2</v>
      </c>
      <c r="AN86" s="485">
        <f>AI86*1.05</f>
        <v>4.7433714670255714E-2</v>
      </c>
      <c r="AO86" s="485">
        <f>AJ86*1.05</f>
        <v>5.6474853680165547E-2</v>
      </c>
      <c r="AP86" s="485">
        <f>AK86*1.05</f>
        <v>5.6079499027237363E-2</v>
      </c>
      <c r="AQ86" s="97"/>
      <c r="AR86" s="485">
        <f>AM86*1.03</f>
        <v>4.8699946648711821E-2</v>
      </c>
      <c r="AS86" s="485">
        <f>AN86*1.03</f>
        <v>4.8856726110363388E-2</v>
      </c>
      <c r="AT86" s="485">
        <f>AO86*1.03</f>
        <v>5.8169099290570514E-2</v>
      </c>
      <c r="AU86" s="485">
        <f>AP86*1.03</f>
        <v>5.7761883998054486E-2</v>
      </c>
      <c r="AV86" s="6"/>
    </row>
    <row r="87" spans="1:48" s="8" customFormat="1" outlineLevel="1" x14ac:dyDescent="0.3">
      <c r="B87" s="498" t="s">
        <v>118</v>
      </c>
      <c r="C87" s="499"/>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72">
        <f>+X85*X86</f>
        <v>428.73462675948974</v>
      </c>
      <c r="Y87" s="72">
        <f>+Y85*Y86</f>
        <v>439.78495588455206</v>
      </c>
      <c r="Z87" s="72">
        <f t="shared" ref="Z87:AA87" si="253">+Z85*Z86</f>
        <v>535.12378362400239</v>
      </c>
      <c r="AA87" s="72">
        <f t="shared" si="253"/>
        <v>542.85875486381326</v>
      </c>
      <c r="AB87" s="73">
        <f>SUM(X87:AA87)</f>
        <v>1946.5021211318576</v>
      </c>
      <c r="AC87" s="72">
        <f>+AC85*AC86</f>
        <v>490.91278804817313</v>
      </c>
      <c r="AD87" s="72">
        <f>+AD85*AD86</f>
        <v>502.99098250336465</v>
      </c>
      <c r="AE87" s="72">
        <f t="shared" ref="AE87:AF87" si="254">+AE85*AE86</f>
        <v>611.36270174401432</v>
      </c>
      <c r="AF87" s="72">
        <f t="shared" si="254"/>
        <v>619.54494163424124</v>
      </c>
      <c r="AG87" s="73">
        <f>SUM(AC87:AF87)</f>
        <v>2224.8114139297932</v>
      </c>
      <c r="AH87" s="72">
        <f>+AH85*AH86</f>
        <v>559.70040394837133</v>
      </c>
      <c r="AI87" s="72">
        <f>+AI85*AI86</f>
        <v>572.93151076716003</v>
      </c>
      <c r="AJ87" s="72">
        <f t="shared" ref="AJ87:AK87" si="255">+AJ85*AJ86</f>
        <v>695.74330455217273</v>
      </c>
      <c r="AK87" s="72">
        <f t="shared" si="255"/>
        <v>704.41191682879378</v>
      </c>
      <c r="AL87" s="73">
        <f>SUM(AH87:AK87)</f>
        <v>2532.7871360964978</v>
      </c>
      <c r="AM87" s="72">
        <f>+AM85*AM86</f>
        <v>631.11348336602464</v>
      </c>
      <c r="AN87" s="72">
        <f>+AN85*AN86</f>
        <v>636.18098115746966</v>
      </c>
      <c r="AO87" s="72">
        <f t="shared" ref="AO87:AP87" si="256">+AO85*AO86</f>
        <v>761.05512819391095</v>
      </c>
      <c r="AP87" s="72">
        <f t="shared" si="256"/>
        <v>759.31641682879388</v>
      </c>
      <c r="AQ87" s="73">
        <f>SUM(AM87:AP87)</f>
        <v>2787.6660095461993</v>
      </c>
      <c r="AR87" s="72">
        <f>+AR85*AR86</f>
        <v>662.5140742090756</v>
      </c>
      <c r="AS87" s="72">
        <f>+AS85*AS86</f>
        <v>667.77373247644675</v>
      </c>
      <c r="AT87" s="72">
        <f t="shared" ref="AT87:AU87" si="257">+AT85*AT86</f>
        <v>798.77807145811425</v>
      </c>
      <c r="AU87" s="72">
        <f t="shared" si="257"/>
        <v>796.88295163715975</v>
      </c>
      <c r="AV87" s="73">
        <f>SUM(AR87:AU87)</f>
        <v>2925.9488297807966</v>
      </c>
    </row>
    <row r="88" spans="1:48" s="8" customFormat="1" outlineLevel="1" x14ac:dyDescent="0.3">
      <c r="B88" s="500" t="s">
        <v>119</v>
      </c>
      <c r="C88" s="501"/>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50">
        <f>+S88*(1+X89)</f>
        <v>26.160000000000004</v>
      </c>
      <c r="Y88" s="50">
        <f>+T88*(1+Y89)</f>
        <v>17.55</v>
      </c>
      <c r="Z88" s="50">
        <f>+U88*(1+Z89)</f>
        <v>10.290000000000001</v>
      </c>
      <c r="AA88" s="50">
        <f t="shared" ref="AA88" si="258">+V88*(1+AA89)</f>
        <v>11.654999999999999</v>
      </c>
      <c r="AB88" s="97">
        <f>SUM(X88:AA88)</f>
        <v>65.655000000000001</v>
      </c>
      <c r="AC88" s="50">
        <f>+X88*(1+AC89)</f>
        <v>28.776000000000007</v>
      </c>
      <c r="AD88" s="50">
        <f>+Y88*(1+AD89)</f>
        <v>20.182500000000001</v>
      </c>
      <c r="AE88" s="50">
        <f>+Z88*(1+AE89)</f>
        <v>12.348000000000001</v>
      </c>
      <c r="AF88" s="50">
        <f t="shared" ref="AF88" si="259">+AA88*(1+AF89)</f>
        <v>13.985999999999999</v>
      </c>
      <c r="AG88" s="97">
        <f>SUM(AC88:AF88)</f>
        <v>75.292500000000004</v>
      </c>
      <c r="AH88" s="50">
        <f>+AC88*(1+AH89)</f>
        <v>35.970000000000006</v>
      </c>
      <c r="AI88" s="50">
        <f>+AD88*(1+AI89)</f>
        <v>25.228125000000002</v>
      </c>
      <c r="AJ88" s="50">
        <f>+AE88*(1+AJ89)</f>
        <v>15.435</v>
      </c>
      <c r="AK88" s="50">
        <f t="shared" ref="AK88" si="260">+AF88*(1+AK89)</f>
        <v>17.482499999999998</v>
      </c>
      <c r="AL88" s="97">
        <f>SUM(AH88:AK88)</f>
        <v>94.115625000000009</v>
      </c>
      <c r="AM88" s="50">
        <f>+AH88*(1+AM89)</f>
        <v>39.567000000000007</v>
      </c>
      <c r="AN88" s="50">
        <f>+AI88*(1+AN89)</f>
        <v>27.750937500000006</v>
      </c>
      <c r="AO88" s="50">
        <f>+AJ88*(1+AO89)</f>
        <v>16.9785</v>
      </c>
      <c r="AP88" s="50">
        <f t="shared" ref="AP88" si="261">+AK88*(1+AP89)</f>
        <v>19.23075</v>
      </c>
      <c r="AQ88" s="97">
        <f>SUM(AM88:AP88)</f>
        <v>103.52718750000001</v>
      </c>
      <c r="AR88" s="50">
        <f>+AM88*(1+AR89)</f>
        <v>41.545350000000006</v>
      </c>
      <c r="AS88" s="50">
        <f>+AN88*(1+AS89)</f>
        <v>29.138484375000008</v>
      </c>
      <c r="AT88" s="50">
        <f>+AO88*(1+AT89)</f>
        <v>17.827425000000002</v>
      </c>
      <c r="AU88" s="50">
        <f t="shared" ref="AU88" si="262">+AP88*(1+AU89)</f>
        <v>20.192287500000003</v>
      </c>
      <c r="AV88" s="97">
        <f>SUM(AR88:AU88)</f>
        <v>108.70354687500003</v>
      </c>
    </row>
    <row r="89" spans="1:48" outlineLevel="1" x14ac:dyDescent="0.3">
      <c r="B89" s="69" t="s">
        <v>50</v>
      </c>
      <c r="C89" s="70"/>
      <c r="D89" s="120"/>
      <c r="E89" s="120"/>
      <c r="F89" s="120"/>
      <c r="G89" s="120"/>
      <c r="H89" s="58"/>
      <c r="I89" s="120">
        <f>I88/D88-1</f>
        <v>0.97058823529411775</v>
      </c>
      <c r="J89" s="120">
        <f t="shared" ref="J89:L89" si="263">J88/E88-1</f>
        <v>0.3469387755102038</v>
      </c>
      <c r="K89" s="120">
        <f t="shared" si="263"/>
        <v>1.3947368421052633</v>
      </c>
      <c r="L89" s="120">
        <f t="shared" si="263"/>
        <v>-3.6363636363636376E-2</v>
      </c>
      <c r="M89" s="58"/>
      <c r="N89" s="120">
        <f>N88/I88-1</f>
        <v>1.2388059701492535</v>
      </c>
      <c r="O89" s="120">
        <f t="shared" ref="O89:Q89" si="264">O88/J88-1</f>
        <v>2.8484848484848486</v>
      </c>
      <c r="P89" s="120">
        <f t="shared" si="264"/>
        <v>0.47252747252747263</v>
      </c>
      <c r="Q89" s="120">
        <f t="shared" si="264"/>
        <v>2.1320754716981134</v>
      </c>
      <c r="R89" s="58"/>
      <c r="S89" s="120">
        <f>S88/N88-1</f>
        <v>1.1800000000000002</v>
      </c>
      <c r="T89" s="120">
        <f t="shared" ref="T89:U89" si="265">T88/O88-1</f>
        <v>-0.23228346456692905</v>
      </c>
      <c r="U89" s="120">
        <f t="shared" si="265"/>
        <v>-0.26865671641791045</v>
      </c>
      <c r="V89" s="120">
        <f>V88/Q88-1</f>
        <v>-0.3313253012048194</v>
      </c>
      <c r="W89" s="155"/>
      <c r="X89" s="71">
        <v>-0.2</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66">+D83+D74</f>
        <v>12212</v>
      </c>
      <c r="E90" s="101">
        <f t="shared" si="266"/>
        <v>12465</v>
      </c>
      <c r="F90" s="101">
        <f t="shared" si="266"/>
        <v>12773</v>
      </c>
      <c r="G90" s="101">
        <f t="shared" si="266"/>
        <v>13189</v>
      </c>
      <c r="H90" s="6"/>
      <c r="I90" s="101">
        <f t="shared" ref="I90:L91" si="267">+I83+I74</f>
        <v>13592</v>
      </c>
      <c r="J90" s="101">
        <f t="shared" si="267"/>
        <v>13779</v>
      </c>
      <c r="K90" s="101">
        <f t="shared" si="267"/>
        <v>13945</v>
      </c>
      <c r="L90" s="16">
        <f t="shared" si="267"/>
        <v>16263</v>
      </c>
      <c r="M90" s="6"/>
      <c r="N90" s="16">
        <f t="shared" ref="N90:Q91" si="268">+N83+N74</f>
        <v>14630</v>
      </c>
      <c r="O90" s="16">
        <f t="shared" si="268"/>
        <v>14823</v>
      </c>
      <c r="P90" s="16">
        <f t="shared" si="268"/>
        <v>15120</v>
      </c>
      <c r="Q90" s="16">
        <f t="shared" si="268"/>
        <v>17007</v>
      </c>
      <c r="R90" s="6"/>
      <c r="S90" s="16">
        <f t="shared" ref="S90:V91" si="269">+S83+S74</f>
        <v>17429</v>
      </c>
      <c r="T90" s="16">
        <f t="shared" si="269"/>
        <v>17704</v>
      </c>
      <c r="U90" s="16">
        <f t="shared" si="269"/>
        <v>17898</v>
      </c>
      <c r="V90" s="16">
        <f t="shared" si="269"/>
        <v>18416</v>
      </c>
      <c r="W90" s="254">
        <f>W91/Q90</f>
        <v>8.2848238960428061E-2</v>
      </c>
      <c r="X90" s="16">
        <f t="shared" ref="X90:AA91" si="270">+X83+X74</f>
        <v>18907</v>
      </c>
      <c r="Y90" s="16">
        <f t="shared" si="270"/>
        <v>19398</v>
      </c>
      <c r="Z90" s="16">
        <f t="shared" si="270"/>
        <v>19889</v>
      </c>
      <c r="AA90" s="16">
        <f t="shared" si="270"/>
        <v>20384</v>
      </c>
      <c r="AB90" s="254">
        <f>AB91/V90</f>
        <v>0.10686359687228497</v>
      </c>
      <c r="AC90" s="16">
        <f t="shared" ref="AC90:AF91" si="271">+AC83+AC74</f>
        <v>20892</v>
      </c>
      <c r="AD90" s="16">
        <f t="shared" si="271"/>
        <v>21400</v>
      </c>
      <c r="AE90" s="16">
        <f t="shared" si="271"/>
        <v>21908</v>
      </c>
      <c r="AF90" s="16">
        <f t="shared" si="271"/>
        <v>22422</v>
      </c>
      <c r="AG90" s="254">
        <f>AG91/AA90</f>
        <v>9.9980376766091048E-2</v>
      </c>
      <c r="AH90" s="16">
        <f t="shared" ref="AH90:AK91" si="272">+AH83+AH74</f>
        <v>22949</v>
      </c>
      <c r="AI90" s="16">
        <f t="shared" si="272"/>
        <v>23476</v>
      </c>
      <c r="AJ90" s="16">
        <f t="shared" si="272"/>
        <v>24003</v>
      </c>
      <c r="AK90" s="16">
        <f t="shared" si="272"/>
        <v>24533</v>
      </c>
      <c r="AL90" s="254">
        <f>AL91/AF90</f>
        <v>9.4148604049594145E-2</v>
      </c>
      <c r="AM90" s="16">
        <f t="shared" ref="AM90:AP91" si="273">+AM83+AM74</f>
        <v>24727</v>
      </c>
      <c r="AN90" s="16">
        <f t="shared" si="273"/>
        <v>24921</v>
      </c>
      <c r="AO90" s="16">
        <f t="shared" si="273"/>
        <v>25115</v>
      </c>
      <c r="AP90" s="16">
        <f t="shared" si="273"/>
        <v>25309</v>
      </c>
      <c r="AQ90" s="254">
        <f>AQ91/AK90</f>
        <v>3.1630864549790076E-2</v>
      </c>
      <c r="AR90" s="16">
        <f t="shared" ref="AR90:AU91" si="274">+AR83+AR74</f>
        <v>25503</v>
      </c>
      <c r="AS90" s="16">
        <f t="shared" si="274"/>
        <v>25697</v>
      </c>
      <c r="AT90" s="16">
        <f t="shared" si="274"/>
        <v>25891</v>
      </c>
      <c r="AU90" s="16">
        <f t="shared" si="274"/>
        <v>26085</v>
      </c>
      <c r="AV90" s="254">
        <f>AV91/AP90</f>
        <v>3.066102967323877E-2</v>
      </c>
    </row>
    <row r="91" spans="1:48" outlineLevel="1" x14ac:dyDescent="0.3">
      <c r="B91" s="180" t="s">
        <v>121</v>
      </c>
      <c r="C91" s="207"/>
      <c r="D91" s="101">
        <f t="shared" si="266"/>
        <v>360</v>
      </c>
      <c r="E91" s="101">
        <f t="shared" si="266"/>
        <v>253</v>
      </c>
      <c r="F91" s="101">
        <f t="shared" si="266"/>
        <v>308</v>
      </c>
      <c r="G91" s="101">
        <f t="shared" si="266"/>
        <v>416</v>
      </c>
      <c r="H91" s="122">
        <f>+H84+H75</f>
        <v>1337</v>
      </c>
      <c r="I91" s="101">
        <f t="shared" si="267"/>
        <v>403</v>
      </c>
      <c r="J91" s="101">
        <f t="shared" si="267"/>
        <v>187</v>
      </c>
      <c r="K91" s="101">
        <f t="shared" si="267"/>
        <v>166</v>
      </c>
      <c r="L91" s="101">
        <f t="shared" si="267"/>
        <v>356</v>
      </c>
      <c r="M91" s="122">
        <f>+M84+M75</f>
        <v>1112</v>
      </c>
      <c r="N91" s="101">
        <f t="shared" si="268"/>
        <v>324</v>
      </c>
      <c r="O91" s="101">
        <f t="shared" si="268"/>
        <v>193</v>
      </c>
      <c r="P91" s="101">
        <f t="shared" si="268"/>
        <v>297</v>
      </c>
      <c r="Q91" s="101">
        <f t="shared" si="268"/>
        <v>464</v>
      </c>
      <c r="R91" s="122">
        <f>+R84+R75</f>
        <v>1278</v>
      </c>
      <c r="S91" s="16">
        <f t="shared" si="269"/>
        <v>422</v>
      </c>
      <c r="T91" s="16">
        <f t="shared" si="269"/>
        <v>275</v>
      </c>
      <c r="U91" s="16">
        <f t="shared" si="269"/>
        <v>194</v>
      </c>
      <c r="V91" s="16">
        <f t="shared" si="269"/>
        <v>518</v>
      </c>
      <c r="W91" s="122">
        <f>+W84+W75</f>
        <v>1409</v>
      </c>
      <c r="X91" s="16">
        <f t="shared" si="270"/>
        <v>491</v>
      </c>
      <c r="Y91" s="16">
        <f t="shared" si="270"/>
        <v>491</v>
      </c>
      <c r="Z91" s="16">
        <f t="shared" si="270"/>
        <v>491</v>
      </c>
      <c r="AA91" s="16">
        <f t="shared" si="270"/>
        <v>495</v>
      </c>
      <c r="AB91" s="26">
        <f>+AB84+AB75</f>
        <v>1968</v>
      </c>
      <c r="AC91" s="16">
        <f t="shared" si="271"/>
        <v>508</v>
      </c>
      <c r="AD91" s="16">
        <f t="shared" si="271"/>
        <v>508</v>
      </c>
      <c r="AE91" s="16">
        <f t="shared" si="271"/>
        <v>508</v>
      </c>
      <c r="AF91" s="16">
        <f t="shared" si="271"/>
        <v>514</v>
      </c>
      <c r="AG91" s="26">
        <f>+AG84+AG75</f>
        <v>2038</v>
      </c>
      <c r="AH91" s="16">
        <f t="shared" si="272"/>
        <v>527</v>
      </c>
      <c r="AI91" s="16">
        <f t="shared" si="272"/>
        <v>527</v>
      </c>
      <c r="AJ91" s="16">
        <f t="shared" si="272"/>
        <v>527</v>
      </c>
      <c r="AK91" s="16">
        <f t="shared" si="272"/>
        <v>530</v>
      </c>
      <c r="AL91" s="26">
        <f>+AL84+AL75</f>
        <v>2111</v>
      </c>
      <c r="AM91" s="16">
        <f t="shared" si="273"/>
        <v>194</v>
      </c>
      <c r="AN91" s="16">
        <f t="shared" si="273"/>
        <v>194</v>
      </c>
      <c r="AO91" s="16">
        <f t="shared" si="273"/>
        <v>194</v>
      </c>
      <c r="AP91" s="16">
        <f t="shared" si="273"/>
        <v>194</v>
      </c>
      <c r="AQ91" s="26">
        <f>+AQ84+AQ75</f>
        <v>776</v>
      </c>
      <c r="AR91" s="16">
        <f t="shared" si="274"/>
        <v>194</v>
      </c>
      <c r="AS91" s="16">
        <f t="shared" si="274"/>
        <v>194</v>
      </c>
      <c r="AT91" s="16">
        <f t="shared" si="274"/>
        <v>194</v>
      </c>
      <c r="AU91" s="16">
        <f t="shared" si="274"/>
        <v>194</v>
      </c>
      <c r="AV91" s="26">
        <f>+AV84+AV75</f>
        <v>776</v>
      </c>
    </row>
    <row r="92" spans="1:48" outlineLevel="1" x14ac:dyDescent="0.3">
      <c r="B92" s="502" t="s">
        <v>122</v>
      </c>
      <c r="C92" s="503"/>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72">
        <f>+X88+X87+X78</f>
        <v>1873.5214543667269</v>
      </c>
      <c r="Y92" s="72">
        <f>+Y88+Y87+Y78</f>
        <v>1880.0025394832783</v>
      </c>
      <c r="Z92" s="72">
        <f>+Z88+Z87+Z78</f>
        <v>2126.5488620348751</v>
      </c>
      <c r="AA92" s="72">
        <f>+AA88+AA87+AA78</f>
        <v>2392.4031721546598</v>
      </c>
      <c r="AB92" s="73">
        <f>SUM(X92:AA92)</f>
        <v>8272.4760280395403</v>
      </c>
      <c r="AC92" s="72">
        <f>+AC88+AC87+AC78</f>
        <v>2436.0730132972076</v>
      </c>
      <c r="AD92" s="72">
        <f>+AD88+AD87+AD78</f>
        <v>2200.6944876785242</v>
      </c>
      <c r="AE92" s="72">
        <f>+AE88+AE87+AE78</f>
        <v>2483.8068938506531</v>
      </c>
      <c r="AF92" s="72">
        <f>+AF88+AF87+AF78</f>
        <v>2791.1808070652428</v>
      </c>
      <c r="AG92" s="73">
        <f>SUM(AC92:AF92)</f>
        <v>9911.7552018916267</v>
      </c>
      <c r="AH92" s="72">
        <f>+AH88+AH87+AH78</f>
        <v>2841.036353775572</v>
      </c>
      <c r="AI92" s="72">
        <f>+AI88+AI87+AI78</f>
        <v>2559.8212955999629</v>
      </c>
      <c r="AJ92" s="72">
        <f>+AJ88+AJ87+AJ78</f>
        <v>2882.3176421893913</v>
      </c>
      <c r="AK92" s="72">
        <f>+AK88+AK87+AK78</f>
        <v>3235.6483479320059</v>
      </c>
      <c r="AL92" s="73">
        <f>SUM(AH92:AK92)</f>
        <v>11518.823639496932</v>
      </c>
      <c r="AM92" s="72">
        <f>+AM88+AM87+AM78</f>
        <v>3264.1701068301436</v>
      </c>
      <c r="AN92" s="72">
        <f>+AN88+AN87+AN78</f>
        <v>2896.2022895133614</v>
      </c>
      <c r="AO92" s="72">
        <f>+AO88+AO87+AO78</f>
        <v>3213.4515055318616</v>
      </c>
      <c r="AP92" s="72">
        <f>+AP88+AP87+AP78</f>
        <v>3559.2640797296453</v>
      </c>
      <c r="AQ92" s="73">
        <f>SUM(AM92:AP92)</f>
        <v>12933.087981605011</v>
      </c>
      <c r="AR92" s="72">
        <f>+AR88+AR87+AR78</f>
        <v>3498.4766793240583</v>
      </c>
      <c r="AS92" s="72">
        <f>+AS88+AS87+AS78</f>
        <v>3100.917962295197</v>
      </c>
      <c r="AT92" s="72">
        <f>+AT88+AT87+AT78</f>
        <v>3438.1001030725547</v>
      </c>
      <c r="AU92" s="72">
        <f>+AU88+AU87+AU78</f>
        <v>3808.8140688278545</v>
      </c>
      <c r="AV92" s="73">
        <f>SUM(AR92:AU92)</f>
        <v>13846.308813519665</v>
      </c>
    </row>
    <row r="93" spans="1:48" outlineLevel="1" x14ac:dyDescent="0.3">
      <c r="B93" s="504" t="s">
        <v>100</v>
      </c>
      <c r="C93" s="505"/>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48">
        <f>X94*X92</f>
        <v>652.48962605893769</v>
      </c>
      <c r="Y93" s="48">
        <f>Y94*Y92</f>
        <v>622.26052099264541</v>
      </c>
      <c r="Z93" s="48">
        <f t="shared" ref="Z93:AA93" si="275">Z94*Z92</f>
        <v>727.82869241462629</v>
      </c>
      <c r="AA93" s="48">
        <f t="shared" si="275"/>
        <v>810.63693641075008</v>
      </c>
      <c r="AB93" s="76">
        <f>SUM(X93:AA93)</f>
        <v>2813.2157758769595</v>
      </c>
      <c r="AC93" s="48">
        <f>AC94*AC92</f>
        <v>799.68748951885516</v>
      </c>
      <c r="AD93" s="48">
        <f>AD94*AD92</f>
        <v>684.39219996632141</v>
      </c>
      <c r="AE93" s="48">
        <f t="shared" ref="AE93:AF93" si="276">AE94*AE92</f>
        <v>850.10316764219624</v>
      </c>
      <c r="AF93" s="48">
        <f t="shared" si="276"/>
        <v>945.75792439284669</v>
      </c>
      <c r="AG93" s="76">
        <f>SUM(AC93:AF93)</f>
        <v>3279.9407815202194</v>
      </c>
      <c r="AH93" s="48">
        <f>AH94*AH92</f>
        <v>926.94236711066787</v>
      </c>
      <c r="AI93" s="48">
        <f>AI94*AI92</f>
        <v>790.95711309894159</v>
      </c>
      <c r="AJ93" s="48">
        <f t="shared" ref="AJ93:AK93" si="277">AJ94*AJ92</f>
        <v>957.67354513987425</v>
      </c>
      <c r="AK93" s="48">
        <f t="shared" si="277"/>
        <v>1089.88908879377</v>
      </c>
      <c r="AL93" s="76">
        <f>SUM(AH93:AK93)</f>
        <v>3765.462114143254</v>
      </c>
      <c r="AM93" s="48">
        <f>AM94*AM92</f>
        <v>1064.9978348415145</v>
      </c>
      <c r="AN93" s="48">
        <f>AN94*AN92</f>
        <v>894.895204521349</v>
      </c>
      <c r="AO93" s="48">
        <f t="shared" ref="AO93:AP93" si="278">AO94*AO92</f>
        <v>1067.6954720022325</v>
      </c>
      <c r="AP93" s="48">
        <f t="shared" si="278"/>
        <v>1198.8951417147191</v>
      </c>
      <c r="AQ93" s="76">
        <f>SUM(AM93:AP93)</f>
        <v>4226.4836530798148</v>
      </c>
      <c r="AR93" s="48">
        <f>AR94*AR92</f>
        <v>1141.4448287873911</v>
      </c>
      <c r="AS93" s="48">
        <f>AS94*AS92</f>
        <v>958.15013478853302</v>
      </c>
      <c r="AT93" s="48">
        <f t="shared" ref="AT93:AU93" si="279">AT94*AT92</f>
        <v>1142.3368007955703</v>
      </c>
      <c r="AU93" s="48">
        <f t="shared" si="279"/>
        <v>1282.9530432479849</v>
      </c>
      <c r="AV93" s="76">
        <f>SUM(AR93:AU93)</f>
        <v>4524.8848076194799</v>
      </c>
    </row>
    <row r="94" spans="1:48" s="183" customFormat="1" outlineLevel="1" x14ac:dyDescent="0.3">
      <c r="A94" s="238"/>
      <c r="B94" s="181" t="s">
        <v>151</v>
      </c>
      <c r="C94" s="182"/>
      <c r="D94" s="167">
        <f>D93/D92</f>
        <v>0.30764627659574467</v>
      </c>
      <c r="E94" s="167">
        <f t="shared" ref="E94:V94" si="280">E93/E92</f>
        <v>0.30744082646789589</v>
      </c>
      <c r="F94" s="167">
        <f t="shared" si="280"/>
        <v>0.30032170567085098</v>
      </c>
      <c r="G94" s="167">
        <f t="shared" si="280"/>
        <v>0.30920424909356908</v>
      </c>
      <c r="H94" s="186">
        <f>H93/H92</f>
        <v>0.30611552626477995</v>
      </c>
      <c r="I94" s="167">
        <f t="shared" si="280"/>
        <v>0.31092864871745912</v>
      </c>
      <c r="J94" s="167">
        <f t="shared" si="280"/>
        <v>0.34170632822139962</v>
      </c>
      <c r="K94" s="167">
        <f t="shared" si="280"/>
        <v>0.35562342038753159</v>
      </c>
      <c r="L94" s="167">
        <f t="shared" si="280"/>
        <v>0.31707801230728511</v>
      </c>
      <c r="M94" s="186">
        <f>M93/M92</f>
        <v>0.32770100259358192</v>
      </c>
      <c r="N94" s="167">
        <f t="shared" si="280"/>
        <v>0.31457414011968809</v>
      </c>
      <c r="O94" s="167">
        <f t="shared" si="280"/>
        <v>0.31876590725681292</v>
      </c>
      <c r="P94" s="167">
        <f t="shared" si="280"/>
        <v>0.30252050168837435</v>
      </c>
      <c r="Q94" s="167">
        <f t="shared" si="280"/>
        <v>0.31604512691946102</v>
      </c>
      <c r="R94" s="188">
        <f>R93/R92</f>
        <v>0.31305021789359783</v>
      </c>
      <c r="S94" s="167">
        <f t="shared" si="280"/>
        <v>0.32826909749986671</v>
      </c>
      <c r="T94" s="167">
        <f t="shared" si="280"/>
        <v>0.34098919172932329</v>
      </c>
      <c r="U94" s="167">
        <f t="shared" si="280"/>
        <v>0.34725815611787714</v>
      </c>
      <c r="V94" s="167">
        <f t="shared" si="280"/>
        <v>0.34383792909397859</v>
      </c>
      <c r="W94" s="188">
        <f>W93/W92</f>
        <v>0.33971181556195962</v>
      </c>
      <c r="X94" s="189">
        <f>S94+2%</f>
        <v>0.34826909749986673</v>
      </c>
      <c r="Y94" s="189">
        <f>T94-1%</f>
        <v>0.33098919172932328</v>
      </c>
      <c r="Z94" s="189">
        <f>U94-0.5%</f>
        <v>0.34225815611787713</v>
      </c>
      <c r="AA94" s="189">
        <f>V94-0.5%</f>
        <v>0.33883792909397858</v>
      </c>
      <c r="AB94" s="188">
        <f>AB93/AB92</f>
        <v>0.34006937781887436</v>
      </c>
      <c r="AC94" s="189">
        <f>X94-2%</f>
        <v>0.32826909749986671</v>
      </c>
      <c r="AD94" s="189">
        <f>Y94-2%</f>
        <v>0.31098919172932327</v>
      </c>
      <c r="AE94" s="189">
        <f t="shared" ref="AE94:AF94" si="281">Z94</f>
        <v>0.34225815611787713</v>
      </c>
      <c r="AF94" s="189">
        <f t="shared" si="281"/>
        <v>0.33883792909397858</v>
      </c>
      <c r="AG94" s="188">
        <f>AG93/AG92</f>
        <v>0.33091422404119236</v>
      </c>
      <c r="AH94" s="189">
        <f>AC94-0.2%</f>
        <v>0.32626909749986671</v>
      </c>
      <c r="AI94" s="189">
        <f>AD94-0.2%</f>
        <v>0.30898919172932326</v>
      </c>
      <c r="AJ94" s="189">
        <f>AE94-1%</f>
        <v>0.33225815611787712</v>
      </c>
      <c r="AK94" s="189">
        <f>AF94-0.2%</f>
        <v>0.33683792909397858</v>
      </c>
      <c r="AL94" s="188">
        <f>AL93/AL92</f>
        <v>0.32689641164674565</v>
      </c>
      <c r="AM94" s="189">
        <f>AH94</f>
        <v>0.32626909749986671</v>
      </c>
      <c r="AN94" s="189">
        <f t="shared" ref="AN94:AP94" si="282">AI94</f>
        <v>0.30898919172932326</v>
      </c>
      <c r="AO94" s="189">
        <f t="shared" si="282"/>
        <v>0.33225815611787712</v>
      </c>
      <c r="AP94" s="189">
        <f t="shared" si="282"/>
        <v>0.33683792909397858</v>
      </c>
      <c r="AQ94" s="188">
        <f>AQ93/AQ92</f>
        <v>0.32679617266125666</v>
      </c>
      <c r="AR94" s="189">
        <f>AM94</f>
        <v>0.32626909749986671</v>
      </c>
      <c r="AS94" s="189">
        <f t="shared" ref="AS94:AU94" si="283">AN94</f>
        <v>0.30898919172932326</v>
      </c>
      <c r="AT94" s="189">
        <f t="shared" si="283"/>
        <v>0.33225815611787712</v>
      </c>
      <c r="AU94" s="189">
        <f t="shared" si="283"/>
        <v>0.33683792909397858</v>
      </c>
      <c r="AV94" s="188">
        <f>AV93/AV92</f>
        <v>0.32679357860351493</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48">
        <f>X96*X78</f>
        <v>684.4980254726571</v>
      </c>
      <c r="Y95" s="48">
        <f>Y96*Y78</f>
        <v>717.37938606687896</v>
      </c>
      <c r="Z95" s="48">
        <f>Z96*Z78</f>
        <v>852.51584839257714</v>
      </c>
      <c r="AA95" s="48">
        <f>AA96*AA78</f>
        <v>919.34673420083789</v>
      </c>
      <c r="AB95" s="49">
        <f>SUM(X95:AA95)</f>
        <v>3173.7399941329513</v>
      </c>
      <c r="AC95" s="48">
        <f>AC96*AC78</f>
        <v>924.66968247204727</v>
      </c>
      <c r="AD95" s="48">
        <f>AD96*AD78</f>
        <v>812.33867070063695</v>
      </c>
      <c r="AE95" s="48">
        <f>AE96*AE78</f>
        <v>1002.9260023118139</v>
      </c>
      <c r="AF95" s="48">
        <f>AF96*AF78</f>
        <v>1079.2969036498666</v>
      </c>
      <c r="AG95" s="49">
        <f>SUM(AC95:AF95)</f>
        <v>3819.2312591343648</v>
      </c>
      <c r="AH95" s="48">
        <f>AH96*AH78</f>
        <v>1078.9150864666803</v>
      </c>
      <c r="AI95" s="48">
        <f>AI96*AI78</f>
        <v>946.01031101154456</v>
      </c>
      <c r="AJ95" s="48">
        <f>AJ96*AJ78</f>
        <v>1127.2113479756927</v>
      </c>
      <c r="AK95" s="48">
        <f>AK96*AK78</f>
        <v>1252.3993239168337</v>
      </c>
      <c r="AL95" s="49">
        <f>SUM(AH95:AK95)</f>
        <v>4404.5360693707516</v>
      </c>
      <c r="AM95" s="48">
        <f>AM96*AM78</f>
        <v>1246.1911082091403</v>
      </c>
      <c r="AN95" s="48">
        <f>AN96*AN78</f>
        <v>1076.511220581855</v>
      </c>
      <c r="AO95" s="48">
        <f>AO96*AO78</f>
        <v>1264.419386084063</v>
      </c>
      <c r="AP95" s="48">
        <f>AP96*AP78</f>
        <v>1385.4052851516519</v>
      </c>
      <c r="AQ95" s="49">
        <f>SUM(AM95:AP95)</f>
        <v>4972.5270000267101</v>
      </c>
      <c r="AR95" s="48">
        <f>AR96*AR78</f>
        <v>1342.7383338820068</v>
      </c>
      <c r="AS95" s="48">
        <f>AS96*AS78</f>
        <v>1159.3305152911125</v>
      </c>
      <c r="AT95" s="48">
        <f>AT96*AT78</f>
        <v>1361.0266361111026</v>
      </c>
      <c r="AU95" s="48">
        <f>AU96*AU78</f>
        <v>1490.540359292838</v>
      </c>
      <c r="AV95" s="49">
        <f>SUM(AR95:AU95)</f>
        <v>5353.6358445770602</v>
      </c>
    </row>
    <row r="96" spans="1:48" s="184" customFormat="1" outlineLevel="1" x14ac:dyDescent="0.3">
      <c r="B96" s="181" t="s">
        <v>150</v>
      </c>
      <c r="C96" s="190"/>
      <c r="D96" s="167">
        <f t="shared" ref="D96:V96" si="284">D95/D78</f>
        <v>0.47234175729598632</v>
      </c>
      <c r="E96" s="167">
        <f t="shared" si="284"/>
        <v>0.4722773789521918</v>
      </c>
      <c r="F96" s="167">
        <f t="shared" si="284"/>
        <v>0.45032525133057366</v>
      </c>
      <c r="G96" s="167">
        <f t="shared" si="284"/>
        <v>0.45390987157078799</v>
      </c>
      <c r="H96" s="186">
        <f t="shared" si="284"/>
        <v>0.46204482325634483</v>
      </c>
      <c r="I96" s="167">
        <f t="shared" si="284"/>
        <v>0.46354126899289916</v>
      </c>
      <c r="J96" s="167">
        <f t="shared" si="284"/>
        <v>0.62367021276595747</v>
      </c>
      <c r="K96" s="167">
        <f t="shared" si="284"/>
        <v>0.5521416333523701</v>
      </c>
      <c r="L96" s="167">
        <f t="shared" si="284"/>
        <v>0.47962720480628518</v>
      </c>
      <c r="M96" s="186">
        <f t="shared" si="284"/>
        <v>0.51893568024806769</v>
      </c>
      <c r="N96" s="167">
        <f t="shared" si="284"/>
        <v>0.43594367760282998</v>
      </c>
      <c r="O96" s="167">
        <f t="shared" si="284"/>
        <v>0.44789485087022463</v>
      </c>
      <c r="P96" s="167">
        <f t="shared" si="284"/>
        <v>0.4326379683248448</v>
      </c>
      <c r="Q96" s="167">
        <f t="shared" si="284"/>
        <v>0.43639751552795031</v>
      </c>
      <c r="R96" s="188">
        <f t="shared" si="284"/>
        <v>0.43808031074841985</v>
      </c>
      <c r="S96" s="167">
        <f t="shared" si="284"/>
        <v>0.46250745872836974</v>
      </c>
      <c r="T96" s="167">
        <f t="shared" si="284"/>
        <v>0.51424947776783048</v>
      </c>
      <c r="U96" s="167">
        <f t="shared" si="284"/>
        <v>0.54417964380968775</v>
      </c>
      <c r="V96" s="167">
        <f t="shared" si="284"/>
        <v>0.50521874306018211</v>
      </c>
      <c r="W96" s="188">
        <f>W95/W78</f>
        <v>0.50390719707566356</v>
      </c>
      <c r="X96" s="189">
        <f>S96+2%</f>
        <v>0.48250745872836975</v>
      </c>
      <c r="Y96" s="189">
        <f>T96-1%</f>
        <v>0.50424947776783047</v>
      </c>
      <c r="Z96" s="189">
        <f>U96-0.5%</f>
        <v>0.53917964380968775</v>
      </c>
      <c r="AA96" s="189">
        <f>V96-0.5%</f>
        <v>0.5002187430601821</v>
      </c>
      <c r="AB96" s="188">
        <f>AB95/AB78</f>
        <v>0.50696139307392518</v>
      </c>
      <c r="AC96" s="189">
        <f>X96</f>
        <v>0.48250745872836975</v>
      </c>
      <c r="AD96" s="189">
        <f>Y96-2%</f>
        <v>0.48424947776783045</v>
      </c>
      <c r="AE96" s="189">
        <f t="shared" ref="AE96:AF96" si="285">Z96</f>
        <v>0.53917964380968775</v>
      </c>
      <c r="AF96" s="189">
        <f t="shared" si="285"/>
        <v>0.5002187430601821</v>
      </c>
      <c r="AG96" s="188">
        <f>AG95/AG78</f>
        <v>0.50176119670309249</v>
      </c>
      <c r="AH96" s="189">
        <f>AC96-0.2%</f>
        <v>0.48050745872836975</v>
      </c>
      <c r="AI96" s="189">
        <f>AD96-0.2%</f>
        <v>0.48224947776783045</v>
      </c>
      <c r="AJ96" s="189">
        <f>AE96-2%</f>
        <v>0.51917964380968773</v>
      </c>
      <c r="AK96" s="189">
        <f>AF96-0.2%</f>
        <v>0.4982187430601821</v>
      </c>
      <c r="AL96" s="188">
        <f>AL95/AL78</f>
        <v>0.4953413474550713</v>
      </c>
      <c r="AM96" s="189">
        <f>AH96</f>
        <v>0.48050745872836975</v>
      </c>
      <c r="AN96" s="189">
        <f t="shared" ref="AN96:AP96" si="286">AI96</f>
        <v>0.48224947776783045</v>
      </c>
      <c r="AO96" s="189">
        <f t="shared" si="286"/>
        <v>0.51917964380968773</v>
      </c>
      <c r="AP96" s="189">
        <f t="shared" si="286"/>
        <v>0.4982187430601821</v>
      </c>
      <c r="AQ96" s="188">
        <f>AQ95/AQ78</f>
        <v>0.49517816176214557</v>
      </c>
      <c r="AR96" s="189">
        <f>AM96</f>
        <v>0.48050745872836975</v>
      </c>
      <c r="AS96" s="189">
        <f t="shared" ref="AS96:AU96" si="287">AN96</f>
        <v>0.48224947776783045</v>
      </c>
      <c r="AT96" s="189">
        <f t="shared" si="287"/>
        <v>0.51917964380968773</v>
      </c>
      <c r="AU96" s="189">
        <f t="shared" si="287"/>
        <v>0.4982187430601821</v>
      </c>
      <c r="AV96" s="188">
        <f>AV95/AV78</f>
        <v>0.49517258302095907</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48">
        <f>X98*X92</f>
        <v>39.150296397023133</v>
      </c>
      <c r="Y97" s="48">
        <f>Y98*Y92</f>
        <v>43.62082959914796</v>
      </c>
      <c r="Z97" s="48">
        <f t="shared" ref="Z97:AA97" si="288">Z98*Z92</f>
        <v>70.151152638459109</v>
      </c>
      <c r="AA97" s="48">
        <f t="shared" si="288"/>
        <v>70.546947788916242</v>
      </c>
      <c r="AB97" s="49">
        <f>SUM(X97:AA97)</f>
        <v>223.46922642354644</v>
      </c>
      <c r="AC97" s="48">
        <f>AC98*AC92</f>
        <v>50.905731713444503</v>
      </c>
      <c r="AD97" s="48">
        <f>AD98*AD92</f>
        <v>51.061696583236433</v>
      </c>
      <c r="AE97" s="48">
        <f t="shared" ref="AE97:AF97" si="289">AE98*AE92</f>
        <v>69.517439996818339</v>
      </c>
      <c r="AF97" s="48">
        <f t="shared" si="289"/>
        <v>82.306063190894037</v>
      </c>
      <c r="AG97" s="49">
        <f>SUM(AC97:AF97)</f>
        <v>253.79093148439333</v>
      </c>
      <c r="AH97" s="48">
        <f>AH98*AH92</f>
        <v>53.686030639110427</v>
      </c>
      <c r="AI97" s="48">
        <f>AI98*AI92</f>
        <v>54.274707253841498</v>
      </c>
      <c r="AJ97" s="48">
        <f t="shared" ref="AJ97:AK97" si="290">AJ98*AJ92</f>
        <v>63.377157681934058</v>
      </c>
      <c r="AK97" s="48">
        <f t="shared" si="290"/>
        <v>88.941181318563167</v>
      </c>
      <c r="AL97" s="49">
        <f>SUM(AH97:AK97)</f>
        <v>260.27907689344914</v>
      </c>
      <c r="AM97" s="48">
        <f>AM98*AM92</f>
        <v>61.681835268903626</v>
      </c>
      <c r="AN97" s="48">
        <f>AN98*AN92</f>
        <v>61.406837923192356</v>
      </c>
      <c r="AO97" s="48">
        <f t="shared" ref="AO97:AP97" si="291">AO98*AO92</f>
        <v>70.658216078725701</v>
      </c>
      <c r="AP97" s="48">
        <f t="shared" si="291"/>
        <v>97.836698502236487</v>
      </c>
      <c r="AQ97" s="49">
        <f>SUM(AM97:AP97)</f>
        <v>291.58358777305818</v>
      </c>
      <c r="AR97" s="48">
        <f>AR98*AR92</f>
        <v>66.109441347627865</v>
      </c>
      <c r="AS97" s="48">
        <f>AS98*AS92</f>
        <v>65.747329671427153</v>
      </c>
      <c r="AT97" s="48">
        <f t="shared" ref="AT97:AU97" si="292">AT98*AT92</f>
        <v>75.59784847071532</v>
      </c>
      <c r="AU97" s="48">
        <f t="shared" si="292"/>
        <v>104.69630388630577</v>
      </c>
      <c r="AV97" s="49">
        <f>SUM(AR97:AU97)</f>
        <v>312.15092337607609</v>
      </c>
    </row>
    <row r="98" spans="1:48" s="184" customFormat="1" outlineLevel="1" x14ac:dyDescent="0.3">
      <c r="B98" s="181" t="s">
        <v>152</v>
      </c>
      <c r="C98" s="190"/>
      <c r="D98" s="167">
        <f>D97/D92</f>
        <v>2.0811170212765958E-2</v>
      </c>
      <c r="E98" s="167">
        <f t="shared" ref="E98:W98" si="293">E97/E92</f>
        <v>1.7196286125277887E-2</v>
      </c>
      <c r="F98" s="167">
        <f t="shared" si="293"/>
        <v>1.6842238062196431E-2</v>
      </c>
      <c r="G98" s="167">
        <f t="shared" si="293"/>
        <v>2.0291330068061827E-2</v>
      </c>
      <c r="H98" s="186">
        <f t="shared" si="293"/>
        <v>1.8769787426503842E-2</v>
      </c>
      <c r="I98" s="167">
        <f t="shared" si="293"/>
        <v>2.2850232321303544E-2</v>
      </c>
      <c r="J98" s="167">
        <f t="shared" si="293"/>
        <v>2.8027498677948178E-2</v>
      </c>
      <c r="K98" s="167">
        <f t="shared" si="293"/>
        <v>3.9490311710193765E-2</v>
      </c>
      <c r="L98" s="167">
        <f t="shared" si="293"/>
        <v>2.6401111625752663E-2</v>
      </c>
      <c r="M98" s="186">
        <f t="shared" si="293"/>
        <v>2.8084233344946388E-2</v>
      </c>
      <c r="N98" s="167">
        <f t="shared" si="293"/>
        <v>2.0733845130871061E-2</v>
      </c>
      <c r="O98" s="167">
        <f t="shared" si="293"/>
        <v>1.8188590229064498E-2</v>
      </c>
      <c r="P98" s="167">
        <f t="shared" si="293"/>
        <v>2.3094548962855763E-2</v>
      </c>
      <c r="Q98" s="167">
        <f t="shared" si="293"/>
        <v>2.0787631881332914E-2</v>
      </c>
      <c r="R98" s="188">
        <f t="shared" si="293"/>
        <v>2.0721827381474659E-2</v>
      </c>
      <c r="S98" s="167">
        <f t="shared" si="293"/>
        <v>2.0896636281251667E-2</v>
      </c>
      <c r="T98" s="167">
        <f t="shared" si="293"/>
        <v>2.3202537593984961E-2</v>
      </c>
      <c r="U98" s="167">
        <f t="shared" si="293"/>
        <v>3.7988262762668014E-2</v>
      </c>
      <c r="V98" s="167">
        <f t="shared" si="293"/>
        <v>2.948790095666854E-2</v>
      </c>
      <c r="W98" s="188">
        <f t="shared" si="293"/>
        <v>2.7564841498559079E-2</v>
      </c>
      <c r="X98" s="189">
        <f>S98</f>
        <v>2.0896636281251667E-2</v>
      </c>
      <c r="Y98" s="189">
        <f t="shared" ref="Y98" si="294">T98</f>
        <v>2.3202537593984961E-2</v>
      </c>
      <c r="Z98" s="189">
        <f>U98-0.5%</f>
        <v>3.2988262762668016E-2</v>
      </c>
      <c r="AA98" s="189">
        <f t="shared" ref="AA98" si="295">V98</f>
        <v>2.948790095666854E-2</v>
      </c>
      <c r="AB98" s="188">
        <f t="shared" ref="AB98" si="296">AB97/AB92</f>
        <v>2.7013584042564518E-2</v>
      </c>
      <c r="AC98" s="189">
        <f>X98</f>
        <v>2.0896636281251667E-2</v>
      </c>
      <c r="AD98" s="189">
        <f t="shared" ref="AD98" si="297">Y98</f>
        <v>2.3202537593984961E-2</v>
      </c>
      <c r="AE98" s="189">
        <f>Z98-0.5%</f>
        <v>2.7988262762668015E-2</v>
      </c>
      <c r="AF98" s="189">
        <f t="shared" ref="AF98" si="298">AA98</f>
        <v>2.948790095666854E-2</v>
      </c>
      <c r="AG98" s="188">
        <f t="shared" ref="AG98" si="299">AG97/AG92</f>
        <v>2.5605044345320207E-2</v>
      </c>
      <c r="AH98" s="189">
        <f>AC98-0.2%</f>
        <v>1.8896636281251669E-2</v>
      </c>
      <c r="AI98" s="189">
        <f>AD98-0.2%</f>
        <v>2.1202537593984959E-2</v>
      </c>
      <c r="AJ98" s="189">
        <f>AE98-0.6%</f>
        <v>2.1988262762668014E-2</v>
      </c>
      <c r="AK98" s="189">
        <f>AF98-0.2%</f>
        <v>2.7487900956668539E-2</v>
      </c>
      <c r="AL98" s="188">
        <f t="shared" ref="AL98" si="300">AL97/AL92</f>
        <v>2.2595977249011554E-2</v>
      </c>
      <c r="AM98" s="189">
        <f>AH98</f>
        <v>1.8896636281251669E-2</v>
      </c>
      <c r="AN98" s="189">
        <f t="shared" ref="AN98:AP98" si="301">AI98</f>
        <v>2.1202537593984959E-2</v>
      </c>
      <c r="AO98" s="189">
        <f t="shared" si="301"/>
        <v>2.1988262762668014E-2</v>
      </c>
      <c r="AP98" s="189">
        <f t="shared" si="301"/>
        <v>2.7487900956668539E-2</v>
      </c>
      <c r="AQ98" s="188">
        <f t="shared" ref="AQ98" si="302">AQ97/AQ92</f>
        <v>2.2545550466198275E-2</v>
      </c>
      <c r="AR98" s="189">
        <f>AM98</f>
        <v>1.8896636281251669E-2</v>
      </c>
      <c r="AS98" s="189">
        <f t="shared" ref="AS98:AU98" si="303">AN98</f>
        <v>2.1202537593984959E-2</v>
      </c>
      <c r="AT98" s="189">
        <f t="shared" si="303"/>
        <v>2.1988262762668014E-2</v>
      </c>
      <c r="AU98" s="189">
        <f t="shared" si="303"/>
        <v>2.7487900956668539E-2</v>
      </c>
      <c r="AV98" s="188">
        <f t="shared" ref="AV98" si="304">AV97/AV92</f>
        <v>2.2543981040729716E-2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f>(V99/(V66+V99+V114+V127))*'CFS (After Changes)'!X7*0.95</f>
        <v>125.95116549467765</v>
      </c>
      <c r="Y99" s="358">
        <f>(X99/(X66+X99+X114+X127))*'CFS (After Changes)'!Y7*0.95</f>
        <v>129.5513074008386</v>
      </c>
      <c r="Z99" s="358">
        <f>(Y99/(Y66+Y99+Y114+Y127))*'CFS (After Changes)'!Z7*0.95</f>
        <v>132.19242624999845</v>
      </c>
      <c r="AA99" s="358">
        <f>(Z99/(Z66+Z99+Z114+Z127))*'CFS (After Changes)'!AA7*0.95</f>
        <v>135.61533697125506</v>
      </c>
      <c r="AB99" s="126">
        <f>SUM(X99:AA99)</f>
        <v>523.31023611676972</v>
      </c>
      <c r="AC99" s="358">
        <f>(AA99/(AA66+AA99+AA114+AA127))*'CFS (After Changes)'!AC7*0.95</f>
        <v>141.99238636362156</v>
      </c>
      <c r="AD99" s="358">
        <f>(AC99/(AC66+AC99+AC114+AC127))*'CFS (After Changes)'!AD7*0.95</f>
        <v>146.27924936858565</v>
      </c>
      <c r="AE99" s="358">
        <f>(AD99/(AD66+AD99+AD114+AD127))*'CFS (After Changes)'!AE7*0.95</f>
        <v>149.67317767237301</v>
      </c>
      <c r="AF99" s="358">
        <f>(AE99/(AE66+AE99+AE114+AE127))*'CFS (After Changes)'!AF7*0.95</f>
        <v>154.40007053120956</v>
      </c>
      <c r="AG99" s="126">
        <f>SUM(AC99:AF99)</f>
        <v>592.34488393578977</v>
      </c>
      <c r="AH99" s="358">
        <f>(AF99/(AF66+AF99+AF114+AF127))*'CFS (After Changes)'!AH7*0.95</f>
        <v>159.64405507016963</v>
      </c>
      <c r="AI99" s="358">
        <f>(AH99/(AH66+AH99+AH114+AH127))*'CFS (After Changes)'!AI7*0.95</f>
        <v>163.14645206884029</v>
      </c>
      <c r="AJ99" s="358">
        <f>(AI99/(AI66+AI99+AI114+AI127))*'CFS (After Changes)'!AJ7*0.95</f>
        <v>165.78862265761228</v>
      </c>
      <c r="AK99" s="358">
        <f>(AJ99/(AJ66+AJ99+AJ114+AJ127))*'CFS (After Changes)'!AK7*0.95</f>
        <v>169.68330376926039</v>
      </c>
      <c r="AL99" s="126">
        <f>SUM(AH99:AK99)</f>
        <v>658.26243356588259</v>
      </c>
      <c r="AM99" s="358">
        <f>(AK99/(AK66+AK99+AK114+AK127))*'CFS (After Changes)'!AM7*0.95</f>
        <v>173.85688651730348</v>
      </c>
      <c r="AN99" s="358">
        <f>(AM99/(AM66+AM99+AM114+AM127))*'CFS (After Changes)'!AN7*0.95</f>
        <v>177.89911788026509</v>
      </c>
      <c r="AO99" s="358">
        <f>(AN99/(AN66+AN99+AN114+AN127))*'CFS (After Changes)'!AO7*0.95</f>
        <v>180.8696436490666</v>
      </c>
      <c r="AP99" s="358">
        <f>(AO99/(AO66+AO99+AO114+AO127))*'CFS (After Changes)'!AP7*0.95</f>
        <v>185.09656953818163</v>
      </c>
      <c r="AQ99" s="126">
        <f>SUM(AM99:AP99)</f>
        <v>717.7222175848168</v>
      </c>
      <c r="AR99" s="358">
        <f>(AP99/(AP66+AP99+AP114+AP127))*'CFS (After Changes)'!AR7*0.95</f>
        <v>189.55216787325966</v>
      </c>
      <c r="AS99" s="358">
        <f>(AR99/(AR66+AR99+AR114+AR127))*'CFS (After Changes)'!AS7*0.95</f>
        <v>193.61976580399005</v>
      </c>
      <c r="AT99" s="358">
        <f>(AS99/(AS66+AS99+AS114+AS127))*'CFS (After Changes)'!AT7*0.95</f>
        <v>196.5318424652414</v>
      </c>
      <c r="AU99" s="358">
        <f>(AT99/(AT66+AT99+AT114+AT127))*'CFS (After Changes)'!AU7*0.95</f>
        <v>200.78193369320866</v>
      </c>
      <c r="AV99" s="126">
        <f>SUM(AR99:AU99)</f>
        <v>780.48570983569982</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48">
        <f>X101*X92</f>
        <v>91.184236251229891</v>
      </c>
      <c r="Y100" s="48">
        <f>Y101*Y92</f>
        <v>87.904254078282975</v>
      </c>
      <c r="Z100" s="48">
        <f t="shared" ref="Z100:AA100" si="305">Z101*Z92</f>
        <v>99.136736925676431</v>
      </c>
      <c r="AA100" s="48">
        <f t="shared" si="305"/>
        <v>112.70682698757869</v>
      </c>
      <c r="AB100" s="49">
        <f>SUM(X100:AA100)</f>
        <v>390.932054242768</v>
      </c>
      <c r="AC100" s="48">
        <f>AC101*AC92</f>
        <v>111.2553856906564</v>
      </c>
      <c r="AD100" s="48">
        <f>AD101*AD92</f>
        <v>102.89901387406633</v>
      </c>
      <c r="AE100" s="48">
        <f t="shared" ref="AE100:AF100" si="306">AE101*AE92</f>
        <v>115.79160724020809</v>
      </c>
      <c r="AF100" s="48">
        <f t="shared" si="306"/>
        <v>131.49336030583387</v>
      </c>
      <c r="AG100" s="49">
        <f>SUM(AC100:AF100)</f>
        <v>461.43936711076469</v>
      </c>
      <c r="AH100" s="48">
        <f>AH101*AH92</f>
        <v>124.06797730128031</v>
      </c>
      <c r="AI100" s="48">
        <f>AI101*AI92</f>
        <v>114.57124975475698</v>
      </c>
      <c r="AJ100" s="48">
        <f t="shared" ref="AJ100:AK100" si="307">AJ101*AJ92</f>
        <v>128.60498628008423</v>
      </c>
      <c r="AK100" s="48">
        <f t="shared" si="307"/>
        <v>145.96106202508582</v>
      </c>
      <c r="AL100" s="49">
        <f>SUM(AH100:AK100)</f>
        <v>513.20527536120733</v>
      </c>
      <c r="AM100" s="48">
        <f>AM101*AM92</f>
        <v>142.54621634233101</v>
      </c>
      <c r="AN100" s="48">
        <f>AN101*AN92</f>
        <v>129.62682841278692</v>
      </c>
      <c r="AO100" s="48">
        <f t="shared" ref="AO100:AP100" si="308">AO101*AO92</f>
        <v>143.37971663203879</v>
      </c>
      <c r="AP100" s="48">
        <f t="shared" si="308"/>
        <v>160.55946420664495</v>
      </c>
      <c r="AQ100" s="49">
        <f>SUM(AM100:AP100)</f>
        <v>576.11222559380167</v>
      </c>
      <c r="AR100" s="48">
        <f>AR101*AR92</f>
        <v>152.77837774325204</v>
      </c>
      <c r="AS100" s="48">
        <f>AS101*AS92</f>
        <v>138.78939398535888</v>
      </c>
      <c r="AT100" s="48">
        <f t="shared" ref="AT100:AU100" si="309">AT101*AT92</f>
        <v>153.40322319553317</v>
      </c>
      <c r="AU100" s="48">
        <f t="shared" si="309"/>
        <v>171.81673864451864</v>
      </c>
      <c r="AV100" s="49">
        <f>SUM(AR100:AU100)</f>
        <v>616.7877335686627</v>
      </c>
    </row>
    <row r="101" spans="1:48" s="184" customFormat="1" outlineLevel="1" x14ac:dyDescent="0.3">
      <c r="B101" s="181" t="s">
        <v>153</v>
      </c>
      <c r="C101" s="190"/>
      <c r="D101" s="167">
        <f>D100/D92</f>
        <v>4.6077127659574467E-2</v>
      </c>
      <c r="E101" s="167">
        <f t="shared" ref="E101:W101" si="310">E100/E92</f>
        <v>5.2438864914345497E-2</v>
      </c>
      <c r="F101" s="167">
        <f t="shared" si="310"/>
        <v>5.4248407241531571E-2</v>
      </c>
      <c r="G101" s="167">
        <f t="shared" si="310"/>
        <v>5.2413968577062528E-2</v>
      </c>
      <c r="H101" s="186">
        <f t="shared" si="310"/>
        <v>5.1350390902629703E-2</v>
      </c>
      <c r="I101" s="167">
        <f t="shared" si="310"/>
        <v>4.277257972121444E-2</v>
      </c>
      <c r="J101" s="167">
        <f t="shared" si="310"/>
        <v>5.6143134144191795E-2</v>
      </c>
      <c r="K101" s="167">
        <f t="shared" si="310"/>
        <v>6.9608256107834873E-2</v>
      </c>
      <c r="L101" s="167">
        <f t="shared" si="310"/>
        <v>5.5912128630979954E-2</v>
      </c>
      <c r="M101" s="186">
        <f t="shared" si="310"/>
        <v>5.4484573994503162E-2</v>
      </c>
      <c r="N101" s="167">
        <f t="shared" si="310"/>
        <v>4.9930484192709908E-2</v>
      </c>
      <c r="O101" s="167">
        <f t="shared" si="310"/>
        <v>4.9537525606803648E-2</v>
      </c>
      <c r="P101" s="167">
        <f t="shared" si="310"/>
        <v>5.5656054027978775E-2</v>
      </c>
      <c r="Q101" s="167">
        <f t="shared" si="310"/>
        <v>5.139454716389847E-2</v>
      </c>
      <c r="R101" s="188">
        <f t="shared" si="310"/>
        <v>5.1636395542686682E-2</v>
      </c>
      <c r="S101" s="167">
        <f t="shared" si="310"/>
        <v>4.8669971746894823E-2</v>
      </c>
      <c r="T101" s="167">
        <f t="shared" si="310"/>
        <v>4.6757518796992477E-2</v>
      </c>
      <c r="U101" s="167">
        <f t="shared" si="310"/>
        <v>5.1618602890136929E-2</v>
      </c>
      <c r="V101" s="167">
        <f t="shared" si="310"/>
        <v>5.211029825548677E-2</v>
      </c>
      <c r="W101" s="188">
        <f t="shared" si="310"/>
        <v>4.9755043227665698E-2</v>
      </c>
      <c r="X101" s="189">
        <f>S101</f>
        <v>4.8669971746894823E-2</v>
      </c>
      <c r="Y101" s="189">
        <f t="shared" ref="Y101" si="311">T101</f>
        <v>4.6757518796992477E-2</v>
      </c>
      <c r="Z101" s="189">
        <f>U101-0.5%</f>
        <v>4.6618602890136931E-2</v>
      </c>
      <c r="AA101" s="189">
        <f>V101-0.5%</f>
        <v>4.7110298255486772E-2</v>
      </c>
      <c r="AB101" s="188">
        <f t="shared" ref="AB101" si="312">AB100/AB92</f>
        <v>4.7256958245355397E-2</v>
      </c>
      <c r="AC101" s="189">
        <f>X101-0.3%</f>
        <v>4.566997174689482E-2</v>
      </c>
      <c r="AD101" s="189">
        <f t="shared" ref="AD101:AF101" si="313">Y101</f>
        <v>4.6757518796992477E-2</v>
      </c>
      <c r="AE101" s="189">
        <f t="shared" si="313"/>
        <v>4.6618602890136931E-2</v>
      </c>
      <c r="AF101" s="189">
        <f t="shared" si="313"/>
        <v>4.7110298255486772E-2</v>
      </c>
      <c r="AG101" s="188">
        <f t="shared" ref="AG101" si="314">AG100/AG92</f>
        <v>4.6554758235221594E-2</v>
      </c>
      <c r="AH101" s="189">
        <f>AC101-0.2%</f>
        <v>4.3669971746894819E-2</v>
      </c>
      <c r="AI101" s="189">
        <f>AD101-0.2%</f>
        <v>4.4757518796992475E-2</v>
      </c>
      <c r="AJ101" s="189">
        <f>AE101-0.2%</f>
        <v>4.461860289013693E-2</v>
      </c>
      <c r="AK101" s="189">
        <f>AF101-0.2%</f>
        <v>4.5110298255486771E-2</v>
      </c>
      <c r="AL101" s="188">
        <f t="shared" ref="AL101" si="315">AL100/AL92</f>
        <v>4.4553618617918248E-2</v>
      </c>
      <c r="AM101" s="189">
        <f>AH101</f>
        <v>4.3669971746894819E-2</v>
      </c>
      <c r="AN101" s="189">
        <f t="shared" ref="AN101:AP101" si="316">AI101</f>
        <v>4.4757518796992475E-2</v>
      </c>
      <c r="AO101" s="189">
        <f t="shared" si="316"/>
        <v>4.461860289013693E-2</v>
      </c>
      <c r="AP101" s="189">
        <f t="shared" si="316"/>
        <v>4.5110298255486771E-2</v>
      </c>
      <c r="AQ101" s="188">
        <f t="shared" ref="AQ101" si="317">AQ100/AQ92</f>
        <v>4.4545604763009235E-2</v>
      </c>
      <c r="AR101" s="189">
        <f>AM101</f>
        <v>4.3669971746894819E-2</v>
      </c>
      <c r="AS101" s="189">
        <f t="shared" ref="AS101:AU101" si="318">AN101</f>
        <v>4.4757518796992475E-2</v>
      </c>
      <c r="AT101" s="189">
        <f t="shared" si="318"/>
        <v>4.461860289013693E-2</v>
      </c>
      <c r="AU101" s="189">
        <f t="shared" si="318"/>
        <v>4.5110298255486771E-2</v>
      </c>
      <c r="AV101" s="188">
        <f t="shared" ref="AV101" si="319">AV100/AV92</f>
        <v>4.4545282203039223E-2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20">IFERROR((Y163*(X102/X163)),0)</f>
        <v>0</v>
      </c>
      <c r="Z102" s="119">
        <f t="shared" si="320"/>
        <v>0</v>
      </c>
      <c r="AA102" s="119">
        <f t="shared" si="320"/>
        <v>0</v>
      </c>
      <c r="AB102" s="131">
        <f>SUM(X102:AA102)</f>
        <v>0</v>
      </c>
      <c r="AC102" s="119">
        <f>IFERROR((AC163*(AA102/AA163)),0)</f>
        <v>0</v>
      </c>
      <c r="AD102" s="119">
        <f t="shared" ref="AD102:AF102" si="321">IFERROR((AD163*(AC102/AC163)),0)</f>
        <v>0</v>
      </c>
      <c r="AE102" s="119">
        <f t="shared" si="321"/>
        <v>0</v>
      </c>
      <c r="AF102" s="119">
        <f t="shared" si="321"/>
        <v>0</v>
      </c>
      <c r="AG102" s="131">
        <f>SUM(AC102:AF102)</f>
        <v>0</v>
      </c>
      <c r="AH102" s="119">
        <f>IFERROR((AH163*(AF102/AF163)),0)</f>
        <v>0</v>
      </c>
      <c r="AI102" s="119">
        <f t="shared" ref="AI102:AK102" si="322">IFERROR((AI163*(AH102/AH163)),0)</f>
        <v>0</v>
      </c>
      <c r="AJ102" s="119">
        <f t="shared" si="322"/>
        <v>0</v>
      </c>
      <c r="AK102" s="119">
        <f t="shared" si="322"/>
        <v>0</v>
      </c>
      <c r="AL102" s="131">
        <f>SUM(AH102:AK102)</f>
        <v>0</v>
      </c>
      <c r="AM102" s="119">
        <f>IFERROR((AM163*(AK102/AK163)),0)</f>
        <v>0</v>
      </c>
      <c r="AN102" s="119">
        <f t="shared" ref="AN102:AP102" si="323">IFERROR((AN163*(AM102/AM163)),0)</f>
        <v>0</v>
      </c>
      <c r="AO102" s="119">
        <f t="shared" si="323"/>
        <v>0</v>
      </c>
      <c r="AP102" s="119">
        <f t="shared" si="323"/>
        <v>0</v>
      </c>
      <c r="AQ102" s="131">
        <f>SUM(AM102:AP102)</f>
        <v>0</v>
      </c>
      <c r="AR102" s="119">
        <f>IFERROR((AR163*(AP102/AP163)),0)</f>
        <v>0</v>
      </c>
      <c r="AS102" s="119">
        <f t="shared" ref="AS102:AU102" si="324">IFERROR((AS163*(AR102/AR163)),0)</f>
        <v>0</v>
      </c>
      <c r="AT102" s="119">
        <f t="shared" si="324"/>
        <v>0</v>
      </c>
      <c r="AU102" s="119">
        <f t="shared" si="324"/>
        <v>0</v>
      </c>
      <c r="AV102" s="131">
        <f>SUM(AR102:AU102)</f>
        <v>0</v>
      </c>
    </row>
    <row r="103" spans="1:48" outlineLevel="1" x14ac:dyDescent="0.3">
      <c r="B103" s="46" t="s">
        <v>123</v>
      </c>
      <c r="C103" s="19"/>
      <c r="D103" s="103">
        <f>D93+D95+D97+D99+D100+D102</f>
        <v>1300.4000000000001</v>
      </c>
      <c r="E103" s="103">
        <f t="shared" ref="E103:G103" si="325">E93+E95+E97+E99+E100+E102</f>
        <v>1349.7</v>
      </c>
      <c r="F103" s="103">
        <f t="shared" si="325"/>
        <v>1342.3000000000002</v>
      </c>
      <c r="G103" s="103">
        <f t="shared" si="325"/>
        <v>1336.2000000000003</v>
      </c>
      <c r="H103" s="171">
        <f>H93+H95+H97+H99+H100+H102</f>
        <v>5328.5999999999995</v>
      </c>
      <c r="I103" s="103">
        <f>I93+I95+I97+I99+I100+I102</f>
        <v>1326.1</v>
      </c>
      <c r="J103" s="103">
        <f t="shared" ref="J103:L103" si="326">J93+J95+J97+J99+J100+J102</f>
        <v>1174.8</v>
      </c>
      <c r="K103" s="103">
        <f t="shared" si="326"/>
        <v>1052.9999999999998</v>
      </c>
      <c r="L103" s="103">
        <f t="shared" si="326"/>
        <v>1358.8000000000002</v>
      </c>
      <c r="M103" s="171">
        <f>M93+M95+M97+M99+M100+M102</f>
        <v>4912.7000000000007</v>
      </c>
      <c r="N103" s="103">
        <f>N93+N95+N97+N99+N100+N102</f>
        <v>1405.8</v>
      </c>
      <c r="O103" s="103">
        <f t="shared" ref="O103:P103" si="327">O93+O95+O97+O99+O100+O102</f>
        <v>1386.2</v>
      </c>
      <c r="P103" s="103">
        <f t="shared" si="327"/>
        <v>1382.1</v>
      </c>
      <c r="Q103" s="103">
        <f>Q93+Q95+Q97+Q99+Q100+Q102</f>
        <v>1577.5</v>
      </c>
      <c r="R103" s="171">
        <f>R93+R95+R97+R99+R100+R102</f>
        <v>5751.6</v>
      </c>
      <c r="S103" s="103">
        <f>S93+S95+S97+S99+S100+S102</f>
        <v>1577</v>
      </c>
      <c r="T103" s="103">
        <f t="shared" ref="T103:V103" si="328">T93+T95+T97+T99+T100+T102</f>
        <v>1522.3</v>
      </c>
      <c r="U103" s="103">
        <f t="shared" si="328"/>
        <v>1449.8</v>
      </c>
      <c r="V103" s="103">
        <f t="shared" si="328"/>
        <v>1560</v>
      </c>
      <c r="W103" s="171">
        <f>W93+W95+W97+W99+W100+W102</f>
        <v>6109.1</v>
      </c>
      <c r="X103" s="103">
        <f>X93+X95+X97+X99+X100+X102</f>
        <v>1593.2733496745254</v>
      </c>
      <c r="Y103" s="103">
        <f t="shared" ref="Y103:AA103" si="329">Y93+Y95+Y97+Y99+Y100+Y102</f>
        <v>1600.716298137794</v>
      </c>
      <c r="Z103" s="103">
        <f t="shared" si="329"/>
        <v>1881.8248566213374</v>
      </c>
      <c r="AA103" s="103">
        <f t="shared" si="329"/>
        <v>2048.8527823593381</v>
      </c>
      <c r="AB103" s="171">
        <f>AB93+AB95+AB97+AB99+AB100+AB102</f>
        <v>7124.6672867929938</v>
      </c>
      <c r="AC103" s="103">
        <f>AC93+AC95+AC97+AC99+AC100+AC102</f>
        <v>2028.5106757586248</v>
      </c>
      <c r="AD103" s="103">
        <f t="shared" ref="AD103:AF103" si="330">AD93+AD95+AD97+AD99+AD100+AD102</f>
        <v>1796.9708304928467</v>
      </c>
      <c r="AE103" s="103">
        <f t="shared" si="330"/>
        <v>2188.0113948634098</v>
      </c>
      <c r="AF103" s="103">
        <f t="shared" si="330"/>
        <v>2393.2543220706507</v>
      </c>
      <c r="AG103" s="171">
        <f>AG93+AG95+AG97+AG99+AG100+AG102</f>
        <v>8406.7472231855336</v>
      </c>
      <c r="AH103" s="103">
        <f>AH93+AH95+AH97+AH99+AH100+AH102</f>
        <v>2343.2555165879085</v>
      </c>
      <c r="AI103" s="103">
        <f t="shared" ref="AI103:AK103" si="331">AI93+AI95+AI97+AI99+AI100+AI102</f>
        <v>2068.9598331879251</v>
      </c>
      <c r="AJ103" s="103">
        <f t="shared" si="331"/>
        <v>2442.6556597351978</v>
      </c>
      <c r="AK103" s="103">
        <f t="shared" si="331"/>
        <v>2746.8739598235134</v>
      </c>
      <c r="AL103" s="171">
        <f>AL93+AL95+AL97+AL99+AL100+AL102</f>
        <v>9601.7449693345443</v>
      </c>
      <c r="AM103" s="103">
        <f>AM93+AM95+AM97+AM99+AM100+AM102</f>
        <v>2689.2738811791928</v>
      </c>
      <c r="AN103" s="103">
        <f t="shared" ref="AN103:AP103" si="332">AN93+AN95+AN97+AN99+AN100+AN102</f>
        <v>2340.3392093194484</v>
      </c>
      <c r="AO103" s="103">
        <f t="shared" si="332"/>
        <v>2727.0224344461267</v>
      </c>
      <c r="AP103" s="103">
        <f t="shared" si="332"/>
        <v>3027.7931591134338</v>
      </c>
      <c r="AQ103" s="171">
        <f>AQ93+AQ95+AQ97+AQ99+AQ100+AQ102</f>
        <v>10784.428684058203</v>
      </c>
      <c r="AR103" s="103">
        <f>AR93+AR95+AR97+AR99+AR100+AR102</f>
        <v>2892.6231496335377</v>
      </c>
      <c r="AS103" s="103">
        <f t="shared" ref="AS103:AU103" si="333">AS93+AS95+AS97+AS99+AS100+AS102</f>
        <v>2515.6371395404217</v>
      </c>
      <c r="AT103" s="103">
        <f t="shared" si="333"/>
        <v>2928.8963510381627</v>
      </c>
      <c r="AU103" s="103">
        <f t="shared" si="333"/>
        <v>3250.7883787648561</v>
      </c>
      <c r="AV103" s="171">
        <f>AV93+AV95+AV97+AV99+AV100+AV102</f>
        <v>11587.94501897698</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56">
        <v>0.4</v>
      </c>
      <c r="Y104" s="56">
        <v>0.5</v>
      </c>
      <c r="Z104" s="56">
        <v>0.6</v>
      </c>
      <c r="AA104" s="56">
        <v>0.7</v>
      </c>
      <c r="AB104" s="193">
        <f>SUM(X104:AA104)</f>
        <v>2.2000000000000002</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34">+E92-E103+E104</f>
        <v>201.80000000000004</v>
      </c>
      <c r="F105" s="156">
        <f t="shared" si="334"/>
        <v>270.19999999999976</v>
      </c>
      <c r="G105" s="156">
        <f t="shared" si="334"/>
        <v>262.69999999999987</v>
      </c>
      <c r="H105" s="132">
        <f>SUM(D105:G105)</f>
        <v>964.69999999999959</v>
      </c>
      <c r="I105" s="156">
        <f t="shared" si="334"/>
        <v>275.89999999999998</v>
      </c>
      <c r="J105" s="156">
        <f t="shared" si="334"/>
        <v>-15.400000000000045</v>
      </c>
      <c r="K105" s="156">
        <f>+K92-K103+K104</f>
        <v>-85.999999999999744</v>
      </c>
      <c r="L105" s="156">
        <f t="shared" si="334"/>
        <v>181.69999999999976</v>
      </c>
      <c r="M105" s="132">
        <f>SUM(I105:L105)</f>
        <v>356.19999999999993</v>
      </c>
      <c r="N105" s="156">
        <f t="shared" si="334"/>
        <v>274.8</v>
      </c>
      <c r="O105" s="156">
        <f t="shared" si="334"/>
        <v>251.50000000000006</v>
      </c>
      <c r="P105" s="156">
        <f t="shared" si="334"/>
        <v>318.29999999999995</v>
      </c>
      <c r="Q105" s="156">
        <f t="shared" si="334"/>
        <v>377.39999999999992</v>
      </c>
      <c r="R105" s="97">
        <f>SUM(N105:Q105)</f>
        <v>1222</v>
      </c>
      <c r="S105" s="74">
        <f t="shared" si="334"/>
        <v>299.59999999999985</v>
      </c>
      <c r="T105" s="74">
        <f t="shared" si="334"/>
        <v>180.70000000000013</v>
      </c>
      <c r="U105" s="74">
        <f t="shared" si="334"/>
        <v>135.3000000000001</v>
      </c>
      <c r="V105" s="74">
        <f t="shared" si="334"/>
        <v>217.6</v>
      </c>
      <c r="W105" s="97">
        <f>SUM(S105:V105)</f>
        <v>833.2</v>
      </c>
      <c r="X105" s="74">
        <f t="shared" ref="X105:AA105" si="335">+X92-X103+X104</f>
        <v>280.6481046922014</v>
      </c>
      <c r="Y105" s="74">
        <f t="shared" si="335"/>
        <v>279.78624134548431</v>
      </c>
      <c r="Z105" s="74">
        <f t="shared" si="335"/>
        <v>245.32400541353772</v>
      </c>
      <c r="AA105" s="74">
        <f t="shared" si="335"/>
        <v>344.25038979532172</v>
      </c>
      <c r="AB105" s="97">
        <f>SUM(X105:AA105)</f>
        <v>1150.0087412465452</v>
      </c>
      <c r="AC105" s="74">
        <f t="shared" ref="AC105:AF105" si="336">+AC92-AC103+AC104</f>
        <v>408.56233753858282</v>
      </c>
      <c r="AD105" s="74">
        <f t="shared" si="336"/>
        <v>404.72365718567744</v>
      </c>
      <c r="AE105" s="74">
        <f t="shared" si="336"/>
        <v>296.79549898724326</v>
      </c>
      <c r="AF105" s="74">
        <f t="shared" si="336"/>
        <v>398.9264849945921</v>
      </c>
      <c r="AG105" s="97">
        <f>SUM(AC105:AF105)</f>
        <v>1509.0079787060956</v>
      </c>
      <c r="AH105" s="74">
        <f t="shared" ref="AH105:AK105" si="337">+AH92-AH103+AH104</f>
        <v>498.78083718766356</v>
      </c>
      <c r="AI105" s="74">
        <f t="shared" si="337"/>
        <v>491.86146241203778</v>
      </c>
      <c r="AJ105" s="74">
        <f t="shared" si="337"/>
        <v>440.66198245419355</v>
      </c>
      <c r="AK105" s="74">
        <f t="shared" si="337"/>
        <v>489.77438810849253</v>
      </c>
      <c r="AL105" s="97">
        <f>SUM(AH105:AK105)</f>
        <v>1921.0786701623874</v>
      </c>
      <c r="AM105" s="74">
        <f t="shared" ref="AM105:AP105" si="338">+AM92-AM103+AM104</f>
        <v>575.89622565095078</v>
      </c>
      <c r="AN105" s="74">
        <f t="shared" si="338"/>
        <v>556.86308019391299</v>
      </c>
      <c r="AO105" s="74">
        <f t="shared" si="338"/>
        <v>487.4290710857349</v>
      </c>
      <c r="AP105" s="74">
        <f t="shared" si="338"/>
        <v>532.47092061621152</v>
      </c>
      <c r="AQ105" s="97">
        <f>SUM(AM105:AP105)</f>
        <v>2152.6592975468102</v>
      </c>
      <c r="AR105" s="74">
        <f t="shared" ref="AR105:AU105" si="339">+AR92-AR103+AR104</f>
        <v>606.85352969052065</v>
      </c>
      <c r="AS105" s="74">
        <f t="shared" si="339"/>
        <v>586.28082275477527</v>
      </c>
      <c r="AT105" s="74">
        <f t="shared" si="339"/>
        <v>510.20375203439198</v>
      </c>
      <c r="AU105" s="74">
        <f t="shared" si="339"/>
        <v>559.02569006299836</v>
      </c>
      <c r="AV105" s="97">
        <f>SUM(AR105:AU105)</f>
        <v>2262.3637945426863</v>
      </c>
    </row>
    <row r="106" spans="1:48" outlineLevel="1" x14ac:dyDescent="0.3">
      <c r="B106" s="46" t="s">
        <v>125</v>
      </c>
      <c r="C106" s="44"/>
      <c r="D106" s="157">
        <f t="shared" ref="D106:G106" si="340">+D105/D92</f>
        <v>0.15292553191489355</v>
      </c>
      <c r="E106" s="157">
        <f t="shared" si="340"/>
        <v>0.1319471688243756</v>
      </c>
      <c r="F106" s="157">
        <f t="shared" si="340"/>
        <v>0.17044092600769556</v>
      </c>
      <c r="G106" s="157">
        <f t="shared" si="340"/>
        <v>0.16710132943196987</v>
      </c>
      <c r="H106" s="133">
        <f>H105/H92</f>
        <v>0.15582800284292814</v>
      </c>
      <c r="I106" s="157">
        <f t="shared" ref="I106:L106" si="341">+I105/I92</f>
        <v>0.17560944561135511</v>
      </c>
      <c r="J106" s="157">
        <f t="shared" si="341"/>
        <v>-1.3573065397496956E-2</v>
      </c>
      <c r="K106" s="157">
        <f t="shared" si="341"/>
        <v>-9.0564448188710761E-2</v>
      </c>
      <c r="L106" s="157">
        <f t="shared" si="341"/>
        <v>0.12022761860649757</v>
      </c>
      <c r="M106" s="133">
        <f>M105/M92</f>
        <v>6.8942825068710564E-2</v>
      </c>
      <c r="N106" s="157">
        <f t="shared" ref="N106:Q106" si="342">+N105/N92</f>
        <v>0.16611255515928189</v>
      </c>
      <c r="O106" s="157">
        <f t="shared" si="342"/>
        <v>0.1561239058911168</v>
      </c>
      <c r="P106" s="157">
        <f t="shared" si="342"/>
        <v>0.19193198263386396</v>
      </c>
      <c r="Q106" s="157">
        <f t="shared" si="342"/>
        <v>0.19711689125665932</v>
      </c>
      <c r="R106" s="98">
        <f>R105/R92</f>
        <v>0.17870199760170807</v>
      </c>
      <c r="S106" s="75">
        <f t="shared" ref="S106:V106" si="343">+S105/S92</f>
        <v>0.15971000586385195</v>
      </c>
      <c r="T106" s="75">
        <f t="shared" si="343"/>
        <v>0.1061442669172933</v>
      </c>
      <c r="U106" s="75">
        <f t="shared" si="343"/>
        <v>8.5378936076228998E-2</v>
      </c>
      <c r="V106" s="75">
        <f t="shared" si="343"/>
        <v>0.12245357343837929</v>
      </c>
      <c r="W106" s="98">
        <f>W105/W92</f>
        <v>0.12005763688760808</v>
      </c>
      <c r="X106" s="75">
        <f t="shared" ref="X106:AA106" si="344">+X105/X92</f>
        <v>0.14979711283160294</v>
      </c>
      <c r="Y106" s="75">
        <f t="shared" si="344"/>
        <v>0.14882226777331056</v>
      </c>
      <c r="Z106" s="75">
        <f t="shared" si="344"/>
        <v>0.11536250579203218</v>
      </c>
      <c r="AA106" s="75">
        <f t="shared" si="344"/>
        <v>0.143893133817107</v>
      </c>
      <c r="AB106" s="98">
        <f>AB105/AB92</f>
        <v>0.13901626760217775</v>
      </c>
      <c r="AC106" s="75">
        <f t="shared" ref="AC106:AF106" si="345">+AC105/AC92</f>
        <v>0.16771350255450537</v>
      </c>
      <c r="AD106" s="75">
        <f t="shared" si="345"/>
        <v>0.18390724357773697</v>
      </c>
      <c r="AE106" s="75">
        <f t="shared" si="345"/>
        <v>0.1194921794129979</v>
      </c>
      <c r="AF106" s="75">
        <f t="shared" si="345"/>
        <v>0.14292391377326755</v>
      </c>
      <c r="AG106" s="98">
        <f>AG105/AG92</f>
        <v>0.15224427439633562</v>
      </c>
      <c r="AH106" s="75">
        <f t="shared" ref="AH106:AK106" si="346">+AH105/AH92</f>
        <v>0.175562990077481</v>
      </c>
      <c r="AI106" s="75">
        <f t="shared" si="346"/>
        <v>0.19214679683206434</v>
      </c>
      <c r="AJ106" s="75">
        <f t="shared" si="346"/>
        <v>0.1528846009211772</v>
      </c>
      <c r="AK106" s="75">
        <f t="shared" si="346"/>
        <v>0.15136823765831078</v>
      </c>
      <c r="AL106" s="98">
        <f>AL105/AL92</f>
        <v>0.16677733163438621</v>
      </c>
      <c r="AM106" s="75">
        <f t="shared" ref="AM106:AP106" si="347">+AM105/AM92</f>
        <v>0.17642959980728679</v>
      </c>
      <c r="AN106" s="75">
        <f t="shared" si="347"/>
        <v>0.19227354463816845</v>
      </c>
      <c r="AO106" s="75">
        <f t="shared" si="347"/>
        <v>0.15168396667777317</v>
      </c>
      <c r="AP106" s="75">
        <f t="shared" si="347"/>
        <v>0.14960140879927541</v>
      </c>
      <c r="AQ106" s="98">
        <f>AQ105/AQ92</f>
        <v>0.16644588675253585</v>
      </c>
      <c r="AR106" s="75">
        <f t="shared" ref="AR106:AU106" si="348">+AR105/AR92</f>
        <v>0.17346221950742602</v>
      </c>
      <c r="AS106" s="75">
        <f t="shared" si="348"/>
        <v>0.18906686016318522</v>
      </c>
      <c r="AT106" s="75">
        <f t="shared" si="348"/>
        <v>0.14839700321070759</v>
      </c>
      <c r="AU106" s="75">
        <f t="shared" si="348"/>
        <v>0.14677158820594149</v>
      </c>
      <c r="AV106" s="98">
        <f>AV105/AV92</f>
        <v>0.16339111202934412</v>
      </c>
    </row>
    <row r="107" spans="1:48" ht="17.399999999999999" x14ac:dyDescent="0.45">
      <c r="B107" s="494" t="s">
        <v>51</v>
      </c>
      <c r="C107" s="495"/>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00" t="s">
        <v>126</v>
      </c>
      <c r="C108" s="501"/>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50">
        <v>483.7</v>
      </c>
      <c r="W108" s="31">
        <f>SUM(S108:V108)</f>
        <v>1843.6000000000001</v>
      </c>
      <c r="X108" s="50">
        <f>+S108*(1+X109)</f>
        <v>458.81000000000006</v>
      </c>
      <c r="Y108" s="50">
        <f>+T108*(1+Y109)</f>
        <v>481.62400000000002</v>
      </c>
      <c r="Z108" s="50">
        <f>+U108*(1+Z109)</f>
        <v>498.88800000000003</v>
      </c>
      <c r="AA108" s="50">
        <f t="shared" ref="AA108" si="349">+V108*(1+AA109)</f>
        <v>503.048</v>
      </c>
      <c r="AB108" s="31">
        <f>SUM(X108:AA108)</f>
        <v>1942.3700000000001</v>
      </c>
      <c r="AC108" s="50">
        <f>+X108*(1+AC109)</f>
        <v>477.1624000000001</v>
      </c>
      <c r="AD108" s="50">
        <f>+Y108*(1+AD109)</f>
        <v>500.88896000000005</v>
      </c>
      <c r="AE108" s="50">
        <f>+Z108*(1+AE109)</f>
        <v>518.84352000000001</v>
      </c>
      <c r="AF108" s="50">
        <f t="shared" ref="AF108" si="350">+AA108*(1+AF109)</f>
        <v>523.16992000000005</v>
      </c>
      <c r="AG108" s="31">
        <f>SUM(AC108:AF108)</f>
        <v>2020.0648000000003</v>
      </c>
      <c r="AH108" s="50">
        <f>+AC108*(1+AH109)</f>
        <v>496.24889600000012</v>
      </c>
      <c r="AI108" s="50">
        <f>+AD108*(1+AI109)</f>
        <v>520.92451840000012</v>
      </c>
      <c r="AJ108" s="50">
        <f>+AE108*(1+AJ109)</f>
        <v>539.59726080000007</v>
      </c>
      <c r="AK108" s="50">
        <f t="shared" ref="AK108" si="351">+AF108*(1+AK109)</f>
        <v>544.09671680000008</v>
      </c>
      <c r="AL108" s="31">
        <f>SUM(AH108:AK108)</f>
        <v>2100.8673920000006</v>
      </c>
      <c r="AM108" s="50">
        <f>+AH108*(1+AM109)</f>
        <v>516.09885184000018</v>
      </c>
      <c r="AN108" s="50">
        <f>+AI108*(1+AN109)</f>
        <v>541.76149913600011</v>
      </c>
      <c r="AO108" s="50">
        <f>+AJ108*(1+AO109)</f>
        <v>561.18115123200005</v>
      </c>
      <c r="AP108" s="50">
        <f t="shared" ref="AP108" si="352">+AK108*(1+AP109)</f>
        <v>565.86058547200014</v>
      </c>
      <c r="AQ108" s="31">
        <f>SUM(AM108:AP108)</f>
        <v>2184.9020876800005</v>
      </c>
      <c r="AR108" s="50">
        <f>+AM108*(1+AR109)</f>
        <v>536.74280591360025</v>
      </c>
      <c r="AS108" s="50">
        <f>+AN108*(1+AS109)</f>
        <v>563.43195910144016</v>
      </c>
      <c r="AT108" s="50">
        <f>+AO108*(1+AT109)</f>
        <v>583.62839728128006</v>
      </c>
      <c r="AU108" s="50">
        <f t="shared" ref="AU108" si="353">+AP108*(1+AU109)</f>
        <v>588.49500889088017</v>
      </c>
      <c r="AV108" s="31">
        <f>SUM(AR108:AU108)</f>
        <v>2272.2981711872008</v>
      </c>
    </row>
    <row r="109" spans="1:48" outlineLevel="1" x14ac:dyDescent="0.3">
      <c r="B109" s="69" t="s">
        <v>58</v>
      </c>
      <c r="C109" s="70"/>
      <c r="D109" s="120"/>
      <c r="E109" s="120"/>
      <c r="F109" s="120"/>
      <c r="G109" s="120"/>
      <c r="H109" s="58"/>
      <c r="I109" s="120">
        <f>I108/D108-1</f>
        <v>-1.9817677368212494E-2</v>
      </c>
      <c r="J109" s="120">
        <f t="shared" ref="J109" si="354">J108/E108-1</f>
        <v>0.16233766233766223</v>
      </c>
      <c r="K109" s="120">
        <f>K108/F108-1</f>
        <v>-0.1612600787549221</v>
      </c>
      <c r="L109" s="120">
        <f>L108/G108-1</f>
        <v>-8.6793938201141563E-2</v>
      </c>
      <c r="M109" s="168">
        <f>M108/H108-1</f>
        <v>-3.3925524440429511E-2</v>
      </c>
      <c r="N109" s="120">
        <f>N108/I108-1</f>
        <v>-0.24909017387788124</v>
      </c>
      <c r="O109" s="120">
        <f t="shared" ref="O109" si="355">O108/J108-1</f>
        <v>-0.28742053554228475</v>
      </c>
      <c r="P109" s="120">
        <f>P108/K108-1</f>
        <v>-7.4446680080482941E-2</v>
      </c>
      <c r="Q109" s="120">
        <f>Q108/L108-1</f>
        <v>-5.5387931034482696E-2</v>
      </c>
      <c r="R109" s="168">
        <f>R108/M108-1</f>
        <v>-0.17215584415584417</v>
      </c>
      <c r="S109" s="120">
        <f>S108/N108-1</f>
        <v>0.12304792676359733</v>
      </c>
      <c r="T109" s="120">
        <f t="shared" ref="T109:U109" si="356">T108/O108-1</f>
        <v>0.25195998918626672</v>
      </c>
      <c r="U109" s="120">
        <f t="shared" si="356"/>
        <v>0.15869565217391313</v>
      </c>
      <c r="V109" s="120">
        <f>V108/Q108-1</f>
        <v>0.10358202144649775</v>
      </c>
      <c r="W109" s="168">
        <f>W108/R108-1</f>
        <v>0.15687751004016071</v>
      </c>
      <c r="X109" s="197">
        <v>0.1</v>
      </c>
      <c r="Y109" s="197">
        <v>0.04</v>
      </c>
      <c r="Z109" s="197">
        <v>0.04</v>
      </c>
      <c r="AA109" s="197">
        <v>0.04</v>
      </c>
      <c r="AB109" s="168">
        <f>AB108/W108-1</f>
        <v>5.3574528097201091E-2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4.0000000000000036E-2</v>
      </c>
      <c r="AR109" s="197">
        <v>0.04</v>
      </c>
      <c r="AS109" s="197">
        <v>0.04</v>
      </c>
      <c r="AT109" s="197">
        <v>0.04</v>
      </c>
      <c r="AU109" s="197">
        <v>0.04</v>
      </c>
      <c r="AV109" s="168">
        <f>AV108/AQ108-1</f>
        <v>4.0000000000000036E-2</v>
      </c>
    </row>
    <row r="110" spans="1:48" outlineLevel="1" x14ac:dyDescent="0.3">
      <c r="B110" s="504" t="s">
        <v>100</v>
      </c>
      <c r="C110" s="505"/>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48">
        <v>309</v>
      </c>
      <c r="W110" s="76">
        <f>SUM(S110:V110)</f>
        <v>1194.0999999999999</v>
      </c>
      <c r="X110" s="48">
        <f t="shared" ref="X110:AA110" si="357">X111*X108</f>
        <v>291.56215000000003</v>
      </c>
      <c r="Y110" s="48">
        <f t="shared" si="357"/>
        <v>312.52</v>
      </c>
      <c r="Z110" s="48">
        <f t="shared" si="357"/>
        <v>336.33756000000005</v>
      </c>
      <c r="AA110" s="48">
        <f t="shared" si="357"/>
        <v>306.26855999999998</v>
      </c>
      <c r="AB110" s="76">
        <f>SUM(X110:AA110)</f>
        <v>1246.6882700000001</v>
      </c>
      <c r="AC110" s="48">
        <f t="shared" ref="AC110:AF110" si="358">AC111*AC108</f>
        <v>303.22463600000009</v>
      </c>
      <c r="AD110" s="48">
        <f t="shared" si="358"/>
        <v>325.02080000000001</v>
      </c>
      <c r="AE110" s="48">
        <f t="shared" si="358"/>
        <v>339.41419200000001</v>
      </c>
      <c r="AF110" s="48">
        <f t="shared" si="358"/>
        <v>318.51930240000002</v>
      </c>
      <c r="AG110" s="76">
        <f>SUM(AC110:AF110)</f>
        <v>1286.1789304000001</v>
      </c>
      <c r="AH110" s="48">
        <f t="shared" ref="AH110:AK110" si="359">AH111*AH108</f>
        <v>315.3536214400001</v>
      </c>
      <c r="AI110" s="48">
        <f t="shared" si="359"/>
        <v>338.02163200000007</v>
      </c>
      <c r="AJ110" s="48">
        <f t="shared" si="359"/>
        <v>347.59478707200009</v>
      </c>
      <c r="AK110" s="48">
        <f t="shared" si="359"/>
        <v>331.26007449600007</v>
      </c>
      <c r="AL110" s="76">
        <f>SUM(AH110:AK110)</f>
        <v>1332.2301150080002</v>
      </c>
      <c r="AM110" s="48">
        <f t="shared" ref="AM110:AP110" si="360">AM111*AM108</f>
        <v>327.96776629760012</v>
      </c>
      <c r="AN110" s="48">
        <f t="shared" si="360"/>
        <v>351.54249728000008</v>
      </c>
      <c r="AO110" s="48">
        <f t="shared" si="360"/>
        <v>361.49857855488005</v>
      </c>
      <c r="AP110" s="48">
        <f t="shared" si="360"/>
        <v>344.5104774758401</v>
      </c>
      <c r="AQ110" s="76">
        <f>SUM(AM110:AP110)</f>
        <v>1385.5193196083205</v>
      </c>
      <c r="AR110" s="48">
        <f t="shared" ref="AR110:AU110" si="361">AR111*AR108</f>
        <v>341.08647694950417</v>
      </c>
      <c r="AS110" s="48">
        <f t="shared" si="361"/>
        <v>365.6041971712001</v>
      </c>
      <c r="AT110" s="48">
        <f t="shared" si="361"/>
        <v>375.95852169707524</v>
      </c>
      <c r="AU110" s="48">
        <f t="shared" si="361"/>
        <v>358.29089657487373</v>
      </c>
      <c r="AV110" s="76">
        <f>SUM(AR110:AU110)</f>
        <v>1440.9400923926532</v>
      </c>
    </row>
    <row r="111" spans="1:48" s="183" customFormat="1" outlineLevel="1" x14ac:dyDescent="0.3">
      <c r="A111" s="238"/>
      <c r="B111" s="181" t="s">
        <v>151</v>
      </c>
      <c r="C111" s="182"/>
      <c r="D111" s="167">
        <f>D110/D108</f>
        <v>0.69044787950852149</v>
      </c>
      <c r="E111" s="167">
        <f t="shared" ref="E111:W111" si="362">E110/E108</f>
        <v>0.68383340797133896</v>
      </c>
      <c r="F111" s="167">
        <f t="shared" si="362"/>
        <v>0.70710669416838567</v>
      </c>
      <c r="G111" s="167">
        <f t="shared" si="362"/>
        <v>0.70675063963786655</v>
      </c>
      <c r="H111" s="188">
        <f t="shared" si="362"/>
        <v>0.69758104988457292</v>
      </c>
      <c r="I111" s="167">
        <f t="shared" si="362"/>
        <v>0.68499797816417307</v>
      </c>
      <c r="J111" s="167">
        <f t="shared" si="362"/>
        <v>0.6773261413985745</v>
      </c>
      <c r="K111" s="167">
        <f t="shared" si="362"/>
        <v>0.71517996870109535</v>
      </c>
      <c r="L111" s="187">
        <f t="shared" si="362"/>
        <v>0.70646551724137929</v>
      </c>
      <c r="M111" s="188">
        <f t="shared" si="362"/>
        <v>0.69511688311688313</v>
      </c>
      <c r="N111" s="187">
        <f t="shared" si="362"/>
        <v>0.62870220786214326</v>
      </c>
      <c r="O111" s="167">
        <f t="shared" si="362"/>
        <v>0.62692619626926205</v>
      </c>
      <c r="P111" s="167">
        <f t="shared" si="362"/>
        <v>0.6480676328502416</v>
      </c>
      <c r="Q111" s="167">
        <f t="shared" si="362"/>
        <v>0.63312799452429835</v>
      </c>
      <c r="R111" s="188">
        <f t="shared" si="362"/>
        <v>0.63453815261044189</v>
      </c>
      <c r="S111" s="187">
        <f t="shared" si="362"/>
        <v>0.62047470630544233</v>
      </c>
      <c r="T111" s="167">
        <f t="shared" si="362"/>
        <v>0.64888792917296478</v>
      </c>
      <c r="U111" s="167">
        <f t="shared" si="362"/>
        <v>0.67917448405253289</v>
      </c>
      <c r="V111" s="167">
        <f t="shared" si="362"/>
        <v>0.63882571842050861</v>
      </c>
      <c r="W111" s="188">
        <f t="shared" si="362"/>
        <v>0.64770015187676278</v>
      </c>
      <c r="X111" s="189">
        <f>S111+1.5%</f>
        <v>0.63547470630544234</v>
      </c>
      <c r="Y111" s="189">
        <f t="shared" ref="Y111" si="363">T111</f>
        <v>0.64888792917296478</v>
      </c>
      <c r="Z111" s="189">
        <f>U111-0.5%</f>
        <v>0.67417448405253289</v>
      </c>
      <c r="AA111" s="189">
        <f>V111-3%</f>
        <v>0.60882571842050859</v>
      </c>
      <c r="AB111" s="188">
        <f t="shared" ref="AB111" si="364">AB110/AB108</f>
        <v>0.64183871764905764</v>
      </c>
      <c r="AC111" s="189">
        <f t="shared" ref="AC111:AD111" si="365">X111</f>
        <v>0.63547470630544234</v>
      </c>
      <c r="AD111" s="189">
        <f t="shared" si="365"/>
        <v>0.64888792917296478</v>
      </c>
      <c r="AE111" s="189">
        <f>Z111-2%</f>
        <v>0.65417448405253287</v>
      </c>
      <c r="AF111" s="189">
        <f t="shared" ref="AF111" si="366">AA111</f>
        <v>0.60882571842050859</v>
      </c>
      <c r="AG111" s="188">
        <f t="shared" ref="AG111" si="367">AG110/AG108</f>
        <v>0.63670181788227775</v>
      </c>
      <c r="AH111" s="189">
        <f t="shared" ref="AH111:AI111" si="368">AC111</f>
        <v>0.63547470630544234</v>
      </c>
      <c r="AI111" s="189">
        <f t="shared" si="368"/>
        <v>0.64888792917296478</v>
      </c>
      <c r="AJ111" s="189">
        <f>AE111-1%</f>
        <v>0.64417448405253286</v>
      </c>
      <c r="AK111" s="189">
        <f t="shared" ref="AK111" si="369">AF111</f>
        <v>0.60882571842050859</v>
      </c>
      <c r="AL111" s="188">
        <f t="shared" ref="AL111" si="370">AL110/AL108</f>
        <v>0.63413336799888786</v>
      </c>
      <c r="AM111" s="189">
        <f t="shared" ref="AM111:AP111" si="371">AH111</f>
        <v>0.63547470630544234</v>
      </c>
      <c r="AN111" s="189">
        <f t="shared" si="371"/>
        <v>0.64888792917296478</v>
      </c>
      <c r="AO111" s="189">
        <f t="shared" si="371"/>
        <v>0.64417448405253286</v>
      </c>
      <c r="AP111" s="189">
        <f t="shared" si="371"/>
        <v>0.60882571842050859</v>
      </c>
      <c r="AQ111" s="188">
        <f t="shared" ref="AQ111" si="372">AQ110/AQ108</f>
        <v>0.63413336799888809</v>
      </c>
      <c r="AR111" s="189">
        <f t="shared" ref="AR111:AU111" si="373">AM111</f>
        <v>0.63547470630544234</v>
      </c>
      <c r="AS111" s="189">
        <f t="shared" si="373"/>
        <v>0.64888792917296478</v>
      </c>
      <c r="AT111" s="189">
        <f t="shared" si="373"/>
        <v>0.64417448405253286</v>
      </c>
      <c r="AU111" s="189">
        <f t="shared" si="373"/>
        <v>0.60882571842050859</v>
      </c>
      <c r="AV111" s="188">
        <f t="shared" ref="AV111" si="374">AV110/AV108</f>
        <v>0.63413336799888798</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48">
        <v>16</v>
      </c>
      <c r="W112" s="49">
        <f>SUM(S112:V112)</f>
        <v>51.7</v>
      </c>
      <c r="X112" s="48">
        <f t="shared" ref="X112:AA112" si="375">X113*X108</f>
        <v>21.716200000000004</v>
      </c>
      <c r="Y112" s="48">
        <f t="shared" si="375"/>
        <v>11.128</v>
      </c>
      <c r="Z112" s="48">
        <f t="shared" si="375"/>
        <v>11.649560000000001</v>
      </c>
      <c r="AA112" s="48">
        <f t="shared" si="375"/>
        <v>1.5485600000000008</v>
      </c>
      <c r="AB112" s="49">
        <f>SUM(X112:AA112)</f>
        <v>46.042320000000004</v>
      </c>
      <c r="AC112" s="48">
        <f t="shared" ref="AC112:AF112" si="376">AC113*AC108</f>
        <v>13.041600000000003</v>
      </c>
      <c r="AD112" s="48">
        <f t="shared" si="376"/>
        <v>11.573120000000001</v>
      </c>
      <c r="AE112" s="48">
        <f t="shared" si="376"/>
        <v>12.115542399999999</v>
      </c>
      <c r="AF112" s="48">
        <f t="shared" si="376"/>
        <v>-8.8528959999999994</v>
      </c>
      <c r="AG112" s="49">
        <f>SUM(AC112:AF112)</f>
        <v>27.8773664</v>
      </c>
      <c r="AH112" s="48">
        <f t="shared" ref="AH112:AK112" si="377">AH113*AH108</f>
        <v>12.074517312000003</v>
      </c>
      <c r="AI112" s="48">
        <f t="shared" si="377"/>
        <v>12.036044800000003</v>
      </c>
      <c r="AJ112" s="48">
        <f t="shared" si="377"/>
        <v>12.600164096</v>
      </c>
      <c r="AK112" s="48">
        <f t="shared" si="377"/>
        <v>-11.383398707200001</v>
      </c>
      <c r="AL112" s="49">
        <f>SUM(AH112:AK112)</f>
        <v>25.327327500800003</v>
      </c>
      <c r="AM112" s="48">
        <f t="shared" ref="AM112:AP112" si="378">AM113*AM108</f>
        <v>12.557498004480005</v>
      </c>
      <c r="AN112" s="48">
        <f t="shared" si="378"/>
        <v>12.517486592000003</v>
      </c>
      <c r="AO112" s="48">
        <f t="shared" si="378"/>
        <v>13.104170659840001</v>
      </c>
      <c r="AP112" s="48">
        <f t="shared" si="378"/>
        <v>-11.838734655488002</v>
      </c>
      <c r="AQ112" s="49">
        <f>SUM(AM112:AP112)</f>
        <v>26.340420600832005</v>
      </c>
      <c r="AR112" s="48">
        <f t="shared" ref="AR112:AU112" si="379">AR113*AR108</f>
        <v>13.059797924659206</v>
      </c>
      <c r="AS112" s="48">
        <f t="shared" si="379"/>
        <v>13.018186055680003</v>
      </c>
      <c r="AT112" s="48">
        <f t="shared" si="379"/>
        <v>13.628337486233601</v>
      </c>
      <c r="AU112" s="48">
        <f t="shared" si="379"/>
        <v>-12.312284041707523</v>
      </c>
      <c r="AV112" s="49">
        <f>SUM(AR112:AU112)</f>
        <v>27.394037424865289</v>
      </c>
    </row>
    <row r="113" spans="2:48" s="184" customFormat="1" outlineLevel="1" x14ac:dyDescent="0.3">
      <c r="B113" s="181" t="s">
        <v>154</v>
      </c>
      <c r="C113" s="190"/>
      <c r="D113" s="187">
        <f>D112/D108</f>
        <v>3.6860879904875153E-2</v>
      </c>
      <c r="E113" s="187">
        <f t="shared" ref="E113:W113" si="380">E112/E108</f>
        <v>3.8289296909986566E-2</v>
      </c>
      <c r="F113" s="187">
        <f t="shared" si="380"/>
        <v>3.7877367335458469E-2</v>
      </c>
      <c r="G113" s="187">
        <f t="shared" si="380"/>
        <v>3.9952765203700058E-2</v>
      </c>
      <c r="H113" s="188">
        <f t="shared" si="380"/>
        <v>3.8241493526046375E-2</v>
      </c>
      <c r="I113" s="187">
        <f t="shared" si="380"/>
        <v>4.1649818034775576E-2</v>
      </c>
      <c r="J113" s="187">
        <f t="shared" si="380"/>
        <v>3.4097476401464072E-2</v>
      </c>
      <c r="K113" s="187">
        <f t="shared" si="380"/>
        <v>0.11491169237648111</v>
      </c>
      <c r="L113" s="187">
        <f t="shared" si="380"/>
        <v>3.9870689655172417E-2</v>
      </c>
      <c r="M113" s="188">
        <f t="shared" si="380"/>
        <v>5.62077922077922E-2</v>
      </c>
      <c r="N113" s="187">
        <f t="shared" si="380"/>
        <v>2.9886914378029081E-2</v>
      </c>
      <c r="O113" s="187">
        <f t="shared" si="380"/>
        <v>3.5414977020816439E-2</v>
      </c>
      <c r="P113" s="187">
        <f t="shared" si="380"/>
        <v>-2.391304347826087E-2</v>
      </c>
      <c r="Q113" s="167">
        <f t="shared" si="380"/>
        <v>3.8786219484371436E-2</v>
      </c>
      <c r="R113" s="188">
        <f t="shared" si="380"/>
        <v>1.964106425702811E-2</v>
      </c>
      <c r="S113" s="187">
        <f t="shared" si="380"/>
        <v>2.7331575161831694E-2</v>
      </c>
      <c r="T113" s="187">
        <f t="shared" si="380"/>
        <v>2.3105160872381774E-2</v>
      </c>
      <c r="U113" s="187">
        <f t="shared" si="380"/>
        <v>2.8351052741296644E-2</v>
      </c>
      <c r="V113" s="187">
        <f t="shared" si="380"/>
        <v>3.3078354351870995E-2</v>
      </c>
      <c r="W113" s="188">
        <f t="shared" si="380"/>
        <v>2.8042959427207637E-2</v>
      </c>
      <c r="X113" s="189">
        <f>S113+2%</f>
        <v>4.7331575161831695E-2</v>
      </c>
      <c r="Y113" s="189">
        <f t="shared" ref="Y113" si="381">T113</f>
        <v>2.3105160872381774E-2</v>
      </c>
      <c r="Z113" s="189">
        <f>U113-0.5%</f>
        <v>2.3351052741296643E-2</v>
      </c>
      <c r="AA113" s="189">
        <f>V113-3%</f>
        <v>3.078354351870996E-3</v>
      </c>
      <c r="AB113" s="188">
        <f t="shared" ref="AB113" si="382">AB112/AB108</f>
        <v>2.370419641983762E-2</v>
      </c>
      <c r="AC113" s="189">
        <f>X113-2%</f>
        <v>2.7331575161831694E-2</v>
      </c>
      <c r="AD113" s="189">
        <f t="shared" ref="AD113:AE113" si="383">Y113</f>
        <v>2.3105160872381774E-2</v>
      </c>
      <c r="AE113" s="189">
        <f t="shared" si="383"/>
        <v>2.3351052741296643E-2</v>
      </c>
      <c r="AF113" s="189">
        <f>AA113-2%</f>
        <v>-1.6921645648129004E-2</v>
      </c>
      <c r="AG113" s="188">
        <f t="shared" ref="AG113" si="384">AG112/AG108</f>
        <v>1.3800233735076219E-2</v>
      </c>
      <c r="AH113" s="189">
        <f>AC113-0.3%</f>
        <v>2.4331575161831695E-2</v>
      </c>
      <c r="AI113" s="189">
        <f t="shared" ref="AI113:AJ113" si="385">AD113</f>
        <v>2.3105160872381774E-2</v>
      </c>
      <c r="AJ113" s="189">
        <f t="shared" si="385"/>
        <v>2.3351052741296643E-2</v>
      </c>
      <c r="AK113" s="189">
        <f>AF113-0.4%</f>
        <v>-2.0921645648129004E-2</v>
      </c>
      <c r="AL113" s="188">
        <f t="shared" ref="AL113" si="386">AL112/AL108</f>
        <v>1.2055652630549276E-2</v>
      </c>
      <c r="AM113" s="189">
        <f t="shared" ref="AM113:AP113" si="387">AH113</f>
        <v>2.4331575161831695E-2</v>
      </c>
      <c r="AN113" s="189">
        <f t="shared" si="387"/>
        <v>2.3105160872381774E-2</v>
      </c>
      <c r="AO113" s="189">
        <f t="shared" si="387"/>
        <v>2.3351052741296643E-2</v>
      </c>
      <c r="AP113" s="189">
        <f t="shared" si="387"/>
        <v>-2.0921645648129004E-2</v>
      </c>
      <c r="AQ113" s="188">
        <f t="shared" ref="AQ113" si="388">AQ112/AQ108</f>
        <v>1.2055652630549276E-2</v>
      </c>
      <c r="AR113" s="189">
        <f t="shared" ref="AR113:AU113" si="389">AM113</f>
        <v>2.4331575161831695E-2</v>
      </c>
      <c r="AS113" s="189">
        <f t="shared" si="389"/>
        <v>2.3105160872381774E-2</v>
      </c>
      <c r="AT113" s="189">
        <f t="shared" si="389"/>
        <v>2.3351052741296643E-2</v>
      </c>
      <c r="AU113" s="189">
        <f t="shared" si="389"/>
        <v>-2.0921645648129004E-2</v>
      </c>
      <c r="AV113" s="188">
        <f t="shared" ref="AV113" si="390">AV112/AV108</f>
        <v>1.2055652630549278E-2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60">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48">
        <v>4.0999999999999996</v>
      </c>
      <c r="W115" s="49">
        <f>SUM(S115:V115)</f>
        <v>12.2</v>
      </c>
      <c r="X115" s="48">
        <f t="shared" ref="X115:AA115" si="391">X116*X108</f>
        <v>3.63</v>
      </c>
      <c r="Y115" s="48">
        <f t="shared" si="391"/>
        <v>2.6</v>
      </c>
      <c r="Z115" s="48">
        <f t="shared" si="391"/>
        <v>2.3920000000000003</v>
      </c>
      <c r="AA115" s="48">
        <f t="shared" si="391"/>
        <v>4.2639999999999993</v>
      </c>
      <c r="AB115" s="49">
        <f>SUM(X115:AA115)</f>
        <v>12.885999999999999</v>
      </c>
      <c r="AC115" s="48">
        <f t="shared" ref="AC115:AF115" si="392">AC116*AC108</f>
        <v>3.7751999999999999</v>
      </c>
      <c r="AD115" s="48">
        <f t="shared" si="392"/>
        <v>2.7040000000000002</v>
      </c>
      <c r="AE115" s="48">
        <f t="shared" si="392"/>
        <v>2.4876800000000001</v>
      </c>
      <c r="AF115" s="48">
        <f t="shared" si="392"/>
        <v>4.4345600000000003</v>
      </c>
      <c r="AG115" s="49">
        <f>SUM(AC115:AF115)</f>
        <v>13.401440000000001</v>
      </c>
      <c r="AH115" s="48">
        <f t="shared" ref="AH115:AK115" si="393">AH116*AH108</f>
        <v>3.9262080000000004</v>
      </c>
      <c r="AI115" s="48">
        <f t="shared" si="393"/>
        <v>2.8121600000000004</v>
      </c>
      <c r="AJ115" s="48">
        <f t="shared" si="393"/>
        <v>2.5871872000000002</v>
      </c>
      <c r="AK115" s="48">
        <f t="shared" si="393"/>
        <v>4.6119424000000002</v>
      </c>
      <c r="AL115" s="49">
        <f>SUM(AH115:AK115)</f>
        <v>13.937497600000002</v>
      </c>
      <c r="AM115" s="48">
        <f t="shared" ref="AM115:AP115" si="394">AM116*AM108</f>
        <v>4.0832563200000003</v>
      </c>
      <c r="AN115" s="48">
        <f t="shared" si="394"/>
        <v>2.9246464000000003</v>
      </c>
      <c r="AO115" s="48">
        <f t="shared" si="394"/>
        <v>2.6906746880000001</v>
      </c>
      <c r="AP115" s="48">
        <f t="shared" si="394"/>
        <v>4.7964200960000012</v>
      </c>
      <c r="AQ115" s="49">
        <f>SUM(AM115:AP115)</f>
        <v>14.494997504000001</v>
      </c>
      <c r="AR115" s="48">
        <f t="shared" ref="AR115:AU115" si="395">AR116*AR108</f>
        <v>4.246586572800001</v>
      </c>
      <c r="AS115" s="48">
        <f t="shared" si="395"/>
        <v>3.0416322560000006</v>
      </c>
      <c r="AT115" s="48">
        <f t="shared" si="395"/>
        <v>2.7983016755200003</v>
      </c>
      <c r="AU115" s="48">
        <f t="shared" si="395"/>
        <v>4.9882768998400016</v>
      </c>
      <c r="AV115" s="49">
        <f>SUM(AR115:AU115)</f>
        <v>15.074797404160005</v>
      </c>
    </row>
    <row r="116" spans="2:48" s="184" customFormat="1" outlineLevel="1" x14ac:dyDescent="0.3">
      <c r="B116" s="181" t="s">
        <v>153</v>
      </c>
      <c r="C116" s="190"/>
      <c r="D116" s="187">
        <f>D115/D108</f>
        <v>6.3416567578279829E-3</v>
      </c>
      <c r="E116" s="187">
        <f t="shared" ref="E116:W116" si="396">E115/E108</f>
        <v>6.9413345275414241E-3</v>
      </c>
      <c r="F116" s="187">
        <f t="shared" si="396"/>
        <v>5.0628164260266275E-3</v>
      </c>
      <c r="G116" s="187">
        <f t="shared" si="396"/>
        <v>5.1171029324936033E-3</v>
      </c>
      <c r="H116" s="188">
        <f t="shared" si="396"/>
        <v>5.8215396968784505E-3</v>
      </c>
      <c r="I116" s="187">
        <f t="shared" si="396"/>
        <v>4.8524059846340476E-3</v>
      </c>
      <c r="J116" s="187">
        <f t="shared" si="396"/>
        <v>5.7792332883837404E-3</v>
      </c>
      <c r="K116" s="187">
        <f t="shared" si="396"/>
        <v>5.5890900961323492E-3</v>
      </c>
      <c r="L116" s="187">
        <f t="shared" si="396"/>
        <v>5.387931034482759E-3</v>
      </c>
      <c r="M116" s="188">
        <f t="shared" si="396"/>
        <v>5.4025974025974028E-3</v>
      </c>
      <c r="N116" s="187">
        <f t="shared" si="396"/>
        <v>5.9235325794291874E-3</v>
      </c>
      <c r="O116" s="187">
        <f t="shared" si="396"/>
        <v>6.2178967288456337E-3</v>
      </c>
      <c r="P116" s="187">
        <f t="shared" si="396"/>
        <v>7.0048309178743955E-3</v>
      </c>
      <c r="Q116" s="167">
        <f t="shared" si="396"/>
        <v>7.7572438968742862E-3</v>
      </c>
      <c r="R116" s="188">
        <f t="shared" si="396"/>
        <v>6.7771084337349408E-3</v>
      </c>
      <c r="S116" s="187">
        <f t="shared" si="396"/>
        <v>7.9117717573723313E-3</v>
      </c>
      <c r="T116" s="187">
        <f t="shared" si="396"/>
        <v>5.3984020729863956E-3</v>
      </c>
      <c r="U116" s="187">
        <f t="shared" si="396"/>
        <v>4.7946633312486971E-3</v>
      </c>
      <c r="V116" s="187">
        <f t="shared" si="396"/>
        <v>8.4763283026669418E-3</v>
      </c>
      <c r="W116" s="188">
        <f t="shared" si="396"/>
        <v>6.6174875244087647E-3</v>
      </c>
      <c r="X116" s="189">
        <f t="shared" ref="X116:AA116" si="397">S116</f>
        <v>7.9117717573723313E-3</v>
      </c>
      <c r="Y116" s="189">
        <f t="shared" si="397"/>
        <v>5.3984020729863956E-3</v>
      </c>
      <c r="Z116" s="189">
        <f t="shared" si="397"/>
        <v>4.7946633312486971E-3</v>
      </c>
      <c r="AA116" s="189">
        <f t="shared" si="397"/>
        <v>8.4763283026669418E-3</v>
      </c>
      <c r="AB116" s="188">
        <f t="shared" ref="AB116" si="398">AB115/AB108</f>
        <v>6.6341634189160652E-3</v>
      </c>
      <c r="AC116" s="189">
        <f t="shared" ref="AC116:AF116" si="399">X116</f>
        <v>7.9117717573723313E-3</v>
      </c>
      <c r="AD116" s="189">
        <f t="shared" si="399"/>
        <v>5.3984020729863956E-3</v>
      </c>
      <c r="AE116" s="189">
        <f t="shared" si="399"/>
        <v>4.7946633312486971E-3</v>
      </c>
      <c r="AF116" s="189">
        <f t="shared" si="399"/>
        <v>8.4763283026669418E-3</v>
      </c>
      <c r="AG116" s="188">
        <f t="shared" ref="AG116" si="400">AG115/AG108</f>
        <v>6.6341634189160661E-3</v>
      </c>
      <c r="AH116" s="189">
        <f t="shared" ref="AH116:AK116" si="401">AC116</f>
        <v>7.9117717573723313E-3</v>
      </c>
      <c r="AI116" s="189">
        <f t="shared" si="401"/>
        <v>5.3984020729863956E-3</v>
      </c>
      <c r="AJ116" s="189">
        <f t="shared" si="401"/>
        <v>4.7946633312486971E-3</v>
      </c>
      <c r="AK116" s="189">
        <f t="shared" si="401"/>
        <v>8.4763283026669418E-3</v>
      </c>
      <c r="AL116" s="188">
        <f t="shared" ref="AL116" si="402">AL115/AL108</f>
        <v>6.6341634189160661E-3</v>
      </c>
      <c r="AM116" s="189">
        <f t="shared" ref="AM116:AP116" si="403">AH116</f>
        <v>7.9117717573723313E-3</v>
      </c>
      <c r="AN116" s="189">
        <f t="shared" si="403"/>
        <v>5.3984020729863956E-3</v>
      </c>
      <c r="AO116" s="189">
        <f t="shared" si="403"/>
        <v>4.7946633312486971E-3</v>
      </c>
      <c r="AP116" s="189">
        <f t="shared" si="403"/>
        <v>8.4763283026669418E-3</v>
      </c>
      <c r="AQ116" s="188">
        <f t="shared" ref="AQ116" si="404">AQ115/AQ108</f>
        <v>6.6341634189160652E-3</v>
      </c>
      <c r="AR116" s="189">
        <f t="shared" ref="AR116:AU116" si="405">AM116</f>
        <v>7.9117717573723313E-3</v>
      </c>
      <c r="AS116" s="189">
        <f t="shared" si="405"/>
        <v>5.3984020729863956E-3</v>
      </c>
      <c r="AT116" s="189">
        <f t="shared" si="405"/>
        <v>4.7946633312486971E-3</v>
      </c>
      <c r="AU116" s="189">
        <f t="shared" si="405"/>
        <v>8.4763283026669418E-3</v>
      </c>
      <c r="AV116" s="188">
        <f t="shared" ref="AV116" si="406">AV115/AV108</f>
        <v>6.634163418916067E-3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407">IFERROR((Y163*(X117/X163)),0)</f>
        <v>0</v>
      </c>
      <c r="Z117" s="119">
        <f t="shared" si="407"/>
        <v>0</v>
      </c>
      <c r="AA117" s="119">
        <f t="shared" si="407"/>
        <v>0</v>
      </c>
      <c r="AB117" s="131">
        <f>SUM(X117:AA117)</f>
        <v>0</v>
      </c>
      <c r="AC117" s="119">
        <f>IFERROR((AC163*(AA117/AA163)),0)</f>
        <v>0</v>
      </c>
      <c r="AD117" s="119">
        <f t="shared" ref="AD117:AF117" si="408">IFERROR((AD163*(AC117/AC163)),0)</f>
        <v>0</v>
      </c>
      <c r="AE117" s="119">
        <f t="shared" si="408"/>
        <v>0</v>
      </c>
      <c r="AF117" s="119">
        <f t="shared" si="408"/>
        <v>0</v>
      </c>
      <c r="AG117" s="131">
        <f>SUM(AC117:AF117)</f>
        <v>0</v>
      </c>
      <c r="AH117" s="119">
        <f>IFERROR((AH163*(AF117/AF163)),0)</f>
        <v>0</v>
      </c>
      <c r="AI117" s="119">
        <f t="shared" ref="AI117:AK117" si="409">IFERROR((AI163*(AH117/AH163)),0)</f>
        <v>0</v>
      </c>
      <c r="AJ117" s="119">
        <f t="shared" si="409"/>
        <v>0</v>
      </c>
      <c r="AK117" s="119">
        <f t="shared" si="409"/>
        <v>0</v>
      </c>
      <c r="AL117" s="131">
        <f>SUM(AH117:AK117)</f>
        <v>0</v>
      </c>
      <c r="AM117" s="119">
        <f>IFERROR((AM163*(AK117/AK163)),0)</f>
        <v>0</v>
      </c>
      <c r="AN117" s="119">
        <f t="shared" ref="AN117:AP117" si="410">IFERROR((AN163*(AM117/AM163)),0)</f>
        <v>0</v>
      </c>
      <c r="AO117" s="119">
        <f t="shared" si="410"/>
        <v>0</v>
      </c>
      <c r="AP117" s="119">
        <f t="shared" si="410"/>
        <v>0</v>
      </c>
      <c r="AQ117" s="131">
        <f>SUM(AM117:AP117)</f>
        <v>0</v>
      </c>
      <c r="AR117" s="119">
        <f>IFERROR((AR163*(AP117/AP163)),0)</f>
        <v>0</v>
      </c>
      <c r="AS117" s="119">
        <f t="shared" ref="AS117:AU117" si="411">IFERROR((AS163*(AR117/AR163)),0)</f>
        <v>0</v>
      </c>
      <c r="AT117" s="119">
        <f t="shared" si="411"/>
        <v>0</v>
      </c>
      <c r="AU117" s="119">
        <f t="shared" si="411"/>
        <v>0</v>
      </c>
      <c r="AV117" s="131">
        <f>SUM(AR117:AU117)</f>
        <v>0</v>
      </c>
    </row>
    <row r="118" spans="2:48" outlineLevel="1" x14ac:dyDescent="0.3">
      <c r="B118" s="46" t="s">
        <v>52</v>
      </c>
      <c r="C118" s="19"/>
      <c r="D118" s="50">
        <f>D110+D112+D114+D115+D117</f>
        <v>370.2</v>
      </c>
      <c r="E118" s="50">
        <f t="shared" ref="E118:AV118" si="412">E110+E112+E114+E115+E117</f>
        <v>337.90000000000003</v>
      </c>
      <c r="F118" s="50">
        <f t="shared" si="412"/>
        <v>400.2</v>
      </c>
      <c r="G118" s="50">
        <f t="shared" si="412"/>
        <v>382.30000000000007</v>
      </c>
      <c r="H118" s="26">
        <f t="shared" si="412"/>
        <v>1490.6</v>
      </c>
      <c r="I118" s="50">
        <f t="shared" si="412"/>
        <v>362.1</v>
      </c>
      <c r="J118" s="50">
        <f t="shared" si="412"/>
        <v>372.6</v>
      </c>
      <c r="K118" s="50">
        <f t="shared" si="412"/>
        <v>374.09999999999997</v>
      </c>
      <c r="L118" s="50">
        <f t="shared" si="412"/>
        <v>349.1</v>
      </c>
      <c r="M118" s="26">
        <f t="shared" si="412"/>
        <v>1457.9000000000003</v>
      </c>
      <c r="N118" s="50">
        <f t="shared" si="412"/>
        <v>246.99999999999997</v>
      </c>
      <c r="O118" s="50">
        <f t="shared" si="412"/>
        <v>247.60000000000002</v>
      </c>
      <c r="P118" s="50">
        <f t="shared" si="412"/>
        <v>261.5</v>
      </c>
      <c r="Q118" s="103">
        <f t="shared" si="412"/>
        <v>298.2</v>
      </c>
      <c r="R118" s="26">
        <f t="shared" si="412"/>
        <v>1054.3</v>
      </c>
      <c r="S118" s="50">
        <f t="shared" si="412"/>
        <v>273.5</v>
      </c>
      <c r="T118" s="50">
        <f t="shared" si="412"/>
        <v>313.7</v>
      </c>
      <c r="U118" s="50">
        <f t="shared" si="412"/>
        <v>341.70000000000005</v>
      </c>
      <c r="V118" s="50">
        <f t="shared" si="412"/>
        <v>329.1</v>
      </c>
      <c r="W118" s="26">
        <f t="shared" si="412"/>
        <v>1258</v>
      </c>
      <c r="X118" s="50">
        <f t="shared" si="412"/>
        <v>316.90835000000004</v>
      </c>
      <c r="Y118" s="50">
        <f t="shared" si="412"/>
        <v>326.24799999999999</v>
      </c>
      <c r="Z118" s="50">
        <f t="shared" si="412"/>
        <v>350.37912000000006</v>
      </c>
      <c r="AA118" s="50">
        <f t="shared" si="412"/>
        <v>312.08112</v>
      </c>
      <c r="AB118" s="26">
        <f t="shared" si="412"/>
        <v>1305.6165900000001</v>
      </c>
      <c r="AC118" s="50">
        <f t="shared" si="412"/>
        <v>320.04143600000009</v>
      </c>
      <c r="AD118" s="50">
        <f t="shared" si="412"/>
        <v>339.29792000000003</v>
      </c>
      <c r="AE118" s="50">
        <f t="shared" si="412"/>
        <v>354.01741440000001</v>
      </c>
      <c r="AF118" s="50">
        <f t="shared" si="412"/>
        <v>314.1009664</v>
      </c>
      <c r="AG118" s="26">
        <f t="shared" si="412"/>
        <v>1327.4577368000002</v>
      </c>
      <c r="AH118" s="50">
        <f t="shared" si="412"/>
        <v>331.35434675200008</v>
      </c>
      <c r="AI118" s="50">
        <f t="shared" si="412"/>
        <v>352.86983680000009</v>
      </c>
      <c r="AJ118" s="50">
        <f t="shared" si="412"/>
        <v>362.78213836800012</v>
      </c>
      <c r="AK118" s="50">
        <f t="shared" si="412"/>
        <v>324.48861818880005</v>
      </c>
      <c r="AL118" s="26">
        <f t="shared" si="412"/>
        <v>1371.4949401088002</v>
      </c>
      <c r="AM118" s="50">
        <f t="shared" si="412"/>
        <v>344.60852062208011</v>
      </c>
      <c r="AN118" s="50">
        <f t="shared" si="412"/>
        <v>366.98463027200012</v>
      </c>
      <c r="AO118" s="50">
        <f t="shared" si="412"/>
        <v>377.29342390272006</v>
      </c>
      <c r="AP118" s="50">
        <f t="shared" si="412"/>
        <v>337.46816291635213</v>
      </c>
      <c r="AQ118" s="26">
        <f t="shared" si="412"/>
        <v>1426.3547377131524</v>
      </c>
      <c r="AR118" s="50">
        <f t="shared" si="412"/>
        <v>358.39286144696342</v>
      </c>
      <c r="AS118" s="50">
        <f t="shared" si="412"/>
        <v>381.66401548288013</v>
      </c>
      <c r="AT118" s="50">
        <f t="shared" si="412"/>
        <v>392.38516085882884</v>
      </c>
      <c r="AU118" s="50">
        <f t="shared" si="412"/>
        <v>350.9668894330062</v>
      </c>
      <c r="AV118" s="26">
        <f t="shared" si="412"/>
        <v>1483.4089272216786</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193">
        <f>SUM(S119:V119)</f>
        <v>231.8</v>
      </c>
      <c r="X119" s="56">
        <f>V119</f>
        <v>90</v>
      </c>
      <c r="Y119" s="56">
        <f>X119</f>
        <v>90</v>
      </c>
      <c r="Z119" s="56">
        <f>Y119</f>
        <v>90</v>
      </c>
      <c r="AA119" s="56">
        <f>Z119</f>
        <v>90</v>
      </c>
      <c r="AB119" s="193">
        <f>SUM(X119:AA119)</f>
        <v>360</v>
      </c>
      <c r="AC119" s="56">
        <f>AA119</f>
        <v>90</v>
      </c>
      <c r="AD119" s="56">
        <f>AC119</f>
        <v>90</v>
      </c>
      <c r="AE119" s="56">
        <f>AD119</f>
        <v>90</v>
      </c>
      <c r="AF119" s="56">
        <f>AE119</f>
        <v>90</v>
      </c>
      <c r="AG119" s="193">
        <f>SUM(AC119:AF119)</f>
        <v>360</v>
      </c>
      <c r="AH119" s="56">
        <f>AF119</f>
        <v>90</v>
      </c>
      <c r="AI119" s="56">
        <f>AH119</f>
        <v>90</v>
      </c>
      <c r="AJ119" s="56">
        <f>AI119</f>
        <v>90</v>
      </c>
      <c r="AK119" s="56">
        <f>AJ119</f>
        <v>90</v>
      </c>
      <c r="AL119" s="193">
        <f>SUM(AH119:AK119)</f>
        <v>360</v>
      </c>
      <c r="AM119" s="56">
        <f>AK119</f>
        <v>90</v>
      </c>
      <c r="AN119" s="56">
        <f>AM119</f>
        <v>90</v>
      </c>
      <c r="AO119" s="56">
        <f>AN119</f>
        <v>90</v>
      </c>
      <c r="AP119" s="56">
        <f>AO119</f>
        <v>90</v>
      </c>
      <c r="AQ119" s="193">
        <f>SUM(AM119:AP119)</f>
        <v>360</v>
      </c>
      <c r="AR119" s="56">
        <f>AP119</f>
        <v>90</v>
      </c>
      <c r="AS119" s="56">
        <f>AR119</f>
        <v>90</v>
      </c>
      <c r="AT119" s="56">
        <f>AS119</f>
        <v>90</v>
      </c>
      <c r="AU119" s="56">
        <f>AT119</f>
        <v>90</v>
      </c>
      <c r="AV119" s="193">
        <f>SUM(AR119:AU119)</f>
        <v>360</v>
      </c>
    </row>
    <row r="120" spans="2:48" outlineLevel="1" x14ac:dyDescent="0.3">
      <c r="B120" s="46" t="s">
        <v>53</v>
      </c>
      <c r="C120" s="44"/>
      <c r="D120" s="156">
        <f t="shared" ref="D120:AV120" si="413">D108-D118+D119</f>
        <v>175.80000000000004</v>
      </c>
      <c r="E120" s="156">
        <f t="shared" si="413"/>
        <v>148.89999999999998</v>
      </c>
      <c r="F120" s="156">
        <f t="shared" si="413"/>
        <v>181.89999999999998</v>
      </c>
      <c r="G120" s="156">
        <f t="shared" si="413"/>
        <v>190.89999999999995</v>
      </c>
      <c r="H120" s="97">
        <f t="shared" si="413"/>
        <v>697.5</v>
      </c>
      <c r="I120" s="156">
        <f t="shared" si="413"/>
        <v>175.5</v>
      </c>
      <c r="J120" s="156">
        <f t="shared" si="413"/>
        <v>189.6</v>
      </c>
      <c r="K120" s="156">
        <f t="shared" si="413"/>
        <v>124.20000000000005</v>
      </c>
      <c r="L120" s="74">
        <f t="shared" si="413"/>
        <v>197.89999999999998</v>
      </c>
      <c r="M120" s="97">
        <f t="shared" si="413"/>
        <v>687.1999999999997</v>
      </c>
      <c r="N120" s="74">
        <f t="shared" si="413"/>
        <v>180.8</v>
      </c>
      <c r="O120" s="74">
        <f t="shared" si="413"/>
        <v>172.59999999999997</v>
      </c>
      <c r="P120" s="74">
        <f t="shared" si="413"/>
        <v>216</v>
      </c>
      <c r="Q120" s="74">
        <f t="shared" si="413"/>
        <v>219.8</v>
      </c>
      <c r="R120" s="97">
        <f t="shared" si="413"/>
        <v>789.19999999999993</v>
      </c>
      <c r="S120" s="74">
        <f t="shared" si="413"/>
        <v>183.20000000000002</v>
      </c>
      <c r="T120" s="74">
        <f t="shared" si="413"/>
        <v>197.90000000000003</v>
      </c>
      <c r="U120" s="74">
        <f t="shared" si="413"/>
        <v>191.69999999999993</v>
      </c>
      <c r="V120" s="74">
        <f t="shared" si="413"/>
        <v>244.59999999999997</v>
      </c>
      <c r="W120" s="97">
        <f t="shared" si="413"/>
        <v>817.40000000000009</v>
      </c>
      <c r="X120" s="74">
        <f t="shared" si="413"/>
        <v>231.90165000000002</v>
      </c>
      <c r="Y120" s="74">
        <f t="shared" si="413"/>
        <v>245.37600000000003</v>
      </c>
      <c r="Z120" s="74">
        <f t="shared" si="413"/>
        <v>238.50887999999998</v>
      </c>
      <c r="AA120" s="74">
        <f t="shared" si="413"/>
        <v>280.96688</v>
      </c>
      <c r="AB120" s="97">
        <f t="shared" si="413"/>
        <v>996.75341000000003</v>
      </c>
      <c r="AC120" s="74">
        <f t="shared" si="413"/>
        <v>247.12096400000001</v>
      </c>
      <c r="AD120" s="74">
        <f t="shared" si="413"/>
        <v>251.59104000000002</v>
      </c>
      <c r="AE120" s="74">
        <f t="shared" si="413"/>
        <v>254.82610560000001</v>
      </c>
      <c r="AF120" s="74">
        <f t="shared" si="413"/>
        <v>299.06895360000004</v>
      </c>
      <c r="AG120" s="97">
        <f t="shared" si="413"/>
        <v>1052.6070632000001</v>
      </c>
      <c r="AH120" s="74">
        <f t="shared" si="413"/>
        <v>254.89454924800003</v>
      </c>
      <c r="AI120" s="74">
        <f t="shared" si="413"/>
        <v>258.05468160000004</v>
      </c>
      <c r="AJ120" s="74">
        <f t="shared" si="413"/>
        <v>266.81512243199995</v>
      </c>
      <c r="AK120" s="74">
        <f t="shared" si="413"/>
        <v>309.60809861120003</v>
      </c>
      <c r="AL120" s="97">
        <f t="shared" si="413"/>
        <v>1089.3724518912004</v>
      </c>
      <c r="AM120" s="74">
        <f t="shared" si="413"/>
        <v>261.49033121792007</v>
      </c>
      <c r="AN120" s="74">
        <f t="shared" si="413"/>
        <v>264.77686886399999</v>
      </c>
      <c r="AO120" s="74">
        <f t="shared" si="413"/>
        <v>273.88772732927998</v>
      </c>
      <c r="AP120" s="74">
        <f t="shared" si="413"/>
        <v>318.39242255564801</v>
      </c>
      <c r="AQ120" s="97">
        <f t="shared" si="413"/>
        <v>1118.5473499668481</v>
      </c>
      <c r="AR120" s="74">
        <f t="shared" si="413"/>
        <v>268.34994446663683</v>
      </c>
      <c r="AS120" s="74">
        <f t="shared" si="413"/>
        <v>271.76794361856003</v>
      </c>
      <c r="AT120" s="74">
        <f t="shared" si="413"/>
        <v>281.24323642245122</v>
      </c>
      <c r="AU120" s="74">
        <f t="shared" si="413"/>
        <v>327.52811945787397</v>
      </c>
      <c r="AV120" s="97">
        <f t="shared" si="413"/>
        <v>1148.8892439655222</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14">+I120/I108</f>
        <v>0.3548321876263647</v>
      </c>
      <c r="J121" s="157">
        <f t="shared" si="414"/>
        <v>0.36524754382585239</v>
      </c>
      <c r="K121" s="157">
        <f t="shared" si="414"/>
        <v>0.27766599597585523</v>
      </c>
      <c r="L121" s="75">
        <f t="shared" si="414"/>
        <v>0.42650862068965512</v>
      </c>
      <c r="M121" s="98">
        <f t="shared" si="414"/>
        <v>0.35698701298701285</v>
      </c>
      <c r="N121" s="75">
        <f t="shared" si="414"/>
        <v>0.48680667743672595</v>
      </c>
      <c r="O121" s="75">
        <f t="shared" si="414"/>
        <v>0.46661259799945926</v>
      </c>
      <c r="P121" s="75">
        <f t="shared" si="414"/>
        <v>0.52173913043478259</v>
      </c>
      <c r="Q121" s="75">
        <f t="shared" si="414"/>
        <v>0.50148300250969657</v>
      </c>
      <c r="R121" s="98">
        <f t="shared" si="414"/>
        <v>0.49523092369477911</v>
      </c>
      <c r="S121" s="75">
        <f t="shared" si="414"/>
        <v>0.43922320786382163</v>
      </c>
      <c r="T121" s="75">
        <f t="shared" si="414"/>
        <v>0.42733750809760318</v>
      </c>
      <c r="U121" s="75">
        <f t="shared" si="414"/>
        <v>0.3996247654784239</v>
      </c>
      <c r="V121" s="75">
        <f t="shared" si="414"/>
        <v>0.50568534215422778</v>
      </c>
      <c r="W121" s="98">
        <f t="shared" si="414"/>
        <v>0.44337166413538731</v>
      </c>
      <c r="X121" s="75">
        <f t="shared" si="414"/>
        <v>0.50544157712342797</v>
      </c>
      <c r="Y121" s="75">
        <f t="shared" si="414"/>
        <v>0.50947627194658074</v>
      </c>
      <c r="Z121" s="75">
        <f t="shared" si="414"/>
        <v>0.47808101217106835</v>
      </c>
      <c r="AA121" s="75">
        <f t="shared" si="414"/>
        <v>0.55852896741464031</v>
      </c>
      <c r="AB121" s="98">
        <f t="shared" si="414"/>
        <v>0.51316351158636098</v>
      </c>
      <c r="AC121" s="75">
        <f t="shared" si="414"/>
        <v>0.51789697595619433</v>
      </c>
      <c r="AD121" s="75">
        <f t="shared" si="414"/>
        <v>0.50228905025177639</v>
      </c>
      <c r="AE121" s="75">
        <f t="shared" si="414"/>
        <v>0.49114250400583204</v>
      </c>
      <c r="AF121" s="75">
        <f t="shared" si="414"/>
        <v>0.57164783785734474</v>
      </c>
      <c r="AG121" s="98">
        <f t="shared" si="414"/>
        <v>0.52107588984274167</v>
      </c>
      <c r="AH121" s="75">
        <f t="shared" si="414"/>
        <v>0.51364255175693119</v>
      </c>
      <c r="AI121" s="75">
        <f t="shared" si="414"/>
        <v>0.49537826016061826</v>
      </c>
      <c r="AJ121" s="75">
        <f t="shared" si="414"/>
        <v>0.4944708615392584</v>
      </c>
      <c r="AK121" s="75">
        <f t="shared" si="414"/>
        <v>0.56903136712917579</v>
      </c>
      <c r="AL121" s="98">
        <f t="shared" si="414"/>
        <v>0.51853460910454274</v>
      </c>
      <c r="AM121" s="75">
        <f t="shared" si="414"/>
        <v>0.50666714387302436</v>
      </c>
      <c r="AN121" s="75">
        <f t="shared" si="414"/>
        <v>0.48873326968835085</v>
      </c>
      <c r="AO121" s="75">
        <f t="shared" si="414"/>
        <v>0.48805582070601478</v>
      </c>
      <c r="AP121" s="75">
        <f t="shared" si="414"/>
        <v>0.56266937604439793</v>
      </c>
      <c r="AQ121" s="98">
        <f t="shared" si="414"/>
        <v>0.51194392475250816</v>
      </c>
      <c r="AR121" s="75">
        <f t="shared" si="414"/>
        <v>0.49996002090772923</v>
      </c>
      <c r="AS121" s="75">
        <f t="shared" si="414"/>
        <v>0.48234385577270916</v>
      </c>
      <c r="AT121" s="75">
        <f t="shared" si="414"/>
        <v>0.48188751221251125</v>
      </c>
      <c r="AU121" s="75">
        <f t="shared" si="414"/>
        <v>0.55655207692441933</v>
      </c>
      <c r="AV121" s="98">
        <f t="shared" si="414"/>
        <v>0.50560672826016728</v>
      </c>
    </row>
    <row r="122" spans="2:48" ht="17.399999999999999" x14ac:dyDescent="0.45">
      <c r="B122" s="494" t="s">
        <v>55</v>
      </c>
      <c r="C122" s="495"/>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486" t="s">
        <v>127</v>
      </c>
      <c r="C123" s="487"/>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48">
        <f>+S123*(1+X124)</f>
        <v>27.610000000000003</v>
      </c>
      <c r="Y123" s="48">
        <f>+T123*(1+Y124)</f>
        <v>26.84</v>
      </c>
      <c r="Z123" s="48">
        <f>+U123*(1+Z124)</f>
        <v>30.030000000000005</v>
      </c>
      <c r="AA123" s="48">
        <f t="shared" ref="AA123" si="415">+V123*(1+AA124)</f>
        <v>21.01</v>
      </c>
      <c r="AB123" s="31">
        <f>SUM(X123:AA123)</f>
        <v>105.49000000000001</v>
      </c>
      <c r="AC123" s="48">
        <f>+X123*(1+AC124)</f>
        <v>30.371000000000006</v>
      </c>
      <c r="AD123" s="48">
        <f>+Y123*(1+AD124)</f>
        <v>29.524000000000001</v>
      </c>
      <c r="AE123" s="48">
        <f>+Z123*(1+AE124)</f>
        <v>33.033000000000008</v>
      </c>
      <c r="AF123" s="48">
        <f t="shared" ref="AF123" si="416">+AA123*(1+AF124)</f>
        <v>23.111000000000004</v>
      </c>
      <c r="AG123" s="31">
        <f>SUM(AC123:AF123)</f>
        <v>116.03900000000003</v>
      </c>
      <c r="AH123" s="48">
        <f>+AC123*(1+AH124)</f>
        <v>33.408100000000012</v>
      </c>
      <c r="AI123" s="48">
        <f>+AD123*(1+AI124)</f>
        <v>32.476400000000005</v>
      </c>
      <c r="AJ123" s="48">
        <f>+AE123*(1+AJ124)</f>
        <v>36.336300000000016</v>
      </c>
      <c r="AK123" s="48">
        <f t="shared" ref="AK123" si="417">+AF123*(1+AK124)</f>
        <v>25.422100000000007</v>
      </c>
      <c r="AL123" s="31">
        <f>SUM(AH123:AK123)</f>
        <v>127.64290000000003</v>
      </c>
      <c r="AM123" s="48">
        <f>+AH123*(1+AM124)</f>
        <v>36.748910000000016</v>
      </c>
      <c r="AN123" s="48">
        <f>+AI123*(1+AN124)</f>
        <v>35.724040000000009</v>
      </c>
      <c r="AO123" s="48">
        <f>+AJ123*(1+AO124)</f>
        <v>39.969930000000019</v>
      </c>
      <c r="AP123" s="48">
        <f t="shared" ref="AP123" si="418">+AK123*(1+AP124)</f>
        <v>27.964310000000012</v>
      </c>
      <c r="AQ123" s="31">
        <f>SUM(AM123:AP123)</f>
        <v>140.40719000000007</v>
      </c>
      <c r="AR123" s="48">
        <f>+AM123*(1+AR124)</f>
        <v>40.423801000000019</v>
      </c>
      <c r="AS123" s="48">
        <f>+AN123*(1+AS124)</f>
        <v>39.296444000000015</v>
      </c>
      <c r="AT123" s="48">
        <f>+AO123*(1+AT124)</f>
        <v>43.966923000000023</v>
      </c>
      <c r="AU123" s="48">
        <f t="shared" ref="AU123" si="419">+AP123*(1+AU124)</f>
        <v>30.760741000000014</v>
      </c>
      <c r="AV123" s="31">
        <f>SUM(AR123:AU123)</f>
        <v>154.44790900000007</v>
      </c>
    </row>
    <row r="124" spans="2:48" s="8" customFormat="1" outlineLevel="1" x14ac:dyDescent="0.3">
      <c r="B124" s="38" t="s">
        <v>128</v>
      </c>
      <c r="C124" s="201"/>
      <c r="D124" s="30"/>
      <c r="E124" s="30"/>
      <c r="F124" s="30"/>
      <c r="G124" s="118"/>
      <c r="H124" s="130"/>
      <c r="I124" s="118">
        <f t="shared" ref="I124:J124" si="420">I123/D123-1</f>
        <v>0.76724137931034497</v>
      </c>
      <c r="J124" s="118">
        <f t="shared" si="420"/>
        <v>-0.24050632911392411</v>
      </c>
      <c r="K124" s="118">
        <f>K123/F123-1</f>
        <v>-0.15450643776824036</v>
      </c>
      <c r="L124" s="118">
        <f>L123/G123-1</f>
        <v>-9.740259740259738E-2</v>
      </c>
      <c r="M124" s="128">
        <f>M123/H123-1</f>
        <v>0</v>
      </c>
      <c r="N124" s="118">
        <f t="shared" ref="N124:Q124" si="421">N123/I123-1</f>
        <v>0</v>
      </c>
      <c r="O124" s="118">
        <f t="shared" si="421"/>
        <v>0.88333333333333353</v>
      </c>
      <c r="P124" s="118">
        <f t="shared" si="421"/>
        <v>0.20812182741116758</v>
      </c>
      <c r="Q124" s="118">
        <f t="shared" si="421"/>
        <v>1.2158273381294964</v>
      </c>
      <c r="R124" s="128">
        <f>R123/M123-1</f>
        <v>0.47806354009077134</v>
      </c>
      <c r="S124" s="118">
        <f t="shared" ref="S124:V124" si="422">S123/N123-1</f>
        <v>0.224390243902439</v>
      </c>
      <c r="T124" s="118">
        <f t="shared" si="422"/>
        <v>7.9646017699114946E-2</v>
      </c>
      <c r="U124" s="118">
        <f t="shared" si="422"/>
        <v>0.14705882352941169</v>
      </c>
      <c r="V124" s="118">
        <f t="shared" si="422"/>
        <v>-0.3798701298701298</v>
      </c>
      <c r="W124" s="128">
        <f>W123/R123-1</f>
        <v>-1.842374616171949E-2</v>
      </c>
      <c r="X124" s="34">
        <v>0.1</v>
      </c>
      <c r="Y124" s="34">
        <v>0.1</v>
      </c>
      <c r="Z124" s="34">
        <v>0.1</v>
      </c>
      <c r="AA124" s="34">
        <v>0.1</v>
      </c>
      <c r="AB124" s="128">
        <f>AB123/W123-1</f>
        <v>0.10000000000000009</v>
      </c>
      <c r="AC124" s="34">
        <v>0.1</v>
      </c>
      <c r="AD124" s="34">
        <v>0.1</v>
      </c>
      <c r="AE124" s="34">
        <v>0.1</v>
      </c>
      <c r="AF124" s="34">
        <v>0.1</v>
      </c>
      <c r="AG124" s="128">
        <f>AG123/AB123-1</f>
        <v>0.10000000000000009</v>
      </c>
      <c r="AH124" s="34">
        <v>0.1</v>
      </c>
      <c r="AI124" s="34">
        <v>0.1</v>
      </c>
      <c r="AJ124" s="34">
        <v>0.1</v>
      </c>
      <c r="AK124" s="34">
        <v>0.1</v>
      </c>
      <c r="AL124" s="128">
        <f>AL123/AG123-1</f>
        <v>9.9999999999999867E-2</v>
      </c>
      <c r="AM124" s="34">
        <v>0.1</v>
      </c>
      <c r="AN124" s="34">
        <v>0.1</v>
      </c>
      <c r="AO124" s="34">
        <v>0.1</v>
      </c>
      <c r="AP124" s="34">
        <v>0.1</v>
      </c>
      <c r="AQ124" s="128">
        <f>AQ123/AL123-1</f>
        <v>0.10000000000000031</v>
      </c>
      <c r="AR124" s="34">
        <v>0.1</v>
      </c>
      <c r="AS124" s="34">
        <v>0.1</v>
      </c>
      <c r="AT124" s="34">
        <v>0.1</v>
      </c>
      <c r="AU124" s="34">
        <v>0.1</v>
      </c>
      <c r="AV124" s="128">
        <f>AV123/AQ123-1</f>
        <v>9.9999999999999867E-2</v>
      </c>
    </row>
    <row r="125" spans="2:48" outlineLevel="1" x14ac:dyDescent="0.3">
      <c r="B125" s="504" t="s">
        <v>100</v>
      </c>
      <c r="C125" s="505"/>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95">
        <v>24.3</v>
      </c>
      <c r="Y125" s="95">
        <v>24.3</v>
      </c>
      <c r="Z125" s="95">
        <v>24.3</v>
      </c>
      <c r="AA125" s="95">
        <v>24.3</v>
      </c>
      <c r="AB125" s="31">
        <f>SUM(X125:AA125)</f>
        <v>97.2</v>
      </c>
      <c r="AC125" s="95">
        <v>24.3</v>
      </c>
      <c r="AD125" s="95">
        <v>24.3</v>
      </c>
      <c r="AE125" s="95">
        <v>24.3</v>
      </c>
      <c r="AF125" s="95">
        <v>24.3</v>
      </c>
      <c r="AG125" s="31">
        <f>SUM(AC125:AF125)</f>
        <v>97.2</v>
      </c>
      <c r="AH125" s="95">
        <v>24.3</v>
      </c>
      <c r="AI125" s="95">
        <v>24.3</v>
      </c>
      <c r="AJ125" s="95">
        <v>24.3</v>
      </c>
      <c r="AK125" s="95">
        <v>24.3</v>
      </c>
      <c r="AL125" s="31">
        <f>SUM(AH125:AK125)</f>
        <v>97.2</v>
      </c>
      <c r="AM125" s="95">
        <v>24.3</v>
      </c>
      <c r="AN125" s="95">
        <v>24.3</v>
      </c>
      <c r="AO125" s="95">
        <v>24.3</v>
      </c>
      <c r="AP125" s="95">
        <v>24.3</v>
      </c>
      <c r="AQ125" s="31">
        <f>SUM(AM125:AP125)</f>
        <v>97.2</v>
      </c>
      <c r="AR125" s="95">
        <v>24.3</v>
      </c>
      <c r="AS125" s="95">
        <v>24.3</v>
      </c>
      <c r="AT125" s="95">
        <v>24.3</v>
      </c>
      <c r="AU125" s="95">
        <v>24.3</v>
      </c>
      <c r="AV125" s="31">
        <f>SUM(AR125:AU125)</f>
        <v>97.2</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23">SUM(I126:L126)</f>
        <v>13.9</v>
      </c>
      <c r="N126" s="105">
        <v>3.6</v>
      </c>
      <c r="O126" s="105">
        <v>3.4</v>
      </c>
      <c r="P126" s="105">
        <v>3.3</v>
      </c>
      <c r="Q126" s="105">
        <v>4.5</v>
      </c>
      <c r="R126" s="31">
        <f t="shared" ref="R126:R129" si="424">SUM(N126:Q126)</f>
        <v>14.8</v>
      </c>
      <c r="S126" s="105">
        <v>2.9</v>
      </c>
      <c r="T126" s="105">
        <v>4.4000000000000004</v>
      </c>
      <c r="U126" s="105">
        <v>5.9</v>
      </c>
      <c r="V126" s="105">
        <v>3.3</v>
      </c>
      <c r="W126" s="31">
        <f t="shared" ref="W126:W129" si="425">SUM(S126:V126)</f>
        <v>16.5</v>
      </c>
      <c r="X126" s="95">
        <v>5.9</v>
      </c>
      <c r="Y126" s="95">
        <v>5.9</v>
      </c>
      <c r="Z126" s="95">
        <v>5.9</v>
      </c>
      <c r="AA126" s="95">
        <v>5.9</v>
      </c>
      <c r="AB126" s="31">
        <f t="shared" ref="AB126:AB129" si="426">SUM(X126:AA126)</f>
        <v>23.6</v>
      </c>
      <c r="AC126" s="95">
        <v>5.9</v>
      </c>
      <c r="AD126" s="95">
        <v>5.9</v>
      </c>
      <c r="AE126" s="95">
        <v>5.9</v>
      </c>
      <c r="AF126" s="95">
        <v>5.9</v>
      </c>
      <c r="AG126" s="31">
        <f t="shared" ref="AG126:AG129" si="427">SUM(AC126:AF126)</f>
        <v>23.6</v>
      </c>
      <c r="AH126" s="95">
        <v>5.9</v>
      </c>
      <c r="AI126" s="95">
        <v>5.9</v>
      </c>
      <c r="AJ126" s="95">
        <v>5.9</v>
      </c>
      <c r="AK126" s="95">
        <v>5.9</v>
      </c>
      <c r="AL126" s="31">
        <f t="shared" ref="AL126:AL129" si="428">SUM(AH126:AK126)</f>
        <v>23.6</v>
      </c>
      <c r="AM126" s="95">
        <v>5.9</v>
      </c>
      <c r="AN126" s="95">
        <v>5.9</v>
      </c>
      <c r="AO126" s="95">
        <v>5.9</v>
      </c>
      <c r="AP126" s="95">
        <v>5.9</v>
      </c>
      <c r="AQ126" s="31">
        <f t="shared" ref="AQ126:AQ129" si="429">SUM(AM126:AP126)</f>
        <v>23.6</v>
      </c>
      <c r="AR126" s="95">
        <v>5.9</v>
      </c>
      <c r="AS126" s="95">
        <v>5.9</v>
      </c>
      <c r="AT126" s="95">
        <v>5.9</v>
      </c>
      <c r="AU126" s="95">
        <v>5.9</v>
      </c>
      <c r="AV126" s="31">
        <f t="shared" ref="AV126:AV129" si="430">SUM(AR126:AU126)</f>
        <v>23.6</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23"/>
        <v>149.80000000000001</v>
      </c>
      <c r="N127" s="358">
        <v>37</v>
      </c>
      <c r="O127" s="358">
        <v>37</v>
      </c>
      <c r="P127" s="358">
        <v>35.5</v>
      </c>
      <c r="Q127" s="358">
        <v>32.9</v>
      </c>
      <c r="R127" s="126">
        <f t="shared" si="424"/>
        <v>142.4</v>
      </c>
      <c r="S127" s="358">
        <v>32.9</v>
      </c>
      <c r="T127" s="358">
        <v>32.299999999999997</v>
      </c>
      <c r="U127" s="358">
        <v>30.6</v>
      </c>
      <c r="V127" s="358">
        <v>30.7</v>
      </c>
      <c r="W127" s="126">
        <f t="shared" si="425"/>
        <v>126.49999999999999</v>
      </c>
      <c r="X127" s="358">
        <f>(V127/(V66+V99+V114+V127))*'CFS (After Changes)'!X7*0.95</f>
        <v>31.824697783428835</v>
      </c>
      <c r="Y127" s="358">
        <f>(X127/(X66+X99+X114+X127))*'CFS (After Changes)'!Y7*0.95</f>
        <v>32.734363269183078</v>
      </c>
      <c r="Z127" s="358">
        <f>(Y127/(Y66+Y99+Y114+Y127))*'CFS (After Changes)'!Z7*0.95</f>
        <v>33.401707702674493</v>
      </c>
      <c r="AA127" s="358">
        <f>(Z127/(Z66+Z99+Z114+Z127))*'CFS (After Changes)'!AA7*0.95</f>
        <v>34.266591317016697</v>
      </c>
      <c r="AB127" s="126">
        <f t="shared" si="426"/>
        <v>132.2273600723031</v>
      </c>
      <c r="AC127" s="358">
        <f>(AA127/(AA66+AA99+AA114+AA127))*'CFS (After Changes)'!AC7*0.95</f>
        <v>35.877911616157867</v>
      </c>
      <c r="AD127" s="358">
        <f>(AC127/(AC66+AC99+AC114+AC127))*'CFS (After Changes)'!AD7*0.95</f>
        <v>36.961094284901876</v>
      </c>
      <c r="AE127" s="358">
        <f>(AD127/(AD66+AD99+AD114+AD127))*'CFS (After Changes)'!AE7*0.95</f>
        <v>37.818654769891772</v>
      </c>
      <c r="AF127" s="358">
        <f>(AE127/(AE66+AE99+AE114+AE127))*'CFS (After Changes)'!AF7*0.95</f>
        <v>39.013021936692454</v>
      </c>
      <c r="AG127" s="126">
        <f t="shared" si="427"/>
        <v>149.67068260764398</v>
      </c>
      <c r="AH127" s="358">
        <f>(AF127/(AF66+AF99+AF114+AF127))*'CFS (After Changes)'!AH7*0.95</f>
        <v>40.338045190569609</v>
      </c>
      <c r="AI127" s="358">
        <f>(AH127/(AH66+AH99+AH114+AH127))*'CFS (After Changes)'!AI7*0.95</f>
        <v>41.223012991879813</v>
      </c>
      <c r="AJ127" s="358">
        <f>(AI127/(AI66+AI99+AI114+AI127))*'CFS (After Changes)'!AJ7*0.95</f>
        <v>41.890623173569523</v>
      </c>
      <c r="AK127" s="358">
        <f>(AJ127/(AJ66+AJ99+AJ114+AJ127))*'CFS (After Changes)'!AK7*0.95</f>
        <v>42.874711322767851</v>
      </c>
      <c r="AL127" s="126">
        <f t="shared" si="428"/>
        <v>166.32639267878679</v>
      </c>
      <c r="AM127" s="358">
        <f>(AK127/(AK66+AK99+AK114+AK127))*'CFS (After Changes)'!AM7*0.95</f>
        <v>43.929270914248697</v>
      </c>
      <c r="AN127" s="358">
        <f>(AM127/(AM66+AM99+AM114+AM127))*'CFS (After Changes)'!AN7*0.95</f>
        <v>44.950641308017595</v>
      </c>
      <c r="AO127" s="358">
        <f>(AN127/(AN66+AN99+AN114+AN127))*'CFS (After Changes)'!AO7*0.95</f>
        <v>45.701218601039869</v>
      </c>
      <c r="AP127" s="358">
        <f>(AO127/(AO66+AO99+AO114+AO127))*'CFS (After Changes)'!AP7*0.95</f>
        <v>46.769256665203095</v>
      </c>
      <c r="AQ127" s="126">
        <f t="shared" si="429"/>
        <v>181.35038748850926</v>
      </c>
      <c r="AR127" s="358">
        <f>(AP127/(AP66+AP99+AP114+AP127))*'CFS (After Changes)'!AR7*0.95</f>
        <v>47.895074516124048</v>
      </c>
      <c r="AS127" s="358">
        <f>(AR127/(AR66+AR99+AR114+AR127))*'CFS (After Changes)'!AS7*0.95</f>
        <v>48.922854404794194</v>
      </c>
      <c r="AT127" s="358">
        <f>(AS127/(AS66+AS99+AS114+AS127))*'CFS (After Changes)'!AT7*0.95</f>
        <v>49.658663075579504</v>
      </c>
      <c r="AU127" s="358">
        <f>(AT127/(AT66+AT99+AT114+AT127))*'CFS (After Changes)'!AU7*0.95</f>
        <v>50.732554439353947</v>
      </c>
      <c r="AV127" s="126">
        <f t="shared" si="430"/>
        <v>197.20914643585169</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23"/>
        <v>1121.7</v>
      </c>
      <c r="N128" s="105">
        <v>316.5</v>
      </c>
      <c r="O128" s="105">
        <v>304.60000000000002</v>
      </c>
      <c r="P128" s="105">
        <v>326.5</v>
      </c>
      <c r="Q128" s="105">
        <v>321</v>
      </c>
      <c r="R128" s="31">
        <f t="shared" si="424"/>
        <v>1268.5999999999999</v>
      </c>
      <c r="S128" s="105">
        <v>354.5</v>
      </c>
      <c r="T128" s="105">
        <v>328.1</v>
      </c>
      <c r="U128" s="105">
        <v>326.10000000000002</v>
      </c>
      <c r="V128" s="105">
        <v>362.5</v>
      </c>
      <c r="W128" s="31">
        <f t="shared" si="425"/>
        <v>1371.2</v>
      </c>
      <c r="X128" s="95">
        <v>332.42500000000001</v>
      </c>
      <c r="Y128" s="95">
        <v>332.42500000000001</v>
      </c>
      <c r="Z128" s="95">
        <v>332.42500000000001</v>
      </c>
      <c r="AA128" s="95">
        <v>332.42500000000001</v>
      </c>
      <c r="AB128" s="31">
        <f t="shared" si="426"/>
        <v>1329.7</v>
      </c>
      <c r="AC128" s="95">
        <v>332.42500000000001</v>
      </c>
      <c r="AD128" s="95">
        <v>332.42500000000001</v>
      </c>
      <c r="AE128" s="95">
        <v>332.42500000000001</v>
      </c>
      <c r="AF128" s="95">
        <v>332.42500000000001</v>
      </c>
      <c r="AG128" s="31">
        <f t="shared" si="427"/>
        <v>1329.7</v>
      </c>
      <c r="AH128" s="95">
        <v>332.42500000000001</v>
      </c>
      <c r="AI128" s="95">
        <v>332.42500000000001</v>
      </c>
      <c r="AJ128" s="95">
        <v>332.42500000000001</v>
      </c>
      <c r="AK128" s="95">
        <v>332.42500000000001</v>
      </c>
      <c r="AL128" s="31">
        <f t="shared" si="428"/>
        <v>1329.7</v>
      </c>
      <c r="AM128" s="95">
        <v>332.42500000000001</v>
      </c>
      <c r="AN128" s="95">
        <v>332.42500000000001</v>
      </c>
      <c r="AO128" s="95">
        <v>332.42500000000001</v>
      </c>
      <c r="AP128" s="95">
        <v>332.42500000000001</v>
      </c>
      <c r="AQ128" s="31">
        <f t="shared" si="429"/>
        <v>1329.7</v>
      </c>
      <c r="AR128" s="95">
        <v>332.42500000000001</v>
      </c>
      <c r="AS128" s="95">
        <v>332.42500000000001</v>
      </c>
      <c r="AT128" s="95">
        <v>332.42500000000001</v>
      </c>
      <c r="AU128" s="95">
        <v>332.42500000000001</v>
      </c>
      <c r="AV128" s="31">
        <f t="shared" si="430"/>
        <v>1329.7</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23"/>
        <v>22.400000000000002</v>
      </c>
      <c r="N129" s="119">
        <v>0</v>
      </c>
      <c r="O129" s="119">
        <v>0</v>
      </c>
      <c r="P129" s="119">
        <v>0</v>
      </c>
      <c r="Q129" s="119">
        <v>15</v>
      </c>
      <c r="R129" s="193">
        <f t="shared" si="424"/>
        <v>15</v>
      </c>
      <c r="S129" s="119">
        <v>0</v>
      </c>
      <c r="T129" s="119">
        <v>0</v>
      </c>
      <c r="U129" s="119">
        <v>2</v>
      </c>
      <c r="V129" s="119">
        <v>10.7</v>
      </c>
      <c r="W129" s="193">
        <f t="shared" si="425"/>
        <v>12.7</v>
      </c>
      <c r="X129" s="119">
        <f>IFERROR((X163*(V129/V163)),0)</f>
        <v>15.242165242165239</v>
      </c>
      <c r="Y129" s="119">
        <f t="shared" ref="Y129:AA129" si="431">IFERROR((Y163*(X129/X163)),0)</f>
        <v>0</v>
      </c>
      <c r="Z129" s="119">
        <f t="shared" si="431"/>
        <v>0</v>
      </c>
      <c r="AA129" s="119">
        <f t="shared" si="431"/>
        <v>0</v>
      </c>
      <c r="AB129" s="193">
        <f t="shared" si="426"/>
        <v>15.242165242165239</v>
      </c>
      <c r="AC129" s="119">
        <f>IFERROR((AC163*(AA129/AA163)),0)</f>
        <v>0</v>
      </c>
      <c r="AD129" s="119">
        <f t="shared" ref="AD129:AF129" si="432">IFERROR((AD163*(AC129/AC163)),0)</f>
        <v>0</v>
      </c>
      <c r="AE129" s="119">
        <f t="shared" si="432"/>
        <v>0</v>
      </c>
      <c r="AF129" s="119">
        <f t="shared" si="432"/>
        <v>0</v>
      </c>
      <c r="AG129" s="193">
        <f t="shared" si="427"/>
        <v>0</v>
      </c>
      <c r="AH129" s="119">
        <f>IFERROR((AH163*(AF129/AF163)),0)</f>
        <v>0</v>
      </c>
      <c r="AI129" s="119">
        <f t="shared" ref="AI129:AK129" si="433">IFERROR((AI163*(AH129/AH163)),0)</f>
        <v>0</v>
      </c>
      <c r="AJ129" s="119">
        <f t="shared" si="433"/>
        <v>0</v>
      </c>
      <c r="AK129" s="119">
        <f t="shared" si="433"/>
        <v>0</v>
      </c>
      <c r="AL129" s="193">
        <f t="shared" si="428"/>
        <v>0</v>
      </c>
      <c r="AM129" s="119">
        <f>IFERROR((AM163*(AK129/AK163)),0)</f>
        <v>0</v>
      </c>
      <c r="AN129" s="119">
        <f t="shared" ref="AN129:AP129" si="434">IFERROR((AN163*(AM129/AM163)),0)</f>
        <v>0</v>
      </c>
      <c r="AO129" s="119">
        <f t="shared" si="434"/>
        <v>0</v>
      </c>
      <c r="AP129" s="119">
        <f t="shared" si="434"/>
        <v>0</v>
      </c>
      <c r="AQ129" s="193">
        <f t="shared" si="429"/>
        <v>0</v>
      </c>
      <c r="AR129" s="119">
        <f>IFERROR((AR163*(AP129/AP163)),0)</f>
        <v>0</v>
      </c>
      <c r="AS129" s="119">
        <f t="shared" ref="AS129:AU129" si="435">IFERROR((AS163*(AR129/AR163)),0)</f>
        <v>0</v>
      </c>
      <c r="AT129" s="119">
        <f t="shared" si="435"/>
        <v>0</v>
      </c>
      <c r="AU129" s="119">
        <f t="shared" si="435"/>
        <v>0</v>
      </c>
      <c r="AV129" s="193">
        <f t="shared" si="430"/>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36">SUM(I125:I129)</f>
        <v>350.9</v>
      </c>
      <c r="J130" s="103">
        <f t="shared" si="436"/>
        <v>320</v>
      </c>
      <c r="K130" s="103">
        <f t="shared" si="436"/>
        <v>356.90000000000003</v>
      </c>
      <c r="L130" s="50">
        <f t="shared" si="436"/>
        <v>343.3</v>
      </c>
      <c r="M130" s="51">
        <f t="shared" si="436"/>
        <v>1371.1000000000001</v>
      </c>
      <c r="N130" s="50">
        <f t="shared" si="436"/>
        <v>376.1</v>
      </c>
      <c r="O130" s="50">
        <f t="shared" si="436"/>
        <v>364.40000000000003</v>
      </c>
      <c r="P130" s="50">
        <f t="shared" si="436"/>
        <v>385.1</v>
      </c>
      <c r="Q130" s="50">
        <f t="shared" si="436"/>
        <v>401.6</v>
      </c>
      <c r="R130" s="51">
        <f t="shared" si="436"/>
        <v>1527.1999999999998</v>
      </c>
      <c r="S130" s="50">
        <f t="shared" si="436"/>
        <v>413.2</v>
      </c>
      <c r="T130" s="50">
        <f t="shared" si="436"/>
        <v>385.6</v>
      </c>
      <c r="U130" s="50">
        <f t="shared" si="436"/>
        <v>388.90000000000003</v>
      </c>
      <c r="V130" s="50">
        <f t="shared" si="436"/>
        <v>427.59999999999997</v>
      </c>
      <c r="W130" s="51">
        <f t="shared" si="436"/>
        <v>1615.3</v>
      </c>
      <c r="X130" s="50">
        <f t="shared" si="436"/>
        <v>409.6918630255941</v>
      </c>
      <c r="Y130" s="50">
        <f t="shared" si="436"/>
        <v>395.35936326918306</v>
      </c>
      <c r="Z130" s="50">
        <f t="shared" si="436"/>
        <v>396.02670770267451</v>
      </c>
      <c r="AA130" s="50">
        <f t="shared" si="436"/>
        <v>396.89159131701672</v>
      </c>
      <c r="AB130" s="51">
        <f t="shared" si="436"/>
        <v>1597.9695253144682</v>
      </c>
      <c r="AC130" s="50">
        <f t="shared" si="436"/>
        <v>398.50291161615792</v>
      </c>
      <c r="AD130" s="50">
        <f t="shared" si="436"/>
        <v>399.58609428490189</v>
      </c>
      <c r="AE130" s="50">
        <f t="shared" si="436"/>
        <v>400.44365476989179</v>
      </c>
      <c r="AF130" s="50">
        <f t="shared" si="436"/>
        <v>401.63802193669244</v>
      </c>
      <c r="AG130" s="51">
        <f t="shared" si="436"/>
        <v>1600.170682607644</v>
      </c>
      <c r="AH130" s="50">
        <f t="shared" si="436"/>
        <v>402.96304519056963</v>
      </c>
      <c r="AI130" s="50">
        <f t="shared" si="436"/>
        <v>403.84801299187984</v>
      </c>
      <c r="AJ130" s="50">
        <f t="shared" si="436"/>
        <v>404.51562317356957</v>
      </c>
      <c r="AK130" s="50">
        <f t="shared" si="436"/>
        <v>405.49971132276789</v>
      </c>
      <c r="AL130" s="51">
        <f t="shared" si="436"/>
        <v>1616.8263926787868</v>
      </c>
      <c r="AM130" s="50">
        <f t="shared" si="436"/>
        <v>406.55427091424872</v>
      </c>
      <c r="AN130" s="50">
        <f t="shared" si="436"/>
        <v>407.57564130801762</v>
      </c>
      <c r="AO130" s="50">
        <f t="shared" si="436"/>
        <v>408.3262186010399</v>
      </c>
      <c r="AP130" s="50">
        <f t="shared" si="436"/>
        <v>409.3942566652031</v>
      </c>
      <c r="AQ130" s="51">
        <f t="shared" si="436"/>
        <v>1631.8503874885093</v>
      </c>
      <c r="AR130" s="50">
        <f t="shared" si="436"/>
        <v>410.52007451612405</v>
      </c>
      <c r="AS130" s="50">
        <f t="shared" si="436"/>
        <v>411.54785440479418</v>
      </c>
      <c r="AT130" s="50">
        <f t="shared" si="436"/>
        <v>412.28366307557951</v>
      </c>
      <c r="AU130" s="50">
        <f t="shared" si="436"/>
        <v>413.35755443935398</v>
      </c>
      <c r="AV130" s="51">
        <f t="shared" si="436"/>
        <v>1647.7091464358518</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37">I123-I130</f>
        <v>-330.4</v>
      </c>
      <c r="J131" s="156">
        <f t="shared" si="437"/>
        <v>-308</v>
      </c>
      <c r="K131" s="156">
        <f t="shared" si="437"/>
        <v>-337.20000000000005</v>
      </c>
      <c r="L131" s="74">
        <f t="shared" si="437"/>
        <v>-329.40000000000003</v>
      </c>
      <c r="M131" s="194">
        <f t="shared" si="437"/>
        <v>-1305.0000000000002</v>
      </c>
      <c r="N131" s="74">
        <f t="shared" si="437"/>
        <v>-355.6</v>
      </c>
      <c r="O131" s="74">
        <f t="shared" si="437"/>
        <v>-341.8</v>
      </c>
      <c r="P131" s="74">
        <f t="shared" si="437"/>
        <v>-361.3</v>
      </c>
      <c r="Q131" s="74">
        <f t="shared" si="437"/>
        <v>-370.8</v>
      </c>
      <c r="R131" s="194">
        <f t="shared" si="437"/>
        <v>-1429.4999999999998</v>
      </c>
      <c r="S131" s="74">
        <f t="shared" si="437"/>
        <v>-388.09999999999997</v>
      </c>
      <c r="T131" s="74">
        <f t="shared" si="437"/>
        <v>-361.20000000000005</v>
      </c>
      <c r="U131" s="74">
        <f t="shared" si="437"/>
        <v>-361.6</v>
      </c>
      <c r="V131" s="74">
        <f t="shared" si="437"/>
        <v>-408.49999999999994</v>
      </c>
      <c r="W131" s="194">
        <f t="shared" si="437"/>
        <v>-1519.3999999999999</v>
      </c>
      <c r="X131" s="74">
        <f t="shared" si="437"/>
        <v>-382.08186302559409</v>
      </c>
      <c r="Y131" s="74">
        <f t="shared" si="437"/>
        <v>-368.51936326918309</v>
      </c>
      <c r="Z131" s="74">
        <f t="shared" si="437"/>
        <v>-365.99670770267448</v>
      </c>
      <c r="AA131" s="74">
        <f t="shared" si="437"/>
        <v>-375.88159131701673</v>
      </c>
      <c r="AB131" s="194">
        <f t="shared" si="437"/>
        <v>-1492.4795253144682</v>
      </c>
      <c r="AC131" s="74">
        <f t="shared" si="437"/>
        <v>-368.13191161615794</v>
      </c>
      <c r="AD131" s="74">
        <f t="shared" si="437"/>
        <v>-370.06209428490189</v>
      </c>
      <c r="AE131" s="74">
        <f t="shared" si="437"/>
        <v>-367.41065476989178</v>
      </c>
      <c r="AF131" s="74">
        <f t="shared" si="437"/>
        <v>-378.52702193669245</v>
      </c>
      <c r="AG131" s="194">
        <f t="shared" si="437"/>
        <v>-1484.1316826076441</v>
      </c>
      <c r="AH131" s="74">
        <f t="shared" si="437"/>
        <v>-369.55494519056964</v>
      </c>
      <c r="AI131" s="74">
        <f t="shared" si="437"/>
        <v>-371.37161299187983</v>
      </c>
      <c r="AJ131" s="74">
        <f t="shared" si="437"/>
        <v>-368.17932317356957</v>
      </c>
      <c r="AK131" s="74">
        <f t="shared" si="437"/>
        <v>-380.07761132276789</v>
      </c>
      <c r="AL131" s="194">
        <f t="shared" si="437"/>
        <v>-1489.1834926787867</v>
      </c>
      <c r="AM131" s="74">
        <f t="shared" si="437"/>
        <v>-369.80536091424869</v>
      </c>
      <c r="AN131" s="74">
        <f t="shared" si="437"/>
        <v>-371.85160130801762</v>
      </c>
      <c r="AO131" s="74">
        <f t="shared" si="437"/>
        <v>-368.35628860103986</v>
      </c>
      <c r="AP131" s="74">
        <f t="shared" si="437"/>
        <v>-381.42994666520309</v>
      </c>
      <c r="AQ131" s="194">
        <f t="shared" si="437"/>
        <v>-1491.4431974885092</v>
      </c>
      <c r="AR131" s="74">
        <f t="shared" si="437"/>
        <v>-370.09627351612403</v>
      </c>
      <c r="AS131" s="74">
        <f t="shared" si="437"/>
        <v>-372.25141040479417</v>
      </c>
      <c r="AT131" s="74">
        <f t="shared" si="437"/>
        <v>-368.3167400755795</v>
      </c>
      <c r="AU131" s="74">
        <f t="shared" si="437"/>
        <v>-382.59681343935398</v>
      </c>
      <c r="AV131" s="194">
        <f t="shared" si="437"/>
        <v>-1493.2612374358519</v>
      </c>
    </row>
    <row r="132" spans="2:48" ht="17.399999999999999" x14ac:dyDescent="0.45">
      <c r="B132" s="494" t="s">
        <v>14</v>
      </c>
      <c r="C132" s="495"/>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0</v>
      </c>
      <c r="AD137" s="65">
        <f>+AD71+AD105+AD120+AD131-AD17</f>
        <v>2.5011104298755527E-12</v>
      </c>
      <c r="AE137" s="121">
        <f>+AE71+AE105+AE120+AE131-AE17</f>
        <v>0</v>
      </c>
      <c r="AF137" s="65">
        <f>+AF71+AF105+AF120+AF131-AF17</f>
        <v>-2.2737367544323206E-12</v>
      </c>
      <c r="AG137" s="66"/>
      <c r="AH137" s="65">
        <f>+AH71+AH105+AH120+AH131-AH17</f>
        <v>0</v>
      </c>
      <c r="AI137" s="65">
        <f>+AI71+AI105+AI120+AI131-AI17</f>
        <v>-2.2737367544323206E-12</v>
      </c>
      <c r="AJ137" s="121">
        <f>+AJ71+AJ105+AJ120+AJ131-AJ17</f>
        <v>0</v>
      </c>
      <c r="AK137" s="65">
        <f>+AK71+AK105+AK120+AK131-AK17</f>
        <v>0</v>
      </c>
      <c r="AL137" s="66"/>
      <c r="AM137" s="65">
        <f>+AM71+AM105+AM120+AM131-AM17</f>
        <v>0</v>
      </c>
      <c r="AN137" s="65">
        <f>+AN71+AN105+AN120+AN131-AN17</f>
        <v>-1.8189894035458565E-12</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494" t="s">
        <v>9</v>
      </c>
      <c r="C138" s="495"/>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6.9530396796505273E-2</v>
      </c>
      <c r="AC139" s="113"/>
      <c r="AD139" s="113"/>
      <c r="AE139" s="113"/>
      <c r="AF139" s="113"/>
      <c r="AG139" s="137">
        <f>(AG91+AG58)/(AB83+AB74+AB50+AB41)</f>
        <v>6.9565900403204692E-2</v>
      </c>
      <c r="AH139" s="113"/>
      <c r="AI139" s="113"/>
      <c r="AJ139" s="113"/>
      <c r="AK139" s="113"/>
      <c r="AL139" s="406">
        <f>(AL91+AL58)/(AG83+AG74+AG50+AG41)</f>
        <v>6.9594379574551418E-2</v>
      </c>
      <c r="AM139" s="113"/>
      <c r="AN139" s="113"/>
      <c r="AO139" s="113"/>
      <c r="AP139" s="113"/>
      <c r="AQ139" s="137">
        <f>(AQ91+AQ58)/(AL83+AL74+AL50+AL41)</f>
        <v>2.9111548496361057E-2</v>
      </c>
      <c r="AR139" s="113"/>
      <c r="AS139" s="113"/>
      <c r="AT139" s="113"/>
      <c r="AU139" s="113"/>
      <c r="AV139" s="137">
        <f>(AV91+AV58)/(AQ83+AQ74+AQ50+AQ41)</f>
        <v>2.8288039852332875E-2</v>
      </c>
    </row>
    <row r="140" spans="2:48" s="23" customFormat="1" outlineLevel="1" x14ac:dyDescent="0.3">
      <c r="B140" s="486" t="s">
        <v>17</v>
      </c>
      <c r="C140" s="487"/>
      <c r="D140" s="30"/>
      <c r="E140" s="30"/>
      <c r="F140" s="30"/>
      <c r="G140" s="30"/>
      <c r="H140" s="137"/>
      <c r="I140" s="30">
        <f t="shared" ref="I140:AV140" si="438">I8/D8-1</f>
        <v>7.0016735266180907E-2</v>
      </c>
      <c r="J140" s="30">
        <f t="shared" si="438"/>
        <v>-4.9192026514851106E-2</v>
      </c>
      <c r="K140" s="30">
        <f t="shared" si="438"/>
        <v>-0.38119595485856661</v>
      </c>
      <c r="L140" s="113">
        <f t="shared" si="438"/>
        <v>-8.061360604713208E-2</v>
      </c>
      <c r="M140" s="128">
        <f t="shared" si="438"/>
        <v>-0.11281621813298315</v>
      </c>
      <c r="N140" s="30">
        <f t="shared" si="438"/>
        <v>-4.8991841738174613E-2</v>
      </c>
      <c r="O140" s="30">
        <f t="shared" si="438"/>
        <v>0.11213036009139876</v>
      </c>
      <c r="P140" s="30">
        <f t="shared" si="438"/>
        <v>0.77553823926482068</v>
      </c>
      <c r="Q140" s="30">
        <f t="shared" si="438"/>
        <v>0.31332720736405983</v>
      </c>
      <c r="R140" s="128">
        <f t="shared" si="438"/>
        <v>0.23567480227910509</v>
      </c>
      <c r="S140" s="30">
        <f t="shared" si="438"/>
        <v>0.19275787477405393</v>
      </c>
      <c r="T140" s="30">
        <f t="shared" si="438"/>
        <v>0.14511097780443905</v>
      </c>
      <c r="U140" s="30">
        <f t="shared" si="438"/>
        <v>8.7187354098579473E-2</v>
      </c>
      <c r="V140" s="30">
        <f t="shared" si="438"/>
        <v>3.2835381197294566E-2</v>
      </c>
      <c r="W140" s="28">
        <f t="shared" si="438"/>
        <v>0.10976029400631782</v>
      </c>
      <c r="X140" s="30">
        <f t="shared" si="438"/>
        <v>8.752706606926175E-2</v>
      </c>
      <c r="Y140" s="30">
        <f t="shared" si="438"/>
        <v>0.10999891947092189</v>
      </c>
      <c r="Z140" s="30">
        <f t="shared" si="438"/>
        <v>0.15280275422091583</v>
      </c>
      <c r="AA140" s="30">
        <f t="shared" si="438"/>
        <v>0.15234624872082203</v>
      </c>
      <c r="AB140" s="137">
        <f t="shared" si="438"/>
        <v>0.12625511004110912</v>
      </c>
      <c r="AC140" s="30">
        <f t="shared" si="438"/>
        <v>0.12634152394480824</v>
      </c>
      <c r="AD140" s="30">
        <f t="shared" si="438"/>
        <v>9.9909246948870489E-2</v>
      </c>
      <c r="AE140" s="30">
        <f t="shared" si="438"/>
        <v>0.10063345301944993</v>
      </c>
      <c r="AF140" s="30">
        <f t="shared" si="438"/>
        <v>0.10292815319783211</v>
      </c>
      <c r="AG140" s="137">
        <f t="shared" si="438"/>
        <v>0.10727367131082599</v>
      </c>
      <c r="AH140" s="30">
        <f t="shared" si="438"/>
        <v>0.11832344886573876</v>
      </c>
      <c r="AI140" s="30">
        <f t="shared" si="438"/>
        <v>0.11751640712017308</v>
      </c>
      <c r="AJ140" s="30">
        <f t="shared" si="438"/>
        <v>0.11810772207385156</v>
      </c>
      <c r="AK140" s="30">
        <f t="shared" si="438"/>
        <v>0.11979481255576818</v>
      </c>
      <c r="AL140" s="406">
        <f t="shared" si="438"/>
        <v>0.11847215094046426</v>
      </c>
      <c r="AM140" s="30">
        <f t="shared" si="438"/>
        <v>9.9654771442901025E-2</v>
      </c>
      <c r="AN140" s="30">
        <f t="shared" si="438"/>
        <v>9.4179281494839451E-2</v>
      </c>
      <c r="AO140" s="30">
        <f t="shared" si="438"/>
        <v>9.0194661277923416E-2</v>
      </c>
      <c r="AP140" s="30">
        <f t="shared" si="438"/>
        <v>8.6632048262447858E-2</v>
      </c>
      <c r="AQ140" s="28">
        <f t="shared" si="438"/>
        <v>9.2488267588951789E-2</v>
      </c>
      <c r="AR140" s="30">
        <f t="shared" si="438"/>
        <v>6.4844545297942702E-2</v>
      </c>
      <c r="AS140" s="30">
        <f t="shared" si="438"/>
        <v>6.408731796592626E-2</v>
      </c>
      <c r="AT140" s="30">
        <f t="shared" si="438"/>
        <v>6.3880182880829084E-2</v>
      </c>
      <c r="AU140" s="30">
        <f t="shared" si="438"/>
        <v>6.3798577172768267E-2</v>
      </c>
      <c r="AV140" s="28">
        <f t="shared" si="438"/>
        <v>6.4144591195849809E-2</v>
      </c>
    </row>
    <row r="141" spans="2:48" s="23" customFormat="1" outlineLevel="1" x14ac:dyDescent="0.3">
      <c r="B141" s="486" t="s">
        <v>4</v>
      </c>
      <c r="C141" s="487"/>
      <c r="D141" s="27">
        <f t="shared" ref="D141:AV141" si="439">D17/D8</f>
        <v>0.15313522396610738</v>
      </c>
      <c r="E141" s="27">
        <f t="shared" si="439"/>
        <v>0.13601547756862614</v>
      </c>
      <c r="F141" s="27">
        <f t="shared" si="439"/>
        <v>0.16434119888612064</v>
      </c>
      <c r="G141" s="27">
        <f t="shared" si="439"/>
        <v>0.16054542759745088</v>
      </c>
      <c r="H141" s="29">
        <f t="shared" si="439"/>
        <v>0.15383309567461143</v>
      </c>
      <c r="I141" s="27">
        <f t="shared" si="439"/>
        <v>0.1718730185568752</v>
      </c>
      <c r="J141" s="27">
        <f t="shared" si="439"/>
        <v>8.1291592307820446E-2</v>
      </c>
      <c r="K141" s="27">
        <f t="shared" si="439"/>
        <v>-0.16671798394164022</v>
      </c>
      <c r="L141" s="113">
        <f t="shared" si="439"/>
        <v>9.0003385404072211E-2</v>
      </c>
      <c r="M141" s="137">
        <f t="shared" si="439"/>
        <v>6.6400204098988183E-2</v>
      </c>
      <c r="N141" s="27">
        <f t="shared" si="439"/>
        <v>0.13534536403235845</v>
      </c>
      <c r="O141" s="27">
        <f t="shared" si="439"/>
        <v>0.14811037792441512</v>
      </c>
      <c r="P141" s="27">
        <f t="shared" si="439"/>
        <v>0.19858600680317468</v>
      </c>
      <c r="Q141" s="27">
        <f t="shared" si="439"/>
        <v>0.18193869910515911</v>
      </c>
      <c r="R141" s="137">
        <f t="shared" si="439"/>
        <v>0.16764966999993108</v>
      </c>
      <c r="S141" s="27">
        <f t="shared" si="439"/>
        <v>0.14630328927755143</v>
      </c>
      <c r="T141" s="27">
        <f t="shared" si="439"/>
        <v>0.12427314159987431</v>
      </c>
      <c r="U141" s="27">
        <f t="shared" si="439"/>
        <v>0.15895510484533926</v>
      </c>
      <c r="V141" s="27">
        <f t="shared" si="439"/>
        <v>0.14208124361198912</v>
      </c>
      <c r="W141" s="137">
        <f t="shared" si="439"/>
        <v>0.14318316418761981</v>
      </c>
      <c r="X141" s="27">
        <f t="shared" si="439"/>
        <v>0.13939685384792583</v>
      </c>
      <c r="Y141" s="27">
        <f t="shared" si="439"/>
        <v>0.13517954862061246</v>
      </c>
      <c r="Z141" s="27">
        <f t="shared" si="439"/>
        <v>0.16295343415939373</v>
      </c>
      <c r="AA141" s="27">
        <f t="shared" si="439"/>
        <v>0.15897507977723815</v>
      </c>
      <c r="AB141" s="137">
        <f t="shared" si="439"/>
        <v>0.14973252540209153</v>
      </c>
      <c r="AC141" s="27">
        <f t="shared" si="439"/>
        <v>0.1679964454616926</v>
      </c>
      <c r="AD141" s="27">
        <f t="shared" si="439"/>
        <v>0.15755570724018245</v>
      </c>
      <c r="AE141" s="27">
        <f t="shared" si="439"/>
        <v>0.18006424956220898</v>
      </c>
      <c r="AF141" s="27">
        <f t="shared" si="439"/>
        <v>0.17462631395080977</v>
      </c>
      <c r="AG141" s="137">
        <f t="shared" si="439"/>
        <v>0.17044212098342276</v>
      </c>
      <c r="AH141" s="27">
        <f t="shared" si="439"/>
        <v>0.17489252354570936</v>
      </c>
      <c r="AI141" s="27">
        <f t="shared" si="439"/>
        <v>0.16503948268432531</v>
      </c>
      <c r="AJ141" s="27">
        <f t="shared" si="439"/>
        <v>0.19339737727235978</v>
      </c>
      <c r="AK141" s="27">
        <f t="shared" si="439"/>
        <v>0.18183513888711472</v>
      </c>
      <c r="AL141" s="29">
        <f t="shared" si="439"/>
        <v>0.17921525724260493</v>
      </c>
      <c r="AM141" s="27">
        <f t="shared" si="439"/>
        <v>0.17707061230781468</v>
      </c>
      <c r="AN141" s="27">
        <f t="shared" si="439"/>
        <v>0.16704257214118576</v>
      </c>
      <c r="AO141" s="27">
        <f t="shared" si="439"/>
        <v>0.19408701891195879</v>
      </c>
      <c r="AP141" s="27">
        <f t="shared" si="439"/>
        <v>0.18198428164653083</v>
      </c>
      <c r="AQ141" s="29">
        <f t="shared" si="439"/>
        <v>0.18041031016047063</v>
      </c>
      <c r="AR141" s="27">
        <f t="shared" si="439"/>
        <v>0.17625093479936807</v>
      </c>
      <c r="AS141" s="27">
        <f t="shared" si="439"/>
        <v>0.16626808046195185</v>
      </c>
      <c r="AT141" s="27">
        <f t="shared" si="439"/>
        <v>0.19326806045911674</v>
      </c>
      <c r="AU141" s="27">
        <f t="shared" si="439"/>
        <v>0.1810893041100016</v>
      </c>
      <c r="AV141" s="29">
        <f t="shared" si="439"/>
        <v>0.1795799830764101</v>
      </c>
    </row>
    <row r="142" spans="2:48" s="23" customFormat="1" outlineLevel="1" x14ac:dyDescent="0.3">
      <c r="B142" s="486" t="s">
        <v>77</v>
      </c>
      <c r="C142" s="487"/>
      <c r="D142" s="27">
        <f t="shared" ref="D142:AV142" si="440">+D19/D8</f>
        <v>0.17394123056975294</v>
      </c>
      <c r="E142" s="27">
        <f t="shared" si="440"/>
        <v>0.15843892227913536</v>
      </c>
      <c r="F142" s="27">
        <f t="shared" si="440"/>
        <v>0.18270555474131628</v>
      </c>
      <c r="G142" s="27">
        <f t="shared" si="440"/>
        <v>0.17201719282644154</v>
      </c>
      <c r="H142" s="29">
        <f t="shared" si="440"/>
        <v>0.17201964645435841</v>
      </c>
      <c r="I142" s="27">
        <f t="shared" si="440"/>
        <v>0.1819616463062376</v>
      </c>
      <c r="J142" s="27">
        <f t="shared" si="440"/>
        <v>9.2432910252347358E-2</v>
      </c>
      <c r="K142" s="27">
        <f t="shared" si="440"/>
        <v>-0.12558205632268285</v>
      </c>
      <c r="L142" s="113">
        <f t="shared" si="440"/>
        <v>0.13183730715287523</v>
      </c>
      <c r="M142" s="137">
        <f t="shared" si="440"/>
        <v>9.0704141508631861E-2</v>
      </c>
      <c r="N142" s="27">
        <f t="shared" si="440"/>
        <v>0.15533232583637069</v>
      </c>
      <c r="O142" s="27">
        <f t="shared" si="440"/>
        <v>0.1613377324535093</v>
      </c>
      <c r="P142" s="27">
        <f t="shared" si="440"/>
        <v>0.20548255852731262</v>
      </c>
      <c r="Q142" s="27">
        <f t="shared" si="440"/>
        <v>0.19607939411049871</v>
      </c>
      <c r="R142" s="137">
        <f t="shared" si="440"/>
        <v>0.18106990220435909</v>
      </c>
      <c r="S142" s="27">
        <f t="shared" si="440"/>
        <v>0.15067574282023255</v>
      </c>
      <c r="T142" s="27">
        <f t="shared" si="440"/>
        <v>0.13049400178113052</v>
      </c>
      <c r="U142" s="27">
        <f t="shared" si="440"/>
        <v>0.16846419062342788</v>
      </c>
      <c r="V142" s="27">
        <f t="shared" si="440"/>
        <v>0.15124432506952518</v>
      </c>
      <c r="W142" s="137">
        <f t="shared" si="440"/>
        <v>0.15054123527533064</v>
      </c>
      <c r="X142" s="27">
        <f t="shared" si="440"/>
        <v>0.14627302744429943</v>
      </c>
      <c r="Y142" s="27">
        <f t="shared" si="440"/>
        <v>0.13638314514045227</v>
      </c>
      <c r="Z142" s="27">
        <f t="shared" si="440"/>
        <v>0.16403918132865425</v>
      </c>
      <c r="AA142" s="27">
        <f t="shared" si="440"/>
        <v>0.16002716476952228</v>
      </c>
      <c r="AB142" s="137">
        <f t="shared" si="440"/>
        <v>0.15223250347564982</v>
      </c>
      <c r="AC142" s="27">
        <f t="shared" si="440"/>
        <v>0.16903091812685572</v>
      </c>
      <c r="AD142" s="27">
        <f t="shared" si="440"/>
        <v>0.16206103832784938</v>
      </c>
      <c r="AE142" s="27">
        <f t="shared" si="440"/>
        <v>0.18412576996058416</v>
      </c>
      <c r="AF142" s="27">
        <f t="shared" si="440"/>
        <v>0.17855372397902095</v>
      </c>
      <c r="AG142" s="137">
        <f t="shared" si="440"/>
        <v>0.17382865218741941</v>
      </c>
      <c r="AH142" s="27">
        <f t="shared" si="440"/>
        <v>0.1787010259134402</v>
      </c>
      <c r="AI142" s="27">
        <f t="shared" si="440"/>
        <v>0.16907103967889067</v>
      </c>
      <c r="AJ142" s="27">
        <f t="shared" si="440"/>
        <v>0.19702987199374666</v>
      </c>
      <c r="AK142" s="27">
        <f t="shared" si="440"/>
        <v>0.18534239752429971</v>
      </c>
      <c r="AL142" s="406">
        <f t="shared" si="440"/>
        <v>0.18294998199454307</v>
      </c>
      <c r="AM142" s="27">
        <f t="shared" si="440"/>
        <v>0.18053397414339653</v>
      </c>
      <c r="AN142" s="27">
        <f t="shared" si="440"/>
        <v>0.17072712097404028</v>
      </c>
      <c r="AO142" s="27">
        <f t="shared" si="440"/>
        <v>0.19741898782577541</v>
      </c>
      <c r="AP142" s="27">
        <f t="shared" si="440"/>
        <v>0.18521192309405965</v>
      </c>
      <c r="AQ142" s="29">
        <f t="shared" si="440"/>
        <v>0.18382885923119011</v>
      </c>
      <c r="AR142" s="27">
        <f t="shared" si="440"/>
        <v>0.1795033924946017</v>
      </c>
      <c r="AS142" s="27">
        <f t="shared" si="440"/>
        <v>0.16973071813335816</v>
      </c>
      <c r="AT142" s="27">
        <f t="shared" si="440"/>
        <v>0.19639996287391137</v>
      </c>
      <c r="AU142" s="27">
        <f t="shared" si="440"/>
        <v>0.18412337608263651</v>
      </c>
      <c r="AV142" s="29">
        <f t="shared" si="440"/>
        <v>0.18279246857791306</v>
      </c>
    </row>
    <row r="143" spans="2:48" s="23" customFormat="1" outlineLevel="1" x14ac:dyDescent="0.3">
      <c r="B143" s="486" t="s">
        <v>2</v>
      </c>
      <c r="C143" s="487"/>
      <c r="D143" s="27">
        <f t="shared" ref="D143:K143" si="441">D24/D23</f>
        <v>0.2124287933713101</v>
      </c>
      <c r="E143" s="27">
        <f t="shared" si="441"/>
        <v>0.1965853658536586</v>
      </c>
      <c r="F143" s="27">
        <f t="shared" si="441"/>
        <v>0.18110799689903978</v>
      </c>
      <c r="G143" s="118">
        <f t="shared" si="441"/>
        <v>0.20083682008368189</v>
      </c>
      <c r="H143" s="137">
        <f t="shared" si="441"/>
        <v>0.19515471765706843</v>
      </c>
      <c r="I143" s="118">
        <f t="shared" si="441"/>
        <v>0.22600104913446431</v>
      </c>
      <c r="J143" s="118">
        <f t="shared" si="441"/>
        <v>0.16760635571501836</v>
      </c>
      <c r="K143" s="118">
        <f t="shared" si="441"/>
        <v>0.16490147783251249</v>
      </c>
      <c r="L143" s="118">
        <v>0.25</v>
      </c>
      <c r="M143" s="137">
        <f t="shared" ref="M143:V143" si="442">M24/M23</f>
        <v>0.20585709378220463</v>
      </c>
      <c r="N143" s="118">
        <f t="shared" si="442"/>
        <v>0.23023629840405785</v>
      </c>
      <c r="O143" s="118">
        <f t="shared" si="442"/>
        <v>0.25901786717608721</v>
      </c>
      <c r="P143" s="118">
        <f t="shared" si="442"/>
        <v>0.18217246510309659</v>
      </c>
      <c r="Q143" s="118">
        <f t="shared" si="442"/>
        <v>0.21489588894821143</v>
      </c>
      <c r="R143" s="137">
        <f t="shared" si="442"/>
        <v>0.21591906068581893</v>
      </c>
      <c r="S143" s="118">
        <f t="shared" si="442"/>
        <v>0.23183358433734938</v>
      </c>
      <c r="T143" s="118">
        <f t="shared" si="442"/>
        <v>0.22954000684853323</v>
      </c>
      <c r="U143" s="118">
        <f t="shared" si="442"/>
        <v>0.23360174467371256</v>
      </c>
      <c r="V143" s="118">
        <f t="shared" si="442"/>
        <v>0.20223392662549969</v>
      </c>
      <c r="W143" s="137">
        <f>W24/W23</f>
        <v>0.22415463503390937</v>
      </c>
      <c r="X143" s="35">
        <v>0.245</v>
      </c>
      <c r="Y143" s="35">
        <v>0.245</v>
      </c>
      <c r="Z143" s="35">
        <v>0.245</v>
      </c>
      <c r="AA143" s="35">
        <v>0.245</v>
      </c>
      <c r="AB143" s="137">
        <f>AB24/AB23</f>
        <v>0.24500000000000011</v>
      </c>
      <c r="AC143" s="34">
        <f>AVERAGE(X143,Y143,Z143,AA143)</f>
        <v>0.245</v>
      </c>
      <c r="AD143" s="34">
        <f>AVERAGE(Y143,Z143,AA143,AC143)</f>
        <v>0.245</v>
      </c>
      <c r="AE143" s="34">
        <f>AVERAGE(Z143,AA143,AC143,AD143)</f>
        <v>0.245</v>
      </c>
      <c r="AF143" s="34">
        <f>AVERAGE(AA143,AC143,AD143,AE143)</f>
        <v>0.245</v>
      </c>
      <c r="AG143" s="29">
        <f>AG24/AG23</f>
        <v>0.24500000000000022</v>
      </c>
      <c r="AH143" s="34">
        <f>AVERAGE(AC143,AD143,AE143,AF143)</f>
        <v>0.245</v>
      </c>
      <c r="AI143" s="34">
        <f>AVERAGE(AD143,AE143,AF143,AH143)</f>
        <v>0.245</v>
      </c>
      <c r="AJ143" s="34">
        <f>AVERAGE(AE143,AF143,AH143,AI143)</f>
        <v>0.245</v>
      </c>
      <c r="AK143" s="34">
        <f>AVERAGE(AF143,AH143,AI143,AJ143)</f>
        <v>0.245</v>
      </c>
      <c r="AL143" s="29">
        <f>AL24/AL23</f>
        <v>0.24500000000000002</v>
      </c>
      <c r="AM143" s="34">
        <f>AVERAGE(AH143,AI143,AJ143,AK143)</f>
        <v>0.245</v>
      </c>
      <c r="AN143" s="34">
        <f>AVERAGE(AI143,AJ143,AK143,AM143)</f>
        <v>0.245</v>
      </c>
      <c r="AO143" s="34">
        <f>AVERAGE(AJ143,AK143,AM143,AN143)</f>
        <v>0.245</v>
      </c>
      <c r="AP143" s="34">
        <f>AVERAGE(AK143,AM143,AN143,AO143)</f>
        <v>0.245</v>
      </c>
      <c r="AQ143" s="29">
        <f>AQ24/AQ23</f>
        <v>0.24499999999999977</v>
      </c>
      <c r="AR143" s="34">
        <f>AVERAGE(AM143,AN143,AO143,AP143)</f>
        <v>0.245</v>
      </c>
      <c r="AS143" s="34">
        <f>AVERAGE(AN143,AO143,AP143,AR143)</f>
        <v>0.245</v>
      </c>
      <c r="AT143" s="34">
        <f>AVERAGE(AO143,AP143,AR143,AS143)</f>
        <v>0.245</v>
      </c>
      <c r="AU143" s="34">
        <f>AVERAGE(AP143,AR143,AS143,AT143)</f>
        <v>0.245</v>
      </c>
      <c r="AV143" s="29">
        <f>AV24/AV23</f>
        <v>0.24500000000000005</v>
      </c>
    </row>
    <row r="144" spans="2:48" s="23" customFormat="1" outlineLevel="1" x14ac:dyDescent="0.3">
      <c r="B144" s="486" t="s">
        <v>78</v>
      </c>
      <c r="C144" s="487"/>
      <c r="D144" s="27"/>
      <c r="E144" s="27">
        <f>+E21/(('BS (After Changes)'!E6+'BS (After Changes)'!E7+'BS (After Changes)'!E12)+('BS (After Changes)'!D6+'BS (After Changes)'!D7+'BS (After Changes)'!D12)/2)</f>
        <v>3.0327214684756584E-3</v>
      </c>
      <c r="F144" s="27">
        <f>+F21/(('BS (After Changes)'!F6+'BS (After Changes)'!F7+'BS (After Changes)'!F12)+('BS (After Changes)'!E6+'BS (After Changes)'!E7+'BS (After Changes)'!E12)/2)</f>
        <v>6.4321029136466161E-3</v>
      </c>
      <c r="G144" s="27">
        <f>+G21/(('BS (After Changes)'!G6+'BS (After Changes)'!G7+'BS (After Changes)'!G12)+('BS (After Changes)'!F6+'BS (After Changes)'!F7+'BS (After Changes)'!F12)/2)</f>
        <v>2.9603261807251862E-3</v>
      </c>
      <c r="H144" s="29"/>
      <c r="I144" s="27">
        <f>+I21/(('BS (After Changes)'!I6+'BS (After Changes)'!I7+'BS (After Changes)'!I12)+('BS (After Changes)'!G6+'BS (After Changes)'!G7+'BS (After Changes)'!G12)/2)</f>
        <v>3.3143988743550958E-3</v>
      </c>
      <c r="J144" s="27">
        <f>+J21/(('BS (After Changes)'!J6+'BS (After Changes)'!J7+'BS (After Changes)'!J12)+('BS (After Changes)'!I6+'BS (After Changes)'!I7+'BS (After Changes)'!I12)/2)</f>
        <v>4.4659305324505627E-4</v>
      </c>
      <c r="K144" s="27">
        <f>+K21/(('BS (After Changes)'!K6+'BS (After Changes)'!K7+'BS (After Changes)'!K12)+('BS (After Changes)'!J6+'BS (After Changes)'!J7+'BS (After Changes)'!J12)/2)</f>
        <v>2.1779393606804753E-3</v>
      </c>
      <c r="L144" s="27">
        <f>+L21/(('BS (After Changes)'!L6+'BS (After Changes)'!L7+'BS (After Changes)'!L12)+('BS (After Changes)'!K6+'BS (After Changes)'!K7+'BS (After Changes)'!K12)/2)</f>
        <v>1.2911830642186198E-3</v>
      </c>
      <c r="M144" s="29"/>
      <c r="N144" s="27">
        <f>+N21/(('BS (After Changes)'!N6+'BS (After Changes)'!N7+'BS (After Changes)'!N12)+('BS (After Changes)'!L6+'BS (After Changes)'!L7+'BS (After Changes)'!L12)/2)</f>
        <v>1.9686289451959073E-3</v>
      </c>
      <c r="O144" s="27">
        <f>+O21/(('BS (After Changes)'!O6+'BS (After Changes)'!O7+'BS (After Changes)'!O12)+('BS (After Changes)'!N6+'BS (After Changes)'!N7+'BS (After Changes)'!N12)/2)</f>
        <v>2.465933063458573E-3</v>
      </c>
      <c r="P144" s="27">
        <f>+P21/(('BS (After Changes)'!P6+'BS (After Changes)'!P7+'BS (After Changes)'!P12)+('BS (After Changes)'!O6+'BS (After Changes)'!O7+'BS (After Changes)'!O12)/2)</f>
        <v>4.9067713444553383E-3</v>
      </c>
      <c r="Q144" s="27">
        <f>+Q21/(('BS (After Changes)'!Q6+'BS (After Changes)'!Q7+'BS (After Changes)'!Q12)+('BS (After Changes)'!P6+'BS (After Changes)'!P7+'BS (After Changes)'!P12)/2)</f>
        <v>2.2641350477574504E-3</v>
      </c>
      <c r="R144" s="137"/>
      <c r="S144" s="27">
        <f>+S21/(('BS (After Changes)'!S6+'BS (After Changes)'!S7+'BS (After Changes)'!S12)+('BS (After Changes)'!Q6+'BS (After Changes)'!Q7+'BS (After Changes)'!Q12)/2)</f>
        <v>-1.2810330250313835E-5</v>
      </c>
      <c r="T144" s="27">
        <f>+T21/(('BS (After Changes)'!T6+'BS (After Changes)'!T7+'BS (After Changes)'!T12)+('BS (After Changes)'!S6+'BS (After Changes)'!S7+'BS (After Changes)'!S12)/2)</f>
        <v>7.1679593764030023E-3</v>
      </c>
      <c r="U144" s="27">
        <f>+U21/(('BS (After Changes)'!U6+'BS (After Changes)'!U7+'BS (After Changes)'!U12)+('BS (After Changes)'!T6+'BS (After Changes)'!T7+'BS (After Changes)'!T12)/2)</f>
        <v>3.4813492865871276E-3</v>
      </c>
      <c r="V144" s="27">
        <f>+V21/(('BS (After Changes)'!V6+'BS (After Changes)'!V7+'BS (After Changes)'!V12)+('BS (After Changes)'!U6+'BS (After Changes)'!U7+'BS (After Changes)'!U12)/2)</f>
        <v>5.9212851098780295E-3</v>
      </c>
      <c r="W144" s="137"/>
      <c r="X144" s="35">
        <f>V144+0.25%</f>
        <v>8.4212851098780291E-3</v>
      </c>
      <c r="Y144" s="35">
        <f>X144+0.5%</f>
        <v>1.3421285109878028E-2</v>
      </c>
      <c r="Z144" s="35">
        <f>Y144</f>
        <v>1.3421285109878028E-2</v>
      </c>
      <c r="AA144" s="35">
        <f>Z144-0.5%</f>
        <v>8.4212851098780274E-3</v>
      </c>
      <c r="AB144" s="137"/>
      <c r="AC144" s="35">
        <f>AA144</f>
        <v>8.4212851098780274E-3</v>
      </c>
      <c r="AD144" s="35">
        <f>AC144</f>
        <v>8.4212851098780274E-3</v>
      </c>
      <c r="AE144" s="35">
        <f>AD144</f>
        <v>8.4212851098780274E-3</v>
      </c>
      <c r="AF144" s="35">
        <f>AE144</f>
        <v>8.4212851098780274E-3</v>
      </c>
      <c r="AG144" s="29"/>
      <c r="AH144" s="35">
        <f>AF144</f>
        <v>8.4212851098780274E-3</v>
      </c>
      <c r="AI144" s="35">
        <f>AH144</f>
        <v>8.4212851098780274E-3</v>
      </c>
      <c r="AJ144" s="35">
        <f>AI144</f>
        <v>8.4212851098780274E-3</v>
      </c>
      <c r="AK144" s="35">
        <f>AJ144</f>
        <v>8.4212851098780274E-3</v>
      </c>
      <c r="AL144" s="29"/>
      <c r="AM144" s="35">
        <f>AK144</f>
        <v>8.4212851098780274E-3</v>
      </c>
      <c r="AN144" s="35">
        <f t="shared" ref="AN144:AP145" si="443">AM144</f>
        <v>8.4212851098780274E-3</v>
      </c>
      <c r="AO144" s="35">
        <f t="shared" si="443"/>
        <v>8.4212851098780274E-3</v>
      </c>
      <c r="AP144" s="35">
        <f t="shared" si="443"/>
        <v>8.4212851098780274E-3</v>
      </c>
      <c r="AQ144" s="29"/>
      <c r="AR144" s="35">
        <f>AP144</f>
        <v>8.4212851098780274E-3</v>
      </c>
      <c r="AS144" s="35">
        <f t="shared" ref="AS144:AU145" si="444">AR144</f>
        <v>8.4212851098780274E-3</v>
      </c>
      <c r="AT144" s="35">
        <f t="shared" si="444"/>
        <v>8.4212851098780274E-3</v>
      </c>
      <c r="AU144" s="35">
        <f t="shared" si="444"/>
        <v>8.4212851098780274E-3</v>
      </c>
      <c r="AV144" s="29"/>
    </row>
    <row r="145" spans="2:48" s="23" customFormat="1" outlineLevel="1" x14ac:dyDescent="0.3">
      <c r="B145" s="486" t="s">
        <v>79</v>
      </c>
      <c r="C145" s="487"/>
      <c r="D145" s="27"/>
      <c r="E145" s="215">
        <f>-E22/(((('BS (After Changes)'!E28+'BS (After Changes)'!E31)+('BS (After Changes)'!D28+'BS (After Changes)'!D31))/2))</f>
        <v>8.0557251242696429E-3</v>
      </c>
      <c r="F145" s="215">
        <f>-F22/(((('BS (After Changes)'!F28+'BS (After Changes)'!F31)+('BS (After Changes)'!E28+'BS (After Changes)'!E31))/2))</f>
        <v>8.4807318557490342E-3</v>
      </c>
      <c r="G145" s="215">
        <f>-G22/(((('BS (After Changes)'!G28+'BS (After Changes)'!G31)+('BS (After Changes)'!F28+'BS (After Changes)'!F31))/2))</f>
        <v>8.572925858076421E-3</v>
      </c>
      <c r="H145" s="29"/>
      <c r="I145" s="215">
        <f>-I22/(((('BS (After Changes)'!I28+'BS (After Changes)'!I31)+('BS (After Changes)'!G28+'BS (After Changes)'!G31))/2))</f>
        <v>8.0554679008449908E-3</v>
      </c>
      <c r="J145" s="215">
        <f>-J22/(((('BS (After Changes)'!J28+'BS (After Changes)'!J31)+('BS (After Changes)'!I28+'BS (After Changes)'!I31))/2))</f>
        <v>7.730372102084551E-3</v>
      </c>
      <c r="K145" s="215">
        <f>-K22/(((('BS (After Changes)'!K28+'BS (After Changes)'!K31)+('BS (After Changes)'!J28+'BS (After Changes)'!J31))/2))</f>
        <v>7.8322294946980078E-3</v>
      </c>
      <c r="L145" s="215">
        <f>-L22/(((('BS (After Changes)'!L28+'BS (After Changes)'!L31)+('BS (After Changes)'!K28+'BS (After Changes)'!K31))/2))</f>
        <v>7.5346594333936109E-3</v>
      </c>
      <c r="M145" s="29"/>
      <c r="N145" s="215">
        <f>-N22/(((('BS (After Changes)'!N28+'BS (After Changes)'!N31)+('BS (After Changes)'!L28+'BS (After Changes)'!L31))/2))</f>
        <v>7.481930548840208E-3</v>
      </c>
      <c r="O145" s="215">
        <f>-O22/(((('BS (After Changes)'!O28+'BS (After Changes)'!O31)+('BS (After Changes)'!N28+'BS (After Changes)'!N31))/2))</f>
        <v>7.5250206938069089E-3</v>
      </c>
      <c r="P145" s="215">
        <f>-P22/(((('BS (After Changes)'!P28+'BS (After Changes)'!P31)+('BS (After Changes)'!O28+'BS (After Changes)'!O31))/2))</f>
        <v>7.7494216976973845E-3</v>
      </c>
      <c r="Q145" s="215">
        <f>-Q22/(((('BS (After Changes)'!Q28+'BS (After Changes)'!Q31)+('BS (After Changes)'!P28+'BS (After Changes)'!P31))/2))</f>
        <v>8.2506952544819535E-3</v>
      </c>
      <c r="R145" s="29"/>
      <c r="S145" s="215">
        <f>-S22/(((('BS (After Changes)'!S28+'BS (After Changes)'!S31)+('BS (After Changes)'!Q28+'BS (After Changes)'!Q31))/2))</f>
        <v>7.8431639309692741E-3</v>
      </c>
      <c r="T145" s="215">
        <f>-T22/(((('BS (After Changes)'!T28+'BS (After Changes)'!T31)+('BS (After Changes)'!S28+'BS (After Changes)'!S31))/2))</f>
        <v>7.7341177845746236E-3</v>
      </c>
      <c r="U145" s="215">
        <f>-U22/(((('BS (After Changes)'!U28+'BS (After Changes)'!U31)+('BS (After Changes)'!T28+'BS (After Changes)'!T31))/2))</f>
        <v>7.9054937080361813E-3</v>
      </c>
      <c r="V145" s="215">
        <f>-V22/(((('BS (After Changes)'!V28+'BS (After Changes)'!V31)+('BS (After Changes)'!U28+'BS (After Changes)'!U31))/2))</f>
        <v>8.3052184345359225E-3</v>
      </c>
      <c r="W145" s="137"/>
      <c r="X145" s="35">
        <v>9.1399171757323497E-3</v>
      </c>
      <c r="Y145" s="35">
        <f>X145</f>
        <v>9.1399171757323497E-3</v>
      </c>
      <c r="Z145" s="35">
        <f>Y145</f>
        <v>9.1399171757323497E-3</v>
      </c>
      <c r="AA145" s="35">
        <f>Z145</f>
        <v>9.1399171757323497E-3</v>
      </c>
      <c r="AB145" s="137"/>
      <c r="AC145" s="35">
        <f>AA145+0.01%</f>
        <v>9.2399171757323491E-3</v>
      </c>
      <c r="AD145" s="35">
        <f>AC145+0.01%</f>
        <v>9.3399171757323485E-3</v>
      </c>
      <c r="AE145" s="35">
        <f t="shared" ref="AE145:AF145" si="445">AD145+0.01%</f>
        <v>9.4399171757323479E-3</v>
      </c>
      <c r="AF145" s="35">
        <f t="shared" si="445"/>
        <v>9.5399171757323473E-3</v>
      </c>
      <c r="AG145" s="29"/>
      <c r="AH145" s="35">
        <f>AF145+0.01%</f>
        <v>9.6399171757323467E-3</v>
      </c>
      <c r="AI145" s="35">
        <f>AH145+0.01%</f>
        <v>9.7399171757323461E-3</v>
      </c>
      <c r="AJ145" s="35">
        <f t="shared" ref="AJ145:AK145" si="446">AI145+0.01%</f>
        <v>9.8399171757323455E-3</v>
      </c>
      <c r="AK145" s="35">
        <f t="shared" si="446"/>
        <v>9.9399171757323448E-3</v>
      </c>
      <c r="AL145" s="29"/>
      <c r="AM145" s="35">
        <f>AK145</f>
        <v>9.9399171757323448E-3</v>
      </c>
      <c r="AN145" s="35">
        <f t="shared" si="443"/>
        <v>9.9399171757323448E-3</v>
      </c>
      <c r="AO145" s="35">
        <f t="shared" si="443"/>
        <v>9.9399171757323448E-3</v>
      </c>
      <c r="AP145" s="35">
        <f t="shared" si="443"/>
        <v>9.9399171757323448E-3</v>
      </c>
      <c r="AQ145" s="29"/>
      <c r="AR145" s="35">
        <f>AP145</f>
        <v>9.9399171757323448E-3</v>
      </c>
      <c r="AS145" s="35">
        <f t="shared" si="444"/>
        <v>9.9399171757323448E-3</v>
      </c>
      <c r="AT145" s="35">
        <f t="shared" si="444"/>
        <v>9.9399171757323448E-3</v>
      </c>
      <c r="AU145" s="35">
        <f t="shared" si="444"/>
        <v>9.9399171757323448E-3</v>
      </c>
      <c r="AV145" s="29"/>
    </row>
    <row r="146" spans="2:48" s="23" customFormat="1" outlineLevel="1" x14ac:dyDescent="0.3">
      <c r="B146" s="200" t="s">
        <v>186</v>
      </c>
      <c r="C146" s="201"/>
      <c r="D146" s="113"/>
      <c r="E146" s="113"/>
      <c r="F146" s="113"/>
      <c r="G146" s="113"/>
      <c r="H146" s="137"/>
      <c r="I146" s="113">
        <f>I33/D33-1</f>
        <v>0.2254857129231771</v>
      </c>
      <c r="J146" s="113">
        <f t="shared" ref="J146:AV147" si="447">J33/E33-1</f>
        <v>-0.47546772308917484</v>
      </c>
      <c r="K146" s="113">
        <f t="shared" si="447"/>
        <v>-1.5172211898784418</v>
      </c>
      <c r="L146" s="113">
        <f t="shared" si="447"/>
        <v>-0.49266142278343572</v>
      </c>
      <c r="M146" s="137">
        <f t="shared" si="447"/>
        <v>-0.73466371126240593</v>
      </c>
      <c r="N146" s="113">
        <f t="shared" si="447"/>
        <v>-0.292754196932551</v>
      </c>
      <c r="O146" s="113">
        <f t="shared" si="447"/>
        <v>1.0009687774744878</v>
      </c>
      <c r="P146" s="113">
        <f t="shared" si="447"/>
        <v>-2.6748075301104208</v>
      </c>
      <c r="Q146" s="113">
        <f t="shared" si="447"/>
        <v>3.4604705530296798</v>
      </c>
      <c r="R146" s="137">
        <f t="shared" si="447"/>
        <v>3.5714373754781779</v>
      </c>
      <c r="S146" s="113">
        <f t="shared" si="447"/>
        <v>0.31844745711851452</v>
      </c>
      <c r="T146" s="113">
        <f t="shared" si="447"/>
        <v>5.0603007043171555E-2</v>
      </c>
      <c r="U146" s="113">
        <f t="shared" si="447"/>
        <v>-0.18430865147381992</v>
      </c>
      <c r="V146" s="113">
        <f t="shared" si="447"/>
        <v>-0.4870956113954914</v>
      </c>
      <c r="W146" s="137">
        <f t="shared" si="447"/>
        <v>-0.199786344376785</v>
      </c>
      <c r="X146" s="113">
        <f t="shared" si="447"/>
        <v>4.897679272282951E-2</v>
      </c>
      <c r="Y146" s="113">
        <f t="shared" si="447"/>
        <v>0.19061288781450836</v>
      </c>
      <c r="Z146" s="113">
        <f t="shared" si="447"/>
        <v>0.18898698776319534</v>
      </c>
      <c r="AA146" s="113">
        <f t="shared" si="447"/>
        <v>0.22809124150420934</v>
      </c>
      <c r="AB146" s="137">
        <f t="shared" si="447"/>
        <v>0.165662501769402</v>
      </c>
      <c r="AC146" s="113">
        <f t="shared" si="447"/>
        <v>0.39038313465547536</v>
      </c>
      <c r="AD146" s="113">
        <f t="shared" si="447"/>
        <v>0.28186190877904083</v>
      </c>
      <c r="AE146" s="113">
        <f t="shared" si="447"/>
        <v>0.21566160976139082</v>
      </c>
      <c r="AF146" s="113">
        <f t="shared" si="447"/>
        <v>0.22866071781699326</v>
      </c>
      <c r="AG146" s="137">
        <f t="shared" si="447"/>
        <v>0.27178954514712705</v>
      </c>
      <c r="AH146" s="113">
        <f t="shared" si="447"/>
        <v>0.17701275715117459</v>
      </c>
      <c r="AI146" s="113">
        <f t="shared" si="447"/>
        <v>0.18643355003835782</v>
      </c>
      <c r="AJ146" s="113">
        <f t="shared" si="447"/>
        <v>0.26415556335145807</v>
      </c>
      <c r="AK146" s="113">
        <f t="shared" si="447"/>
        <v>0.24549981268798704</v>
      </c>
      <c r="AL146" s="137">
        <f t="shared" si="447"/>
        <v>0.22020648168674239</v>
      </c>
      <c r="AM146" s="113">
        <f t="shared" si="447"/>
        <v>0.16295837884740494</v>
      </c>
      <c r="AN146" s="113">
        <f t="shared" si="447"/>
        <v>0.15307018522897975</v>
      </c>
      <c r="AO146" s="113">
        <f t="shared" si="447"/>
        <v>0.10663386633628513</v>
      </c>
      <c r="AP146" s="113">
        <f t="shared" si="447"/>
        <v>8.3273842416218713E-2</v>
      </c>
      <c r="AQ146" s="137">
        <f t="shared" si="447"/>
        <v>0.12400152686728072</v>
      </c>
      <c r="AR146" s="113">
        <f t="shared" si="447"/>
        <v>7.725867101673356E-2</v>
      </c>
      <c r="AS146" s="113">
        <f t="shared" si="447"/>
        <v>7.8713891587161688E-2</v>
      </c>
      <c r="AT146" s="113">
        <f t="shared" si="447"/>
        <v>7.5598635357221555E-2</v>
      </c>
      <c r="AU146" s="113">
        <f t="shared" si="447"/>
        <v>7.5603240535031535E-2</v>
      </c>
      <c r="AV146" s="137">
        <f t="shared" si="447"/>
        <v>7.6659216087662019E-2</v>
      </c>
    </row>
    <row r="147" spans="2:48" s="23" customFormat="1" outlineLevel="1" x14ac:dyDescent="0.3">
      <c r="B147" s="200" t="s">
        <v>139</v>
      </c>
      <c r="C147" s="201"/>
      <c r="D147" s="27"/>
      <c r="E147" s="27"/>
      <c r="F147" s="27"/>
      <c r="G147" s="27"/>
      <c r="H147" s="29"/>
      <c r="I147" s="27">
        <f t="shared" ref="I147:V147" si="448">I34/D34-1</f>
        <v>5.9389868457878192E-2</v>
      </c>
      <c r="J147" s="27">
        <f t="shared" si="448"/>
        <v>-0.47460546003783222</v>
      </c>
      <c r="K147" s="27">
        <f t="shared" si="448"/>
        <v>-1.5922286955663072</v>
      </c>
      <c r="L147" s="113">
        <f t="shared" si="448"/>
        <v>-0.26631134736842188</v>
      </c>
      <c r="M147" s="137">
        <f t="shared" si="448"/>
        <v>-0.59372113780519853</v>
      </c>
      <c r="N147" s="113">
        <f t="shared" si="448"/>
        <v>-0.23228377390823718</v>
      </c>
      <c r="O147" s="113">
        <f t="shared" si="448"/>
        <v>0.96992458477270005</v>
      </c>
      <c r="P147" s="113">
        <f t="shared" si="448"/>
        <v>-3.1776350920116565</v>
      </c>
      <c r="Q147" s="113">
        <f t="shared" si="448"/>
        <v>0.95350602232643134</v>
      </c>
      <c r="R147" s="29">
        <f t="shared" si="448"/>
        <v>1.8162682861720394</v>
      </c>
      <c r="S147" s="113">
        <f t="shared" si="448"/>
        <v>0.18036058258616094</v>
      </c>
      <c r="T147" s="113">
        <f t="shared" si="448"/>
        <v>-5.6546752866856842E-2</v>
      </c>
      <c r="U147" s="113">
        <f t="shared" si="448"/>
        <v>-0.16448812865885809</v>
      </c>
      <c r="V147" s="113">
        <f t="shared" si="448"/>
        <v>-0.1882667305146607</v>
      </c>
      <c r="W147" s="137">
        <f>W34/(R34-0.1-0.04)-1</f>
        <v>-4.7540866454839237E-2</v>
      </c>
      <c r="X147" s="113">
        <f t="shared" si="447"/>
        <v>6.1088053238369966E-2</v>
      </c>
      <c r="Y147" s="113">
        <f t="shared" si="447"/>
        <v>0.19881583569262129</v>
      </c>
      <c r="Z147" s="113">
        <f t="shared" si="447"/>
        <v>0.12938749933388527</v>
      </c>
      <c r="AA147" s="113">
        <f t="shared" si="447"/>
        <v>0.16451577163005227</v>
      </c>
      <c r="AB147" s="137">
        <f t="shared" si="447"/>
        <v>0.13624286974088595</v>
      </c>
      <c r="AC147" s="113">
        <f t="shared" si="447"/>
        <v>0.33188810491524778</v>
      </c>
      <c r="AD147" s="113">
        <f t="shared" si="447"/>
        <v>0.30671622812645705</v>
      </c>
      <c r="AE147" s="113">
        <f t="shared" si="447"/>
        <v>0.23448576799124332</v>
      </c>
      <c r="AF147" s="113">
        <f t="shared" si="447"/>
        <v>0.24755008932401368</v>
      </c>
      <c r="AG147" s="137">
        <f t="shared" si="447"/>
        <v>0.27545172782930782</v>
      </c>
      <c r="AH147" s="113">
        <f t="shared" si="447"/>
        <v>0.19480956817003992</v>
      </c>
      <c r="AI147" s="113">
        <f t="shared" si="447"/>
        <v>0.18124698861237953</v>
      </c>
      <c r="AJ147" s="113">
        <f t="shared" si="447"/>
        <v>0.25928521406985694</v>
      </c>
      <c r="AK147" s="113">
        <f t="shared" si="447"/>
        <v>0.24199299299623123</v>
      </c>
      <c r="AL147" s="137">
        <f t="shared" si="447"/>
        <v>0.22120676477105539</v>
      </c>
      <c r="AM147" s="113">
        <f t="shared" si="447"/>
        <v>0.16131954233534485</v>
      </c>
      <c r="AN147" s="113">
        <f t="shared" si="447"/>
        <v>0.15149386869898951</v>
      </c>
      <c r="AO147" s="113">
        <f t="shared" si="447"/>
        <v>0.1055264190280405</v>
      </c>
      <c r="AP147" s="113">
        <f t="shared" si="447"/>
        <v>8.1772464733328443E-2</v>
      </c>
      <c r="AQ147" s="29">
        <f t="shared" si="447"/>
        <v>0.12256029379764533</v>
      </c>
      <c r="AR147" s="113">
        <f t="shared" si="447"/>
        <v>7.5822224605238908E-2</v>
      </c>
      <c r="AS147" s="113">
        <f t="shared" si="447"/>
        <v>7.705504449368572E-2</v>
      </c>
      <c r="AT147" s="113">
        <f t="shared" si="447"/>
        <v>7.4380202195200917E-2</v>
      </c>
      <c r="AU147" s="113">
        <f t="shared" si="447"/>
        <v>7.4342305396311703E-2</v>
      </c>
      <c r="AV147" s="29">
        <f t="shared" si="447"/>
        <v>7.5285614927120825E-2</v>
      </c>
    </row>
    <row r="148" spans="2:48" s="23" customFormat="1" outlineLevel="1" x14ac:dyDescent="0.3">
      <c r="B148" s="200" t="s">
        <v>140</v>
      </c>
      <c r="C148" s="201"/>
      <c r="D148" s="27"/>
      <c r="E148" s="27"/>
      <c r="F148" s="27"/>
      <c r="G148" s="27"/>
      <c r="H148" s="29"/>
      <c r="I148" s="27">
        <f>'CFS (After Changes)'!I55</f>
        <v>-0.22820512820512895</v>
      </c>
      <c r="J148" s="27">
        <f>'CFS (After Changes)'!J55</f>
        <v>-4.4869364754098413</v>
      </c>
      <c r="K148" s="27">
        <f>'CFS (After Changes)'!K55</f>
        <v>-1.314434752864716</v>
      </c>
      <c r="L148" s="113">
        <f>'CFS (After Changes)'!L55</f>
        <v>0.34527569713924766</v>
      </c>
      <c r="M148" s="137">
        <f>'CFS (After Changes)'!M55</f>
        <v>-0.68340961778517451</v>
      </c>
      <c r="N148" s="113">
        <f>'CFS (After Changes)'!N55</f>
        <v>-2.1785305811139466E-4</v>
      </c>
      <c r="O148" s="113">
        <f>'CFS (After Changes)'!O55</f>
        <v>-1.649232351428781</v>
      </c>
      <c r="P148" s="113">
        <f>'CFS (After Changes)'!P55</f>
        <v>-5.7565950503127619</v>
      </c>
      <c r="Q148" s="113">
        <f>'CFS (After Changes)'!Q55</f>
        <v>2.012477359629572E-2</v>
      </c>
      <c r="R148" s="29">
        <f>'CFS (After Changes)'!R55</f>
        <v>2.7484040555764064</v>
      </c>
      <c r="S148" s="113">
        <f>'CFS (After Changes)'!S55</f>
        <v>1.9175246499972598E-2</v>
      </c>
      <c r="T148" s="113">
        <f>'CFS (After Changes)'!T55</f>
        <v>-0.81681375876895213</v>
      </c>
      <c r="U148" s="113">
        <f>'CFS (After Changes)'!U55</f>
        <v>-0.27684391080617499</v>
      </c>
      <c r="V148" s="113">
        <f>'CFS (After Changes)'!V55</f>
        <v>-0.27691194844479561</v>
      </c>
      <c r="W148" s="137">
        <f>'CFS (After Changes)'!W55</f>
        <v>-0.26581179456354764</v>
      </c>
      <c r="X148" s="113">
        <f>'CFS (After Changes)'!X55</f>
        <v>8.3742337629981067E-2</v>
      </c>
      <c r="Y148" s="113">
        <f>'CFS (After Changes)'!Y55</f>
        <v>3.4775768707036807</v>
      </c>
      <c r="Z148" s="113">
        <f>'CFS (After Changes)'!Z55</f>
        <v>-0.12903605743873514</v>
      </c>
      <c r="AA148" s="113">
        <f>'CFS (After Changes)'!AA55</f>
        <v>0.62891051518117247</v>
      </c>
      <c r="AB148" s="137">
        <f>'CFS (After Changes)'!AB55</f>
        <v>0.28382571451913985</v>
      </c>
      <c r="AC148" s="113">
        <f>'CFS (After Changes)'!AC55</f>
        <v>0.12630246515378407</v>
      </c>
      <c r="AD148" s="113">
        <f>'CFS (After Changes)'!AD55</f>
        <v>0.5206573220884585</v>
      </c>
      <c r="AE148" s="113">
        <f>'CFS (After Changes)'!AE55</f>
        <v>0.44304822220838891</v>
      </c>
      <c r="AF148" s="113">
        <f>'CFS (After Changes)'!AF55</f>
        <v>7.7404028971542305E-2</v>
      </c>
      <c r="AG148" s="137">
        <f>'CFS (After Changes)'!AG55</f>
        <v>0.22323668310304434</v>
      </c>
      <c r="AH148" s="113">
        <f>'CFS (After Changes)'!AH55</f>
        <v>0.10470981877260832</v>
      </c>
      <c r="AI148" s="113">
        <f>'CFS (After Changes)'!AI55</f>
        <v>0.14806694918723995</v>
      </c>
      <c r="AJ148" s="113">
        <f>'CFS (After Changes)'!AJ55</f>
        <v>0.12819800874060139</v>
      </c>
      <c r="AK148" s="113">
        <f>'CFS (After Changes)'!AK55</f>
        <v>0.12602267486143148</v>
      </c>
      <c r="AL148" s="29">
        <f>'CFS (After Changes)'!AL55</f>
        <v>0.12299424554702121</v>
      </c>
      <c r="AM148" s="113">
        <f>'CFS (After Changes)'!AM55</f>
        <v>0.14197412044869107</v>
      </c>
      <c r="AN148" s="113">
        <f>'CFS (After Changes)'!AN55</f>
        <v>8.5616443122389585E-2</v>
      </c>
      <c r="AO148" s="113">
        <f>'CFS (After Changes)'!AO55</f>
        <v>6.812687949008156E-2</v>
      </c>
      <c r="AP148" s="113">
        <f>'CFS (After Changes)'!AP55</f>
        <v>0.12742198811547634</v>
      </c>
      <c r="AQ148" s="29">
        <f>'CFS (After Changes)'!AQ55</f>
        <v>0.11162030581404325</v>
      </c>
      <c r="AR148" s="113">
        <f>'CFS (After Changes)'!AR55</f>
        <v>7.2043849256590242E-2</v>
      </c>
      <c r="AS148" s="113">
        <f>'CFS (After Changes)'!AS55</f>
        <v>9.3612567995915441E-2</v>
      </c>
      <c r="AT148" s="113">
        <f>'CFS (After Changes)'!AT55</f>
        <v>0.10470167177424528</v>
      </c>
      <c r="AU148" s="113">
        <f>'CFS (After Changes)'!AU55</f>
        <v>5.1980521627187803E-2</v>
      </c>
      <c r="AV148" s="29">
        <f>'CFS (After Changes)'!AV55</f>
        <v>7.7036835369447498E-2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0.20959913127075791</v>
      </c>
      <c r="AM149" s="113"/>
      <c r="AN149" s="113"/>
      <c r="AO149" s="113"/>
      <c r="AP149" s="113"/>
      <c r="AQ149" s="29"/>
      <c r="AR149" s="113"/>
      <c r="AS149" s="113"/>
      <c r="AT149" s="113"/>
      <c r="AU149" s="113"/>
      <c r="AV149" s="29"/>
    </row>
    <row r="150" spans="2:48" ht="17.399999999999999" x14ac:dyDescent="0.45">
      <c r="B150" s="494" t="s">
        <v>130</v>
      </c>
      <c r="C150" s="495"/>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486" t="s">
        <v>208</v>
      </c>
      <c r="C151" s="487"/>
      <c r="D151" s="27"/>
      <c r="E151" s="27">
        <f t="shared" ref="E151:G151" si="449">(E30+E155+E158+E161)/D30-1</f>
        <v>2.777764747303535E-2</v>
      </c>
      <c r="F151" s="27">
        <f t="shared" si="449"/>
        <v>-1.7269004124131682E-2</v>
      </c>
      <c r="G151" s="27">
        <f t="shared" si="449"/>
        <v>1.9258933156590885E-2</v>
      </c>
      <c r="H151" s="9"/>
      <c r="I151" s="27">
        <f>(I30+I155+I158+I161)/G30-1</f>
        <v>-1.436336111538794E-2</v>
      </c>
      <c r="J151" s="27">
        <f t="shared" ref="J151:L151" si="450">(J30+J155+J158+J161)/I30-1</f>
        <v>-1.1333810572689007E-3</v>
      </c>
      <c r="K151" s="27">
        <f t="shared" si="450"/>
        <v>-2.8161802355349819E-3</v>
      </c>
      <c r="L151" s="27">
        <f t="shared" si="450"/>
        <v>-9.5210569021197955E-4</v>
      </c>
      <c r="M151" s="9"/>
      <c r="N151" s="27">
        <f>(N30+N155+N158+N161)/L30-1</f>
        <v>6.5210015787404707E-3</v>
      </c>
      <c r="O151" s="27">
        <f t="shared" ref="O151:Q151" si="451">(O30+O155+O158+O161)/N30-1</f>
        <v>2.1276595744681437E-3</v>
      </c>
      <c r="P151" s="27">
        <f t="shared" si="451"/>
        <v>8.4925690021231404E-4</v>
      </c>
      <c r="Q151" s="27">
        <f t="shared" si="451"/>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35">
        <v>2E-3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486" t="s">
        <v>209</v>
      </c>
      <c r="C152" s="487"/>
      <c r="D152" s="27"/>
      <c r="E152" s="27">
        <f t="shared" ref="E152:G152" si="452">(E31+E155+E158+E161)/D31-1</f>
        <v>2.7604785512613583E-2</v>
      </c>
      <c r="F152" s="27">
        <f t="shared" si="452"/>
        <v>-1.6710442080933863E-2</v>
      </c>
      <c r="G152" s="27">
        <f t="shared" si="452"/>
        <v>1.9089589576967603E-2</v>
      </c>
      <c r="H152" s="9"/>
      <c r="I152" s="27">
        <f>(I31+I155+I158+I161)/G31-1</f>
        <v>-1.5386652077945762E-2</v>
      </c>
      <c r="J152" s="27">
        <f t="shared" ref="J152:L152" si="453">(J31+J155+J158+J161)/I31-1</f>
        <v>-2.5506658270361138E-3</v>
      </c>
      <c r="K152" s="27">
        <f t="shared" si="453"/>
        <v>-1.0332853392055585E-2</v>
      </c>
      <c r="L152" s="27">
        <f t="shared" si="453"/>
        <v>8.9858793324775199E-3</v>
      </c>
      <c r="M152" s="9"/>
      <c r="N152" s="27">
        <f>(N31+N155+N158+N161)/L31-1</f>
        <v>3.392705682782049E-3</v>
      </c>
      <c r="O152" s="27">
        <f t="shared" ref="O152:Q152" si="454">(O31+O155+O158+O161)/N31-1</f>
        <v>1.5215553677092597E-3</v>
      </c>
      <c r="P152" s="27">
        <f t="shared" si="454"/>
        <v>1.1816340310601969E-3</v>
      </c>
      <c r="Q152" s="27">
        <f t="shared" si="454"/>
        <v>1.4331478671387732E-3</v>
      </c>
      <c r="R152" s="9"/>
      <c r="S152" s="27">
        <f>(S31+S155+S158+S161)/Q31-1</f>
        <v>1.6689115245390962E-2</v>
      </c>
      <c r="T152" s="27">
        <f>(T31+T155+T158+T161)/S31-1</f>
        <v>-1.4867191058983376E-2</v>
      </c>
      <c r="U152" s="27">
        <f>(U31+U155+U158+U161)/T31-1</f>
        <v>-2.5132160499177214E-3</v>
      </c>
      <c r="V152" s="27">
        <f t="shared" ref="V152" si="455">(V31+V155+V158+V161)/U31-1</f>
        <v>1.3032145960034658E-3</v>
      </c>
      <c r="W152" s="256"/>
      <c r="X152" s="35">
        <v>1E-3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496" t="s">
        <v>137</v>
      </c>
      <c r="C153" s="497"/>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247">
        <v>0</v>
      </c>
      <c r="Y153" s="247">
        <v>0</v>
      </c>
      <c r="Z153" s="247">
        <v>0</v>
      </c>
      <c r="AA153" s="247">
        <v>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486" t="s">
        <v>138</v>
      </c>
      <c r="C154" s="487"/>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33">
        <v>0</v>
      </c>
      <c r="Y154" s="33">
        <v>0</v>
      </c>
      <c r="Z154" s="33">
        <v>0</v>
      </c>
      <c r="AA154" s="33">
        <v>0</v>
      </c>
      <c r="AB154" s="17">
        <f>+SUM(X154:AA154)</f>
        <v>0</v>
      </c>
      <c r="AC154" s="33"/>
      <c r="AD154" s="33"/>
      <c r="AE154" s="33">
        <v>100</v>
      </c>
      <c r="AF154" s="33">
        <v>100</v>
      </c>
      <c r="AG154" s="17">
        <f>+SUM(AC154:AF154)</f>
        <v>200</v>
      </c>
      <c r="AH154" s="33">
        <v>100</v>
      </c>
      <c r="AI154" s="33">
        <v>100</v>
      </c>
      <c r="AJ154" s="33">
        <v>5441.98119731518</v>
      </c>
      <c r="AK154" s="33">
        <f>AJ154</f>
        <v>5441.98119731518</v>
      </c>
      <c r="AL154" s="17">
        <f>+SUM(AH154:AK154)</f>
        <v>11083.96239463036</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486" t="s">
        <v>207</v>
      </c>
      <c r="C155" s="487"/>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0</v>
      </c>
      <c r="Y155" s="139">
        <f>IF((Y154)&gt;0,(Y154/Y153),0)</f>
        <v>0</v>
      </c>
      <c r="Z155" s="139">
        <f>IF((Z154)&gt;0,(Z154/Z153),0)</f>
        <v>0</v>
      </c>
      <c r="AA155" s="139">
        <f>IF((AA154)&gt;0,(AA154/AA153),0)</f>
        <v>0</v>
      </c>
      <c r="AB155" s="49">
        <f>+SUM(X155:AA155)</f>
        <v>0</v>
      </c>
      <c r="AC155" s="139">
        <f>IF((AC154)&gt;0,(AC154/AC153),0)</f>
        <v>0</v>
      </c>
      <c r="AD155" s="139">
        <f>IF((AD154)&gt;0,(AD154/AD153),0)</f>
        <v>0</v>
      </c>
      <c r="AE155" s="139">
        <f>IF((AE154)&gt;0,(AE154/AE153),0)</f>
        <v>0.88738034230696683</v>
      </c>
      <c r="AF155" s="139">
        <f>IF((AF154)&gt;0,(AF154/AF153),0)</f>
        <v>0.88738034230696683</v>
      </c>
      <c r="AG155" s="49">
        <f>+SUM(AC155:AF155)</f>
        <v>1.7747606846139337</v>
      </c>
      <c r="AH155" s="139">
        <f>IF((AH154)&gt;0,(AH154/AH153),0)</f>
        <v>0.84512413553044485</v>
      </c>
      <c r="AI155" s="139">
        <f>IF((AI154)&gt;0,(AI154/AI153),0)</f>
        <v>0.84512413553044485</v>
      </c>
      <c r="AJ155" s="139">
        <f>IF((AJ154)&gt;0,(AJ154/AJ153),0)</f>
        <v>45.991496549539264</v>
      </c>
      <c r="AK155" s="139">
        <f>IF((AK154)&gt;0,(AK154/AK153),0)</f>
        <v>45.991496549539264</v>
      </c>
      <c r="AL155" s="49">
        <f>+SUM(AH155:AK155)</f>
        <v>93.673241370139408</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488" t="s">
        <v>131</v>
      </c>
      <c r="C156" s="489"/>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490" t="s">
        <v>132</v>
      </c>
      <c r="C157" s="491"/>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492" t="s">
        <v>133</v>
      </c>
      <c r="C158" s="493"/>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494" t="s">
        <v>12</v>
      </c>
      <c r="C162" s="495"/>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486" t="s">
        <v>65</v>
      </c>
      <c r="C163" s="487"/>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33">
        <v>-50</v>
      </c>
      <c r="Y163" s="33">
        <v>0</v>
      </c>
      <c r="Z163" s="33">
        <v>0</v>
      </c>
      <c r="AA163" s="33">
        <v>0</v>
      </c>
      <c r="AB163" s="17"/>
      <c r="AC163" s="33">
        <f>AA163</f>
        <v>0</v>
      </c>
      <c r="AD163" s="33">
        <f t="shared" ref="AD163:AF163" si="456">AC163</f>
        <v>0</v>
      </c>
      <c r="AE163" s="33">
        <f t="shared" si="456"/>
        <v>0</v>
      </c>
      <c r="AF163" s="33">
        <f t="shared" si="456"/>
        <v>0</v>
      </c>
      <c r="AG163" s="17"/>
      <c r="AH163" s="33">
        <f>AF163</f>
        <v>0</v>
      </c>
      <c r="AI163" s="33">
        <f t="shared" ref="AI163:AK163" si="457">AH163</f>
        <v>0</v>
      </c>
      <c r="AJ163" s="33">
        <f t="shared" si="457"/>
        <v>0</v>
      </c>
      <c r="AK163" s="33">
        <f t="shared" si="457"/>
        <v>0</v>
      </c>
      <c r="AL163" s="17"/>
      <c r="AM163" s="33">
        <f>AK163</f>
        <v>0</v>
      </c>
      <c r="AN163" s="33">
        <f t="shared" ref="AN163:AP163" si="458">AM163</f>
        <v>0</v>
      </c>
      <c r="AO163" s="33">
        <f t="shared" si="458"/>
        <v>0</v>
      </c>
      <c r="AP163" s="33">
        <f t="shared" si="458"/>
        <v>0</v>
      </c>
      <c r="AQ163" s="17"/>
      <c r="AR163" s="33">
        <f>AP163</f>
        <v>0</v>
      </c>
      <c r="AS163" s="33">
        <f t="shared" ref="AS163:AU163" si="459">AR163</f>
        <v>0</v>
      </c>
      <c r="AT163" s="33">
        <f t="shared" si="459"/>
        <v>0</v>
      </c>
      <c r="AU163" s="33">
        <f t="shared" si="459"/>
        <v>0</v>
      </c>
      <c r="AV163" s="17"/>
    </row>
    <row r="164" spans="2:48" outlineLevel="1" x14ac:dyDescent="0.3">
      <c r="B164" s="200" t="s">
        <v>64</v>
      </c>
      <c r="C164" s="201"/>
      <c r="D164" s="102">
        <f>-(5.3+0.5)</f>
        <v>-5.8</v>
      </c>
      <c r="E164" s="102">
        <v>-4.3</v>
      </c>
      <c r="F164" s="102">
        <v>-2.2999999999999998</v>
      </c>
      <c r="G164" s="102">
        <v>-0.2</v>
      </c>
      <c r="H164" s="159">
        <f t="shared" ref="H164:H167" si="460">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33">
        <f t="shared" ref="X164:X166" si="461">V164</f>
        <v>0</v>
      </c>
      <c r="Y164" s="33"/>
      <c r="Z164" s="33"/>
      <c r="AA164" s="33"/>
      <c r="AB164" s="17"/>
      <c r="AC164" s="33">
        <f t="shared" ref="AC164:AC167" si="462">AA164</f>
        <v>0</v>
      </c>
      <c r="AD164" s="33"/>
      <c r="AE164" s="33"/>
      <c r="AF164" s="33"/>
      <c r="AG164" s="17"/>
      <c r="AH164" s="33">
        <f t="shared" ref="AH164:AH167" si="463">AF164</f>
        <v>0</v>
      </c>
      <c r="AI164" s="33"/>
      <c r="AJ164" s="33"/>
      <c r="AK164" s="33"/>
      <c r="AL164" s="17"/>
      <c r="AM164" s="33">
        <f t="shared" ref="AM164:AM167" si="464">AK164</f>
        <v>0</v>
      </c>
      <c r="AN164" s="33"/>
      <c r="AO164" s="33"/>
      <c r="AP164" s="33"/>
      <c r="AQ164" s="17"/>
      <c r="AR164" s="33">
        <f t="shared" ref="AR164:AR167" si="465">AP164</f>
        <v>0</v>
      </c>
      <c r="AS164" s="33"/>
      <c r="AT164" s="33"/>
      <c r="AU164" s="33"/>
      <c r="AV164" s="17"/>
    </row>
    <row r="165" spans="2:48" outlineLevel="1" x14ac:dyDescent="0.3">
      <c r="B165" s="486" t="s">
        <v>129</v>
      </c>
      <c r="C165" s="487"/>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33">
        <f t="shared" si="461"/>
        <v>-42</v>
      </c>
      <c r="Y165" s="33">
        <f t="shared" ref="Y165:AA165" si="466">X165</f>
        <v>-42</v>
      </c>
      <c r="Z165" s="33">
        <f t="shared" si="466"/>
        <v>-42</v>
      </c>
      <c r="AA165" s="33">
        <f t="shared" si="466"/>
        <v>-42</v>
      </c>
      <c r="AB165" s="17"/>
      <c r="AC165" s="33">
        <f t="shared" si="462"/>
        <v>-42</v>
      </c>
      <c r="AD165" s="33">
        <f t="shared" ref="AD165:AF165" si="467">AC165</f>
        <v>-42</v>
      </c>
      <c r="AE165" s="33">
        <f t="shared" si="467"/>
        <v>-42</v>
      </c>
      <c r="AF165" s="33">
        <f t="shared" si="467"/>
        <v>-42</v>
      </c>
      <c r="AG165" s="17"/>
      <c r="AH165" s="33">
        <f t="shared" si="463"/>
        <v>-42</v>
      </c>
      <c r="AI165" s="33">
        <f t="shared" ref="AI165:AK165" si="468">AH165</f>
        <v>-42</v>
      </c>
      <c r="AJ165" s="33">
        <f t="shared" si="468"/>
        <v>-42</v>
      </c>
      <c r="AK165" s="33">
        <f t="shared" si="468"/>
        <v>-42</v>
      </c>
      <c r="AL165" s="17"/>
      <c r="AM165" s="33">
        <f t="shared" si="464"/>
        <v>-42</v>
      </c>
      <c r="AN165" s="33">
        <f t="shared" ref="AN165:AP165" si="469">AM165</f>
        <v>-42</v>
      </c>
      <c r="AO165" s="33">
        <f t="shared" si="469"/>
        <v>-42</v>
      </c>
      <c r="AP165" s="33">
        <f t="shared" si="469"/>
        <v>-42</v>
      </c>
      <c r="AQ165" s="17"/>
      <c r="AR165" s="33">
        <f t="shared" si="465"/>
        <v>-42</v>
      </c>
      <c r="AS165" s="33">
        <f t="shared" ref="AS165:AU165" si="470">AR165</f>
        <v>-42</v>
      </c>
      <c r="AT165" s="33">
        <f t="shared" si="470"/>
        <v>-42</v>
      </c>
      <c r="AU165" s="33">
        <f t="shared" si="470"/>
        <v>-42</v>
      </c>
      <c r="AV165" s="17"/>
    </row>
    <row r="166" spans="2:48" outlineLevel="1" x14ac:dyDescent="0.3">
      <c r="B166" s="200" t="s">
        <v>66</v>
      </c>
      <c r="C166" s="201"/>
      <c r="D166" s="102">
        <v>-23.1</v>
      </c>
      <c r="E166" s="102">
        <v>-23.8</v>
      </c>
      <c r="F166" s="102">
        <v>-14.4</v>
      </c>
      <c r="G166" s="102">
        <v>0</v>
      </c>
      <c r="H166" s="159">
        <f t="shared" si="460"/>
        <v>-61.300000000000004</v>
      </c>
      <c r="I166" s="102"/>
      <c r="J166" s="102"/>
      <c r="K166" s="101"/>
      <c r="L166" s="101"/>
      <c r="M166" s="169"/>
      <c r="N166" s="101"/>
      <c r="O166" s="101"/>
      <c r="P166" s="101"/>
      <c r="Q166" s="101"/>
      <c r="R166" s="17"/>
      <c r="S166" s="16"/>
      <c r="T166" s="16"/>
      <c r="U166" s="16"/>
      <c r="V166" s="101"/>
      <c r="W166" s="17"/>
      <c r="X166" s="33">
        <f t="shared" si="461"/>
        <v>0</v>
      </c>
      <c r="Y166" s="33"/>
      <c r="Z166" s="33"/>
      <c r="AA166" s="33"/>
      <c r="AB166" s="17"/>
      <c r="AC166" s="33">
        <f t="shared" si="462"/>
        <v>0</v>
      </c>
      <c r="AD166" s="33"/>
      <c r="AE166" s="33"/>
      <c r="AF166" s="33"/>
      <c r="AG166" s="17"/>
      <c r="AH166" s="33">
        <f t="shared" si="463"/>
        <v>0</v>
      </c>
      <c r="AI166" s="33"/>
      <c r="AJ166" s="33"/>
      <c r="AK166" s="33"/>
      <c r="AL166" s="17"/>
      <c r="AM166" s="33">
        <f t="shared" si="464"/>
        <v>0</v>
      </c>
      <c r="AN166" s="33"/>
      <c r="AO166" s="33"/>
      <c r="AP166" s="33"/>
      <c r="AQ166" s="17"/>
      <c r="AR166" s="33">
        <f t="shared" si="465"/>
        <v>0</v>
      </c>
      <c r="AS166" s="33"/>
      <c r="AT166" s="33"/>
      <c r="AU166" s="33"/>
      <c r="AV166" s="17"/>
    </row>
    <row r="167" spans="2:48" ht="16.2" outlineLevel="1" x14ac:dyDescent="0.45">
      <c r="B167" s="200" t="s">
        <v>80</v>
      </c>
      <c r="C167" s="201"/>
      <c r="D167" s="138">
        <v>0</v>
      </c>
      <c r="E167" s="138">
        <v>0</v>
      </c>
      <c r="F167" s="138">
        <v>0</v>
      </c>
      <c r="G167" s="138">
        <v>0</v>
      </c>
      <c r="H167" s="160">
        <f t="shared" si="460"/>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32">
        <v>31.798908368811873</v>
      </c>
      <c r="Y167" s="32">
        <f>X167</f>
        <v>31.798908368811873</v>
      </c>
      <c r="Z167" s="32">
        <f>Y167</f>
        <v>31.798908368811873</v>
      </c>
      <c r="AA167" s="32">
        <f>Z167</f>
        <v>31.798908368811873</v>
      </c>
      <c r="AB167" s="17"/>
      <c r="AC167" s="32">
        <f t="shared" si="462"/>
        <v>31.798908368811873</v>
      </c>
      <c r="AD167" s="32">
        <v>0</v>
      </c>
      <c r="AE167" s="32">
        <v>0</v>
      </c>
      <c r="AF167" s="32">
        <v>0</v>
      </c>
      <c r="AG167" s="17"/>
      <c r="AH167" s="32">
        <f t="shared" si="463"/>
        <v>0</v>
      </c>
      <c r="AI167" s="32">
        <v>0</v>
      </c>
      <c r="AJ167" s="32">
        <v>0</v>
      </c>
      <c r="AK167" s="32">
        <v>0</v>
      </c>
      <c r="AL167" s="17"/>
      <c r="AM167" s="32">
        <f t="shared" si="464"/>
        <v>0</v>
      </c>
      <c r="AN167" s="32">
        <v>0</v>
      </c>
      <c r="AO167" s="32">
        <v>0</v>
      </c>
      <c r="AP167" s="32">
        <v>0</v>
      </c>
      <c r="AQ167" s="17"/>
      <c r="AR167" s="32">
        <f t="shared" si="465"/>
        <v>0</v>
      </c>
      <c r="AS167" s="32">
        <v>0</v>
      </c>
      <c r="AT167" s="32">
        <v>0</v>
      </c>
      <c r="AU167" s="32">
        <v>0</v>
      </c>
      <c r="AV167" s="17"/>
    </row>
    <row r="168" spans="2:48" s="8" customFormat="1" outlineLevel="1" x14ac:dyDescent="0.3">
      <c r="B168" s="205" t="s">
        <v>67</v>
      </c>
      <c r="C168" s="202"/>
      <c r="D168" s="103">
        <f t="shared" ref="D168:L168" si="471">SUM(D163:D167)</f>
        <v>-138</v>
      </c>
      <c r="E168" s="103">
        <f t="shared" si="471"/>
        <v>-141.4</v>
      </c>
      <c r="F168" s="103">
        <f t="shared" si="471"/>
        <v>-125.30000000000001</v>
      </c>
      <c r="G168" s="103">
        <f t="shared" si="471"/>
        <v>-77.399999999999991</v>
      </c>
      <c r="H168" s="171">
        <f t="shared" si="471"/>
        <v>-482.09999999999997</v>
      </c>
      <c r="I168" s="103">
        <f t="shared" si="471"/>
        <v>-71.599999999999994</v>
      </c>
      <c r="J168" s="103">
        <f t="shared" si="471"/>
        <v>-66.8</v>
      </c>
      <c r="K168" s="103">
        <f t="shared" si="471"/>
        <v>-173.67999999999998</v>
      </c>
      <c r="L168" s="103">
        <f t="shared" si="471"/>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50">
        <f>SUM(X163:X167)</f>
        <v>-60.201091631188127</v>
      </c>
      <c r="Y168" s="50">
        <f>SUM(Y163:Y167)</f>
        <v>-10.201091631188127</v>
      </c>
      <c r="Z168" s="50">
        <f>SUM(Z163:Z167)</f>
        <v>-10.201091631188127</v>
      </c>
      <c r="AA168" s="50">
        <f>SUM(AA163:AA167)</f>
        <v>-10.201091631188127</v>
      </c>
      <c r="AB168" s="22"/>
      <c r="AC168" s="50">
        <f>SUM(AC163:AC167)</f>
        <v>-10.201091631188127</v>
      </c>
      <c r="AD168" s="50">
        <f>SUM(AD163:AD167)</f>
        <v>-42</v>
      </c>
      <c r="AE168" s="50">
        <f>SUM(AE163:AE167)</f>
        <v>-42</v>
      </c>
      <c r="AF168" s="50">
        <f>SUM(AF163:AF167)</f>
        <v>-42</v>
      </c>
      <c r="AG168" s="22"/>
      <c r="AH168" s="50">
        <f>SUM(AH163:AH167)</f>
        <v>-42</v>
      </c>
      <c r="AI168" s="50">
        <f>SUM(AI163:AI167)</f>
        <v>-42</v>
      </c>
      <c r="AJ168" s="50">
        <f>SUM(AJ163:AJ167)</f>
        <v>-42</v>
      </c>
      <c r="AK168" s="50">
        <f>SUM(AK163:AK167)</f>
        <v>-42</v>
      </c>
      <c r="AL168" s="22"/>
      <c r="AM168" s="50">
        <f>SUM(AM163:AM167)</f>
        <v>-42</v>
      </c>
      <c r="AN168" s="50">
        <f>SUM(AN163:AN167)</f>
        <v>-42</v>
      </c>
      <c r="AO168" s="50">
        <f>SUM(AO163:AO167)</f>
        <v>-42</v>
      </c>
      <c r="AP168" s="50">
        <f>SUM(AP163:AP167)</f>
        <v>-42</v>
      </c>
      <c r="AQ168" s="22"/>
      <c r="AR168" s="50">
        <f>SUM(AR163:AR167)</f>
        <v>-42</v>
      </c>
      <c r="AS168" s="50">
        <f>SUM(AS163:AS167)</f>
        <v>-42</v>
      </c>
      <c r="AT168" s="50">
        <f>SUM(AT163:AT167)</f>
        <v>-42</v>
      </c>
      <c r="AU168" s="50">
        <f>SUM(AU163:AU167)</f>
        <v>-42</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52">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72">-D168+D169</f>
        <v>138</v>
      </c>
      <c r="E170" s="103">
        <f t="shared" si="472"/>
        <v>141.4</v>
      </c>
      <c r="F170" s="103">
        <f t="shared" si="472"/>
        <v>125.30000000000001</v>
      </c>
      <c r="G170" s="103">
        <f t="shared" si="472"/>
        <v>77.399999999999991</v>
      </c>
      <c r="H170" s="150"/>
      <c r="I170" s="103">
        <f t="shared" ref="I170:L170" si="473">-I168+I169</f>
        <v>71.599999999999994</v>
      </c>
      <c r="J170" s="103">
        <f t="shared" si="473"/>
        <v>66.8</v>
      </c>
      <c r="K170" s="103">
        <f t="shared" si="473"/>
        <v>173.67999999999998</v>
      </c>
      <c r="L170" s="103">
        <f t="shared" si="473"/>
        <v>259.5</v>
      </c>
      <c r="M170" s="150"/>
      <c r="N170" s="103">
        <f t="shared" ref="N170:P170" si="474">-N168+N169</f>
        <v>134.9</v>
      </c>
      <c r="O170" s="103">
        <f t="shared" si="474"/>
        <v>88.2</v>
      </c>
      <c r="P170" s="103">
        <f t="shared" si="474"/>
        <v>51.7</v>
      </c>
      <c r="Q170" s="103">
        <f>-Q168+Q169</f>
        <v>115.2</v>
      </c>
      <c r="R170" s="22"/>
      <c r="S170" s="103">
        <f t="shared" ref="S170:V170" si="475">-S168+S169</f>
        <v>35.199999999999996</v>
      </c>
      <c r="T170" s="50">
        <f t="shared" si="475"/>
        <v>47.5</v>
      </c>
      <c r="U170" s="50">
        <f t="shared" si="475"/>
        <v>77.5</v>
      </c>
      <c r="V170" s="50">
        <f t="shared" si="475"/>
        <v>77.099999999999994</v>
      </c>
      <c r="W170" s="22"/>
      <c r="X170" s="50">
        <f t="shared" ref="X170:AA170" si="476">-X168+X169</f>
        <v>60.201091631188127</v>
      </c>
      <c r="Y170" s="50">
        <f t="shared" si="476"/>
        <v>10.201091631188127</v>
      </c>
      <c r="Z170" s="50">
        <f t="shared" si="476"/>
        <v>10.201091631188127</v>
      </c>
      <c r="AA170" s="50">
        <f t="shared" si="476"/>
        <v>10.201091631188127</v>
      </c>
      <c r="AB170" s="22"/>
      <c r="AC170" s="50">
        <f t="shared" ref="AC170:AF170" si="477">-AC168+AC169</f>
        <v>10.201091631188127</v>
      </c>
      <c r="AD170" s="50">
        <f t="shared" si="477"/>
        <v>42</v>
      </c>
      <c r="AE170" s="50">
        <f t="shared" si="477"/>
        <v>42</v>
      </c>
      <c r="AF170" s="50">
        <f t="shared" si="477"/>
        <v>42</v>
      </c>
      <c r="AG170" s="22"/>
      <c r="AH170" s="50">
        <f t="shared" ref="AH170:AK170" si="478">-AH168+AH169</f>
        <v>42</v>
      </c>
      <c r="AI170" s="50">
        <f t="shared" si="478"/>
        <v>42</v>
      </c>
      <c r="AJ170" s="50">
        <f t="shared" si="478"/>
        <v>42</v>
      </c>
      <c r="AK170" s="50">
        <f t="shared" si="478"/>
        <v>42</v>
      </c>
      <c r="AL170" s="22"/>
      <c r="AM170" s="50">
        <f t="shared" ref="AM170:AP170" si="479">-AM168+AM169</f>
        <v>42</v>
      </c>
      <c r="AN170" s="50">
        <f t="shared" si="479"/>
        <v>42</v>
      </c>
      <c r="AO170" s="50">
        <f t="shared" si="479"/>
        <v>42</v>
      </c>
      <c r="AP170" s="50">
        <f t="shared" si="479"/>
        <v>42</v>
      </c>
      <c r="AQ170" s="22"/>
      <c r="AR170" s="50">
        <f t="shared" ref="AR170:AU170" si="480">-AR168+AR169</f>
        <v>42</v>
      </c>
      <c r="AS170" s="50">
        <f t="shared" si="480"/>
        <v>42</v>
      </c>
      <c r="AT170" s="50">
        <f t="shared" si="480"/>
        <v>42</v>
      </c>
      <c r="AU170" s="50">
        <f t="shared" si="480"/>
        <v>42</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33">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486" t="s">
        <v>75</v>
      </c>
      <c r="C172" s="487"/>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6">
        <f>+X170*X173</f>
        <v>17.99786202462888</v>
      </c>
      <c r="Y172" s="16">
        <f>+Y170*Y173</f>
        <v>3.0497426990776444</v>
      </c>
      <c r="Z172" s="16">
        <f t="shared" ref="Z172:AA172" si="481">+Z170*Z173</f>
        <v>3.0497426990776444</v>
      </c>
      <c r="AA172" s="16">
        <f t="shared" si="481"/>
        <v>3.0497426990776444</v>
      </c>
      <c r="AB172" s="17"/>
      <c r="AC172" s="16">
        <f>+AC170*AC173</f>
        <v>3.0497426990776444</v>
      </c>
      <c r="AD172" s="16">
        <f>+AD170*AD173</f>
        <v>12.556420233463037</v>
      </c>
      <c r="AE172" s="16">
        <f t="shared" ref="AE172:AF172" si="482">+AE170*AE173</f>
        <v>12.556420233463037</v>
      </c>
      <c r="AF172" s="16">
        <f t="shared" si="482"/>
        <v>12.556420233463037</v>
      </c>
      <c r="AG172" s="17"/>
      <c r="AH172" s="16">
        <f>+AH170*AH173</f>
        <v>12.556420233463037</v>
      </c>
      <c r="AI172" s="16">
        <f>+AI170*AI173</f>
        <v>12.556420233463037</v>
      </c>
      <c r="AJ172" s="16">
        <f t="shared" ref="AJ172:AK172" si="483">+AJ170*AJ173</f>
        <v>12.556420233463037</v>
      </c>
      <c r="AK172" s="16">
        <f t="shared" si="483"/>
        <v>12.556420233463037</v>
      </c>
      <c r="AL172" s="17"/>
      <c r="AM172" s="16">
        <f>+AM170*AM173</f>
        <v>12.556420233463037</v>
      </c>
      <c r="AN172" s="16">
        <f>+AN170*AN173</f>
        <v>12.556420233463037</v>
      </c>
      <c r="AO172" s="16">
        <f t="shared" ref="AO172:AP172" si="484">+AO170*AO173</f>
        <v>12.556420233463037</v>
      </c>
      <c r="AP172" s="16">
        <f t="shared" si="484"/>
        <v>12.556420233463037</v>
      </c>
      <c r="AQ172" s="17"/>
      <c r="AR172" s="16">
        <f>+AR170*AR173</f>
        <v>12.556420233463037</v>
      </c>
      <c r="AS172" s="16">
        <f>+AS170*AS173</f>
        <v>12.556420233463037</v>
      </c>
      <c r="AT172" s="16">
        <f t="shared" ref="AT172:AU172" si="485">+AT170*AT173</f>
        <v>12.556420233463037</v>
      </c>
      <c r="AU172" s="16">
        <f t="shared" si="485"/>
        <v>12.556420233463037</v>
      </c>
      <c r="AV172" s="17"/>
    </row>
    <row r="173" spans="2:48" outlineLevel="1" x14ac:dyDescent="0.3">
      <c r="B173" s="203" t="s">
        <v>76</v>
      </c>
      <c r="C173" s="204"/>
      <c r="D173" s="211">
        <f t="shared" ref="D173:G173" si="486">D172/D170</f>
        <v>-0.30036231884056991</v>
      </c>
      <c r="E173" s="211">
        <f t="shared" si="486"/>
        <v>0.56007072135784686</v>
      </c>
      <c r="F173" s="211">
        <f t="shared" si="486"/>
        <v>-0.43982442138866074</v>
      </c>
      <c r="G173" s="211">
        <f t="shared" si="486"/>
        <v>0.38759689922480622</v>
      </c>
      <c r="H173" s="212"/>
      <c r="I173" s="211">
        <f t="shared" ref="I173:V173" si="487">I172/I170</f>
        <v>0.15363128491620112</v>
      </c>
      <c r="J173" s="211">
        <f t="shared" si="487"/>
        <v>0.34431137724550898</v>
      </c>
      <c r="K173" s="211">
        <f t="shared" si="487"/>
        <v>0.20183671119299865</v>
      </c>
      <c r="L173" s="211">
        <f t="shared" si="487"/>
        <v>0.1957996146435467</v>
      </c>
      <c r="M173" s="212"/>
      <c r="N173" s="211">
        <f t="shared" si="487"/>
        <v>0.26308376575240922</v>
      </c>
      <c r="O173" s="211">
        <f t="shared" si="487"/>
        <v>0.13433106575963719</v>
      </c>
      <c r="P173" s="211">
        <f t="shared" si="487"/>
        <v>0.22943907156673113</v>
      </c>
      <c r="Q173" s="211">
        <f t="shared" si="487"/>
        <v>-1.4848749999999999</v>
      </c>
      <c r="R173" s="37"/>
      <c r="S173" s="211">
        <f t="shared" si="487"/>
        <v>0.1121590909091003</v>
      </c>
      <c r="T173" s="211">
        <f t="shared" si="487"/>
        <v>0.24292631578947371</v>
      </c>
      <c r="U173" s="211">
        <f t="shared" si="487"/>
        <v>0.29703225806451611</v>
      </c>
      <c r="V173" s="211">
        <f t="shared" si="487"/>
        <v>0.29896238651102469</v>
      </c>
      <c r="W173" s="37"/>
      <c r="X173" s="94">
        <f>V173</f>
        <v>0.29896238651102469</v>
      </c>
      <c r="Y173" s="94">
        <f>X173</f>
        <v>0.29896238651102469</v>
      </c>
      <c r="Z173" s="94">
        <f>Y173</f>
        <v>0.29896238651102469</v>
      </c>
      <c r="AA173" s="94">
        <f>Z173</f>
        <v>0.29896238651102469</v>
      </c>
      <c r="AB173" s="37"/>
      <c r="AC173" s="94">
        <f>AA173</f>
        <v>0.29896238651102469</v>
      </c>
      <c r="AD173" s="94">
        <f>AC173</f>
        <v>0.29896238651102469</v>
      </c>
      <c r="AE173" s="94">
        <f>AD173</f>
        <v>0.29896238651102469</v>
      </c>
      <c r="AF173" s="94">
        <f>AE173</f>
        <v>0.29896238651102469</v>
      </c>
      <c r="AG173" s="37"/>
      <c r="AH173" s="94">
        <f>AF173</f>
        <v>0.29896238651102469</v>
      </c>
      <c r="AI173" s="94">
        <f>AH173</f>
        <v>0.29896238651102469</v>
      </c>
      <c r="AJ173" s="94">
        <f>AI173</f>
        <v>0.29896238651102469</v>
      </c>
      <c r="AK173" s="94">
        <f>AJ173</f>
        <v>0.29896238651102469</v>
      </c>
      <c r="AL173" s="37"/>
      <c r="AM173" s="94">
        <f>AK173</f>
        <v>0.29896238651102469</v>
      </c>
      <c r="AN173" s="94">
        <f>AM173</f>
        <v>0.29896238651102469</v>
      </c>
      <c r="AO173" s="94">
        <f>AN173</f>
        <v>0.29896238651102469</v>
      </c>
      <c r="AP173" s="94">
        <f>AO173</f>
        <v>0.29896238651102469</v>
      </c>
      <c r="AQ173" s="37"/>
      <c r="AR173" s="94">
        <f>AP173</f>
        <v>0.29896238651102469</v>
      </c>
      <c r="AS173" s="94">
        <f>AR173</f>
        <v>0.29896238651102469</v>
      </c>
      <c r="AT173" s="94">
        <f>AS173</f>
        <v>0.29896238651102469</v>
      </c>
      <c r="AU173" s="94">
        <f>AT173</f>
        <v>0.29896238651102469</v>
      </c>
      <c r="AV173" s="37"/>
    </row>
    <row r="175" spans="2:48" x14ac:dyDescent="0.3">
      <c r="B175" s="382" t="s">
        <v>314</v>
      </c>
      <c r="Q175" s="383">
        <f>Q61-L61</f>
        <v>-6.6118692968142323E-4</v>
      </c>
      <c r="R175" s="383"/>
      <c r="S175" s="383">
        <f>S61-N61</f>
        <v>1.2901737440265071E-2</v>
      </c>
      <c r="T175" s="383">
        <f t="shared" ref="T175" si="488">T61-O61</f>
        <v>2.4025383293040548E-2</v>
      </c>
      <c r="U175" s="383">
        <f>U61-P61</f>
        <v>2.0536242149533701E-2</v>
      </c>
      <c r="V175" s="383">
        <f>V61-Q61</f>
        <v>1.4419766618683716E-2</v>
      </c>
      <c r="W175" s="383"/>
      <c r="X175" s="383">
        <f t="shared" ref="X175:AA175" si="489">X61-S61</f>
        <v>4.500000000000004E-3</v>
      </c>
      <c r="Y175" s="383">
        <f t="shared" si="489"/>
        <v>4.500000000000004E-3</v>
      </c>
      <c r="Z175" s="383">
        <f t="shared" si="489"/>
        <v>4.500000000000004E-3</v>
      </c>
      <c r="AA175" s="383">
        <f t="shared" si="489"/>
        <v>4.500000000000004E-3</v>
      </c>
      <c r="AB175" s="383"/>
      <c r="AC175" s="383">
        <f t="shared" ref="AC175:AF175" si="490">AC61-X61</f>
        <v>-1.0500000000000009E-2</v>
      </c>
      <c r="AD175" s="383">
        <f t="shared" si="490"/>
        <v>-1.0500000000000009E-2</v>
      </c>
      <c r="AE175" s="383">
        <f t="shared" si="490"/>
        <v>-1.0500000000000009E-2</v>
      </c>
      <c r="AF175" s="383">
        <f t="shared" si="490"/>
        <v>-1.0500000000000009E-2</v>
      </c>
      <c r="AH175" s="383">
        <f t="shared" ref="AH175:AK175" si="491">AH61-AC61</f>
        <v>-1.5000000000000013E-3</v>
      </c>
      <c r="AI175" s="383">
        <f t="shared" si="491"/>
        <v>-1.5000000000000013E-3</v>
      </c>
      <c r="AJ175" s="383">
        <f t="shared" si="491"/>
        <v>-1.5000000000000013E-3</v>
      </c>
      <c r="AK175" s="383">
        <f t="shared" si="491"/>
        <v>-1.5000000000000013E-3</v>
      </c>
    </row>
    <row r="176" spans="2:48" ht="14.55" customHeight="1" x14ac:dyDescent="0.3">
      <c r="B176" s="382" t="s">
        <v>315</v>
      </c>
      <c r="Q176" s="383">
        <f t="shared" ref="Q176:T176" si="492">Q63-L63</f>
        <v>-4.2476929877535707E-2</v>
      </c>
      <c r="R176" s="383"/>
      <c r="S176" s="383">
        <f t="shared" si="492"/>
        <v>-4.2111802490401029E-3</v>
      </c>
      <c r="T176" s="383">
        <f t="shared" si="492"/>
        <v>1.5713963584189306E-2</v>
      </c>
      <c r="U176" s="383">
        <f>U63-P63</f>
        <v>8.2485911822535729E-3</v>
      </c>
      <c r="V176" s="383">
        <f>V63-Q63</f>
        <v>2.6389804799066163E-2</v>
      </c>
      <c r="W176" s="383"/>
      <c r="X176" s="383">
        <f t="shared" ref="X176:AA176" si="493">X63-S63</f>
        <v>4.5000000000000595E-3</v>
      </c>
      <c r="Y176" s="383">
        <f>Y63-T63</f>
        <v>4.5000000000000595E-3</v>
      </c>
      <c r="Z176" s="383">
        <f t="shared" si="493"/>
        <v>4.500000000000004E-3</v>
      </c>
      <c r="AA176" s="383">
        <f t="shared" si="493"/>
        <v>4.5000000000000595E-3</v>
      </c>
      <c r="AB176" s="383"/>
      <c r="AC176" s="383">
        <f t="shared" ref="AC176:AF176" si="494">AC63-X63</f>
        <v>-1.0499999999999954E-2</v>
      </c>
      <c r="AD176" s="383">
        <f t="shared" si="494"/>
        <v>-1.0499999999999954E-2</v>
      </c>
      <c r="AE176" s="383">
        <f t="shared" si="494"/>
        <v>-1.0500000000000009E-2</v>
      </c>
      <c r="AF176" s="383">
        <f t="shared" si="494"/>
        <v>-1.0499999999999954E-2</v>
      </c>
      <c r="AH176" s="383">
        <f t="shared" ref="AH176:AK176" si="495">AH63-AC63</f>
        <v>-1.4999999999999458E-3</v>
      </c>
      <c r="AI176" s="383">
        <f t="shared" si="495"/>
        <v>-1.4999999999999458E-3</v>
      </c>
      <c r="AJ176" s="383">
        <f t="shared" si="495"/>
        <v>-1.5000000000000013E-3</v>
      </c>
      <c r="AK176" s="383">
        <f t="shared" si="495"/>
        <v>-1.4999999999999458E-3</v>
      </c>
    </row>
    <row r="177" spans="1:48" ht="14.55" customHeight="1" x14ac:dyDescent="0.3">
      <c r="B177" s="382" t="s">
        <v>316</v>
      </c>
      <c r="Q177" s="383">
        <f t="shared" ref="Q177:T177" si="496">Q65-L65</f>
        <v>-8.1024370824473238E-4</v>
      </c>
      <c r="R177" s="383"/>
      <c r="S177" s="383">
        <f t="shared" si="496"/>
        <v>-6.9169487840035036E-4</v>
      </c>
      <c r="T177" s="383">
        <f t="shared" si="496"/>
        <v>-3.3352357784197616E-4</v>
      </c>
      <c r="U177" s="383">
        <f>U65-P65</f>
        <v>1.7928850972594532E-3</v>
      </c>
      <c r="V177" s="383">
        <f t="shared" ref="V177:AA177" si="497">V65-Q65</f>
        <v>1.7144676918782326E-4</v>
      </c>
      <c r="W177" s="383"/>
      <c r="X177" s="383">
        <f t="shared" si="497"/>
        <v>0</v>
      </c>
      <c r="Y177" s="383">
        <f t="shared" si="497"/>
        <v>0</v>
      </c>
      <c r="Z177" s="383">
        <f t="shared" si="497"/>
        <v>0</v>
      </c>
      <c r="AA177" s="383">
        <f t="shared" si="497"/>
        <v>0</v>
      </c>
      <c r="AB177" s="383"/>
      <c r="AC177" s="383">
        <f t="shared" ref="AC177:AF177" si="498">AC65-X65</f>
        <v>0</v>
      </c>
      <c r="AD177" s="383">
        <f t="shared" si="498"/>
        <v>0</v>
      </c>
      <c r="AE177" s="383">
        <f t="shared" si="498"/>
        <v>0</v>
      </c>
      <c r="AF177" s="383">
        <f t="shared" si="498"/>
        <v>0</v>
      </c>
      <c r="AH177" s="383">
        <f t="shared" ref="AH177:AK177" si="499">AH65-AC65</f>
        <v>0</v>
      </c>
      <c r="AI177" s="383">
        <f t="shared" si="499"/>
        <v>0</v>
      </c>
      <c r="AJ177" s="383">
        <f t="shared" si="499"/>
        <v>0</v>
      </c>
      <c r="AK177" s="383">
        <f t="shared" si="499"/>
        <v>0</v>
      </c>
    </row>
    <row r="178" spans="1:48" ht="14.55" customHeight="1" x14ac:dyDescent="0.3">
      <c r="A178" s="161"/>
      <c r="B178" s="382" t="s">
        <v>317</v>
      </c>
      <c r="Q178" s="383">
        <f t="shared" ref="Q178:T178" si="500">Q68-L68</f>
        <v>-1.8685768961161399E-3</v>
      </c>
      <c r="R178" s="383"/>
      <c r="S178" s="383">
        <f t="shared" si="500"/>
        <v>-1.673261995123904E-3</v>
      </c>
      <c r="T178" s="383">
        <f t="shared" si="500"/>
        <v>-3.5644778537942175E-3</v>
      </c>
      <c r="U178" s="383">
        <f>U68-P68</f>
        <v>-9.2770624793186637E-4</v>
      </c>
      <c r="V178" s="383">
        <f t="shared" ref="V178:AA178" si="501">V68-Q68</f>
        <v>-7.584336101247053E-4</v>
      </c>
      <c r="W178" s="383"/>
      <c r="X178" s="383">
        <f t="shared" si="501"/>
        <v>4.9999999999999992E-3</v>
      </c>
      <c r="Y178" s="383">
        <f t="shared" si="501"/>
        <v>2.5000000000000005E-3</v>
      </c>
      <c r="Z178" s="383">
        <f t="shared" si="501"/>
        <v>2.5000000000000005E-3</v>
      </c>
      <c r="AA178" s="383">
        <f t="shared" si="501"/>
        <v>-0.01</v>
      </c>
      <c r="AB178" s="383"/>
      <c r="AC178" s="383">
        <f t="shared" ref="AC178:AF178" si="502">AC68-X68</f>
        <v>-2.9999999999999992E-3</v>
      </c>
      <c r="AD178" s="383">
        <f t="shared" si="502"/>
        <v>2.0000000000000018E-3</v>
      </c>
      <c r="AE178" s="383">
        <f t="shared" si="502"/>
        <v>-9.9999999999999915E-4</v>
      </c>
      <c r="AF178" s="383">
        <f t="shared" si="502"/>
        <v>-1E-3</v>
      </c>
      <c r="AH178" s="383">
        <f t="shared" ref="AH178:AK178" si="503">AH68-AC68</f>
        <v>-1.0000000000000009E-3</v>
      </c>
      <c r="AI178" s="383">
        <f t="shared" si="503"/>
        <v>-1.0000000000000009E-3</v>
      </c>
      <c r="AJ178" s="383">
        <f t="shared" si="503"/>
        <v>-1.0000000000000009E-3</v>
      </c>
      <c r="AK178" s="383">
        <f t="shared" si="503"/>
        <v>-1E-3</v>
      </c>
    </row>
    <row r="179" spans="1:48" s="23" customFormat="1" ht="14.55" customHeight="1" x14ac:dyDescent="0.3">
      <c r="A179" s="161"/>
    </row>
    <row r="180" spans="1:48" s="23" customFormat="1" ht="14.55" customHeight="1" x14ac:dyDescent="0.3">
      <c r="A180" s="161"/>
      <c r="B180" s="382" t="s">
        <v>318</v>
      </c>
      <c r="Q180" s="384">
        <f t="shared" ref="Q180:U180" si="504">Q94-L94</f>
        <v>-1.0328853878240896E-3</v>
      </c>
      <c r="R180" s="384"/>
      <c r="S180" s="384">
        <f t="shared" si="504"/>
        <v>1.3694957380178618E-2</v>
      </c>
      <c r="T180" s="384">
        <f t="shared" si="504"/>
        <v>2.2223284472510374E-2</v>
      </c>
      <c r="U180" s="384">
        <f t="shared" si="504"/>
        <v>4.4737654429502782E-2</v>
      </c>
      <c r="V180" s="384">
        <f>V94-Q94</f>
        <v>2.7792802174517572E-2</v>
      </c>
      <c r="W180" s="384"/>
      <c r="X180" s="384">
        <f t="shared" ref="X180:AA180" si="505">X94-S94</f>
        <v>2.0000000000000018E-2</v>
      </c>
      <c r="Y180" s="384">
        <f t="shared" si="505"/>
        <v>-1.0000000000000009E-2</v>
      </c>
      <c r="Z180" s="384">
        <f t="shared" si="505"/>
        <v>-5.0000000000000044E-3</v>
      </c>
      <c r="AA180" s="384">
        <f t="shared" si="505"/>
        <v>-5.0000000000000044E-3</v>
      </c>
      <c r="AB180" s="384"/>
      <c r="AC180" s="384">
        <f t="shared" ref="AC180:AF180" si="506">AC94-X94</f>
        <v>-2.0000000000000018E-2</v>
      </c>
      <c r="AD180" s="384">
        <f t="shared" si="506"/>
        <v>-2.0000000000000018E-2</v>
      </c>
      <c r="AE180" s="384">
        <f t="shared" si="506"/>
        <v>0</v>
      </c>
      <c r="AF180" s="384">
        <f t="shared" si="506"/>
        <v>0</v>
      </c>
      <c r="AG180" s="384"/>
      <c r="AH180" s="384">
        <f t="shared" ref="AH180:AK180" si="507">AH94-AC94</f>
        <v>-2.0000000000000018E-3</v>
      </c>
      <c r="AI180" s="384">
        <f t="shared" si="507"/>
        <v>-2.0000000000000018E-3</v>
      </c>
      <c r="AJ180" s="384">
        <f t="shared" si="507"/>
        <v>-1.0000000000000009E-2</v>
      </c>
      <c r="AK180" s="384">
        <f t="shared" si="507"/>
        <v>-2.0000000000000018E-3</v>
      </c>
      <c r="AL180" s="384"/>
      <c r="AM180" s="384">
        <f t="shared" ref="AM180:AP180" si="508">AM94-AH94</f>
        <v>0</v>
      </c>
      <c r="AN180" s="384">
        <f t="shared" si="508"/>
        <v>0</v>
      </c>
      <c r="AO180" s="384">
        <f t="shared" si="508"/>
        <v>0</v>
      </c>
      <c r="AP180" s="384">
        <f t="shared" si="508"/>
        <v>0</v>
      </c>
      <c r="AQ180" s="384"/>
      <c r="AR180" s="384">
        <f t="shared" ref="AR180:AU180" si="509">AR94-AM94</f>
        <v>0</v>
      </c>
      <c r="AS180" s="384">
        <f t="shared" si="509"/>
        <v>0</v>
      </c>
      <c r="AT180" s="384">
        <f t="shared" si="509"/>
        <v>0</v>
      </c>
      <c r="AU180" s="384">
        <f t="shared" si="509"/>
        <v>0</v>
      </c>
    </row>
    <row r="181" spans="1:48" ht="16.2" customHeight="1" x14ac:dyDescent="0.3">
      <c r="A181" s="161"/>
      <c r="B181" s="382" t="s">
        <v>319</v>
      </c>
      <c r="Q181" s="384">
        <f t="shared" ref="Q181:U181" si="510">Q96-L96</f>
        <v>-4.3229689278334871E-2</v>
      </c>
      <c r="R181" s="384"/>
      <c r="S181" s="384">
        <f t="shared" si="510"/>
        <v>2.6563781125539754E-2</v>
      </c>
      <c r="T181" s="384">
        <f t="shared" si="510"/>
        <v>6.6354626897605851E-2</v>
      </c>
      <c r="U181" s="384">
        <f t="shared" si="510"/>
        <v>0.11154167548484295</v>
      </c>
      <c r="V181" s="384">
        <f>V96-Q96</f>
        <v>6.8821227532231799E-2</v>
      </c>
      <c r="W181" s="384"/>
      <c r="X181" s="384">
        <f t="shared" ref="X181:AA181" si="511">X96-S96</f>
        <v>2.0000000000000018E-2</v>
      </c>
      <c r="Y181" s="384">
        <f t="shared" si="511"/>
        <v>-1.0000000000000009E-2</v>
      </c>
      <c r="Z181" s="384">
        <f t="shared" si="511"/>
        <v>-5.0000000000000044E-3</v>
      </c>
      <c r="AA181" s="384">
        <f t="shared" si="511"/>
        <v>-5.0000000000000044E-3</v>
      </c>
      <c r="AB181" s="384"/>
      <c r="AC181" s="384">
        <f t="shared" ref="AC181:AF181" si="512">AC96-X96</f>
        <v>0</v>
      </c>
      <c r="AD181" s="384">
        <f t="shared" si="512"/>
        <v>-2.0000000000000018E-2</v>
      </c>
      <c r="AE181" s="384">
        <f t="shared" si="512"/>
        <v>0</v>
      </c>
      <c r="AF181" s="384">
        <f t="shared" si="512"/>
        <v>0</v>
      </c>
      <c r="AG181" s="384"/>
      <c r="AH181" s="384">
        <f t="shared" ref="AH181:AK181" si="513">AH96-AC96</f>
        <v>-2.0000000000000018E-3</v>
      </c>
      <c r="AI181" s="384">
        <f t="shared" si="513"/>
        <v>-2.0000000000000018E-3</v>
      </c>
      <c r="AJ181" s="384">
        <f t="shared" si="513"/>
        <v>-2.0000000000000018E-2</v>
      </c>
      <c r="AK181" s="384">
        <f t="shared" si="513"/>
        <v>-2.0000000000000018E-3</v>
      </c>
      <c r="AL181" s="384"/>
      <c r="AM181" s="384">
        <f t="shared" ref="AM181:AP181" si="514">AM96-AH96</f>
        <v>0</v>
      </c>
      <c r="AN181" s="384">
        <f t="shared" si="514"/>
        <v>0</v>
      </c>
      <c r="AO181" s="384">
        <f t="shared" si="514"/>
        <v>0</v>
      </c>
      <c r="AP181" s="384">
        <f t="shared" si="514"/>
        <v>0</v>
      </c>
      <c r="AQ181" s="384"/>
      <c r="AR181" s="384">
        <f t="shared" ref="AR181:AU181" si="515">AR96-AM96</f>
        <v>0</v>
      </c>
      <c r="AS181" s="384">
        <f t="shared" si="515"/>
        <v>0</v>
      </c>
      <c r="AT181" s="384">
        <f t="shared" si="515"/>
        <v>0</v>
      </c>
      <c r="AU181" s="384">
        <f t="shared" si="515"/>
        <v>0</v>
      </c>
    </row>
    <row r="182" spans="1:48" ht="14.55" customHeight="1" x14ac:dyDescent="0.3">
      <c r="A182" s="161"/>
      <c r="B182" s="382" t="s">
        <v>320</v>
      </c>
      <c r="Q182" s="384">
        <f t="shared" ref="Q182:U182" si="516">Q98-L98</f>
        <v>-5.6134797444197491E-3</v>
      </c>
      <c r="R182" s="384"/>
      <c r="S182" s="384">
        <f t="shared" si="516"/>
        <v>1.6279115038060621E-4</v>
      </c>
      <c r="T182" s="384">
        <f t="shared" si="516"/>
        <v>5.0139473649204631E-3</v>
      </c>
      <c r="U182" s="384">
        <f t="shared" si="516"/>
        <v>1.4893713799812251E-2</v>
      </c>
      <c r="V182" s="384">
        <f>V98-Q98</f>
        <v>8.7002690753356267E-3</v>
      </c>
      <c r="W182" s="384"/>
      <c r="X182" s="384">
        <f t="shared" ref="X182:AA182" si="517">X98-S98</f>
        <v>0</v>
      </c>
      <c r="Y182" s="384">
        <f t="shared" si="517"/>
        <v>0</v>
      </c>
      <c r="Z182" s="384">
        <f t="shared" si="517"/>
        <v>-4.9999999999999975E-3</v>
      </c>
      <c r="AA182" s="384">
        <f t="shared" si="517"/>
        <v>0</v>
      </c>
      <c r="AB182" s="384"/>
      <c r="AC182" s="384">
        <f t="shared" ref="AC182:AF182" si="518">AC98-X98</f>
        <v>0</v>
      </c>
      <c r="AD182" s="384">
        <f t="shared" si="518"/>
        <v>0</v>
      </c>
      <c r="AE182" s="384">
        <f t="shared" si="518"/>
        <v>-5.000000000000001E-3</v>
      </c>
      <c r="AF182" s="384">
        <f t="shared" si="518"/>
        <v>0</v>
      </c>
      <c r="AG182" s="384"/>
      <c r="AH182" s="384">
        <f t="shared" ref="AH182:AK182" si="519">AH98-AC98</f>
        <v>-1.9999999999999983E-3</v>
      </c>
      <c r="AI182" s="384">
        <f t="shared" si="519"/>
        <v>-2.0000000000000018E-3</v>
      </c>
      <c r="AJ182" s="384">
        <f t="shared" si="519"/>
        <v>-6.0000000000000019E-3</v>
      </c>
      <c r="AK182" s="384">
        <f t="shared" si="519"/>
        <v>-2.0000000000000018E-3</v>
      </c>
      <c r="AL182" s="384"/>
      <c r="AM182" s="384">
        <f t="shared" ref="AM182:AP182" si="520">AM98-AH98</f>
        <v>0</v>
      </c>
      <c r="AN182" s="384">
        <f t="shared" si="520"/>
        <v>0</v>
      </c>
      <c r="AO182" s="384">
        <f t="shared" si="520"/>
        <v>0</v>
      </c>
      <c r="AP182" s="384">
        <f t="shared" si="520"/>
        <v>0</v>
      </c>
      <c r="AQ182" s="384"/>
      <c r="AR182" s="384">
        <f t="shared" ref="AR182:AU182" si="521">AR98-AM98</f>
        <v>0</v>
      </c>
      <c r="AS182" s="384">
        <f t="shared" si="521"/>
        <v>0</v>
      </c>
      <c r="AT182" s="384">
        <f t="shared" si="521"/>
        <v>0</v>
      </c>
      <c r="AU182" s="384">
        <f t="shared" si="521"/>
        <v>0</v>
      </c>
    </row>
    <row r="183" spans="1:48" ht="14.55" customHeight="1" x14ac:dyDescent="0.3">
      <c r="A183" s="161"/>
      <c r="B183" s="382" t="s">
        <v>321</v>
      </c>
      <c r="Q183" s="384">
        <f t="shared" ref="Q183:U183" si="522">Q101-L101</f>
        <v>-4.5175814670814843E-3</v>
      </c>
      <c r="R183" s="384"/>
      <c r="S183" s="384">
        <f t="shared" si="522"/>
        <v>-1.2605124458150846E-3</v>
      </c>
      <c r="T183" s="384">
        <f t="shared" si="522"/>
        <v>-2.780006809811171E-3</v>
      </c>
      <c r="U183" s="384">
        <f t="shared" si="522"/>
        <v>-4.0374511378418465E-3</v>
      </c>
      <c r="V183" s="384">
        <f>V101-Q101</f>
        <v>7.1575109158830003E-4</v>
      </c>
      <c r="W183" s="384"/>
      <c r="X183" s="384">
        <f t="shared" ref="X183:AA183" si="523">X101-S101</f>
        <v>0</v>
      </c>
      <c r="Y183" s="384">
        <f t="shared" si="523"/>
        <v>0</v>
      </c>
      <c r="Z183" s="384">
        <f t="shared" si="523"/>
        <v>-4.9999999999999975E-3</v>
      </c>
      <c r="AA183" s="384">
        <f t="shared" si="523"/>
        <v>-4.9999999999999975E-3</v>
      </c>
      <c r="AB183" s="384"/>
      <c r="AC183" s="384">
        <f t="shared" ref="AC183:AF183" si="524">AC101-X101</f>
        <v>-3.0000000000000027E-3</v>
      </c>
      <c r="AD183" s="384">
        <f t="shared" si="524"/>
        <v>0</v>
      </c>
      <c r="AE183" s="384">
        <f t="shared" si="524"/>
        <v>0</v>
      </c>
      <c r="AF183" s="384">
        <f t="shared" si="524"/>
        <v>0</v>
      </c>
      <c r="AG183" s="384"/>
      <c r="AH183" s="384">
        <f t="shared" ref="AH183:AK183" si="525">AH101-AC101</f>
        <v>-2.0000000000000018E-3</v>
      </c>
      <c r="AI183" s="384">
        <f t="shared" si="525"/>
        <v>-2.0000000000000018E-3</v>
      </c>
      <c r="AJ183" s="384">
        <f t="shared" si="525"/>
        <v>-2.0000000000000018E-3</v>
      </c>
      <c r="AK183" s="384">
        <f t="shared" si="525"/>
        <v>-2.0000000000000018E-3</v>
      </c>
      <c r="AL183" s="384"/>
      <c r="AM183" s="384">
        <f t="shared" ref="AM183:AP183" si="526">AM101-AH101</f>
        <v>0</v>
      </c>
      <c r="AN183" s="384">
        <f t="shared" si="526"/>
        <v>0</v>
      </c>
      <c r="AO183" s="384">
        <f t="shared" si="526"/>
        <v>0</v>
      </c>
      <c r="AP183" s="384">
        <f t="shared" si="526"/>
        <v>0</v>
      </c>
      <c r="AQ183" s="384"/>
      <c r="AR183" s="384">
        <f t="shared" ref="AR183:AU183" si="527">AR101-AM101</f>
        <v>0</v>
      </c>
      <c r="AS183" s="384">
        <f t="shared" si="527"/>
        <v>0</v>
      </c>
      <c r="AT183" s="384">
        <f t="shared" si="527"/>
        <v>0</v>
      </c>
      <c r="AU183" s="384">
        <f t="shared" si="527"/>
        <v>0</v>
      </c>
    </row>
    <row r="184" spans="1:48" ht="14.55" customHeight="1" x14ac:dyDescent="0.3">
      <c r="A184" s="161"/>
    </row>
    <row r="185" spans="1:48" s="8" customFormat="1" x14ac:dyDescent="0.3">
      <c r="A185" s="161"/>
      <c r="B185" s="382" t="s">
        <v>322</v>
      </c>
      <c r="Q185" s="384">
        <f t="shared" ref="Q185:T185" si="528">Q111-L111</f>
        <v>-7.3337522717080939E-2</v>
      </c>
      <c r="R185" s="384"/>
      <c r="S185" s="384">
        <f t="shared" si="528"/>
        <v>-8.2275015567009335E-3</v>
      </c>
      <c r="T185" s="384">
        <f t="shared" si="528"/>
        <v>2.1961732903702735E-2</v>
      </c>
      <c r="U185" s="384">
        <f>U111-P111</f>
        <v>3.1106851202291286E-2</v>
      </c>
      <c r="V185" s="384">
        <f t="shared" ref="V185:AU185" si="529">V111-Q111</f>
        <v>5.6977238962102605E-3</v>
      </c>
      <c r="W185" s="384"/>
      <c r="X185" s="384">
        <f t="shared" si="529"/>
        <v>1.5000000000000013E-2</v>
      </c>
      <c r="Y185" s="384">
        <f t="shared" si="529"/>
        <v>0</v>
      </c>
      <c r="Z185" s="384">
        <f t="shared" si="529"/>
        <v>-5.0000000000000044E-3</v>
      </c>
      <c r="AA185" s="384">
        <f t="shared" si="529"/>
        <v>-3.0000000000000027E-2</v>
      </c>
      <c r="AB185" s="384"/>
      <c r="AC185" s="384">
        <f t="shared" si="529"/>
        <v>0</v>
      </c>
      <c r="AD185" s="384">
        <f t="shared" si="529"/>
        <v>0</v>
      </c>
      <c r="AE185" s="384">
        <f t="shared" si="529"/>
        <v>-2.0000000000000018E-2</v>
      </c>
      <c r="AF185" s="384">
        <f t="shared" si="529"/>
        <v>0</v>
      </c>
      <c r="AG185" s="384"/>
      <c r="AH185" s="384">
        <f t="shared" si="529"/>
        <v>0</v>
      </c>
      <c r="AI185" s="384">
        <f t="shared" si="529"/>
        <v>0</v>
      </c>
      <c r="AJ185" s="384">
        <f t="shared" si="529"/>
        <v>-1.0000000000000009E-2</v>
      </c>
      <c r="AK185" s="384">
        <f t="shared" si="529"/>
        <v>0</v>
      </c>
      <c r="AL185" s="384"/>
      <c r="AM185" s="384">
        <f t="shared" si="529"/>
        <v>0</v>
      </c>
      <c r="AN185" s="384">
        <f t="shared" si="529"/>
        <v>0</v>
      </c>
      <c r="AO185" s="384">
        <f t="shared" si="529"/>
        <v>0</v>
      </c>
      <c r="AP185" s="384">
        <f t="shared" si="529"/>
        <v>0</v>
      </c>
      <c r="AQ185" s="384"/>
      <c r="AR185" s="384">
        <f t="shared" si="529"/>
        <v>0</v>
      </c>
      <c r="AS185" s="384">
        <f t="shared" si="529"/>
        <v>0</v>
      </c>
      <c r="AT185" s="384">
        <f t="shared" si="529"/>
        <v>0</v>
      </c>
      <c r="AU185" s="384">
        <f t="shared" si="529"/>
        <v>0</v>
      </c>
    </row>
    <row r="186" spans="1:48" s="8" customFormat="1" x14ac:dyDescent="0.3">
      <c r="A186" s="161"/>
      <c r="B186" s="382" t="s">
        <v>323</v>
      </c>
      <c r="Q186" s="384">
        <f t="shared" ref="Q186:T186" si="530">Q113-L113</f>
        <v>-1.0844701708009816E-3</v>
      </c>
      <c r="R186" s="384"/>
      <c r="S186" s="384">
        <f t="shared" si="530"/>
        <v>-2.5553392161973866E-3</v>
      </c>
      <c r="T186" s="384">
        <f t="shared" si="530"/>
        <v>-1.2309816148434665E-2</v>
      </c>
      <c r="U186" s="384">
        <f>U113-P113</f>
        <v>5.2264096219557514E-2</v>
      </c>
      <c r="V186" s="384">
        <f t="shared" ref="V186:AU186" si="531">V113-Q113</f>
        <v>-5.7078651325004406E-3</v>
      </c>
      <c r="W186" s="384"/>
      <c r="X186" s="384">
        <f t="shared" si="531"/>
        <v>0.02</v>
      </c>
      <c r="Y186" s="384">
        <f t="shared" si="531"/>
        <v>0</v>
      </c>
      <c r="Z186" s="384">
        <f t="shared" si="531"/>
        <v>-5.000000000000001E-3</v>
      </c>
      <c r="AA186" s="384">
        <f t="shared" si="531"/>
        <v>-0.03</v>
      </c>
      <c r="AB186" s="384"/>
      <c r="AC186" s="384">
        <f t="shared" si="531"/>
        <v>-0.02</v>
      </c>
      <c r="AD186" s="384">
        <f t="shared" si="531"/>
        <v>0</v>
      </c>
      <c r="AE186" s="384">
        <f t="shared" si="531"/>
        <v>0</v>
      </c>
      <c r="AF186" s="384">
        <f t="shared" si="531"/>
        <v>-0.02</v>
      </c>
      <c r="AG186" s="384"/>
      <c r="AH186" s="384">
        <f t="shared" si="531"/>
        <v>-2.9999999999999992E-3</v>
      </c>
      <c r="AI186" s="384">
        <f t="shared" si="531"/>
        <v>0</v>
      </c>
      <c r="AJ186" s="384">
        <f t="shared" si="531"/>
        <v>0</v>
      </c>
      <c r="AK186" s="384">
        <f t="shared" si="531"/>
        <v>-4.0000000000000001E-3</v>
      </c>
      <c r="AL186" s="384"/>
      <c r="AM186" s="384">
        <f t="shared" si="531"/>
        <v>0</v>
      </c>
      <c r="AN186" s="384">
        <f t="shared" si="531"/>
        <v>0</v>
      </c>
      <c r="AO186" s="384">
        <f t="shared" si="531"/>
        <v>0</v>
      </c>
      <c r="AP186" s="384">
        <f t="shared" si="531"/>
        <v>0</v>
      </c>
      <c r="AQ186" s="384"/>
      <c r="AR186" s="384">
        <f t="shared" si="531"/>
        <v>0</v>
      </c>
      <c r="AS186" s="384">
        <f t="shared" si="531"/>
        <v>0</v>
      </c>
      <c r="AT186" s="384">
        <f t="shared" si="531"/>
        <v>0</v>
      </c>
      <c r="AU186" s="384">
        <f t="shared" si="531"/>
        <v>0</v>
      </c>
    </row>
    <row r="187" spans="1:48" s="8" customFormat="1" x14ac:dyDescent="0.3">
      <c r="A187" s="161"/>
      <c r="B187" s="382" t="s">
        <v>324</v>
      </c>
      <c r="Q187" s="384">
        <f t="shared" ref="Q187:T187" si="532">Q116-L116</f>
        <v>2.3693128623915273E-3</v>
      </c>
      <c r="R187" s="384"/>
      <c r="S187" s="384">
        <f t="shared" si="532"/>
        <v>1.9882391779431439E-3</v>
      </c>
      <c r="T187" s="384">
        <f t="shared" si="532"/>
        <v>-8.1949465585923805E-4</v>
      </c>
      <c r="U187" s="384">
        <f>U116-P116</f>
        <v>-2.2101675866256984E-3</v>
      </c>
      <c r="V187" s="384">
        <f t="shared" ref="V187:AU187" si="533">V116-Q116</f>
        <v>7.190844057926556E-4</v>
      </c>
      <c r="W187" s="384"/>
      <c r="X187" s="384">
        <f t="shared" si="533"/>
        <v>0</v>
      </c>
      <c r="Y187" s="384">
        <f t="shared" si="533"/>
        <v>0</v>
      </c>
      <c r="Z187" s="384">
        <f t="shared" si="533"/>
        <v>0</v>
      </c>
      <c r="AA187" s="384">
        <f t="shared" si="533"/>
        <v>0</v>
      </c>
      <c r="AB187" s="384"/>
      <c r="AC187" s="384">
        <f t="shared" si="533"/>
        <v>0</v>
      </c>
      <c r="AD187" s="384">
        <f t="shared" si="533"/>
        <v>0</v>
      </c>
      <c r="AE187" s="384">
        <f t="shared" si="533"/>
        <v>0</v>
      </c>
      <c r="AF187" s="384">
        <f t="shared" si="533"/>
        <v>0</v>
      </c>
      <c r="AG187" s="384"/>
      <c r="AH187" s="384">
        <f t="shared" si="533"/>
        <v>0</v>
      </c>
      <c r="AI187" s="384">
        <f t="shared" si="533"/>
        <v>0</v>
      </c>
      <c r="AJ187" s="384">
        <f t="shared" si="533"/>
        <v>0</v>
      </c>
      <c r="AK187" s="384">
        <f t="shared" si="533"/>
        <v>0</v>
      </c>
      <c r="AL187" s="384"/>
      <c r="AM187" s="384">
        <f t="shared" si="533"/>
        <v>0</v>
      </c>
      <c r="AN187" s="384">
        <f t="shared" si="533"/>
        <v>0</v>
      </c>
      <c r="AO187" s="384">
        <f t="shared" si="533"/>
        <v>0</v>
      </c>
      <c r="AP187" s="384">
        <f t="shared" si="533"/>
        <v>0</v>
      </c>
      <c r="AQ187" s="384"/>
      <c r="AR187" s="384">
        <f t="shared" si="533"/>
        <v>0</v>
      </c>
      <c r="AS187" s="384">
        <f t="shared" si="533"/>
        <v>0</v>
      </c>
      <c r="AT187" s="384">
        <f t="shared" si="533"/>
        <v>0</v>
      </c>
      <c r="AU187" s="384">
        <f t="shared" si="533"/>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C4A56-0293-4141-A4E6-7E533B32DA9A}">
  <sheetPr>
    <tabColor theme="4" tint="0.79998168889431442"/>
    <pageSetUpPr fitToPage="1"/>
  </sheetPr>
  <dimension ref="A1:AV67"/>
  <sheetViews>
    <sheetView showGridLines="0" zoomScaleNormal="100" workbookViewId="0">
      <pane xSplit="3" ySplit="5" topLeftCell="D6"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494" t="s">
        <v>249</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494" t="s">
        <v>211</v>
      </c>
      <c r="C5" s="495"/>
      <c r="D5" s="13"/>
      <c r="E5" s="13"/>
      <c r="F5" s="13"/>
      <c r="G5" s="258"/>
      <c r="H5" s="259"/>
      <c r="I5" s="258"/>
      <c r="J5" s="13"/>
      <c r="K5" s="13"/>
      <c r="L5" s="258"/>
      <c r="M5" s="259"/>
      <c r="N5" s="258"/>
      <c r="O5" s="13"/>
      <c r="P5" s="13"/>
      <c r="Q5" s="258"/>
      <c r="R5" s="259"/>
      <c r="S5" s="258"/>
      <c r="T5" s="13"/>
      <c r="U5" s="13"/>
      <c r="V5" s="15"/>
      <c r="W5" s="41"/>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486" t="s">
        <v>212</v>
      </c>
      <c r="C6" s="487"/>
      <c r="D6" s="16">
        <f>'CFS 3Q2022'!D41</f>
        <v>4761.6000000000004</v>
      </c>
      <c r="E6" s="16">
        <f>'CFS 3Q2022'!E41</f>
        <v>2055.1000000000004</v>
      </c>
      <c r="F6" s="16">
        <f>'CFS 3Q2022'!F41</f>
        <v>4763.4000000000015</v>
      </c>
      <c r="G6" s="101">
        <f>'CFS 3Q2022'!G41</f>
        <v>2686.6000000000022</v>
      </c>
      <c r="H6" s="17">
        <f>G6</f>
        <v>2686.6000000000022</v>
      </c>
      <c r="I6" s="16">
        <f>'CFS 3Q2022'!I41</f>
        <v>3040.5000000000036</v>
      </c>
      <c r="J6" s="16">
        <f>'CFS 3Q2022'!J41</f>
        <v>2572.3000000000029</v>
      </c>
      <c r="K6" s="16">
        <f>'CFS 3Q2022'!K41</f>
        <v>3965.9000000000042</v>
      </c>
      <c r="L6" s="101">
        <f>'CFS 3Q2022'!L41</f>
        <v>4350.900000000006</v>
      </c>
      <c r="M6" s="17">
        <f>L6</f>
        <v>4350.900000000006</v>
      </c>
      <c r="N6" s="16">
        <f>'CFS 3Q2022'!N41</f>
        <v>5028.00000000001</v>
      </c>
      <c r="O6" s="16">
        <f>'CFS 3Q2022'!O41</f>
        <v>3880.6000000000104</v>
      </c>
      <c r="P6" s="16">
        <f>'CFS 3Q2022'!P41</f>
        <v>4753.1000000000095</v>
      </c>
      <c r="Q6" s="16">
        <f>'CFS 3Q2022'!Q41</f>
        <v>6455.7000000000089</v>
      </c>
      <c r="R6" s="17">
        <f>Q6</f>
        <v>6455.7000000000089</v>
      </c>
      <c r="S6" s="16">
        <f>'CFS 3Q2022'!S41</f>
        <v>3969.4000000000078</v>
      </c>
      <c r="T6" s="16">
        <f>'CFS 3Q2022'!T41</f>
        <v>3913.4000000000083</v>
      </c>
      <c r="U6" s="16">
        <f>'CFS 3Q2022'!U41</f>
        <v>3177.5000000000073</v>
      </c>
      <c r="V6" s="16">
        <f>'CFS 3Q2022'!V41</f>
        <v>3252.6993448393941</v>
      </c>
      <c r="W6" s="17">
        <f>V6</f>
        <v>3252.6993448393941</v>
      </c>
      <c r="X6" s="16">
        <f>'CFS 3Q2022'!X41</f>
        <v>3666.0614043178766</v>
      </c>
      <c r="Y6" s="16">
        <f>'CFS 3Q2022'!Y41</f>
        <v>3161.9917292242617</v>
      </c>
      <c r="Z6" s="16">
        <f>'CFS 3Q2022'!Z41</f>
        <v>2920.316654778565</v>
      </c>
      <c r="AA6" s="16">
        <f>'CFS 3Q2022'!AA41</f>
        <v>3516.2664206510899</v>
      </c>
      <c r="AB6" s="17">
        <f>AA6</f>
        <v>3516.2664206510899</v>
      </c>
      <c r="AC6" s="16">
        <f>'CFS 3Q2022'!AC41</f>
        <v>4310.8334032023095</v>
      </c>
      <c r="AD6" s="16">
        <f>'CFS 3Q2022'!AD41</f>
        <v>4069.7974787335893</v>
      </c>
      <c r="AE6" s="16">
        <f>'CFS 3Q2022'!AE41</f>
        <v>4102.1196225674075</v>
      </c>
      <c r="AF6" s="16">
        <f>'CFS 3Q2022'!AF41</f>
        <v>4645.1767963144257</v>
      </c>
      <c r="AG6" s="17">
        <f>AF6</f>
        <v>4645.1767963144257</v>
      </c>
      <c r="AH6" s="16">
        <f>'CFS 3Q2022'!AH41</f>
        <v>5516.6280277849673</v>
      </c>
      <c r="AI6" s="16">
        <f>'CFS 3Q2022'!AI41</f>
        <v>5277.3461012798416</v>
      </c>
      <c r="AJ6" s="16">
        <f>'CFS 3Q2022'!AJ41</f>
        <v>5631.8755560345362</v>
      </c>
      <c r="AK6" s="16">
        <f>'CFS 3Q2022'!AK41</f>
        <v>1429.0310091872861</v>
      </c>
      <c r="AL6" s="17">
        <f>AK6</f>
        <v>1429.0310091872861</v>
      </c>
      <c r="AM6" s="16">
        <f>'CFS 3Q2022'!AM41</f>
        <v>2312.8869300984857</v>
      </c>
      <c r="AN6" s="16">
        <f>'CFS 3Q2022'!AN41</f>
        <v>1932.079440461963</v>
      </c>
      <c r="AO6" s="16">
        <f>'CFS 3Q2022'!AO41</f>
        <v>1982.4038353483024</v>
      </c>
      <c r="AP6" s="16">
        <f>'CFS 3Q2022'!AP41</f>
        <v>2708.5814669353776</v>
      </c>
      <c r="AQ6" s="17">
        <f>AP6</f>
        <v>2708.5814669353776</v>
      </c>
      <c r="AR6" s="16">
        <f>'CFS 3Q2022'!AR41</f>
        <v>3795.6241271793197</v>
      </c>
      <c r="AS6" s="16">
        <f>'CFS 3Q2022'!AS41</f>
        <v>3498.838612579716</v>
      </c>
      <c r="AT6" s="16">
        <f>'CFS 3Q2022'!AT41</f>
        <v>3673.1641628517177</v>
      </c>
      <c r="AU6" s="16">
        <f>'CFS 3Q2022'!AU41</f>
        <v>4472.886881030654</v>
      </c>
      <c r="AV6" s="17">
        <f>AU6</f>
        <v>4472.886881030654</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f>+V53*V42*V54</f>
        <v>95.500575647687469</v>
      </c>
      <c r="W7" s="17">
        <f>+V7</f>
        <v>95.500575647687469</v>
      </c>
      <c r="X7" s="16">
        <f>+X53*X42*X54</f>
        <v>86.242056600962172</v>
      </c>
      <c r="Y7" s="16">
        <f>+Y53*Y42*Y54</f>
        <v>85.562082668529058</v>
      </c>
      <c r="Z7" s="16">
        <f>+Z53*Z42*Z54</f>
        <v>88.660774598026492</v>
      </c>
      <c r="AA7" s="16">
        <f>+AA53*AA42*AA54</f>
        <v>91.78830759639655</v>
      </c>
      <c r="AB7" s="17">
        <f>+AA7</f>
        <v>91.78830759639655</v>
      </c>
      <c r="AC7" s="16">
        <f>+AC53*AC42*AC54</f>
        <v>93.031928044095721</v>
      </c>
      <c r="AD7" s="16">
        <f>+AD53*AD42*AD54</f>
        <v>93.146450070213703</v>
      </c>
      <c r="AE7" s="16">
        <f>+AE53*AE42*AE54</f>
        <v>95.54973383467123</v>
      </c>
      <c r="AF7" s="16">
        <f>+AF53*AF42*AF54</f>
        <v>96.963855341271696</v>
      </c>
      <c r="AG7" s="17">
        <f>+AF7</f>
        <v>96.963855341271696</v>
      </c>
      <c r="AH7" s="16">
        <f>+AH53*AH42*AH54</f>
        <v>100.35359594589841</v>
      </c>
      <c r="AI7" s="16">
        <f>+AI53*AI42*AI54</f>
        <v>100.41791707638792</v>
      </c>
      <c r="AJ7" s="16">
        <f>+AJ53*AJ42*AJ54</f>
        <v>103.97861862711942</v>
      </c>
      <c r="AK7" s="16">
        <f>+AK53*AK42*AK54</f>
        <v>89.808972588169809</v>
      </c>
      <c r="AL7" s="17">
        <f>+AK7</f>
        <v>89.808972588169809</v>
      </c>
      <c r="AM7" s="16">
        <f>+AM53*AM42*AM54</f>
        <v>93.360921409948361</v>
      </c>
      <c r="AN7" s="16">
        <f>+AN53*AN42*AN54</f>
        <v>92.867185429492167</v>
      </c>
      <c r="AO7" s="16">
        <f>+AO53*AO42*AO54</f>
        <v>95.592789803280638</v>
      </c>
      <c r="AP7" s="16">
        <f>+AP53*AP42*AP54</f>
        <v>96.882951011050437</v>
      </c>
      <c r="AQ7" s="17">
        <f>+AP7</f>
        <v>96.882951011050437</v>
      </c>
      <c r="AR7" s="16">
        <f>+AR53*AR42*AR54</f>
        <v>100.9697361643871</v>
      </c>
      <c r="AS7" s="16">
        <f>+AS53*AS42*AS54</f>
        <v>100.69315300889743</v>
      </c>
      <c r="AT7" s="16">
        <f>+AT53*AT42*AT54</f>
        <v>103.76813124953718</v>
      </c>
      <c r="AU7" s="16">
        <f>+AU53*AU42*AU54</f>
        <v>105.36414828582656</v>
      </c>
      <c r="AV7" s="17">
        <f>+AU7</f>
        <v>105.36414828582656</v>
      </c>
    </row>
    <row r="8" spans="1:48" s="23" customFormat="1" ht="14.55" customHeight="1" outlineLevel="1" x14ac:dyDescent="0.3">
      <c r="A8" s="161"/>
      <c r="B8" s="486" t="s">
        <v>214</v>
      </c>
      <c r="C8" s="487"/>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f>'IS 3Q2022'!V8/V47</f>
        <v>1064.1520072753249</v>
      </c>
      <c r="W8" s="17">
        <f>V8</f>
        <v>1064.1520072753249</v>
      </c>
      <c r="X8" s="16">
        <f>'IS 3Q2022'!X8/X47</f>
        <v>1119.7626094038656</v>
      </c>
      <c r="Y8" s="16">
        <f>'IS 3Q2022'!Y8/Y47</f>
        <v>1167.4042397194328</v>
      </c>
      <c r="Z8" s="16">
        <f>'IS 3Q2022'!Z8/Z47</f>
        <v>1369.713028487625</v>
      </c>
      <c r="AA8" s="16">
        <f>'IS 3Q2022'!AA8/AA47</f>
        <v>1201.0727677629843</v>
      </c>
      <c r="AB8" s="17">
        <f>AA8</f>
        <v>1201.0727677629843</v>
      </c>
      <c r="AC8" s="16">
        <f>'IS 3Q2022'!AC8/AC47</f>
        <v>1261.7487849685679</v>
      </c>
      <c r="AD8" s="16">
        <f>'IS 3Q2022'!AD8/AD47</f>
        <v>1233.6102679930627</v>
      </c>
      <c r="AE8" s="16">
        <f>'IS 3Q2022'!AE8/AE47</f>
        <v>1372.7604456345728</v>
      </c>
      <c r="AF8" s="16">
        <f>'IS 3Q2022'!AF8/AF47</f>
        <v>1278.6956910645613</v>
      </c>
      <c r="AG8" s="17">
        <f>AF8</f>
        <v>1278.6956910645613</v>
      </c>
      <c r="AH8" s="16">
        <f>'IS 3Q2022'!AH8/AH47</f>
        <v>1400.139003961182</v>
      </c>
      <c r="AI8" s="16">
        <f>'IS 3Q2022'!AI8/AI47</f>
        <v>1381.7201777106686</v>
      </c>
      <c r="AJ8" s="16">
        <f>'IS 3Q2022'!AJ8/AJ47</f>
        <v>1594.2135043198928</v>
      </c>
      <c r="AK8" s="16">
        <f>'IS 3Q2022'!AK8/AK47</f>
        <v>1463.4294840280752</v>
      </c>
      <c r="AL8" s="17">
        <f>AK8</f>
        <v>1463.4294840280752</v>
      </c>
      <c r="AM8" s="16">
        <f>'IS 3Q2022'!AM8/AM47</f>
        <v>1543.7879429319219</v>
      </c>
      <c r="AN8" s="16">
        <f>'IS 3Q2022'!AN8/AN47</f>
        <v>1525.8328187019108</v>
      </c>
      <c r="AO8" s="16">
        <f>'IS 3Q2022'!AO8/AO47</f>
        <v>1743.0225810365534</v>
      </c>
      <c r="AP8" s="16">
        <f>'IS 3Q2022'!AP8/AP47</f>
        <v>1583.5109827453898</v>
      </c>
      <c r="AQ8" s="17">
        <f>AP8</f>
        <v>1583.5109827453898</v>
      </c>
      <c r="AR8" s="16">
        <f>'IS 3Q2022'!AR8/AR47</f>
        <v>1644.4548002791869</v>
      </c>
      <c r="AS8" s="16">
        <f>'IS 3Q2022'!AS8/AS47</f>
        <v>1611.5568849281378</v>
      </c>
      <c r="AT8" s="16">
        <f>'IS 3Q2022'!AT8/AT47</f>
        <v>1826.2350509759381</v>
      </c>
      <c r="AU8" s="16">
        <f>'IS 3Q2022'!AU8/AU47</f>
        <v>1677.3204940394201</v>
      </c>
      <c r="AV8" s="17">
        <f>AU8</f>
        <v>1677.3204940394201</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f>'IS 3Q2022'!V9/V49</f>
        <v>1902.7231489483838</v>
      </c>
      <c r="W9" s="17">
        <f>V9</f>
        <v>1902.7231489483838</v>
      </c>
      <c r="X9" s="16">
        <f>'IS 3Q2022'!X9/X49</f>
        <v>1851.7543128163065</v>
      </c>
      <c r="Y9" s="16">
        <f>'IS 3Q2022'!Y9/Y49</f>
        <v>2050.098692430362</v>
      </c>
      <c r="Z9" s="16">
        <f>'IS 3Q2022'!Z9/Z49</f>
        <v>2468.761178454195</v>
      </c>
      <c r="AA9" s="16">
        <f>'IS 3Q2022'!AA9/AA49</f>
        <v>2089.9509848914354</v>
      </c>
      <c r="AB9" s="17">
        <f>AA9</f>
        <v>2089.9509848914354</v>
      </c>
      <c r="AC9" s="16">
        <f>'IS 3Q2022'!AC9/AC49</f>
        <v>2040.9283641953671</v>
      </c>
      <c r="AD9" s="16">
        <f>'IS 3Q2022'!AD9/AD49</f>
        <v>2218.2216910770321</v>
      </c>
      <c r="AE9" s="16">
        <f>'IS 3Q2022'!AE9/AE49</f>
        <v>2510.1533511914272</v>
      </c>
      <c r="AF9" s="16">
        <f>'IS 3Q2022'!AF9/AF49</f>
        <v>2274.2541110919333</v>
      </c>
      <c r="AG9" s="17">
        <f>AF9</f>
        <v>2274.2541110919333</v>
      </c>
      <c r="AH9" s="16">
        <f>'IS 3Q2022'!AH9/AH49</f>
        <v>2216.6583975654535</v>
      </c>
      <c r="AI9" s="16">
        <f>'IS 3Q2022'!AI9/AI49</f>
        <v>2462.5717169622926</v>
      </c>
      <c r="AJ9" s="16">
        <f>'IS 3Q2022'!AJ9/AJ49</f>
        <v>2864.6506782031915</v>
      </c>
      <c r="AK9" s="16">
        <f>'IS 3Q2022'!AK9/AK49</f>
        <v>2580.8801353842241</v>
      </c>
      <c r="AL9" s="17">
        <f>AK9</f>
        <v>2580.8801353842241</v>
      </c>
      <c r="AM9" s="16">
        <f>'IS 3Q2022'!AM9/AM49</f>
        <v>2451.986788126701</v>
      </c>
      <c r="AN9" s="16">
        <f>'IS 3Q2022'!AN9/AN49</f>
        <v>2674.4844780993444</v>
      </c>
      <c r="AO9" s="16">
        <f>'IS 3Q2022'!AO9/AO49</f>
        <v>3109.433722006007</v>
      </c>
      <c r="AP9" s="16">
        <f>'IS 3Q2022'!AP9/AP49</f>
        <v>2788.5324102113073</v>
      </c>
      <c r="AQ9" s="17">
        <f>AP9</f>
        <v>2788.5324102113073</v>
      </c>
      <c r="AR9" s="16">
        <f>'IS 3Q2022'!AR9/AR49</f>
        <v>2612.3786046199316</v>
      </c>
      <c r="AS9" s="16">
        <f>'IS 3Q2022'!AS9/AS49</f>
        <v>2846.5897264728869</v>
      </c>
      <c r="AT9" s="16">
        <f>'IS 3Q2022'!AT9/AT49</f>
        <v>3267.2061504761887</v>
      </c>
      <c r="AU9" s="16">
        <f>'IS 3Q2022'!AU9/AU49</f>
        <v>2950.2952697121123</v>
      </c>
      <c r="AV9" s="17">
        <f>AU9</f>
        <v>2950.2952697121123</v>
      </c>
    </row>
    <row r="10" spans="1:48" ht="16.2" customHeight="1" outlineLevel="1" x14ac:dyDescent="0.45">
      <c r="A10" s="161"/>
      <c r="B10" s="486" t="s">
        <v>216</v>
      </c>
      <c r="C10" s="487"/>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32">
        <f>U10*1.01</f>
        <v>539.44100000000003</v>
      </c>
      <c r="W10" s="261">
        <f>V10</f>
        <v>539.44100000000003</v>
      </c>
      <c r="X10" s="32">
        <f>V10*1.01</f>
        <v>544.83541000000002</v>
      </c>
      <c r="Y10" s="32">
        <f>X10*1.01</f>
        <v>550.28376409999998</v>
      </c>
      <c r="Z10" s="32">
        <f>Y10*1.01</f>
        <v>555.78660174100003</v>
      </c>
      <c r="AA10" s="32">
        <f>Z10*1.01</f>
        <v>561.34446775841002</v>
      </c>
      <c r="AB10" s="261">
        <f>AA10</f>
        <v>561.34446775841002</v>
      </c>
      <c r="AC10" s="32">
        <f>AA10*1.01</f>
        <v>566.9579124359941</v>
      </c>
      <c r="AD10" s="32">
        <f>AC10*1.01</f>
        <v>572.62749156035409</v>
      </c>
      <c r="AE10" s="32">
        <f>AD10*1.01</f>
        <v>578.35376647595763</v>
      </c>
      <c r="AF10" s="32">
        <f>AE10*1.01</f>
        <v>584.13730414071722</v>
      </c>
      <c r="AG10" s="261">
        <f>AF10</f>
        <v>584.13730414071722</v>
      </c>
      <c r="AH10" s="32">
        <f>AF10*1.01</f>
        <v>589.97867718212444</v>
      </c>
      <c r="AI10" s="32">
        <f>AH10*1.01</f>
        <v>595.8784639539457</v>
      </c>
      <c r="AJ10" s="32">
        <f>AI10*1.01</f>
        <v>601.83724859348513</v>
      </c>
      <c r="AK10" s="32">
        <f>AJ10*1.01</f>
        <v>607.85562107941996</v>
      </c>
      <c r="AL10" s="261">
        <f>AK10</f>
        <v>607.85562107941996</v>
      </c>
      <c r="AM10" s="32">
        <f>AK10*1.01</f>
        <v>613.93417729021417</v>
      </c>
      <c r="AN10" s="32">
        <f>AM10*1.01</f>
        <v>620.07351906311635</v>
      </c>
      <c r="AO10" s="32">
        <f>AN10*1.01</f>
        <v>626.27425425374747</v>
      </c>
      <c r="AP10" s="32">
        <f>AO10*1.01</f>
        <v>632.53699679628494</v>
      </c>
      <c r="AQ10" s="261">
        <f>AP10</f>
        <v>632.53699679628494</v>
      </c>
      <c r="AR10" s="32">
        <f>AP10*1.01</f>
        <v>638.86236676424778</v>
      </c>
      <c r="AS10" s="32">
        <f>AR10*1.01</f>
        <v>645.25099043189027</v>
      </c>
      <c r="AT10" s="32">
        <f>AS10*1.01</f>
        <v>651.70350033620923</v>
      </c>
      <c r="AU10" s="32">
        <f>AT10*1.01</f>
        <v>658.22053533957137</v>
      </c>
      <c r="AV10" s="261">
        <f>AU10</f>
        <v>658.22053533957137</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21">
        <f t="shared" si="0"/>
        <v>6854.51607671079</v>
      </c>
      <c r="W11" s="22">
        <f t="shared" si="0"/>
        <v>6854.51607671079</v>
      </c>
      <c r="X11" s="21">
        <f t="shared" si="0"/>
        <v>7268.6557931390107</v>
      </c>
      <c r="Y11" s="21">
        <f t="shared" si="0"/>
        <v>7015.3405081425853</v>
      </c>
      <c r="Z11" s="21">
        <f t="shared" si="0"/>
        <v>7403.2382380594108</v>
      </c>
      <c r="AA11" s="21">
        <f t="shared" si="0"/>
        <v>7460.4229486603163</v>
      </c>
      <c r="AB11" s="22">
        <f t="shared" si="0"/>
        <v>7460.4229486603163</v>
      </c>
      <c r="AC11" s="21">
        <f t="shared" si="0"/>
        <v>8273.5003928463339</v>
      </c>
      <c r="AD11" s="21">
        <f t="shared" si="0"/>
        <v>8187.4033794342522</v>
      </c>
      <c r="AE11" s="21">
        <f t="shared" si="0"/>
        <v>8658.936919704036</v>
      </c>
      <c r="AF11" s="21">
        <f t="shared" si="0"/>
        <v>8879.2277579529091</v>
      </c>
      <c r="AG11" s="22">
        <f t="shared" si="0"/>
        <v>8879.2277579529091</v>
      </c>
      <c r="AH11" s="21">
        <f t="shared" si="0"/>
        <v>9823.7577024396251</v>
      </c>
      <c r="AI11" s="21">
        <f t="shared" si="0"/>
        <v>9817.9343769831376</v>
      </c>
      <c r="AJ11" s="21">
        <f t="shared" si="0"/>
        <v>10796.555605778225</v>
      </c>
      <c r="AK11" s="21">
        <f t="shared" si="0"/>
        <v>6171.0052222671748</v>
      </c>
      <c r="AL11" s="22">
        <f t="shared" si="0"/>
        <v>6171.0052222671748</v>
      </c>
      <c r="AM11" s="21">
        <f t="shared" si="0"/>
        <v>7015.9567598572712</v>
      </c>
      <c r="AN11" s="21">
        <f t="shared" si="0"/>
        <v>6845.3374417558271</v>
      </c>
      <c r="AO11" s="21">
        <f t="shared" si="0"/>
        <v>7556.7271824478903</v>
      </c>
      <c r="AP11" s="21">
        <f t="shared" si="0"/>
        <v>7810.0448076994098</v>
      </c>
      <c r="AQ11" s="22">
        <f t="shared" si="0"/>
        <v>7810.0448076994098</v>
      </c>
      <c r="AR11" s="21">
        <f t="shared" si="0"/>
        <v>8792.2896350070732</v>
      </c>
      <c r="AS11" s="21">
        <f t="shared" si="0"/>
        <v>8702.9293674215278</v>
      </c>
      <c r="AT11" s="21">
        <f t="shared" si="0"/>
        <v>9522.0769958895889</v>
      </c>
      <c r="AU11" s="21">
        <f t="shared" si="0"/>
        <v>9864.0873284075842</v>
      </c>
      <c r="AV11" s="22">
        <f t="shared" si="0"/>
        <v>9864.0873284075842</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6">
        <f>+V53*V42*(1-V54)</f>
        <v>278.02542371047741</v>
      </c>
      <c r="W12" s="17">
        <f>+V12</f>
        <v>278.02542371047741</v>
      </c>
      <c r="X12" s="16">
        <f>+X53*X42*(1-X54)</f>
        <v>291.61142782659624</v>
      </c>
      <c r="Y12" s="16">
        <f>+Y53*Y42*(1-Y54)</f>
        <v>288.32841677541887</v>
      </c>
      <c r="Z12" s="16">
        <f>+Z53*Z42*(1-Z54)</f>
        <v>296.43020937574079</v>
      </c>
      <c r="AA12" s="16">
        <f>+AA53*AA42*(1-AA54)</f>
        <v>297.56128951698344</v>
      </c>
      <c r="AB12" s="17">
        <f>+AA12</f>
        <v>297.56128951698344</v>
      </c>
      <c r="AC12" s="16">
        <f>+AC53*AC42*(1-AC54)</f>
        <v>310.11128959656003</v>
      </c>
      <c r="AD12" s="16">
        <f>+AD53*AD42*(1-AD54)</f>
        <v>309.39217752915346</v>
      </c>
      <c r="AE12" s="16">
        <f>+AE53*AE42*(1-AE54)</f>
        <v>316.23818080957267</v>
      </c>
      <c r="AF12" s="16">
        <f>+AF53*AF42*(1-AF54)</f>
        <v>320.10827883374321</v>
      </c>
      <c r="AG12" s="17">
        <f>+AF12</f>
        <v>320.10827883374321</v>
      </c>
      <c r="AH12" s="16">
        <f>+AH53*AH42*(1-AH54)</f>
        <v>332.81775730189372</v>
      </c>
      <c r="AI12" s="16">
        <f>+AI53*AI42*(1-AI54)</f>
        <v>332.6080089633229</v>
      </c>
      <c r="AJ12" s="16">
        <f>+AJ53*AJ42*(1-AJ54)</f>
        <v>344.16003971778889</v>
      </c>
      <c r="AK12" s="16">
        <f>+AK53*AK42*(1-AK54)</f>
        <v>297.26516715823942</v>
      </c>
      <c r="AL12" s="17">
        <f>+AK12</f>
        <v>297.26516715823942</v>
      </c>
      <c r="AM12" s="16">
        <f>+AM53*AM42*(1-AM54)</f>
        <v>309.22456622626248</v>
      </c>
      <c r="AN12" s="16">
        <f>+AN53*AN42*(1-AN54)</f>
        <v>307.48931702292919</v>
      </c>
      <c r="AO12" s="16">
        <f>+AO53*AO42*(1-AO54)</f>
        <v>316.48596329992972</v>
      </c>
      <c r="AP12" s="16">
        <f>+AP53*AP42*(1-AP54)</f>
        <v>320.77824513471012</v>
      </c>
      <c r="AQ12" s="17">
        <f>+AP12</f>
        <v>320.77824513471012</v>
      </c>
      <c r="AR12" s="16">
        <f>+AR53*AR42*(1-AR54)</f>
        <v>334.33518747174469</v>
      </c>
      <c r="AS12" s="16">
        <f>+AS53*AS42*(1-AS54)</f>
        <v>333.39670981223719</v>
      </c>
      <c r="AT12" s="16">
        <f>+AT53*AT42*(1-AT54)</f>
        <v>343.57675244401321</v>
      </c>
      <c r="AU12" s="16">
        <f>+AU53*AU42*(1-AU54)</f>
        <v>348.8672888651912</v>
      </c>
      <c r="AV12" s="17">
        <f>+AU12</f>
        <v>348.8672888651912</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33">
        <f>U13</f>
        <v>302.7</v>
      </c>
      <c r="W13" s="17">
        <f>+V13</f>
        <v>302.7</v>
      </c>
      <c r="X13" s="33">
        <f>V13</f>
        <v>302.7</v>
      </c>
      <c r="Y13" s="33">
        <f>X13</f>
        <v>302.7</v>
      </c>
      <c r="Z13" s="33">
        <f>Y13</f>
        <v>302.7</v>
      </c>
      <c r="AA13" s="33">
        <f>Z13</f>
        <v>302.7</v>
      </c>
      <c r="AB13" s="17">
        <f>+AA13</f>
        <v>302.7</v>
      </c>
      <c r="AC13" s="33">
        <f>AA13</f>
        <v>302.7</v>
      </c>
      <c r="AD13" s="33">
        <f>AC13</f>
        <v>302.7</v>
      </c>
      <c r="AE13" s="33">
        <f>AD13</f>
        <v>302.7</v>
      </c>
      <c r="AF13" s="33">
        <f>AE13</f>
        <v>302.7</v>
      </c>
      <c r="AG13" s="17">
        <f>+AF13</f>
        <v>302.7</v>
      </c>
      <c r="AH13" s="33">
        <f>AF13</f>
        <v>302.7</v>
      </c>
      <c r="AI13" s="33">
        <f>AH13</f>
        <v>302.7</v>
      </c>
      <c r="AJ13" s="33">
        <f>AI13</f>
        <v>302.7</v>
      </c>
      <c r="AK13" s="33">
        <f>AJ13</f>
        <v>302.7</v>
      </c>
      <c r="AL13" s="17">
        <f>+AK13</f>
        <v>302.7</v>
      </c>
      <c r="AM13" s="33">
        <f>AK13</f>
        <v>302.7</v>
      </c>
      <c r="AN13" s="33">
        <f>AM13</f>
        <v>302.7</v>
      </c>
      <c r="AO13" s="33">
        <f>AN13</f>
        <v>302.7</v>
      </c>
      <c r="AP13" s="33">
        <f>AO13</f>
        <v>302.7</v>
      </c>
      <c r="AQ13" s="17">
        <f>+AP13</f>
        <v>302.7</v>
      </c>
      <c r="AR13" s="33">
        <f>AP13</f>
        <v>302.7</v>
      </c>
      <c r="AS13" s="33">
        <f>AR13</f>
        <v>302.7</v>
      </c>
      <c r="AT13" s="33">
        <f>AS13</f>
        <v>302.7</v>
      </c>
      <c r="AU13" s="33">
        <f>AT13</f>
        <v>302.7</v>
      </c>
      <c r="AV13" s="17">
        <f>+AU13</f>
        <v>302.7</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6">
        <f>+U14-'CFS 3Q2022'!V25-'CFS 3Q2022'!V7</f>
        <v>6507.1394525996957</v>
      </c>
      <c r="W14" s="17">
        <f>+V14</f>
        <v>6507.1394525996957</v>
      </c>
      <c r="X14" s="16">
        <f>+V14-'CFS 3Q2022'!X25-'CFS 3Q2022'!X7</f>
        <v>6780.7260565265406</v>
      </c>
      <c r="Y14" s="16">
        <f>+X14-'CFS 3Q2022'!Y25-'CFS 3Q2022'!Y7</f>
        <v>7016.1560894579852</v>
      </c>
      <c r="Z14" s="16">
        <f>+Y14-'CFS 3Q2022'!Z25-'CFS 3Q2022'!Z7</f>
        <v>7299.0075363328833</v>
      </c>
      <c r="AA14" s="16">
        <f>+Z14-'CFS 3Q2022'!AA25-'CFS 3Q2022'!AA7</f>
        <v>7580.8951646104424</v>
      </c>
      <c r="AB14" s="17">
        <f>+AA14</f>
        <v>7580.8951646104424</v>
      </c>
      <c r="AC14" s="16">
        <f>+AA14-'CFS 3Q2022'!AC25-'CFS 3Q2022'!AC7</f>
        <v>7800.4449198549983</v>
      </c>
      <c r="AD14" s="16">
        <f>+AC14-'CFS 3Q2022'!AD25-'CFS 3Q2022'!AD7</f>
        <v>7969.5478596672592</v>
      </c>
      <c r="AE14" s="16">
        <f>+AD14-'CFS 3Q2022'!AE25-'CFS 3Q2022'!AE7</f>
        <v>8190.1467735439346</v>
      </c>
      <c r="AF14" s="16">
        <f>+AE14-'CFS 3Q2022'!AF25-'CFS 3Q2022'!AF7</f>
        <v>8415.5239461671899</v>
      </c>
      <c r="AG14" s="17">
        <f>+AF14</f>
        <v>8415.5239461671899</v>
      </c>
      <c r="AH14" s="16">
        <f>+AF14-'CFS 3Q2022'!AH25-'CFS 3Q2022'!AH7</f>
        <v>8584.1819556512837</v>
      </c>
      <c r="AI14" s="16">
        <f>+AH14-'CFS 3Q2022'!AI25-'CFS 3Q2022'!AI7</f>
        <v>8705.037793615953</v>
      </c>
      <c r="AJ14" s="16">
        <f>+AI14-'CFS 3Q2022'!AJ25-'CFS 3Q2022'!AJ7</f>
        <v>8880.6614981465318</v>
      </c>
      <c r="AK14" s="16">
        <f>+AJ14-'CFS 3Q2022'!AK25-'CFS 3Q2022'!AK7</f>
        <v>9065.3007271530441</v>
      </c>
      <c r="AL14" s="17">
        <f>+AK14</f>
        <v>9065.3007271530441</v>
      </c>
      <c r="AM14" s="16">
        <f>+AK14-'CFS 3Q2022'!AM25-'CFS 3Q2022'!AM7</f>
        <v>9262.550018025262</v>
      </c>
      <c r="AN14" s="16">
        <f>+AM14-'CFS 3Q2022'!AN25-'CFS 3Q2022'!AN7</f>
        <v>9402.92272851298</v>
      </c>
      <c r="AO14" s="16">
        <f>+AN14-'CFS 3Q2022'!AO25-'CFS 3Q2022'!AO7</f>
        <v>9599.925533051779</v>
      </c>
      <c r="AP14" s="16">
        <f>+AO14-'CFS 3Q2022'!AP25-'CFS 3Q2022'!AP7</f>
        <v>9804.0612761365082</v>
      </c>
      <c r="AQ14" s="17">
        <f>+AP14</f>
        <v>9804.0612761365082</v>
      </c>
      <c r="AR14" s="16">
        <f>+AP14-'CFS 3Q2022'!AR25-'CFS 3Q2022'!AR7</f>
        <v>10005.085738616126</v>
      </c>
      <c r="AS14" s="16">
        <f>+AR14-'CFS 3Q2022'!AS25-'CFS 3Q2022'!AS7</f>
        <v>10145.542476662295</v>
      </c>
      <c r="AT14" s="16">
        <f>+AS14-'CFS 3Q2022'!AT25-'CFS 3Q2022'!AT7</f>
        <v>10346.640321566085</v>
      </c>
      <c r="AU14" s="16">
        <f>+AT14-'CFS 3Q2022'!AU25-'CFS 3Q2022'!AU7</f>
        <v>10556.081551132092</v>
      </c>
      <c r="AV14" s="17">
        <f>+AU14</f>
        <v>10556.081551132092</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33">
        <f>U15*0.996</f>
        <v>8004.9516000000003</v>
      </c>
      <c r="W15" s="17">
        <f>V15</f>
        <v>8004.9516000000003</v>
      </c>
      <c r="X15" s="33">
        <f>V15*0.996</f>
        <v>7972.9317936000007</v>
      </c>
      <c r="Y15" s="33">
        <f>X15*0.996</f>
        <v>7941.0400664256003</v>
      </c>
      <c r="Z15" s="33">
        <f>Y15*0.996</f>
        <v>7909.2759061598981</v>
      </c>
      <c r="AA15" s="33">
        <f>Z15*0.996</f>
        <v>7877.6388025352589</v>
      </c>
      <c r="AB15" s="17">
        <f>AA15</f>
        <v>7877.6388025352589</v>
      </c>
      <c r="AC15" s="33">
        <f>AA15*0.996</f>
        <v>7846.1282473251176</v>
      </c>
      <c r="AD15" s="33">
        <f>AC15*0.996</f>
        <v>7814.743734335817</v>
      </c>
      <c r="AE15" s="33">
        <f>AD15*0.996</f>
        <v>7783.4847593984732</v>
      </c>
      <c r="AF15" s="33">
        <f>AE15*0.996</f>
        <v>7752.350820360879</v>
      </c>
      <c r="AG15" s="17">
        <f>AF15</f>
        <v>7752.350820360879</v>
      </c>
      <c r="AH15" s="33">
        <f>AF15*0.996</f>
        <v>7721.3414170794358</v>
      </c>
      <c r="AI15" s="33">
        <f>AH15*0.996</f>
        <v>7690.4560514111181</v>
      </c>
      <c r="AJ15" s="33">
        <f>AI15*0.996</f>
        <v>7659.6942272054739</v>
      </c>
      <c r="AK15" s="33">
        <f>AJ15*0.996</f>
        <v>7629.0554502966515</v>
      </c>
      <c r="AL15" s="17">
        <f>AK15</f>
        <v>7629.0554502966515</v>
      </c>
      <c r="AM15" s="33">
        <f>AK15*0.996</f>
        <v>7598.5392284954651</v>
      </c>
      <c r="AN15" s="33">
        <f>AM15*0.996</f>
        <v>7568.1450715814835</v>
      </c>
      <c r="AO15" s="33">
        <f>AN15*0.996</f>
        <v>7537.8724912951575</v>
      </c>
      <c r="AP15" s="33">
        <f>AO15*0.996</f>
        <v>7507.7210013299764</v>
      </c>
      <c r="AQ15" s="17">
        <f>AP15</f>
        <v>7507.7210013299764</v>
      </c>
      <c r="AR15" s="33">
        <f>AP15*0.996</f>
        <v>7477.6901173246561</v>
      </c>
      <c r="AS15" s="33">
        <f>AR15*0.996</f>
        <v>7447.779356855357</v>
      </c>
      <c r="AT15" s="33">
        <f>AS15*0.996</f>
        <v>7417.9882394279357</v>
      </c>
      <c r="AU15" s="33">
        <f>AT15*0.996</f>
        <v>7388.3162864702235</v>
      </c>
      <c r="AV15" s="17">
        <f>AU15</f>
        <v>7388.3162864702235</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f>V55*(V27+V33)</f>
        <v>1781.9610885551483</v>
      </c>
      <c r="W16" s="169">
        <f>+V16</f>
        <v>1781.9610885551483</v>
      </c>
      <c r="X16" s="101">
        <f>X55*(X27+X33)</f>
        <v>1867.4297992146699</v>
      </c>
      <c r="Y16" s="101">
        <f>Y55*(Y27+Y33)</f>
        <v>1790.8144471711594</v>
      </c>
      <c r="Z16" s="101">
        <f>Z55*(Z27+Z33)</f>
        <v>1777.3703618915845</v>
      </c>
      <c r="AA16" s="101">
        <f>AA55*(AA27+AA33)</f>
        <v>1771.5734908146667</v>
      </c>
      <c r="AB16" s="169">
        <f>+AA16</f>
        <v>1771.5734908146667</v>
      </c>
      <c r="AC16" s="101">
        <f>AC55*(AC27+AC33)</f>
        <v>1883.3755386589005</v>
      </c>
      <c r="AD16" s="101">
        <f>AD55*(AD27+AD33)</f>
        <v>1797.8999998333529</v>
      </c>
      <c r="AE16" s="101">
        <f>AE55*(AE27+AE33)</f>
        <v>1786.6340444524201</v>
      </c>
      <c r="AF16" s="101">
        <f>AF55*(AF27+AF33)</f>
        <v>1776.0422144755937</v>
      </c>
      <c r="AG16" s="169">
        <f>+AF16</f>
        <v>1776.0422144755937</v>
      </c>
      <c r="AH16" s="101">
        <f>AH55*(AH27+AH33)</f>
        <v>1901.0967453881703</v>
      </c>
      <c r="AI16" s="101">
        <f>AI55*(AI27+AI33)</f>
        <v>1808.6186750465192</v>
      </c>
      <c r="AJ16" s="101">
        <f>AJ55*(AJ27+AJ33)</f>
        <v>1797.1689793504727</v>
      </c>
      <c r="AK16" s="101">
        <f>AK55*(AK27+AK33)</f>
        <v>1785.8148126834899</v>
      </c>
      <c r="AL16" s="169">
        <f>+AK16</f>
        <v>1785.8148126834899</v>
      </c>
      <c r="AM16" s="101">
        <f>AM55*(AM27+AM33)</f>
        <v>1922.4879994793748</v>
      </c>
      <c r="AN16" s="101">
        <f>AN55*(AN27+AN33)</f>
        <v>1822.8715630117917</v>
      </c>
      <c r="AO16" s="101">
        <f>AO55*(AO27+AO33)</f>
        <v>1811.1237842583951</v>
      </c>
      <c r="AP16" s="101">
        <f>AP55*(AP27+AP33)</f>
        <v>1799.4549469665769</v>
      </c>
      <c r="AQ16" s="169">
        <f>+AP16</f>
        <v>1799.4549469665769</v>
      </c>
      <c r="AR16" s="101">
        <f>AR55*(AR27+AR33)</f>
        <v>1948.2320195489522</v>
      </c>
      <c r="AS16" s="101">
        <f>AS55*(AS27+AS33)</f>
        <v>1840.9816660405222</v>
      </c>
      <c r="AT16" s="101">
        <f>AT55*(AT27+AT33)</f>
        <v>1828.9187893622116</v>
      </c>
      <c r="AU16" s="101">
        <f>AU55*(AU27+AU33)</f>
        <v>1816.9434358010662</v>
      </c>
      <c r="AV16" s="17">
        <f>+AU16</f>
        <v>1816.9434358010662</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33">
        <f>+U17*(V42/U42)</f>
        <v>637.25664391916609</v>
      </c>
      <c r="W17" s="17">
        <f>+V17</f>
        <v>637.25664391916609</v>
      </c>
      <c r="X17" s="33">
        <f>+V17*(X42/V42)</f>
        <v>654.48271963938782</v>
      </c>
      <c r="Y17" s="33">
        <f>+X17*(Y42/X42)</f>
        <v>651.14252556768281</v>
      </c>
      <c r="Z17" s="33">
        <f>+Y17*(Z42/Y42)</f>
        <v>665.6018922691344</v>
      </c>
      <c r="AA17" s="33">
        <f>+Z17*(AA42/Z42)</f>
        <v>672.38045887251747</v>
      </c>
      <c r="AB17" s="17">
        <f>+AA17</f>
        <v>672.38045887251747</v>
      </c>
      <c r="AC17" s="33">
        <f>+AA17*(AC42/AA42)</f>
        <v>698.33733976312487</v>
      </c>
      <c r="AD17" s="33">
        <f>+AC17*(AD42/AC42)</f>
        <v>697.30255539165535</v>
      </c>
      <c r="AE17" s="33">
        <f>+AD17*(AE42/AD42)</f>
        <v>712.37674854059139</v>
      </c>
      <c r="AF17" s="33">
        <f>+AE17*(AF42/AE42)</f>
        <v>721.67822654359713</v>
      </c>
      <c r="AG17" s="17">
        <f>+AF17</f>
        <v>721.67822654359713</v>
      </c>
      <c r="AH17" s="33">
        <f>+AF17*(AH42/AF42)</f>
        <v>749.90575989461536</v>
      </c>
      <c r="AI17" s="33">
        <f>+AH17*(AI42/AH42)</f>
        <v>749.54230248262093</v>
      </c>
      <c r="AJ17" s="33">
        <f>+AI17*(AJ42/AI42)</f>
        <v>775.55363378429627</v>
      </c>
      <c r="AK17" s="33">
        <f>+AJ17*(AK42/AJ42)</f>
        <v>669.93769747455985</v>
      </c>
      <c r="AL17" s="17">
        <f>+AK17</f>
        <v>669.93769747455985</v>
      </c>
      <c r="AM17" s="33">
        <f>+AK17*(AM42/AK42)</f>
        <v>696.82758782045744</v>
      </c>
      <c r="AN17" s="33">
        <f>+AM17*(AN42/AM42)</f>
        <v>692.93767506272286</v>
      </c>
      <c r="AO17" s="33">
        <f>+AN17*(AO42/AN42)</f>
        <v>713.21221217273751</v>
      </c>
      <c r="AP17" s="33">
        <f>+AO17*(AP42/AO42)</f>
        <v>722.89039908877464</v>
      </c>
      <c r="AQ17" s="17">
        <f>+AP17</f>
        <v>722.89039908877464</v>
      </c>
      <c r="AR17" s="33">
        <f>+AP17*(AR42/AP42)</f>
        <v>753.43176405851148</v>
      </c>
      <c r="AS17" s="33">
        <f>+AR17*(AS42/AR42)</f>
        <v>751.32142202994817</v>
      </c>
      <c r="AT17" s="33">
        <f>+AS17*(AT42/AS42)</f>
        <v>774.26265497279223</v>
      </c>
      <c r="AU17" s="33">
        <f>+AT17*(AU42/AT42)</f>
        <v>786.18517197258427</v>
      </c>
      <c r="AV17" s="17">
        <f>+AU17</f>
        <v>786.18517197258427</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33">
        <f>+U18*0.92</f>
        <v>187.12800000000001</v>
      </c>
      <c r="W18" s="17">
        <f>+V18</f>
        <v>187.12800000000001</v>
      </c>
      <c r="X18" s="33">
        <f>+V18*0.92</f>
        <v>172.15776000000002</v>
      </c>
      <c r="Y18" s="33">
        <f>+X18*0.92</f>
        <v>158.38513920000003</v>
      </c>
      <c r="Z18" s="33">
        <f>+Y18*0.92</f>
        <v>145.71432806400003</v>
      </c>
      <c r="AA18" s="33">
        <f>+Z18*0.92</f>
        <v>134.05718181888003</v>
      </c>
      <c r="AB18" s="17">
        <f>+AA18</f>
        <v>134.05718181888003</v>
      </c>
      <c r="AC18" s="33">
        <f>+AA18*0.92</f>
        <v>123.33260727336963</v>
      </c>
      <c r="AD18" s="33">
        <f>+AC18*0.92</f>
        <v>113.46599869150006</v>
      </c>
      <c r="AE18" s="33">
        <f>+AD18*0.92</f>
        <v>104.38871879618006</v>
      </c>
      <c r="AF18" s="33">
        <f>+AE18*0.92</f>
        <v>96.037621292485653</v>
      </c>
      <c r="AG18" s="17">
        <f>+AF18</f>
        <v>96.037621292485653</v>
      </c>
      <c r="AH18" s="33">
        <f>+AF18*0.92</f>
        <v>88.354611589086801</v>
      </c>
      <c r="AI18" s="33">
        <f>+AH18*0.92</f>
        <v>81.286242661959861</v>
      </c>
      <c r="AJ18" s="33">
        <f>+AI18*0.92</f>
        <v>74.783343249003082</v>
      </c>
      <c r="AK18" s="33">
        <f>+AJ18*0.92</f>
        <v>68.800675789082831</v>
      </c>
      <c r="AL18" s="17">
        <f>+AK18</f>
        <v>68.800675789082831</v>
      </c>
      <c r="AM18" s="33">
        <f>+AK18*0.92</f>
        <v>63.296621725956207</v>
      </c>
      <c r="AN18" s="33">
        <f>+AM18*0.92</f>
        <v>58.232891987879711</v>
      </c>
      <c r="AO18" s="33">
        <f>+AN18*0.92</f>
        <v>53.574260628849338</v>
      </c>
      <c r="AP18" s="33">
        <f>+AO18*0.92</f>
        <v>49.288319778541393</v>
      </c>
      <c r="AQ18" s="17">
        <f>+AP18</f>
        <v>49.288319778541393</v>
      </c>
      <c r="AR18" s="33">
        <f>+AP18*0.92</f>
        <v>45.345254196258082</v>
      </c>
      <c r="AS18" s="33">
        <f>+AR18*0.92</f>
        <v>41.717633860557434</v>
      </c>
      <c r="AT18" s="33">
        <f>+AS18*0.92</f>
        <v>38.38022315171284</v>
      </c>
      <c r="AU18" s="33">
        <f>+AT18*0.92</f>
        <v>35.309805299575814</v>
      </c>
      <c r="AV18" s="17">
        <f>+AU18</f>
        <v>35.309805299575814</v>
      </c>
    </row>
    <row r="19" spans="1:48" ht="16.2" outlineLevel="1" x14ac:dyDescent="0.45">
      <c r="A19" s="161"/>
      <c r="B19" s="486" t="s">
        <v>225</v>
      </c>
      <c r="C19" s="487"/>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32">
        <f>+U19</f>
        <v>3451.2</v>
      </c>
      <c r="W19" s="261">
        <f>V19</f>
        <v>3451.2</v>
      </c>
      <c r="X19" s="32">
        <f>+V19</f>
        <v>3451.2</v>
      </c>
      <c r="Y19" s="32">
        <f>+X19</f>
        <v>3451.2</v>
      </c>
      <c r="Z19" s="32">
        <f>+Y19</f>
        <v>3451.2</v>
      </c>
      <c r="AA19" s="32">
        <f>+Z19</f>
        <v>3451.2</v>
      </c>
      <c r="AB19" s="261">
        <f>AA19</f>
        <v>3451.2</v>
      </c>
      <c r="AC19" s="32">
        <f>+AA19</f>
        <v>3451.2</v>
      </c>
      <c r="AD19" s="32">
        <f>+AC19</f>
        <v>3451.2</v>
      </c>
      <c r="AE19" s="32">
        <f>+AD19</f>
        <v>3451.2</v>
      </c>
      <c r="AF19" s="32">
        <f>+AE19</f>
        <v>3451.2</v>
      </c>
      <c r="AG19" s="261">
        <f>AF19</f>
        <v>3451.2</v>
      </c>
      <c r="AH19" s="32">
        <f>+AF19</f>
        <v>3451.2</v>
      </c>
      <c r="AI19" s="32">
        <f>+AH19</f>
        <v>3451.2</v>
      </c>
      <c r="AJ19" s="32">
        <f>+AI19</f>
        <v>3451.2</v>
      </c>
      <c r="AK19" s="32">
        <f>+AJ19</f>
        <v>3451.2</v>
      </c>
      <c r="AL19" s="261">
        <f>AK19</f>
        <v>3451.2</v>
      </c>
      <c r="AM19" s="32">
        <f>+AK19</f>
        <v>3451.2</v>
      </c>
      <c r="AN19" s="32">
        <f>+AM19</f>
        <v>3451.2</v>
      </c>
      <c r="AO19" s="32">
        <f>+AN19</f>
        <v>3451.2</v>
      </c>
      <c r="AP19" s="32">
        <f>+AO19</f>
        <v>3451.2</v>
      </c>
      <c r="AQ19" s="261">
        <f>AP19</f>
        <v>3451.2</v>
      </c>
      <c r="AR19" s="32">
        <f>+AP19</f>
        <v>3451.2</v>
      </c>
      <c r="AS19" s="32">
        <f>+AR19</f>
        <v>3451.2</v>
      </c>
      <c r="AT19" s="32">
        <f>+AS19</f>
        <v>3451.2</v>
      </c>
      <c r="AU19" s="32">
        <f>+AT19</f>
        <v>3451.2</v>
      </c>
      <c r="AV19" s="261">
        <f>AU19</f>
        <v>3451.2</v>
      </c>
    </row>
    <row r="20" spans="1:48" outlineLevel="1" x14ac:dyDescent="0.3">
      <c r="A20" s="161"/>
      <c r="B20" s="525" t="s">
        <v>226</v>
      </c>
      <c r="C20" s="526"/>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28004.878285495277</v>
      </c>
      <c r="W20" s="22">
        <f t="shared" si="2"/>
        <v>28004.878285495277</v>
      </c>
      <c r="X20" s="21">
        <f t="shared" si="2"/>
        <v>28761.895349946208</v>
      </c>
      <c r="Y20" s="21">
        <f t="shared" si="2"/>
        <v>28615.107192740434</v>
      </c>
      <c r="Z20" s="21">
        <f t="shared" si="2"/>
        <v>29250.538472152653</v>
      </c>
      <c r="AA20" s="21">
        <f t="shared" si="2"/>
        <v>29548.429336829064</v>
      </c>
      <c r="AB20" s="22">
        <f t="shared" si="2"/>
        <v>29548.429336829064</v>
      </c>
      <c r="AC20" s="21">
        <f t="shared" si="2"/>
        <v>30689.130335318408</v>
      </c>
      <c r="AD20" s="21">
        <f t="shared" si="2"/>
        <v>30643.655704882993</v>
      </c>
      <c r="AE20" s="21">
        <f t="shared" si="2"/>
        <v>31306.106145245212</v>
      </c>
      <c r="AF20" s="21">
        <f t="shared" si="2"/>
        <v>31714.868865626398</v>
      </c>
      <c r="AG20" s="22">
        <f t="shared" si="2"/>
        <v>31714.868865626398</v>
      </c>
      <c r="AH20" s="21">
        <f t="shared" si="2"/>
        <v>32955.355949344113</v>
      </c>
      <c r="AI20" s="21">
        <f t="shared" si="2"/>
        <v>32939.383451164635</v>
      </c>
      <c r="AJ20" s="21">
        <f t="shared" si="2"/>
        <v>34082.477327231791</v>
      </c>
      <c r="AK20" s="21">
        <f t="shared" si="2"/>
        <v>29441.079752822247</v>
      </c>
      <c r="AL20" s="22">
        <f t="shared" si="2"/>
        <v>29441.079752822247</v>
      </c>
      <c r="AM20" s="21">
        <f t="shared" si="2"/>
        <v>30622.782781630049</v>
      </c>
      <c r="AN20" s="21">
        <f t="shared" si="2"/>
        <v>30451.836688935611</v>
      </c>
      <c r="AO20" s="21">
        <f t="shared" si="2"/>
        <v>31342.821427154737</v>
      </c>
      <c r="AP20" s="21">
        <f t="shared" si="2"/>
        <v>31768.138996134498</v>
      </c>
      <c r="AQ20" s="22">
        <f t="shared" si="2"/>
        <v>31768.138996134498</v>
      </c>
      <c r="AR20" s="21">
        <f t="shared" si="2"/>
        <v>33110.309716223317</v>
      </c>
      <c r="AS20" s="21">
        <f t="shared" si="2"/>
        <v>33017.568632682443</v>
      </c>
      <c r="AT20" s="21">
        <f t="shared" si="2"/>
        <v>34025.743976814338</v>
      </c>
      <c r="AU20" s="21">
        <f t="shared" si="2"/>
        <v>34549.690867948317</v>
      </c>
      <c r="AV20" s="22">
        <f t="shared" si="2"/>
        <v>34549.690867948317</v>
      </c>
    </row>
    <row r="21" spans="1:48" ht="17.399999999999999" x14ac:dyDescent="0.45">
      <c r="A21" s="161"/>
      <c r="B21" s="494" t="s">
        <v>227</v>
      </c>
      <c r="C21" s="495"/>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2" t="s">
        <v>25</v>
      </c>
      <c r="W21" s="42" t="s">
        <v>26</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486" t="s">
        <v>228</v>
      </c>
      <c r="C22" s="487"/>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f>('IS 3Q2022'!V9/V51)</f>
        <v>1378.0521345442075</v>
      </c>
      <c r="W22" s="169">
        <f t="shared" ref="W22:W29" si="6">V22</f>
        <v>1378.0521345442075</v>
      </c>
      <c r="X22" s="101">
        <f>('IS 3Q2022'!X9/X51)</f>
        <v>1403.0668994410348</v>
      </c>
      <c r="Y22" s="101">
        <f>('IS 3Q2022'!Y9/Y51)</f>
        <v>1399.2335826901353</v>
      </c>
      <c r="Z22" s="101">
        <f>('IS 3Q2022'!Z9/Z51)</f>
        <v>1629.2319194841502</v>
      </c>
      <c r="AA22" s="101">
        <f>('IS 3Q2022'!AA9/AA51)</f>
        <v>1479.9548914419597</v>
      </c>
      <c r="AB22" s="169">
        <f t="shared" ref="AB22:AB29" si="7">AA22</f>
        <v>1479.9548914419597</v>
      </c>
      <c r="AC22" s="101">
        <f>('IS 3Q2022'!AC9/AC51)</f>
        <v>1537.1799019893897</v>
      </c>
      <c r="AD22" s="101">
        <f>('IS 3Q2022'!AD9/AD51)</f>
        <v>1524.7999020032589</v>
      </c>
      <c r="AE22" s="101">
        <f>('IS 3Q2022'!AE9/AE51)</f>
        <v>1747.7690209802097</v>
      </c>
      <c r="AF22" s="101">
        <f>('IS 3Q2022'!AF9/AF51)</f>
        <v>1659.2382621055442</v>
      </c>
      <c r="AG22" s="169">
        <f t="shared" ref="AG22:AG29" si="8">AF22</f>
        <v>1659.2382621055442</v>
      </c>
      <c r="AH22" s="101">
        <f>('IS 3Q2022'!AH9/AH51)</f>
        <v>1698.1885458658935</v>
      </c>
      <c r="AI22" s="101">
        <f>('IS 3Q2022'!AI9/AI51)</f>
        <v>1692.7492627589445</v>
      </c>
      <c r="AJ22" s="101">
        <f>('IS 3Q2022'!AJ9/AJ51)</f>
        <v>1961.7658455189151</v>
      </c>
      <c r="AK22" s="101">
        <f>('IS 3Q2022'!AK9/AK51)</f>
        <v>1859.8570077634258</v>
      </c>
      <c r="AL22" s="169">
        <f t="shared" ref="AL22:AL29" si="9">AK22</f>
        <v>1859.8570077634258</v>
      </c>
      <c r="AM22" s="101">
        <f>('IS 3Q2022'!AM9/AM51)</f>
        <v>1861.0416955112685</v>
      </c>
      <c r="AN22" s="101">
        <f>('IS 3Q2022'!AN9/AN51)</f>
        <v>1834.0362204097876</v>
      </c>
      <c r="AO22" s="101">
        <f>('IS 3Q2022'!AO9/AO51)</f>
        <v>2115.7322841733671</v>
      </c>
      <c r="AP22" s="101">
        <f>('IS 3Q2022'!AP9/AP51)</f>
        <v>2006.2059427801616</v>
      </c>
      <c r="AQ22" s="169">
        <f t="shared" ref="AQ22:AQ29" si="10">AP22</f>
        <v>2006.2059427801616</v>
      </c>
      <c r="AR22" s="101">
        <f>('IS 3Q2022'!AR9/AR51)</f>
        <v>1983.9182175798808</v>
      </c>
      <c r="AS22" s="101">
        <f>('IS 3Q2022'!AS9/AS51)</f>
        <v>1955.1668393055454</v>
      </c>
      <c r="AT22" s="101">
        <f>('IS 3Q2022'!AT9/AT51)</f>
        <v>2245.2852258921503</v>
      </c>
      <c r="AU22" s="101">
        <f>('IS 3Q2022'!AU9/AU51)</f>
        <v>2133.7442468175009</v>
      </c>
      <c r="AV22" s="169">
        <f t="shared" ref="AV22:AV29" si="11">AU22</f>
        <v>2133.7442468175009</v>
      </c>
    </row>
    <row r="23" spans="1:48" outlineLevel="1" x14ac:dyDescent="0.3">
      <c r="A23" s="161"/>
      <c r="B23" s="486" t="s">
        <v>229</v>
      </c>
      <c r="C23" s="487"/>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33">
        <f>U23</f>
        <v>2068.9</v>
      </c>
      <c r="W23" s="169">
        <f t="shared" si="6"/>
        <v>2068.9</v>
      </c>
      <c r="X23" s="33">
        <f>V23</f>
        <v>2068.9</v>
      </c>
      <c r="Y23" s="33">
        <f>X23</f>
        <v>2068.9</v>
      </c>
      <c r="Z23" s="33">
        <f>Y23</f>
        <v>2068.9</v>
      </c>
      <c r="AA23" s="33">
        <f>Z23</f>
        <v>2068.9</v>
      </c>
      <c r="AB23" s="169">
        <f t="shared" si="7"/>
        <v>2068.9</v>
      </c>
      <c r="AC23" s="33">
        <f>AA23</f>
        <v>2068.9</v>
      </c>
      <c r="AD23" s="33">
        <f>AC23</f>
        <v>2068.9</v>
      </c>
      <c r="AE23" s="33">
        <f>AD23</f>
        <v>2068.9</v>
      </c>
      <c r="AF23" s="33">
        <f>AE23</f>
        <v>2068.9</v>
      </c>
      <c r="AG23" s="169">
        <f t="shared" si="8"/>
        <v>2068.9</v>
      </c>
      <c r="AH23" s="33">
        <f>AF23</f>
        <v>2068.9</v>
      </c>
      <c r="AI23" s="33">
        <f>AH23</f>
        <v>2068.9</v>
      </c>
      <c r="AJ23" s="33">
        <f>AI23</f>
        <v>2068.9</v>
      </c>
      <c r="AK23" s="33">
        <f>AJ23</f>
        <v>2068.9</v>
      </c>
      <c r="AL23" s="169">
        <f t="shared" si="9"/>
        <v>2068.9</v>
      </c>
      <c r="AM23" s="33">
        <f>AK23</f>
        <v>2068.9</v>
      </c>
      <c r="AN23" s="33">
        <f>AM23</f>
        <v>2068.9</v>
      </c>
      <c r="AO23" s="33">
        <f>AN23</f>
        <v>2068.9</v>
      </c>
      <c r="AP23" s="33">
        <f>AO23</f>
        <v>2068.9</v>
      </c>
      <c r="AQ23" s="169">
        <f t="shared" si="10"/>
        <v>2068.9</v>
      </c>
      <c r="AR23" s="33">
        <f>AP23</f>
        <v>2068.9</v>
      </c>
      <c r="AS23" s="33">
        <f>AR23</f>
        <v>2068.9</v>
      </c>
      <c r="AT23" s="33">
        <f>AS23</f>
        <v>2068.9</v>
      </c>
      <c r="AU23" s="33">
        <f>AT23</f>
        <v>2068.9</v>
      </c>
      <c r="AV23" s="169">
        <f t="shared" si="11"/>
        <v>2068.9</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33">
        <f>U24</f>
        <v>706.8</v>
      </c>
      <c r="W24" s="169">
        <f t="shared" si="6"/>
        <v>706.8</v>
      </c>
      <c r="X24" s="33">
        <f>V24</f>
        <v>706.8</v>
      </c>
      <c r="Y24" s="33">
        <f t="shared" ref="Y24:AA25" si="12">X24</f>
        <v>706.8</v>
      </c>
      <c r="Z24" s="33">
        <f t="shared" si="12"/>
        <v>706.8</v>
      </c>
      <c r="AA24" s="33">
        <f t="shared" si="12"/>
        <v>706.8</v>
      </c>
      <c r="AB24" s="169">
        <f t="shared" si="7"/>
        <v>706.8</v>
      </c>
      <c r="AC24" s="33">
        <f>AA24</f>
        <v>706.8</v>
      </c>
      <c r="AD24" s="33">
        <f t="shared" ref="AD24:AF25" si="13">AC24</f>
        <v>706.8</v>
      </c>
      <c r="AE24" s="33">
        <f t="shared" si="13"/>
        <v>706.8</v>
      </c>
      <c r="AF24" s="33">
        <f t="shared" si="13"/>
        <v>706.8</v>
      </c>
      <c r="AG24" s="169">
        <f t="shared" si="8"/>
        <v>706.8</v>
      </c>
      <c r="AH24" s="33">
        <f>AF24</f>
        <v>706.8</v>
      </c>
      <c r="AI24" s="33">
        <f t="shared" ref="AI24:AK25" si="14">AH24</f>
        <v>706.8</v>
      </c>
      <c r="AJ24" s="33">
        <f t="shared" si="14"/>
        <v>706.8</v>
      </c>
      <c r="AK24" s="33">
        <f t="shared" si="14"/>
        <v>706.8</v>
      </c>
      <c r="AL24" s="169">
        <f t="shared" si="9"/>
        <v>706.8</v>
      </c>
      <c r="AM24" s="33">
        <f>AK24</f>
        <v>706.8</v>
      </c>
      <c r="AN24" s="33">
        <f t="shared" ref="AN24:AP25" si="15">AM24</f>
        <v>706.8</v>
      </c>
      <c r="AO24" s="33">
        <f t="shared" si="15"/>
        <v>706.8</v>
      </c>
      <c r="AP24" s="33">
        <f t="shared" si="15"/>
        <v>706.8</v>
      </c>
      <c r="AQ24" s="169">
        <f t="shared" si="10"/>
        <v>706.8</v>
      </c>
      <c r="AR24" s="33">
        <f>AP24</f>
        <v>706.8</v>
      </c>
      <c r="AS24" s="33">
        <f t="shared" ref="AS24:AU25" si="16">AR24</f>
        <v>706.8</v>
      </c>
      <c r="AT24" s="33">
        <f t="shared" si="16"/>
        <v>706.8</v>
      </c>
      <c r="AU24" s="33">
        <f t="shared" si="16"/>
        <v>706.8</v>
      </c>
      <c r="AV24" s="169">
        <f t="shared" si="11"/>
        <v>706.8</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33">
        <f>U25</f>
        <v>0</v>
      </c>
      <c r="W25" s="169">
        <f t="shared" si="6"/>
        <v>0</v>
      </c>
      <c r="X25" s="33">
        <f>V25</f>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33">
        <f>U26*0.996</f>
        <v>1209.9407999999999</v>
      </c>
      <c r="W26" s="169">
        <f t="shared" si="6"/>
        <v>1209.9407999999999</v>
      </c>
      <c r="X26" s="33">
        <f>V26*0.996</f>
        <v>1205.1010367999997</v>
      </c>
      <c r="Y26" s="33">
        <f>X26*0.996</f>
        <v>1200.2806326527998</v>
      </c>
      <c r="Z26" s="33">
        <f>Y26*0.996</f>
        <v>1195.4795101221887</v>
      </c>
      <c r="AA26" s="33">
        <f>Z26*0.996</f>
        <v>1190.6975920816999</v>
      </c>
      <c r="AB26" s="169">
        <f t="shared" si="7"/>
        <v>1190.6975920816999</v>
      </c>
      <c r="AC26" s="33">
        <f>AA26*0.996</f>
        <v>1185.9348017133732</v>
      </c>
      <c r="AD26" s="33">
        <f>AC26*0.996</f>
        <v>1181.1910625065198</v>
      </c>
      <c r="AE26" s="33">
        <f>AD26*0.996</f>
        <v>1176.4662982564937</v>
      </c>
      <c r="AF26" s="33">
        <f>AE26*0.996</f>
        <v>1171.7604330634676</v>
      </c>
      <c r="AG26" s="169">
        <f t="shared" si="8"/>
        <v>1171.7604330634676</v>
      </c>
      <c r="AH26" s="33">
        <f>AF26*0.996</f>
        <v>1167.0733913312138</v>
      </c>
      <c r="AI26" s="33">
        <f>AH26*0.996</f>
        <v>1162.405097765889</v>
      </c>
      <c r="AJ26" s="33">
        <f>AI26*0.996</f>
        <v>1157.7554773748254</v>
      </c>
      <c r="AK26" s="33">
        <f>AJ26*0.996</f>
        <v>1153.124455465326</v>
      </c>
      <c r="AL26" s="169">
        <f t="shared" si="9"/>
        <v>1153.124455465326</v>
      </c>
      <c r="AM26" s="33">
        <f>AK26*0.996</f>
        <v>1148.5119576434647</v>
      </c>
      <c r="AN26" s="33">
        <f>AM26*0.996</f>
        <v>1143.9179098128909</v>
      </c>
      <c r="AO26" s="33">
        <f>AN26*0.996</f>
        <v>1139.3422381736393</v>
      </c>
      <c r="AP26" s="33">
        <f>AO26*0.996</f>
        <v>1134.7848692209448</v>
      </c>
      <c r="AQ26" s="169">
        <f t="shared" si="10"/>
        <v>1134.7848692209448</v>
      </c>
      <c r="AR26" s="33">
        <f>AP26*0.996</f>
        <v>1130.245729744061</v>
      </c>
      <c r="AS26" s="33">
        <f>AR26*0.996</f>
        <v>1125.7247468250848</v>
      </c>
      <c r="AT26" s="33">
        <f>AS26*0.996</f>
        <v>1121.2218478377845</v>
      </c>
      <c r="AU26" s="33">
        <f>AT26*0.996</f>
        <v>1116.7369604464334</v>
      </c>
      <c r="AV26" s="169">
        <f t="shared" si="11"/>
        <v>1116.7369604464334</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33">
        <f>U27*0.99</f>
        <v>1705.77</v>
      </c>
      <c r="W27" s="169">
        <f t="shared" si="6"/>
        <v>1705.77</v>
      </c>
      <c r="X27" s="33">
        <f>V27*1.3</f>
        <v>2217.5010000000002</v>
      </c>
      <c r="Y27" s="33">
        <f>X27*0.85</f>
        <v>1884.8758500000001</v>
      </c>
      <c r="Z27" s="33">
        <f>Y27*0.99</f>
        <v>1866.0270915000001</v>
      </c>
      <c r="AA27" s="33">
        <f>Z27*0.99</f>
        <v>1847.3668205850001</v>
      </c>
      <c r="AB27" s="169">
        <f t="shared" si="7"/>
        <v>1847.3668205850001</v>
      </c>
      <c r="AC27" s="33">
        <f>AA27*1.3</f>
        <v>2401.5768667605003</v>
      </c>
      <c r="AD27" s="33">
        <f>AC27*0.85</f>
        <v>2041.3403367464252</v>
      </c>
      <c r="AE27" s="33">
        <f>AD27*0.99</f>
        <v>2020.9269333789609</v>
      </c>
      <c r="AF27" s="33">
        <f>AE27*0.99</f>
        <v>2000.7176640451712</v>
      </c>
      <c r="AG27" s="169">
        <f t="shared" si="8"/>
        <v>2000.7176640451712</v>
      </c>
      <c r="AH27" s="33">
        <f>AF27*1.3</f>
        <v>2600.9329632587228</v>
      </c>
      <c r="AI27" s="33">
        <f>AH27*0.85</f>
        <v>2210.7930187699144</v>
      </c>
      <c r="AJ27" s="33">
        <f>AI27*0.99</f>
        <v>2188.685088582215</v>
      </c>
      <c r="AK27" s="33">
        <f>AJ27*0.99</f>
        <v>2166.7982376963928</v>
      </c>
      <c r="AL27" s="169">
        <f t="shared" si="9"/>
        <v>2166.7982376963928</v>
      </c>
      <c r="AM27" s="33">
        <f>AK27*1.3</f>
        <v>2816.8377090053109</v>
      </c>
      <c r="AN27" s="33">
        <f>AM27*0.85</f>
        <v>2394.312052654514</v>
      </c>
      <c r="AO27" s="33">
        <f>AN27*0.99</f>
        <v>2370.3689321279689</v>
      </c>
      <c r="AP27" s="33">
        <f>AO27*0.99</f>
        <v>2346.6652428066891</v>
      </c>
      <c r="AQ27" s="169">
        <f t="shared" si="10"/>
        <v>2346.6652428066891</v>
      </c>
      <c r="AR27" s="33">
        <f>AP27*1.3</f>
        <v>3050.6648156486958</v>
      </c>
      <c r="AS27" s="33">
        <f>AR27*0.85</f>
        <v>2593.0650933013912</v>
      </c>
      <c r="AT27" s="33">
        <f>AS27*0.99</f>
        <v>2567.1344423683772</v>
      </c>
      <c r="AU27" s="33">
        <f>AT27*0.99</f>
        <v>2541.4630979446933</v>
      </c>
      <c r="AV27" s="169">
        <f t="shared" si="11"/>
        <v>2541.4630979446933</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33">
        <f>U28-V59+V60</f>
        <v>1000.0999999999999</v>
      </c>
      <c r="W28" s="169">
        <f t="shared" si="6"/>
        <v>1000.0999999999999</v>
      </c>
      <c r="X28" s="33">
        <f>V28-X59+X60</f>
        <v>1000.0999999999999</v>
      </c>
      <c r="Y28" s="33">
        <f>X28-Y59+Y60</f>
        <v>750.09999999999991</v>
      </c>
      <c r="Z28" s="33">
        <f t="shared" ref="Z28:AA28" si="17">Y28-Z59+Z60</f>
        <v>1876.3999999999999</v>
      </c>
      <c r="AA28" s="33">
        <f t="shared" si="17"/>
        <v>1876.3999999999999</v>
      </c>
      <c r="AB28" s="169">
        <f t="shared" si="7"/>
        <v>1876.3999999999999</v>
      </c>
      <c r="AC28" s="33">
        <f>AA28-AC59+AC60</f>
        <v>1126.3999999999999</v>
      </c>
      <c r="AD28" s="33">
        <f t="shared" ref="AD28:AF28" si="18">AC28-AD59+AD60</f>
        <v>9.9999999999909051E-2</v>
      </c>
      <c r="AE28" s="33">
        <f t="shared" si="18"/>
        <v>9.9999999999909051E-2</v>
      </c>
      <c r="AF28" s="33">
        <f t="shared" si="18"/>
        <v>9.9999999999909051E-2</v>
      </c>
      <c r="AG28" s="169">
        <f t="shared" si="8"/>
        <v>9.9999999999909051E-2</v>
      </c>
      <c r="AH28" s="33">
        <f>AF28-AH59+AH60</f>
        <v>1250.0999999999999</v>
      </c>
      <c r="AI28" s="33">
        <f t="shared" ref="AI28:AK28" si="19">AH28-AI59+AI60</f>
        <v>1250.0999999999999</v>
      </c>
      <c r="AJ28" s="33">
        <f t="shared" si="19"/>
        <v>1250.0999999999999</v>
      </c>
      <c r="AK28" s="33">
        <f t="shared" si="19"/>
        <v>500.09999999999991</v>
      </c>
      <c r="AL28" s="169">
        <f t="shared" si="9"/>
        <v>500.09999999999991</v>
      </c>
      <c r="AM28" s="33">
        <f>AK28-AM59+AM60</f>
        <v>500.09999999999991</v>
      </c>
      <c r="AN28" s="33">
        <f t="shared" ref="AN28:AP28" si="20">AM28-AN59+AN60</f>
        <v>500.09999999999991</v>
      </c>
      <c r="AO28" s="33">
        <f t="shared" si="20"/>
        <v>500.09999999999991</v>
      </c>
      <c r="AP28" s="33">
        <f t="shared" si="20"/>
        <v>500.09999999999991</v>
      </c>
      <c r="AQ28" s="169">
        <f t="shared" si="10"/>
        <v>500.09999999999991</v>
      </c>
      <c r="AR28" s="33">
        <f>AP28-AR59+AR60</f>
        <v>500.09999999999991</v>
      </c>
      <c r="AS28" s="33">
        <f t="shared" ref="AS28:AU28" si="21">AR28-AS59+AS60</f>
        <v>9.9999999999909051E-2</v>
      </c>
      <c r="AT28" s="33">
        <f t="shared" si="21"/>
        <v>9.9999999999909051E-2</v>
      </c>
      <c r="AU28" s="33">
        <f t="shared" si="21"/>
        <v>9.9999999999909051E-2</v>
      </c>
      <c r="AV28" s="169">
        <f t="shared" si="11"/>
        <v>9.9999999999909051E-2</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32">
        <v>0</v>
      </c>
      <c r="W29" s="262">
        <f t="shared" si="6"/>
        <v>0</v>
      </c>
      <c r="X29" s="3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2">SUM(D22:D29)</f>
        <v>5427.5</v>
      </c>
      <c r="E30" s="116">
        <f t="shared" si="22"/>
        <v>5273.4</v>
      </c>
      <c r="F30" s="116">
        <f t="shared" si="22"/>
        <v>5895.8</v>
      </c>
      <c r="G30" s="116">
        <f t="shared" si="22"/>
        <v>6168.7</v>
      </c>
      <c r="H30" s="150">
        <f t="shared" si="22"/>
        <v>6168.7</v>
      </c>
      <c r="I30" s="116">
        <f t="shared" si="22"/>
        <v>8675.5</v>
      </c>
      <c r="J30" s="116">
        <f t="shared" si="22"/>
        <v>8265.7999999999993</v>
      </c>
      <c r="K30" s="116">
        <f t="shared" si="22"/>
        <v>8002</v>
      </c>
      <c r="L30" s="116">
        <f t="shared" ref="L30:AV30" si="23">SUM(L22:L28)</f>
        <v>7346.7999999999993</v>
      </c>
      <c r="M30" s="150">
        <f t="shared" si="23"/>
        <v>7346.7999999999993</v>
      </c>
      <c r="N30" s="116">
        <f t="shared" si="23"/>
        <v>7883.9</v>
      </c>
      <c r="O30" s="116">
        <f t="shared" si="23"/>
        <v>6505.0999999999995</v>
      </c>
      <c r="P30" s="116">
        <f t="shared" si="23"/>
        <v>7799.8</v>
      </c>
      <c r="Q30" s="116">
        <f t="shared" si="23"/>
        <v>8151.4</v>
      </c>
      <c r="R30" s="150">
        <f t="shared" si="23"/>
        <v>8151.4</v>
      </c>
      <c r="S30" s="116">
        <f t="shared" si="23"/>
        <v>8921.1</v>
      </c>
      <c r="T30" s="116">
        <f t="shared" si="23"/>
        <v>9104.3000000000011</v>
      </c>
      <c r="U30" s="116">
        <f t="shared" si="23"/>
        <v>8402.4</v>
      </c>
      <c r="V30" s="116">
        <f t="shared" si="23"/>
        <v>8069.5629345442085</v>
      </c>
      <c r="W30" s="150">
        <f t="shared" si="23"/>
        <v>8069.5629345442085</v>
      </c>
      <c r="X30" s="116">
        <f t="shared" si="23"/>
        <v>8601.4689362410354</v>
      </c>
      <c r="Y30" s="116">
        <f t="shared" si="23"/>
        <v>8010.1900653429348</v>
      </c>
      <c r="Z30" s="116">
        <f t="shared" si="23"/>
        <v>9342.8385211063396</v>
      </c>
      <c r="AA30" s="116">
        <f t="shared" si="23"/>
        <v>9170.1193041086608</v>
      </c>
      <c r="AB30" s="150">
        <f t="shared" si="23"/>
        <v>9170.1193041086608</v>
      </c>
      <c r="AC30" s="116">
        <f t="shared" si="23"/>
        <v>9026.7915704632633</v>
      </c>
      <c r="AD30" s="116">
        <f t="shared" si="23"/>
        <v>7523.1313012562041</v>
      </c>
      <c r="AE30" s="116">
        <f t="shared" si="23"/>
        <v>7720.9622526156636</v>
      </c>
      <c r="AF30" s="116">
        <f t="shared" si="23"/>
        <v>7607.5163592141835</v>
      </c>
      <c r="AG30" s="150">
        <f t="shared" si="23"/>
        <v>7607.5163592141835</v>
      </c>
      <c r="AH30" s="116">
        <f t="shared" si="23"/>
        <v>9491.9949004558312</v>
      </c>
      <c r="AI30" s="116">
        <f t="shared" si="23"/>
        <v>9091.7473792947476</v>
      </c>
      <c r="AJ30" s="116">
        <f t="shared" si="23"/>
        <v>9334.0064114759552</v>
      </c>
      <c r="AK30" s="116">
        <f t="shared" si="23"/>
        <v>8455.5797009251437</v>
      </c>
      <c r="AL30" s="150">
        <f t="shared" si="23"/>
        <v>8455.5797009251437</v>
      </c>
      <c r="AM30" s="116">
        <f t="shared" si="23"/>
        <v>9102.1913621600452</v>
      </c>
      <c r="AN30" s="116">
        <f t="shared" si="23"/>
        <v>8648.0661828771936</v>
      </c>
      <c r="AO30" s="116">
        <f t="shared" si="23"/>
        <v>8901.2434544749758</v>
      </c>
      <c r="AP30" s="116">
        <f t="shared" si="23"/>
        <v>8763.4560548077952</v>
      </c>
      <c r="AQ30" s="150">
        <f t="shared" si="23"/>
        <v>8763.4560548077952</v>
      </c>
      <c r="AR30" s="116">
        <f t="shared" si="23"/>
        <v>9440.6287629726376</v>
      </c>
      <c r="AS30" s="116">
        <f t="shared" si="23"/>
        <v>8449.7566794320228</v>
      </c>
      <c r="AT30" s="116">
        <f t="shared" si="23"/>
        <v>8709.4415160983117</v>
      </c>
      <c r="AU30" s="116">
        <f t="shared" si="23"/>
        <v>8567.7443052086292</v>
      </c>
      <c r="AV30" s="150">
        <f t="shared" si="23"/>
        <v>8567.7443052086292</v>
      </c>
    </row>
    <row r="31" spans="1:48" outlineLevel="1" x14ac:dyDescent="0.3">
      <c r="A31" s="161"/>
      <c r="B31" s="200" t="s">
        <v>237</v>
      </c>
      <c r="C31" s="201"/>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33">
        <f>U31-V60+V61</f>
        <v>13930.8</v>
      </c>
      <c r="W31" s="169">
        <f>V31</f>
        <v>13930.8</v>
      </c>
      <c r="X31" s="33">
        <f>V31-X60+X61</f>
        <v>13930.8</v>
      </c>
      <c r="Y31" s="33">
        <f>X31-Y60+Y61</f>
        <v>14180.8</v>
      </c>
      <c r="Z31" s="33">
        <f>Y31-Z60+Z61</f>
        <v>13054.5</v>
      </c>
      <c r="AA31" s="33">
        <f>Z31-AA60+AA61</f>
        <v>13054.5</v>
      </c>
      <c r="AB31" s="169">
        <f>AA31</f>
        <v>13054.5</v>
      </c>
      <c r="AC31" s="33">
        <f>AA31-AC60+AC61</f>
        <v>13804.5</v>
      </c>
      <c r="AD31" s="33">
        <f>AC31-AD60+AD61</f>
        <v>14930.5</v>
      </c>
      <c r="AE31" s="33">
        <f>AD31-AE60+AE61</f>
        <v>14930.5</v>
      </c>
      <c r="AF31" s="33">
        <f>AE31-AF60+AF61</f>
        <v>15030.5</v>
      </c>
      <c r="AG31" s="169">
        <f>AF31</f>
        <v>15030.5</v>
      </c>
      <c r="AH31" s="33">
        <f>AF31-AH60+AH61</f>
        <v>13780.5</v>
      </c>
      <c r="AI31" s="33">
        <f>AH31-AI60+AI61</f>
        <v>13780.5</v>
      </c>
      <c r="AJ31" s="33">
        <f>AI31-AJ60+AJ61</f>
        <v>19071.09838285108</v>
      </c>
      <c r="AK31" s="33">
        <f>AJ31-AK60+AK61</f>
        <v>19821.09838285108</v>
      </c>
      <c r="AL31" s="169">
        <f>AK31</f>
        <v>19821.09838285108</v>
      </c>
      <c r="AM31" s="33">
        <f>AK31-AM60+AM61</f>
        <v>19821.09838285108</v>
      </c>
      <c r="AN31" s="33">
        <f>AM31-AN60+AN61</f>
        <v>19821.09838285108</v>
      </c>
      <c r="AO31" s="33">
        <f>AN31-AO60+AO61</f>
        <v>19821.09838285108</v>
      </c>
      <c r="AP31" s="33">
        <f>AO31-AP60+AP61</f>
        <v>19821.09838285108</v>
      </c>
      <c r="AQ31" s="169">
        <f>AP31</f>
        <v>19821.09838285108</v>
      </c>
      <c r="AR31" s="33">
        <f>AP31-AR60+AR61</f>
        <v>19821.09838285108</v>
      </c>
      <c r="AS31" s="33">
        <f>AR31-AS60+AS61</f>
        <v>20321.09838285108</v>
      </c>
      <c r="AT31" s="33">
        <f>AS31-AT60+AT61</f>
        <v>20321.09838285108</v>
      </c>
      <c r="AU31" s="33">
        <f>AT31-AU60+AU61</f>
        <v>20321.09838285108</v>
      </c>
      <c r="AV31" s="169">
        <f>AU31</f>
        <v>20321.09838285108</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33">
        <f>U32*0.996</f>
        <v>7524.1823999999997</v>
      </c>
      <c r="W32" s="169">
        <f>V32</f>
        <v>7524.1823999999997</v>
      </c>
      <c r="X32" s="33">
        <f>V32*0.996</f>
        <v>7494.0856703999998</v>
      </c>
      <c r="Y32" s="33">
        <f t="shared" ref="Y32:AA32" si="24">X32*0.996</f>
        <v>7464.1093277184</v>
      </c>
      <c r="Z32" s="33">
        <f t="shared" si="24"/>
        <v>7434.2528904075261</v>
      </c>
      <c r="AA32" s="33">
        <f t="shared" si="24"/>
        <v>7404.5158788458957</v>
      </c>
      <c r="AB32" s="169">
        <f>AA32</f>
        <v>7404.5158788458957</v>
      </c>
      <c r="AC32" s="33">
        <f>AA32*0.996</f>
        <v>7374.8978153305125</v>
      </c>
      <c r="AD32" s="33">
        <f t="shared" ref="AD32:AF32" si="25">AC32*0.996</f>
        <v>7345.3982240691903</v>
      </c>
      <c r="AE32" s="33">
        <f t="shared" si="25"/>
        <v>7316.0166311729135</v>
      </c>
      <c r="AF32" s="33">
        <f t="shared" si="25"/>
        <v>7286.7525646482218</v>
      </c>
      <c r="AG32" s="169">
        <f>AF32</f>
        <v>7286.7525646482218</v>
      </c>
      <c r="AH32" s="33">
        <f>AF32*0.996</f>
        <v>7257.6055543896291</v>
      </c>
      <c r="AI32" s="33">
        <f t="shared" ref="AI32:AK32" si="26">AH32*0.996</f>
        <v>7228.5751321720709</v>
      </c>
      <c r="AJ32" s="33">
        <f t="shared" si="26"/>
        <v>7199.6608316433822</v>
      </c>
      <c r="AK32" s="33">
        <f t="shared" si="26"/>
        <v>7170.8621883168089</v>
      </c>
      <c r="AL32" s="169">
        <f>AK32</f>
        <v>7170.8621883168089</v>
      </c>
      <c r="AM32" s="33">
        <f>AK32*0.996</f>
        <v>7142.178739563542</v>
      </c>
      <c r="AN32" s="33">
        <f t="shared" ref="AN32:AP32" si="27">AM32*0.996</f>
        <v>7113.6100246052874</v>
      </c>
      <c r="AO32" s="33">
        <f t="shared" si="27"/>
        <v>7085.155584506866</v>
      </c>
      <c r="AP32" s="33">
        <f t="shared" si="27"/>
        <v>7056.814962168839</v>
      </c>
      <c r="AQ32" s="169">
        <f>AP32</f>
        <v>7056.814962168839</v>
      </c>
      <c r="AR32" s="33">
        <f>AP32*0.996</f>
        <v>7028.5877023201638</v>
      </c>
      <c r="AS32" s="33">
        <f t="shared" ref="AS32:AU32" si="28">AR32*0.996</f>
        <v>7000.4733515108828</v>
      </c>
      <c r="AT32" s="33">
        <f t="shared" si="28"/>
        <v>6972.4714581048393</v>
      </c>
      <c r="AU32" s="33">
        <f t="shared" si="28"/>
        <v>6944.5815722724201</v>
      </c>
      <c r="AV32" s="169">
        <f>AU32</f>
        <v>6944.5815722724201</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33">
        <f>U33*0.995</f>
        <v>6301.4345000000003</v>
      </c>
      <c r="W33" s="169">
        <f>V33</f>
        <v>6301.4345000000003</v>
      </c>
      <c r="X33" s="33">
        <f>V33*0.995</f>
        <v>6269.9273275000005</v>
      </c>
      <c r="Y33" s="33">
        <f>X33*0.995</f>
        <v>6238.5776908625003</v>
      </c>
      <c r="Z33" s="33">
        <f>Y33*0.995</f>
        <v>6207.3848024081881</v>
      </c>
      <c r="AA33" s="33">
        <f>Z33*0.995</f>
        <v>6176.3478783961473</v>
      </c>
      <c r="AB33" s="169">
        <f>AA33</f>
        <v>6176.3478783961473</v>
      </c>
      <c r="AC33" s="33">
        <f>AA33*0.995</f>
        <v>6145.4661390041665</v>
      </c>
      <c r="AD33" s="33">
        <f>AC33*0.995</f>
        <v>6114.7388083091455</v>
      </c>
      <c r="AE33" s="33">
        <f>AD33*0.995</f>
        <v>6084.1651142676001</v>
      </c>
      <c r="AF33" s="33">
        <f>AE33*0.995</f>
        <v>6053.7442886962617</v>
      </c>
      <c r="AG33" s="169">
        <f>AF33</f>
        <v>6053.7442886962617</v>
      </c>
      <c r="AH33" s="33">
        <f>AF33*0.995</f>
        <v>6023.4755672527808</v>
      </c>
      <c r="AI33" s="33">
        <f>AH33*0.995</f>
        <v>5993.3581894165172</v>
      </c>
      <c r="AJ33" s="33">
        <f>AI33*0.995</f>
        <v>5963.3913984694345</v>
      </c>
      <c r="AK33" s="33">
        <f>AJ33*0.995</f>
        <v>5933.574441477087</v>
      </c>
      <c r="AL33" s="169">
        <f>AK33</f>
        <v>5933.574441477087</v>
      </c>
      <c r="AM33" s="33">
        <f>AK33*0.995</f>
        <v>5903.9065692697013</v>
      </c>
      <c r="AN33" s="33">
        <f>AM33*0.995</f>
        <v>5874.3870364233526</v>
      </c>
      <c r="AO33" s="33">
        <f>AN33*0.995</f>
        <v>5845.0151012412362</v>
      </c>
      <c r="AP33" s="33">
        <f>AO33*0.995</f>
        <v>5815.7900257350302</v>
      </c>
      <c r="AQ33" s="169">
        <f>AP33</f>
        <v>5815.7900257350302</v>
      </c>
      <c r="AR33" s="33">
        <f>AP33*0.995</f>
        <v>5786.7110756063548</v>
      </c>
      <c r="AS33" s="33">
        <f>AR33*0.995</f>
        <v>5757.7775202283228</v>
      </c>
      <c r="AT33" s="33">
        <f>AS33*0.995</f>
        <v>5728.9886326271808</v>
      </c>
      <c r="AU33" s="33">
        <f>AT33*0.995</f>
        <v>5700.3436894640445</v>
      </c>
      <c r="AV33" s="169">
        <f>AU33</f>
        <v>5700.3436894640445</v>
      </c>
    </row>
    <row r="34" spans="1:48" ht="15.75" customHeight="1" outlineLevel="1" x14ac:dyDescent="0.45">
      <c r="A34" s="161"/>
      <c r="B34" s="486" t="s">
        <v>240</v>
      </c>
      <c r="C34" s="487"/>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32">
        <f>U34</f>
        <v>594.4</v>
      </c>
      <c r="W34" s="262">
        <f>V34</f>
        <v>594.4</v>
      </c>
      <c r="X34" s="32">
        <f>V34</f>
        <v>594.4</v>
      </c>
      <c r="Y34" s="32">
        <f>X34</f>
        <v>594.4</v>
      </c>
      <c r="Z34" s="32">
        <f>Y34</f>
        <v>594.4</v>
      </c>
      <c r="AA34" s="32">
        <f>Z34</f>
        <v>594.4</v>
      </c>
      <c r="AB34" s="262">
        <f>AA34</f>
        <v>594.4</v>
      </c>
      <c r="AC34" s="32">
        <f>AA34</f>
        <v>594.4</v>
      </c>
      <c r="AD34" s="32">
        <f>AC34</f>
        <v>594.4</v>
      </c>
      <c r="AE34" s="32">
        <f>AD34</f>
        <v>594.4</v>
      </c>
      <c r="AF34" s="32">
        <f>AE34</f>
        <v>594.4</v>
      </c>
      <c r="AG34" s="262">
        <f>AF34</f>
        <v>594.4</v>
      </c>
      <c r="AH34" s="32">
        <f>AF34</f>
        <v>594.4</v>
      </c>
      <c r="AI34" s="32">
        <f>AH34</f>
        <v>594.4</v>
      </c>
      <c r="AJ34" s="32">
        <f>AI34</f>
        <v>594.4</v>
      </c>
      <c r="AK34" s="32">
        <f>AJ34</f>
        <v>594.4</v>
      </c>
      <c r="AL34" s="262">
        <f>AK34</f>
        <v>594.4</v>
      </c>
      <c r="AM34" s="32">
        <f>AK34</f>
        <v>594.4</v>
      </c>
      <c r="AN34" s="32">
        <f>AM34</f>
        <v>594.4</v>
      </c>
      <c r="AO34" s="32">
        <f>AN34</f>
        <v>594.4</v>
      </c>
      <c r="AP34" s="32">
        <f>AO34</f>
        <v>594.4</v>
      </c>
      <c r="AQ34" s="262">
        <f>AP34</f>
        <v>594.4</v>
      </c>
      <c r="AR34" s="32">
        <f>AP34</f>
        <v>594.4</v>
      </c>
      <c r="AS34" s="32">
        <f>AR34</f>
        <v>594.4</v>
      </c>
      <c r="AT34" s="32">
        <f>AS34</f>
        <v>594.4</v>
      </c>
      <c r="AU34" s="32">
        <f>AT34</f>
        <v>594.4</v>
      </c>
      <c r="AV34" s="262">
        <f>AU34</f>
        <v>594.4</v>
      </c>
    </row>
    <row r="35" spans="1:48" outlineLevel="1" x14ac:dyDescent="0.3">
      <c r="A35" s="161"/>
      <c r="B35" s="525" t="s">
        <v>241</v>
      </c>
      <c r="C35" s="526"/>
      <c r="D35" s="116">
        <f t="shared" ref="D35:AV35" si="29">SUM(D30:D34)</f>
        <v>22860.100000000002</v>
      </c>
      <c r="E35" s="116">
        <f t="shared" si="29"/>
        <v>22677.1</v>
      </c>
      <c r="F35" s="116">
        <f t="shared" si="29"/>
        <v>25213.4</v>
      </c>
      <c r="G35" s="116">
        <f t="shared" si="29"/>
        <v>25450.6</v>
      </c>
      <c r="H35" s="150">
        <f t="shared" si="29"/>
        <v>25450.6</v>
      </c>
      <c r="I35" s="116">
        <f t="shared" si="29"/>
        <v>34490.400000000001</v>
      </c>
      <c r="J35" s="116">
        <f t="shared" si="29"/>
        <v>35011.800000000003</v>
      </c>
      <c r="K35" s="116">
        <f t="shared" si="29"/>
        <v>37764.899999999994</v>
      </c>
      <c r="L35" s="116">
        <f t="shared" si="29"/>
        <v>37173.900000000009</v>
      </c>
      <c r="M35" s="150">
        <f t="shared" si="29"/>
        <v>37173.900000000009</v>
      </c>
      <c r="N35" s="116">
        <f t="shared" si="29"/>
        <v>37872.400000000001</v>
      </c>
      <c r="O35" s="116">
        <f t="shared" si="29"/>
        <v>36020</v>
      </c>
      <c r="P35" s="116">
        <f t="shared" si="29"/>
        <v>36271.1</v>
      </c>
      <c r="Q35" s="116">
        <f t="shared" si="29"/>
        <v>36707.100000000006</v>
      </c>
      <c r="R35" s="150">
        <f t="shared" si="29"/>
        <v>36707.100000000006</v>
      </c>
      <c r="S35" s="116">
        <f t="shared" si="29"/>
        <v>37284.199999999997</v>
      </c>
      <c r="T35" s="116">
        <f t="shared" si="29"/>
        <v>37782.699999999997</v>
      </c>
      <c r="U35" s="116">
        <f t="shared" si="29"/>
        <v>36815.1</v>
      </c>
      <c r="V35" s="116">
        <f t="shared" si="29"/>
        <v>36420.379834544212</v>
      </c>
      <c r="W35" s="150">
        <f t="shared" si="29"/>
        <v>36420.379834544212</v>
      </c>
      <c r="X35" s="116">
        <f t="shared" si="29"/>
        <v>36890.681934141037</v>
      </c>
      <c r="Y35" s="116">
        <f t="shared" si="29"/>
        <v>36488.077083923839</v>
      </c>
      <c r="Z35" s="116">
        <f t="shared" si="29"/>
        <v>36633.376213922056</v>
      </c>
      <c r="AA35" s="116">
        <f t="shared" si="29"/>
        <v>36399.883061350702</v>
      </c>
      <c r="AB35" s="150">
        <f t="shared" si="29"/>
        <v>36399.883061350702</v>
      </c>
      <c r="AC35" s="116">
        <f t="shared" si="29"/>
        <v>36946.055524797943</v>
      </c>
      <c r="AD35" s="116">
        <f t="shared" si="29"/>
        <v>36508.168333634538</v>
      </c>
      <c r="AE35" s="116">
        <f t="shared" si="29"/>
        <v>36646.043998056179</v>
      </c>
      <c r="AF35" s="116">
        <f t="shared" si="29"/>
        <v>36572.913212558669</v>
      </c>
      <c r="AG35" s="150">
        <f t="shared" si="29"/>
        <v>36572.913212558669</v>
      </c>
      <c r="AH35" s="116">
        <f t="shared" si="29"/>
        <v>37147.976022098243</v>
      </c>
      <c r="AI35" s="116">
        <f t="shared" si="29"/>
        <v>36688.580700883336</v>
      </c>
      <c r="AJ35" s="116">
        <f t="shared" si="29"/>
        <v>42162.557024439855</v>
      </c>
      <c r="AK35" s="116">
        <f t="shared" si="29"/>
        <v>41975.514713570119</v>
      </c>
      <c r="AL35" s="150">
        <f t="shared" si="29"/>
        <v>41975.514713570119</v>
      </c>
      <c r="AM35" s="116">
        <f t="shared" si="29"/>
        <v>42563.775053844372</v>
      </c>
      <c r="AN35" s="116">
        <f t="shared" si="29"/>
        <v>42051.561626756913</v>
      </c>
      <c r="AO35" s="116">
        <f t="shared" si="29"/>
        <v>42246.912523074163</v>
      </c>
      <c r="AP35" s="116">
        <f t="shared" si="29"/>
        <v>42051.559425562744</v>
      </c>
      <c r="AQ35" s="150">
        <f t="shared" si="29"/>
        <v>42051.559425562744</v>
      </c>
      <c r="AR35" s="116">
        <f t="shared" si="29"/>
        <v>42671.425923750234</v>
      </c>
      <c r="AS35" s="116">
        <f t="shared" si="29"/>
        <v>42123.505934022309</v>
      </c>
      <c r="AT35" s="116">
        <f t="shared" si="29"/>
        <v>42326.399989681413</v>
      </c>
      <c r="AU35" s="116">
        <f t="shared" si="29"/>
        <v>42128.167949796181</v>
      </c>
      <c r="AV35" s="150">
        <f t="shared" si="29"/>
        <v>42128.167949796181</v>
      </c>
    </row>
    <row r="36" spans="1:48" ht="17.399999999999999" x14ac:dyDescent="0.45">
      <c r="B36" s="494" t="s">
        <v>242</v>
      </c>
      <c r="C36" s="495"/>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263" t="s">
        <v>25</v>
      </c>
      <c r="W36" s="264" t="s">
        <v>26</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486" t="s">
        <v>243</v>
      </c>
      <c r="C37" s="487"/>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+U37+'CFS 3Q2022'!V12+'CFS 3Q2022'!V35</f>
        <v>186.45820954892966</v>
      </c>
      <c r="W37" s="17">
        <f>V37</f>
        <v>186.45820954892966</v>
      </c>
      <c r="X37" s="16">
        <f>+V37+'CFS 3Q2022'!X12+'CFS 3Q2022'!X35</f>
        <v>259.14171867776389</v>
      </c>
      <c r="Y37" s="16">
        <f>+X37+'CFS 3Q2022'!Y12+'CFS 3Q2022'!Y35</f>
        <v>322.75017283030621</v>
      </c>
      <c r="Z37" s="16">
        <f>+Y37+'CFS 3Q2022'!Z12+'CFS 3Q2022'!Z35</f>
        <v>394.14182003442488</v>
      </c>
      <c r="AA37" s="16">
        <f>+Z37+'CFS 3Q2022'!AA12+'CFS 3Q2022'!AA35</f>
        <v>469.25798289260689</v>
      </c>
      <c r="AB37" s="17">
        <f>AA37</f>
        <v>469.25798289260689</v>
      </c>
      <c r="AC37" s="16">
        <f>+AA37+'CFS 3Q2022'!AC12+'CFS 3Q2022'!AC35</f>
        <v>546.47474132521199</v>
      </c>
      <c r="AD37" s="16">
        <f>+AC37+'CFS 3Q2022'!AD12+'CFS 3Q2022'!AD35</f>
        <v>618.4349244661995</v>
      </c>
      <c r="AE37" s="16">
        <f>+AD37+'CFS 3Q2022'!AE12+'CFS 3Q2022'!AE35</f>
        <v>697.90524446016502</v>
      </c>
      <c r="AF37" s="16">
        <f>+AE37+'CFS 3Q2022'!AF12+'CFS 3Q2022'!AF35</f>
        <v>779.70673807855428</v>
      </c>
      <c r="AG37" s="17">
        <f>AF37</f>
        <v>779.70673807855428</v>
      </c>
      <c r="AH37" s="16">
        <f>+AF37+'CFS 3Q2022'!AH12+'CFS 3Q2022'!AH35</f>
        <v>865.29467419792604</v>
      </c>
      <c r="AI37" s="16">
        <f>+AH37+'CFS 3Q2022'!AI12+'CFS 3Q2022'!AI35</f>
        <v>946.02848500918537</v>
      </c>
      <c r="AJ37" s="16">
        <f>+AI37+'CFS 3Q2022'!AJ12+'CFS 3Q2022'!AJ35</f>
        <v>1034.7182494358842</v>
      </c>
      <c r="AK37" s="16">
        <f>+AJ37+'CFS 3Q2022'!AK12+'CFS 3Q2022'!AK35</f>
        <v>1125.9054042884197</v>
      </c>
      <c r="AL37" s="17">
        <f>AK37</f>
        <v>1125.9054042884197</v>
      </c>
      <c r="AM37" s="16">
        <f>+AK37+'CFS 3Q2022'!AM12+'CFS 3Q2022'!AM35</f>
        <v>1220.0365894615813</v>
      </c>
      <c r="AN37" s="16">
        <f>+AM37+'CFS 3Q2022'!AN12+'CFS 3Q2022'!AN35</f>
        <v>1308.5096358032915</v>
      </c>
      <c r="AO37" s="16">
        <f>+AN37+'CFS 3Q2022'!AO12+'CFS 3Q2022'!AO35</f>
        <v>1405.2132203072395</v>
      </c>
      <c r="AP37" s="16">
        <f>+AO37+'CFS 3Q2022'!AP12+'CFS 3Q2022'!AP35</f>
        <v>1504.3172772593048</v>
      </c>
      <c r="AQ37" s="17">
        <f>AP37</f>
        <v>1504.3172772593048</v>
      </c>
      <c r="AR37" s="16">
        <f>+AP37+'CFS 3Q2022'!AR12+'CFS 3Q2022'!AR35</f>
        <v>1604.5801209780989</v>
      </c>
      <c r="AS37" s="16">
        <f>+AR37+'CFS 3Q2022'!AS12+'CFS 3Q2022'!AS35</f>
        <v>1698.7565742635986</v>
      </c>
      <c r="AT37" s="16">
        <f>+AS37+'CFS 3Q2022'!AT12+'CFS 3Q2022'!AT35</f>
        <v>1801.6462542996449</v>
      </c>
      <c r="AU37" s="16">
        <f>+AT37+'CFS 3Q2022'!AU12+'CFS 3Q2022'!AU35</f>
        <v>1907.1219524367916</v>
      </c>
      <c r="AV37" s="17">
        <f>AU37</f>
        <v>1907.1219524367916</v>
      </c>
    </row>
    <row r="38" spans="1:48" outlineLevel="1" x14ac:dyDescent="0.3">
      <c r="B38" s="527" t="s">
        <v>244</v>
      </c>
      <c r="C38" s="528"/>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f>U38+'CFS 3Q2022'!V6+'CFS 3Q2022'!V33+'CFS 3Q2022'!V34</f>
        <v>-8544.5597585978667</v>
      </c>
      <c r="W38" s="169">
        <f>V38</f>
        <v>-8544.5597585978667</v>
      </c>
      <c r="X38" s="101">
        <f>V38+'CFS 3Q2022'!X6+'CFS 3Q2022'!X33+'CFS 3Q2022'!X34</f>
        <v>-8330.5283028726026</v>
      </c>
      <c r="Y38" s="101">
        <f>X38+'CFS 3Q2022'!Y6+'CFS 3Q2022'!Y33+'CFS 3Q2022'!Y34</f>
        <v>-8138.3200640137202</v>
      </c>
      <c r="Z38" s="101">
        <f>Y38+'CFS 3Q2022'!Z6+'CFS 3Q2022'!Z33+'CFS 3Q2022'!Z34</f>
        <v>-7719.5795618038355</v>
      </c>
      <c r="AA38" s="101">
        <f>Z38+'CFS 3Q2022'!AA6+'CFS 3Q2022'!AA33+'CFS 3Q2022'!AA34</f>
        <v>-7263.3117074142547</v>
      </c>
      <c r="AB38" s="169">
        <f>AA38</f>
        <v>-7263.3117074142547</v>
      </c>
      <c r="AC38" s="101">
        <f>AA38+'CFS 3Q2022'!AC6+'CFS 3Q2022'!AC33+'CFS 3Q2022'!AC34</f>
        <v>-6745.99993080476</v>
      </c>
      <c r="AD38" s="101">
        <f>AC38+'CFS 3Q2022'!AD6+'CFS 3Q2022'!AD33+'CFS 3Q2022'!AD34</f>
        <v>-6425.5475532177607</v>
      </c>
      <c r="AE38" s="101">
        <f>AD38+'CFS 3Q2022'!AE6+'CFS 3Q2022'!AE33+'CFS 3Q2022'!AE34</f>
        <v>-5980.4430972711452</v>
      </c>
      <c r="AF38" s="101">
        <f>AE38+'CFS 3Q2022'!AF6+'CFS 3Q2022'!AF33+'CFS 3Q2022'!AF34</f>
        <v>-5580.3510850108341</v>
      </c>
      <c r="AG38" s="169">
        <f>AF38</f>
        <v>-5580.3510850108341</v>
      </c>
      <c r="AH38" s="101">
        <f>AF38+'CFS 3Q2022'!AH6+'CFS 3Q2022'!AH33+'CFS 3Q2022'!AH34</f>
        <v>-5000.5147469520643</v>
      </c>
      <c r="AI38" s="101">
        <f>AH38+'CFS 3Q2022'!AI6+'CFS 3Q2022'!AI33+'CFS 3Q2022'!AI34</f>
        <v>-4637.8257347279014</v>
      </c>
      <c r="AJ38" s="101">
        <f>AI38+'CFS 3Q2022'!AJ6+'CFS 3Q2022'!AJ33+'CFS 3Q2022'!AJ34</f>
        <v>-9057.3979466439541</v>
      </c>
      <c r="AK38" s="101">
        <f>AJ38+'CFS 3Q2022'!AK6+'CFS 3Q2022'!AK33+'CFS 3Q2022'!AK34</f>
        <v>-13602.940365036307</v>
      </c>
      <c r="AL38" s="169">
        <f>AK38</f>
        <v>-13602.940365036307</v>
      </c>
      <c r="AM38" s="101">
        <f>AK38+'CFS 3Q2022'!AM6+'CFS 3Q2022'!AM33+'CFS 3Q2022'!AM34</f>
        <v>-13103.628861675912</v>
      </c>
      <c r="AN38" s="101">
        <f>AM38+'CFS 3Q2022'!AN6+'CFS 3Q2022'!AN33+'CFS 3Q2022'!AN34</f>
        <v>-12850.834573624603</v>
      </c>
      <c r="AO38" s="101">
        <f>AN38+'CFS 3Q2022'!AO6+'CFS 3Q2022'!AO33+'CFS 3Q2022'!AO34</f>
        <v>-12251.904316226672</v>
      </c>
      <c r="AP38" s="101">
        <f>AO38+'CFS 3Q2022'!AP6+'CFS 3Q2022'!AP33+'CFS 3Q2022'!AP34</f>
        <v>-11730.337706687566</v>
      </c>
      <c r="AQ38" s="169">
        <f>AP38</f>
        <v>-11730.337706687566</v>
      </c>
      <c r="AR38" s="101">
        <f>AP38+'CFS 3Q2022'!AR6+'CFS 3Q2022'!AR33+'CFS 3Q2022'!AR34</f>
        <v>-11108.296328505026</v>
      </c>
      <c r="AS38" s="101">
        <f>AR38+'CFS 3Q2022'!AS6+'CFS 3Q2022'!AS33+'CFS 3Q2022'!AS34</f>
        <v>-10747.293875603475</v>
      </c>
      <c r="AT38" s="101">
        <f>AS38+'CFS 3Q2022'!AT6+'CFS 3Q2022'!AT33+'CFS 3Q2022'!AT34</f>
        <v>-10044.90226716673</v>
      </c>
      <c r="AU38" s="101">
        <f>AT38+'CFS 3Q2022'!AU6+'CFS 3Q2022'!AU33+'CFS 3Q2022'!AU34</f>
        <v>-9428.1990342846584</v>
      </c>
      <c r="AV38" s="169">
        <f>AU38</f>
        <v>-9428.1990342846584</v>
      </c>
    </row>
    <row r="39" spans="1:48" outlineLevel="1" x14ac:dyDescent="0.3">
      <c r="B39" s="527" t="s">
        <v>245</v>
      </c>
      <c r="C39" s="528"/>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f t="shared" ref="V39:W40" si="30">+U39</f>
        <v>-65</v>
      </c>
      <c r="W39" s="169">
        <f t="shared" si="30"/>
        <v>-65</v>
      </c>
      <c r="X39" s="101">
        <f>+V39</f>
        <v>-65</v>
      </c>
      <c r="Y39" s="101">
        <f t="shared" ref="Y39:AB40" si="31">+X39</f>
        <v>-65</v>
      </c>
      <c r="Z39" s="101">
        <f t="shared" si="31"/>
        <v>-65</v>
      </c>
      <c r="AA39" s="101">
        <f t="shared" si="31"/>
        <v>-65</v>
      </c>
      <c r="AB39" s="169">
        <f t="shared" si="31"/>
        <v>-65</v>
      </c>
      <c r="AC39" s="101">
        <f>+AA39</f>
        <v>-65</v>
      </c>
      <c r="AD39" s="101">
        <f t="shared" ref="AD39:AG40" si="32">+AC39</f>
        <v>-65</v>
      </c>
      <c r="AE39" s="101">
        <f t="shared" si="32"/>
        <v>-65</v>
      </c>
      <c r="AF39" s="101">
        <f t="shared" si="32"/>
        <v>-65</v>
      </c>
      <c r="AG39" s="169">
        <f t="shared" si="32"/>
        <v>-65</v>
      </c>
      <c r="AH39" s="101">
        <f>+AF39</f>
        <v>-65</v>
      </c>
      <c r="AI39" s="101">
        <f t="shared" ref="AI39:AL40" si="33">+AH39</f>
        <v>-65</v>
      </c>
      <c r="AJ39" s="101">
        <f t="shared" si="33"/>
        <v>-65</v>
      </c>
      <c r="AK39" s="101">
        <f t="shared" si="33"/>
        <v>-65</v>
      </c>
      <c r="AL39" s="169">
        <f t="shared" si="33"/>
        <v>-65</v>
      </c>
      <c r="AM39" s="101">
        <f>+AK39</f>
        <v>-65</v>
      </c>
      <c r="AN39" s="101">
        <f t="shared" ref="AN39:AQ40" si="34">+AM39</f>
        <v>-65</v>
      </c>
      <c r="AO39" s="101">
        <f t="shared" si="34"/>
        <v>-65</v>
      </c>
      <c r="AP39" s="101">
        <f t="shared" si="34"/>
        <v>-65</v>
      </c>
      <c r="AQ39" s="169">
        <f t="shared" si="34"/>
        <v>-65</v>
      </c>
      <c r="AR39" s="101">
        <f>+AP39</f>
        <v>-65</v>
      </c>
      <c r="AS39" s="101">
        <f t="shared" ref="AS39:AV40" si="35">+AR39</f>
        <v>-65</v>
      </c>
      <c r="AT39" s="101">
        <f t="shared" si="35"/>
        <v>-65</v>
      </c>
      <c r="AU39" s="101">
        <f t="shared" si="35"/>
        <v>-65</v>
      </c>
      <c r="AV39" s="169">
        <f t="shared" si="35"/>
        <v>-65</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f t="shared" si="30"/>
        <v>7.6</v>
      </c>
      <c r="W40" s="262">
        <f t="shared" si="30"/>
        <v>7.6</v>
      </c>
      <c r="X40" s="112">
        <f>+V40</f>
        <v>7.6</v>
      </c>
      <c r="Y40" s="112">
        <f t="shared" si="31"/>
        <v>7.6</v>
      </c>
      <c r="Z40" s="112">
        <f t="shared" si="31"/>
        <v>7.6</v>
      </c>
      <c r="AA40" s="112">
        <f t="shared" si="31"/>
        <v>7.6</v>
      </c>
      <c r="AB40" s="262">
        <f t="shared" si="31"/>
        <v>7.6</v>
      </c>
      <c r="AC40" s="112">
        <f>+AA40</f>
        <v>7.6</v>
      </c>
      <c r="AD40" s="112">
        <f t="shared" si="32"/>
        <v>7.6</v>
      </c>
      <c r="AE40" s="112">
        <f t="shared" si="32"/>
        <v>7.6</v>
      </c>
      <c r="AF40" s="112">
        <f t="shared" si="32"/>
        <v>7.6</v>
      </c>
      <c r="AG40" s="262">
        <f t="shared" si="32"/>
        <v>7.6</v>
      </c>
      <c r="AH40" s="112">
        <f>+AF40</f>
        <v>7.6</v>
      </c>
      <c r="AI40" s="112">
        <f t="shared" si="33"/>
        <v>7.6</v>
      </c>
      <c r="AJ40" s="112">
        <f t="shared" si="33"/>
        <v>7.6</v>
      </c>
      <c r="AK40" s="112">
        <f t="shared" si="33"/>
        <v>7.6</v>
      </c>
      <c r="AL40" s="262">
        <f t="shared" si="33"/>
        <v>7.6</v>
      </c>
      <c r="AM40" s="112">
        <f>+AK40</f>
        <v>7.6</v>
      </c>
      <c r="AN40" s="112">
        <f t="shared" si="34"/>
        <v>7.6</v>
      </c>
      <c r="AO40" s="112">
        <f t="shared" si="34"/>
        <v>7.6</v>
      </c>
      <c r="AP40" s="112">
        <f t="shared" si="34"/>
        <v>7.6</v>
      </c>
      <c r="AQ40" s="262">
        <f t="shared" si="34"/>
        <v>7.6</v>
      </c>
      <c r="AR40" s="112">
        <f>+AP40</f>
        <v>7.6</v>
      </c>
      <c r="AS40" s="112">
        <f t="shared" si="35"/>
        <v>7.6</v>
      </c>
      <c r="AT40" s="112">
        <f t="shared" si="35"/>
        <v>7.6</v>
      </c>
      <c r="AU40" s="112">
        <f t="shared" si="35"/>
        <v>7.6</v>
      </c>
      <c r="AV40" s="262">
        <f t="shared" si="35"/>
        <v>7.6</v>
      </c>
    </row>
    <row r="41" spans="1:48" outlineLevel="1" x14ac:dyDescent="0.3">
      <c r="B41" s="525" t="s">
        <v>247</v>
      </c>
      <c r="C41" s="526"/>
      <c r="D41" s="21">
        <f t="shared" ref="D41:AV41" si="36">SUM(D37:D40)</f>
        <v>-2878.7999999999997</v>
      </c>
      <c r="E41" s="21">
        <f t="shared" si="36"/>
        <v>-5035.2</v>
      </c>
      <c r="F41" s="21">
        <f t="shared" si="36"/>
        <v>-4319</v>
      </c>
      <c r="G41" s="21">
        <f t="shared" si="36"/>
        <v>-6231</v>
      </c>
      <c r="H41" s="22">
        <f t="shared" si="36"/>
        <v>-6231</v>
      </c>
      <c r="I41" s="21">
        <f t="shared" si="36"/>
        <v>-6759.0999999999995</v>
      </c>
      <c r="J41" s="21">
        <f t="shared" si="36"/>
        <v>-7532.9000000000005</v>
      </c>
      <c r="K41" s="21">
        <f t="shared" si="36"/>
        <v>-8624.2999999999993</v>
      </c>
      <c r="L41" s="21">
        <f t="shared" si="36"/>
        <v>-7799.4000000000005</v>
      </c>
      <c r="M41" s="22">
        <f t="shared" si="36"/>
        <v>-7799.4000000000005</v>
      </c>
      <c r="N41" s="21">
        <f t="shared" si="36"/>
        <v>-7904</v>
      </c>
      <c r="O41" s="21">
        <f t="shared" si="36"/>
        <v>-7648.3</v>
      </c>
      <c r="P41" s="21">
        <f t="shared" si="36"/>
        <v>-6794.3</v>
      </c>
      <c r="Q41" s="21">
        <f t="shared" si="36"/>
        <v>-5314.5</v>
      </c>
      <c r="R41" s="22">
        <f t="shared" si="36"/>
        <v>-5314.5</v>
      </c>
      <c r="S41" s="21">
        <f t="shared" si="36"/>
        <v>-8450.3000000000011</v>
      </c>
      <c r="T41" s="21">
        <f t="shared" si="36"/>
        <v>-8761.2000000000007</v>
      </c>
      <c r="U41" s="21">
        <f t="shared" si="36"/>
        <v>-8658.9</v>
      </c>
      <c r="V41" s="21">
        <f t="shared" si="36"/>
        <v>-8415.5015490489368</v>
      </c>
      <c r="W41" s="22">
        <f t="shared" si="36"/>
        <v>-8415.5015490489368</v>
      </c>
      <c r="X41" s="21">
        <f t="shared" si="36"/>
        <v>-8128.7865841948387</v>
      </c>
      <c r="Y41" s="21">
        <f t="shared" si="36"/>
        <v>-7872.9698911834139</v>
      </c>
      <c r="Z41" s="21">
        <f t="shared" si="36"/>
        <v>-7382.8377417694101</v>
      </c>
      <c r="AA41" s="21">
        <f t="shared" si="36"/>
        <v>-6851.453724521647</v>
      </c>
      <c r="AB41" s="22">
        <f t="shared" si="36"/>
        <v>-6851.453724521647</v>
      </c>
      <c r="AC41" s="21">
        <f t="shared" si="36"/>
        <v>-6256.925189479548</v>
      </c>
      <c r="AD41" s="21">
        <f t="shared" si="36"/>
        <v>-5864.5126287515604</v>
      </c>
      <c r="AE41" s="21">
        <f t="shared" si="36"/>
        <v>-5339.9378528109801</v>
      </c>
      <c r="AF41" s="21">
        <f t="shared" si="36"/>
        <v>-4858.04434693228</v>
      </c>
      <c r="AG41" s="22">
        <f t="shared" si="36"/>
        <v>-4858.04434693228</v>
      </c>
      <c r="AH41" s="21">
        <f t="shared" si="36"/>
        <v>-4192.6200727541382</v>
      </c>
      <c r="AI41" s="21">
        <f t="shared" si="36"/>
        <v>-3749.1972497187162</v>
      </c>
      <c r="AJ41" s="21">
        <f t="shared" si="36"/>
        <v>-8080.0796972080698</v>
      </c>
      <c r="AK41" s="21">
        <f t="shared" si="36"/>
        <v>-12534.434960747887</v>
      </c>
      <c r="AL41" s="22">
        <f t="shared" si="36"/>
        <v>-12534.434960747887</v>
      </c>
      <c r="AM41" s="21">
        <f t="shared" si="36"/>
        <v>-11940.992272214331</v>
      </c>
      <c r="AN41" s="21">
        <f t="shared" si="36"/>
        <v>-11599.724937821311</v>
      </c>
      <c r="AO41" s="21">
        <f t="shared" si="36"/>
        <v>-10904.091095919432</v>
      </c>
      <c r="AP41" s="21">
        <f t="shared" si="36"/>
        <v>-10283.420429428261</v>
      </c>
      <c r="AQ41" s="22">
        <f t="shared" si="36"/>
        <v>-10283.420429428261</v>
      </c>
      <c r="AR41" s="21">
        <f t="shared" si="36"/>
        <v>-9561.1162075269276</v>
      </c>
      <c r="AS41" s="21">
        <f t="shared" si="36"/>
        <v>-9105.9373013398763</v>
      </c>
      <c r="AT41" s="21">
        <f t="shared" si="36"/>
        <v>-8300.6560128670844</v>
      </c>
      <c r="AU41" s="21">
        <f t="shared" si="36"/>
        <v>-7578.4770818478664</v>
      </c>
      <c r="AV41" s="22">
        <f t="shared" si="36"/>
        <v>-7578.4770818478664</v>
      </c>
    </row>
    <row r="42" spans="1:48" outlineLevel="1" x14ac:dyDescent="0.3">
      <c r="B42" s="523" t="s">
        <v>248</v>
      </c>
      <c r="C42" s="524"/>
      <c r="D42" s="267">
        <f t="shared" ref="D42:AV42" si="37">D41+D35</f>
        <v>19981.300000000003</v>
      </c>
      <c r="E42" s="267">
        <f t="shared" si="37"/>
        <v>17641.899999999998</v>
      </c>
      <c r="F42" s="267">
        <f t="shared" si="37"/>
        <v>20894.400000000001</v>
      </c>
      <c r="G42" s="267">
        <f t="shared" si="37"/>
        <v>19219.599999999999</v>
      </c>
      <c r="H42" s="268">
        <f t="shared" si="37"/>
        <v>19219.599999999999</v>
      </c>
      <c r="I42" s="267">
        <f t="shared" si="37"/>
        <v>27731.300000000003</v>
      </c>
      <c r="J42" s="267">
        <f t="shared" si="37"/>
        <v>27478.9</v>
      </c>
      <c r="K42" s="267">
        <f t="shared" si="37"/>
        <v>29140.599999999995</v>
      </c>
      <c r="L42" s="267">
        <f t="shared" si="37"/>
        <v>29374.500000000007</v>
      </c>
      <c r="M42" s="268">
        <f t="shared" si="37"/>
        <v>29374.500000000007</v>
      </c>
      <c r="N42" s="267">
        <f t="shared" si="37"/>
        <v>29968.400000000001</v>
      </c>
      <c r="O42" s="267">
        <f t="shared" si="37"/>
        <v>28371.7</v>
      </c>
      <c r="P42" s="267">
        <f t="shared" si="37"/>
        <v>29476.799999999999</v>
      </c>
      <c r="Q42" s="267">
        <f t="shared" si="37"/>
        <v>31392.600000000006</v>
      </c>
      <c r="R42" s="268">
        <f t="shared" si="37"/>
        <v>31392.600000000006</v>
      </c>
      <c r="S42" s="267">
        <f t="shared" si="37"/>
        <v>28833.899999999994</v>
      </c>
      <c r="T42" s="267">
        <f t="shared" si="37"/>
        <v>29021.499999999996</v>
      </c>
      <c r="U42" s="267">
        <f t="shared" si="37"/>
        <v>28156.199999999997</v>
      </c>
      <c r="V42" s="267">
        <f t="shared" si="37"/>
        <v>28004.878285495273</v>
      </c>
      <c r="W42" s="268">
        <f t="shared" si="37"/>
        <v>28004.878285495273</v>
      </c>
      <c r="X42" s="267">
        <f t="shared" si="37"/>
        <v>28761.8953499462</v>
      </c>
      <c r="Y42" s="267">
        <f t="shared" si="37"/>
        <v>28615.107192740426</v>
      </c>
      <c r="Z42" s="267">
        <f t="shared" si="37"/>
        <v>29250.538472152646</v>
      </c>
      <c r="AA42" s="267">
        <f t="shared" si="37"/>
        <v>29548.429336829053</v>
      </c>
      <c r="AB42" s="268">
        <f t="shared" si="37"/>
        <v>29548.429336829053</v>
      </c>
      <c r="AC42" s="267">
        <f t="shared" si="37"/>
        <v>30689.130335318394</v>
      </c>
      <c r="AD42" s="267">
        <f t="shared" si="37"/>
        <v>30643.655704882978</v>
      </c>
      <c r="AE42" s="267">
        <f t="shared" si="37"/>
        <v>31306.106145245198</v>
      </c>
      <c r="AF42" s="267">
        <f t="shared" si="37"/>
        <v>31714.868865626391</v>
      </c>
      <c r="AG42" s="268">
        <f t="shared" si="37"/>
        <v>31714.868865626391</v>
      </c>
      <c r="AH42" s="267">
        <f t="shared" si="37"/>
        <v>32955.355949344106</v>
      </c>
      <c r="AI42" s="267">
        <f t="shared" si="37"/>
        <v>32939.38345116462</v>
      </c>
      <c r="AJ42" s="267">
        <f t="shared" si="37"/>
        <v>34082.477327231783</v>
      </c>
      <c r="AK42" s="267">
        <f t="shared" si="37"/>
        <v>29441.079752822232</v>
      </c>
      <c r="AL42" s="268">
        <f t="shared" si="37"/>
        <v>29441.079752822232</v>
      </c>
      <c r="AM42" s="267">
        <f t="shared" si="37"/>
        <v>30622.782781630041</v>
      </c>
      <c r="AN42" s="267">
        <f t="shared" si="37"/>
        <v>30451.836688935604</v>
      </c>
      <c r="AO42" s="267">
        <f t="shared" si="37"/>
        <v>31342.821427154733</v>
      </c>
      <c r="AP42" s="267">
        <f t="shared" si="37"/>
        <v>31768.138996134483</v>
      </c>
      <c r="AQ42" s="268">
        <f t="shared" si="37"/>
        <v>31768.138996134483</v>
      </c>
      <c r="AR42" s="267">
        <f t="shared" si="37"/>
        <v>33110.309716223303</v>
      </c>
      <c r="AS42" s="267">
        <f t="shared" si="37"/>
        <v>33017.568632682436</v>
      </c>
      <c r="AT42" s="267">
        <f t="shared" si="37"/>
        <v>34025.74397681433</v>
      </c>
      <c r="AU42" s="267">
        <f t="shared" si="37"/>
        <v>34549.690867948317</v>
      </c>
      <c r="AV42" s="268">
        <f t="shared" si="37"/>
        <v>34549.690867948317</v>
      </c>
    </row>
    <row r="43" spans="1:48" x14ac:dyDescent="0.3">
      <c r="B43" s="269"/>
      <c r="C43" s="270"/>
      <c r="D43" s="271">
        <f t="shared" ref="D43:AV43" si="38">ROUND((D42-D20),0)</f>
        <v>0</v>
      </c>
      <c r="E43" s="271">
        <f t="shared" si="38"/>
        <v>0</v>
      </c>
      <c r="F43" s="271">
        <f t="shared" si="38"/>
        <v>0</v>
      </c>
      <c r="G43" s="271">
        <f t="shared" si="38"/>
        <v>0</v>
      </c>
      <c r="H43" s="271">
        <f t="shared" si="38"/>
        <v>0</v>
      </c>
      <c r="I43" s="271">
        <f t="shared" si="38"/>
        <v>0</v>
      </c>
      <c r="J43" s="271">
        <f t="shared" si="38"/>
        <v>0</v>
      </c>
      <c r="K43" s="271">
        <f t="shared" si="38"/>
        <v>0</v>
      </c>
      <c r="L43" s="272">
        <f t="shared" si="38"/>
        <v>0</v>
      </c>
      <c r="M43" s="272">
        <f t="shared" si="38"/>
        <v>0</v>
      </c>
      <c r="N43" s="272">
        <f t="shared" si="38"/>
        <v>0</v>
      </c>
      <c r="O43" s="272">
        <f t="shared" si="38"/>
        <v>0</v>
      </c>
      <c r="P43" s="272">
        <f t="shared" si="38"/>
        <v>0</v>
      </c>
      <c r="Q43" s="272">
        <f t="shared" si="38"/>
        <v>0</v>
      </c>
      <c r="R43" s="272">
        <f t="shared" si="38"/>
        <v>0</v>
      </c>
      <c r="S43" s="272">
        <f t="shared" si="38"/>
        <v>0</v>
      </c>
      <c r="T43" s="272">
        <f t="shared" si="38"/>
        <v>0</v>
      </c>
      <c r="U43" s="272">
        <f t="shared" si="38"/>
        <v>0</v>
      </c>
      <c r="V43" s="272">
        <f t="shared" si="38"/>
        <v>0</v>
      </c>
      <c r="W43" s="272">
        <f t="shared" si="38"/>
        <v>0</v>
      </c>
      <c r="X43" s="272">
        <f t="shared" si="38"/>
        <v>0</v>
      </c>
      <c r="Y43" s="272">
        <f t="shared" si="38"/>
        <v>0</v>
      </c>
      <c r="Z43" s="272">
        <f t="shared" si="38"/>
        <v>0</v>
      </c>
      <c r="AA43" s="272">
        <f t="shared" si="38"/>
        <v>0</v>
      </c>
      <c r="AB43" s="272">
        <f t="shared" si="38"/>
        <v>0</v>
      </c>
      <c r="AC43" s="272">
        <f t="shared" si="38"/>
        <v>0</v>
      </c>
      <c r="AD43" s="272">
        <f t="shared" si="38"/>
        <v>0</v>
      </c>
      <c r="AE43" s="272">
        <f t="shared" si="38"/>
        <v>0</v>
      </c>
      <c r="AF43" s="272">
        <f t="shared" si="38"/>
        <v>0</v>
      </c>
      <c r="AG43" s="272">
        <f t="shared" si="38"/>
        <v>0</v>
      </c>
      <c r="AH43" s="272">
        <f t="shared" si="38"/>
        <v>0</v>
      </c>
      <c r="AI43" s="272">
        <f t="shared" si="38"/>
        <v>0</v>
      </c>
      <c r="AJ43" s="272">
        <f t="shared" si="38"/>
        <v>0</v>
      </c>
      <c r="AK43" s="272">
        <f t="shared" si="38"/>
        <v>0</v>
      </c>
      <c r="AL43" s="272">
        <f t="shared" si="38"/>
        <v>0</v>
      </c>
      <c r="AM43" s="272">
        <f t="shared" si="38"/>
        <v>0</v>
      </c>
      <c r="AN43" s="272">
        <f t="shared" si="38"/>
        <v>0</v>
      </c>
      <c r="AO43" s="272">
        <f t="shared" si="38"/>
        <v>0</v>
      </c>
      <c r="AP43" s="272">
        <f t="shared" si="38"/>
        <v>0</v>
      </c>
      <c r="AQ43" s="272">
        <f t="shared" si="38"/>
        <v>0</v>
      </c>
      <c r="AR43" s="272">
        <f t="shared" si="38"/>
        <v>0</v>
      </c>
      <c r="AS43" s="272">
        <f t="shared" si="38"/>
        <v>0</v>
      </c>
      <c r="AT43" s="272">
        <f t="shared" si="38"/>
        <v>0</v>
      </c>
      <c r="AU43" s="272">
        <f t="shared" si="38"/>
        <v>0</v>
      </c>
      <c r="AV43" s="272">
        <f t="shared" si="38"/>
        <v>0</v>
      </c>
    </row>
    <row r="44" spans="1:48" ht="15.6" x14ac:dyDescent="0.3">
      <c r="B44" s="494" t="s">
        <v>249</v>
      </c>
      <c r="C44" s="495"/>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5" t="s">
        <v>20</v>
      </c>
      <c r="W44" s="41" t="s">
        <v>20</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12"/>
      <c r="C45" s="513"/>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2" t="s">
        <v>25</v>
      </c>
      <c r="W45" s="42" t="s">
        <v>26</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486" t="s">
        <v>251</v>
      </c>
      <c r="C47" s="487"/>
      <c r="D47" s="275">
        <v>9.1942057111172737</v>
      </c>
      <c r="E47" s="276">
        <v>8.9623365548607161</v>
      </c>
      <c r="F47" s="276">
        <v>8.6301543131798635</v>
      </c>
      <c r="G47" s="276">
        <v>7.6757679180887379</v>
      </c>
      <c r="H47" s="126"/>
      <c r="I47" s="276">
        <v>7.8153287082920375</v>
      </c>
      <c r="J47" s="276">
        <v>6.3716259298618487</v>
      </c>
      <c r="K47" s="276">
        <v>4.7918510952218822</v>
      </c>
      <c r="L47" s="276">
        <v>7.0218474077428121</v>
      </c>
      <c r="M47" s="31"/>
      <c r="N47" s="276">
        <v>7.6006756756756761</v>
      </c>
      <c r="O47" s="276">
        <v>7.5755510111338324</v>
      </c>
      <c r="P47" s="276">
        <v>8.2270632133450388</v>
      </c>
      <c r="Q47" s="276">
        <v>8.6667021276595744</v>
      </c>
      <c r="R47" s="31"/>
      <c r="S47" s="276">
        <v>7.8075841334497138</v>
      </c>
      <c r="T47" s="276">
        <v>7.6211198722427387</v>
      </c>
      <c r="U47" s="276">
        <v>7.1111595846784761</v>
      </c>
      <c r="V47" s="277">
        <f>AVERAGE(Q47,L47,G47)</f>
        <v>7.7881058178303748</v>
      </c>
      <c r="W47" s="31"/>
      <c r="X47" s="277">
        <f t="shared" ref="X47:AA47" si="39">AVERAGE(S47,N47,I47)</f>
        <v>7.7411961724724749</v>
      </c>
      <c r="Y47" s="277">
        <f t="shared" si="39"/>
        <v>7.1894322710794727</v>
      </c>
      <c r="Z47" s="277">
        <f t="shared" si="39"/>
        <v>6.7100246310817999</v>
      </c>
      <c r="AA47" s="277">
        <f t="shared" si="39"/>
        <v>7.8255517844109201</v>
      </c>
      <c r="AB47" s="278"/>
      <c r="AC47" s="277">
        <f t="shared" ref="AC47" si="40">AVERAGE(X47,S47,N47)</f>
        <v>7.7164853271992895</v>
      </c>
      <c r="AD47" s="277">
        <f t="shared" ref="AD47" si="41">AVERAGE(Y47,T47,O47)</f>
        <v>7.4620343848186819</v>
      </c>
      <c r="AE47" s="277">
        <f t="shared" ref="AE47" si="42">AVERAGE(Z47,U47,P47)</f>
        <v>7.3494158097017719</v>
      </c>
      <c r="AF47" s="277">
        <f t="shared" ref="AF47" si="43">AVERAGE(AA47,V47,Q47)</f>
        <v>8.0934532433002904</v>
      </c>
      <c r="AG47" s="278"/>
      <c r="AH47" s="277">
        <f t="shared" ref="AH47" si="44">AVERAGE(AC47,X47,S47)</f>
        <v>7.7550885443738267</v>
      </c>
      <c r="AI47" s="277">
        <f t="shared" ref="AI47" si="45">AVERAGE(AD47,Y47,T47)</f>
        <v>7.4241955093802972</v>
      </c>
      <c r="AJ47" s="277">
        <f t="shared" ref="AJ47" si="46">AVERAGE(AE47,Z47,U47)</f>
        <v>7.0568666751540157</v>
      </c>
      <c r="AK47" s="277">
        <f t="shared" ref="AK47" si="47">AVERAGE(AF47,AA47,V47)</f>
        <v>7.9023702818471948</v>
      </c>
      <c r="AL47" s="278"/>
      <c r="AM47" s="277">
        <f t="shared" ref="AM47" si="48">AVERAGE(AH47,AC47,X47)</f>
        <v>7.7375900146818637</v>
      </c>
      <c r="AN47" s="277">
        <f t="shared" ref="AN47" si="49">AVERAGE(AI47,AD47,Y47)</f>
        <v>7.3585540550928172</v>
      </c>
      <c r="AO47" s="277">
        <f t="shared" ref="AO47" si="50">AVERAGE(AJ47,AE47,Z47)</f>
        <v>7.0387690386458628</v>
      </c>
      <c r="AP47" s="277">
        <f t="shared" ref="AP47" si="51">AVERAGE(AK47,AF47,AA47)</f>
        <v>7.9404584365194681</v>
      </c>
      <c r="AQ47" s="278"/>
      <c r="AR47" s="277">
        <f t="shared" ref="AR47" si="52">AVERAGE(AM47,AH47,AC47)</f>
        <v>7.7363879620849936</v>
      </c>
      <c r="AS47" s="277">
        <f t="shared" ref="AS47" si="53">AVERAGE(AN47,AI47,AD47)</f>
        <v>7.4149279830972654</v>
      </c>
      <c r="AT47" s="277">
        <f t="shared" ref="AT47" si="54">AVERAGE(AO47,AJ47,AE47)</f>
        <v>7.1483505078338831</v>
      </c>
      <c r="AU47" s="277">
        <f t="shared" ref="AU47" si="55">AVERAGE(AP47,AK47,AF47)</f>
        <v>7.9787606538889841</v>
      </c>
      <c r="AV47" s="278"/>
    </row>
    <row r="48" spans="1:48" s="23" customFormat="1" outlineLevel="1" x14ac:dyDescent="0.3">
      <c r="B48" s="504" t="s">
        <v>252</v>
      </c>
      <c r="C48" s="505"/>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11.812885206229714</v>
      </c>
      <c r="W48" s="31"/>
      <c r="X48" s="279">
        <f>X46/X47</f>
        <v>11.884468233365535</v>
      </c>
      <c r="Y48" s="279">
        <f>Y46/Y47</f>
        <v>12.518373719443463</v>
      </c>
      <c r="Z48" s="279">
        <f>Z46/Z47</f>
        <v>13.561798205400752</v>
      </c>
      <c r="AA48" s="279">
        <f>AA46/AA47</f>
        <v>11.756359491898172</v>
      </c>
      <c r="AB48" s="31"/>
      <c r="AC48" s="279">
        <f>AC46/AC47</f>
        <v>11.922526396274707</v>
      </c>
      <c r="AD48" s="279">
        <f>AD46/AD47</f>
        <v>12.195065756482867</v>
      </c>
      <c r="AE48" s="279">
        <f>AE46/AE47</f>
        <v>12.381936517984638</v>
      </c>
      <c r="AF48" s="279">
        <f>AF46/AF47</f>
        <v>11.367212144724135</v>
      </c>
      <c r="AG48" s="31"/>
      <c r="AH48" s="279">
        <f>AH46/AH47</f>
        <v>11.863178540591171</v>
      </c>
      <c r="AI48" s="279">
        <f>AI46/AI47</f>
        <v>12.122525583585064</v>
      </c>
      <c r="AJ48" s="279">
        <f>AJ46/AJ47</f>
        <v>12.89524149866611</v>
      </c>
      <c r="AK48" s="279">
        <f>AK46/AK47</f>
        <v>11.642076581925849</v>
      </c>
      <c r="AL48" s="31"/>
      <c r="AM48" s="279">
        <f>AM46/AM47</f>
        <v>11.890007072671533</v>
      </c>
      <c r="AN48" s="279">
        <f>AN46/AN47</f>
        <v>12.230663704605318</v>
      </c>
      <c r="AO48" s="279">
        <f>AO46/AO47</f>
        <v>12.928396925708309</v>
      </c>
      <c r="AP48" s="279">
        <f>AP46/AP47</f>
        <v>11.58623280198495</v>
      </c>
      <c r="AQ48" s="31"/>
      <c r="AR48" s="279">
        <f>AR46/AR47</f>
        <v>11.89185449991388</v>
      </c>
      <c r="AS48" s="279">
        <f>AS46/AS47</f>
        <v>12.137676887106648</v>
      </c>
      <c r="AT48" s="279">
        <f>AT46/AT47</f>
        <v>12.730209563769016</v>
      </c>
      <c r="AU48" s="279">
        <f>AU46/AU47</f>
        <v>11.530612834608297</v>
      </c>
      <c r="AV48" s="31"/>
    </row>
    <row r="49" spans="2:48" outlineLevel="1" x14ac:dyDescent="0.3">
      <c r="B49" s="486" t="s">
        <v>253</v>
      </c>
      <c r="C49" s="487"/>
      <c r="D49" s="275">
        <v>1.6062306215857083</v>
      </c>
      <c r="E49" s="275">
        <v>1.3943173943173943</v>
      </c>
      <c r="F49" s="276">
        <v>1.4497759029791721</v>
      </c>
      <c r="G49" s="276">
        <v>1.3989146070354381</v>
      </c>
      <c r="H49" s="126"/>
      <c r="I49" s="276">
        <v>1.5875630013487614</v>
      </c>
      <c r="J49" s="276">
        <v>1.3387615601125855</v>
      </c>
      <c r="K49" s="276">
        <v>0.93698699330723578</v>
      </c>
      <c r="L49" s="276">
        <v>1.2742039448240299</v>
      </c>
      <c r="M49" s="31"/>
      <c r="N49" s="276">
        <v>1.3925246347264695</v>
      </c>
      <c r="O49" s="276">
        <v>1.3250864591646716</v>
      </c>
      <c r="P49" s="276">
        <v>1.4248805063945227</v>
      </c>
      <c r="Q49" s="276">
        <v>1.5531516927489244</v>
      </c>
      <c r="R49" s="31"/>
      <c r="S49" s="276">
        <v>1.5435220817298883</v>
      </c>
      <c r="T49" s="276">
        <v>1.2842708333333335</v>
      </c>
      <c r="U49" s="276">
        <v>1.2253739040742651</v>
      </c>
      <c r="V49" s="277">
        <f>AVERAGE(Q49,L49,G49)</f>
        <v>1.4087567482027976</v>
      </c>
      <c r="W49" s="31"/>
      <c r="X49" s="277">
        <f t="shared" ref="X49" si="56">AVERAGE(S49,N49,I49)</f>
        <v>1.5078699059350396</v>
      </c>
      <c r="Y49" s="277">
        <f t="shared" ref="Y49" si="57">AVERAGE(T49,O49,J49)</f>
        <v>1.3160396175368636</v>
      </c>
      <c r="Z49" s="277">
        <f t="shared" ref="Z49" si="58">AVERAGE(U49,P49,K49)</f>
        <v>1.1957471345920079</v>
      </c>
      <c r="AA49" s="277">
        <f t="shared" ref="AA49" si="59">AVERAGE(V49,Q49,L49)</f>
        <v>1.4120374619252507</v>
      </c>
      <c r="AB49" s="278"/>
      <c r="AC49" s="277">
        <f t="shared" ref="AC49" si="60">AVERAGE(X49,S49,N49)</f>
        <v>1.4813055407971323</v>
      </c>
      <c r="AD49" s="277">
        <f t="shared" ref="AD49" si="61">AVERAGE(Y49,T49,O49)</f>
        <v>1.3084656366782896</v>
      </c>
      <c r="AE49" s="277">
        <f t="shared" ref="AE49" si="62">AVERAGE(Z49,U49,P49)</f>
        <v>1.2820005150202654</v>
      </c>
      <c r="AF49" s="277">
        <f t="shared" ref="AF49" si="63">AVERAGE(AA49,V49,Q49)</f>
        <v>1.4579819676256578</v>
      </c>
      <c r="AG49" s="278"/>
      <c r="AH49" s="277">
        <f t="shared" ref="AH49" si="64">AVERAGE(AC49,X49,S49)</f>
        <v>1.5108991761540198</v>
      </c>
      <c r="AI49" s="277">
        <f t="shared" ref="AI49" si="65">AVERAGE(AD49,Y49,T49)</f>
        <v>1.3029253625161621</v>
      </c>
      <c r="AJ49" s="277">
        <f t="shared" ref="AJ49" si="66">AVERAGE(AE49,Z49,U49)</f>
        <v>1.234373851228846</v>
      </c>
      <c r="AK49" s="277">
        <f t="shared" ref="AK49" si="67">AVERAGE(AF49,AA49,V49)</f>
        <v>1.4262587259179023</v>
      </c>
      <c r="AL49" s="278"/>
      <c r="AM49" s="277">
        <f t="shared" ref="AM49" si="68">AVERAGE(AH49,AC49,X49)</f>
        <v>1.500024874295397</v>
      </c>
      <c r="AN49" s="277">
        <f t="shared" ref="AN49" si="69">AVERAGE(AI49,AD49,Y49)</f>
        <v>1.3091435389104384</v>
      </c>
      <c r="AO49" s="277">
        <f t="shared" ref="AO49" si="70">AVERAGE(AJ49,AE49,Z49)</f>
        <v>1.2373738336137066</v>
      </c>
      <c r="AP49" s="277">
        <f t="shared" ref="AP49" si="71">AVERAGE(AK49,AF49,AA49)</f>
        <v>1.4320927184896035</v>
      </c>
      <c r="AQ49" s="278"/>
      <c r="AR49" s="277">
        <f t="shared" ref="AR49" si="72">AVERAGE(AM49,AH49,AC49)</f>
        <v>1.4974098637488495</v>
      </c>
      <c r="AS49" s="277">
        <f t="shared" ref="AS49" si="73">AVERAGE(AN49,AI49,AD49)</f>
        <v>1.3068448460349635</v>
      </c>
      <c r="AT49" s="277">
        <f t="shared" ref="AT49" si="74">AVERAGE(AO49,AJ49,AE49)</f>
        <v>1.2512493999542726</v>
      </c>
      <c r="AU49" s="277">
        <f t="shared" ref="AU49" si="75">AVERAGE(AP49,AK49,AF49)</f>
        <v>1.4387778040110544</v>
      </c>
      <c r="AV49" s="278"/>
    </row>
    <row r="50" spans="2:48" s="23" customFormat="1" outlineLevel="1" x14ac:dyDescent="0.3">
      <c r="B50" s="504" t="s">
        <v>252</v>
      </c>
      <c r="C50" s="505"/>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65.305809620694106</v>
      </c>
      <c r="W50" s="31"/>
      <c r="X50" s="279">
        <f>X46/X49</f>
        <v>61.01322112596327</v>
      </c>
      <c r="Y50" s="279">
        <f>Y46/Y49</f>
        <v>68.38699899357627</v>
      </c>
      <c r="Z50" s="279">
        <f>Z46/Z49</f>
        <v>76.103046678886201</v>
      </c>
      <c r="AA50" s="279">
        <f>AA46/AA49</f>
        <v>65.154078755504173</v>
      </c>
      <c r="AB50" s="31"/>
      <c r="AC50" s="279">
        <f>AC46/AC49</f>
        <v>62.1073758695942</v>
      </c>
      <c r="AD50" s="279">
        <f>AD46/AD49</f>
        <v>69.547107275216902</v>
      </c>
      <c r="AE50" s="279">
        <f>AE46/AE49</f>
        <v>70.982810797514773</v>
      </c>
      <c r="AF50" s="279">
        <f>AF46/AF49</f>
        <v>63.100917599017478</v>
      </c>
      <c r="AG50" s="31"/>
      <c r="AH50" s="279">
        <f>AH46/AH49</f>
        <v>60.890892954343364</v>
      </c>
      <c r="AI50" s="279">
        <f>AI46/AI49</f>
        <v>69.075330474951585</v>
      </c>
      <c r="AJ50" s="279">
        <f>AJ46/AJ49</f>
        <v>73.721587596340868</v>
      </c>
      <c r="AK50" s="279">
        <f>AK46/AK49</f>
        <v>64.504425689519437</v>
      </c>
      <c r="AL50" s="31"/>
      <c r="AM50" s="279">
        <f>AM46/AM49</f>
        <v>61.332316267898513</v>
      </c>
      <c r="AN50" s="279">
        <f>AN46/AN49</f>
        <v>68.747236131879276</v>
      </c>
      <c r="AO50" s="279">
        <f>AO46/AO49</f>
        <v>73.542851422870086</v>
      </c>
      <c r="AP50" s="279">
        <f>AP46/AP49</f>
        <v>64.241650566473353</v>
      </c>
      <c r="AQ50" s="31"/>
      <c r="AR50" s="279">
        <f>AR46/AR49</f>
        <v>61.439424320120906</v>
      </c>
      <c r="AS50" s="279">
        <f>AS46/AS49</f>
        <v>68.868160036797605</v>
      </c>
      <c r="AT50" s="279">
        <f>AT46/AT49</f>
        <v>72.727307604163983</v>
      </c>
      <c r="AU50" s="279">
        <f>AU46/AU49</f>
        <v>63.943160468225535</v>
      </c>
      <c r="AV50" s="31"/>
    </row>
    <row r="51" spans="2:48" s="23" customFormat="1" outlineLevel="1" x14ac:dyDescent="0.3">
      <c r="B51" s="486" t="s">
        <v>254</v>
      </c>
      <c r="C51" s="487"/>
      <c r="D51" s="275">
        <v>1.9771013175829171</v>
      </c>
      <c r="E51" s="275">
        <v>1.8345946931704202</v>
      </c>
      <c r="F51" s="276">
        <v>1.9203771608171816</v>
      </c>
      <c r="G51" s="276">
        <v>1.7983525258468513</v>
      </c>
      <c r="H51" s="127"/>
      <c r="I51" s="276">
        <v>2.0600589535740608</v>
      </c>
      <c r="J51" s="276">
        <v>2.0023053021950488</v>
      </c>
      <c r="K51" s="276">
        <v>1.7239776951672863</v>
      </c>
      <c r="L51" s="276">
        <v>1.9809600160336707</v>
      </c>
      <c r="M51" s="280"/>
      <c r="N51" s="276">
        <v>1.9504092899295642</v>
      </c>
      <c r="O51" s="276">
        <v>1.9276315789473686</v>
      </c>
      <c r="P51" s="276">
        <v>1.9574090505767525</v>
      </c>
      <c r="Q51" s="276">
        <v>2.0560415978870914</v>
      </c>
      <c r="R51" s="280"/>
      <c r="S51" s="276">
        <v>1.9597487203350394</v>
      </c>
      <c r="T51" s="276">
        <v>1.8546822113576533</v>
      </c>
      <c r="U51" s="276">
        <v>1.7543294401933145</v>
      </c>
      <c r="V51" s="277">
        <f>AVERAGE(Q51,L51,G51)</f>
        <v>1.9451180465892044</v>
      </c>
      <c r="W51" s="280"/>
      <c r="X51" s="277">
        <f t="shared" ref="X51" si="76">AVERAGE(S51,N51,I51)</f>
        <v>1.9900723212795548</v>
      </c>
      <c r="Y51" s="277">
        <f t="shared" ref="Y51" si="77">AVERAGE(T51,O51,J51)</f>
        <v>1.9282063641666902</v>
      </c>
      <c r="Z51" s="277">
        <f t="shared" ref="Z51" si="78">AVERAGE(U51,P51,K51)</f>
        <v>1.8119053953124509</v>
      </c>
      <c r="AA51" s="277">
        <f t="shared" ref="AA51" si="79">AVERAGE(V51,Q51,L51)</f>
        <v>1.9940398868366556</v>
      </c>
      <c r="AB51" s="31"/>
      <c r="AC51" s="277">
        <f t="shared" ref="AC51" si="80">AVERAGE(X51,S51,N51)</f>
        <v>1.9667434438480529</v>
      </c>
      <c r="AD51" s="277">
        <f t="shared" ref="AD51" si="81">AVERAGE(Y51,T51,O51)</f>
        <v>1.9035067181572376</v>
      </c>
      <c r="AE51" s="277">
        <f t="shared" ref="AE51" si="82">AVERAGE(Z51,U51,P51)</f>
        <v>1.8412146286941729</v>
      </c>
      <c r="AF51" s="277">
        <f t="shared" ref="AF51" si="83">AVERAGE(AA51,V51,Q51)</f>
        <v>1.9983998437709838</v>
      </c>
      <c r="AG51" s="31"/>
      <c r="AH51" s="277">
        <f t="shared" ref="AH51" si="84">AVERAGE(AC51,X51,S51)</f>
        <v>1.9721881618208823</v>
      </c>
      <c r="AI51" s="277">
        <f t="shared" ref="AI51" si="85">AVERAGE(AD51,Y51,T51)</f>
        <v>1.8954650978938605</v>
      </c>
      <c r="AJ51" s="277">
        <f t="shared" ref="AJ51" si="86">AVERAGE(AE51,Z51,U51)</f>
        <v>1.8024831547333129</v>
      </c>
      <c r="AK51" s="277">
        <f t="shared" ref="AK51" si="87">AVERAGE(AF51,AA51,V51)</f>
        <v>1.9791859257322812</v>
      </c>
      <c r="AL51" s="31"/>
      <c r="AM51" s="277">
        <f t="shared" ref="AM51" si="88">AVERAGE(AH51,AC51,X51)</f>
        <v>1.9763346423161634</v>
      </c>
      <c r="AN51" s="277">
        <f t="shared" ref="AN51" si="89">AVERAGE(AI51,AD51,Y51)</f>
        <v>1.9090593934059295</v>
      </c>
      <c r="AO51" s="277">
        <f t="shared" ref="AO51" si="90">AVERAGE(AJ51,AE51,Z51)</f>
        <v>1.8185343929133122</v>
      </c>
      <c r="AP51" s="277">
        <f t="shared" ref="AP51" si="91">AVERAGE(AK51,AF51,AA51)</f>
        <v>1.9905418854466401</v>
      </c>
      <c r="AQ51" s="31"/>
      <c r="AR51" s="277">
        <f t="shared" ref="AR51" si="92">AVERAGE(AM51,AH51,AC51)</f>
        <v>1.9717554159950328</v>
      </c>
      <c r="AS51" s="277">
        <f t="shared" ref="AS51" si="93">AVERAGE(AN51,AI51,AD51)</f>
        <v>1.9026770698190092</v>
      </c>
      <c r="AT51" s="277">
        <f t="shared" ref="AT51" si="94">AVERAGE(AO51,AJ51,AE51)</f>
        <v>1.8207440587802661</v>
      </c>
      <c r="AU51" s="277">
        <f t="shared" ref="AU51" si="95">AVERAGE(AP51,AK51,AF51)</f>
        <v>1.9893758849833016</v>
      </c>
      <c r="AV51" s="31"/>
    </row>
    <row r="52" spans="2:48" s="23" customFormat="1" outlineLevel="1" x14ac:dyDescent="0.3">
      <c r="B52" s="504" t="s">
        <v>255</v>
      </c>
      <c r="C52" s="505"/>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47.297900588256567</v>
      </c>
      <c r="W52" s="28"/>
      <c r="X52" s="16">
        <f>X46/X51</f>
        <v>46.229475691037628</v>
      </c>
      <c r="Y52" s="16">
        <f>Y46/Y51</f>
        <v>46.675501996330745</v>
      </c>
      <c r="Z52" s="16">
        <f>Z46/Z51</f>
        <v>50.223372718810005</v>
      </c>
      <c r="AA52" s="16">
        <f>AA46/AA51</f>
        <v>46.137492337702824</v>
      </c>
      <c r="AB52" s="28"/>
      <c r="AC52" s="16">
        <f>AC46/AC51</f>
        <v>46.77783484560468</v>
      </c>
      <c r="AD52" s="16">
        <f>AD46/AD51</f>
        <v>47.80650319327269</v>
      </c>
      <c r="AE52" s="16">
        <f>AE46/AE51</f>
        <v>49.423895824974551</v>
      </c>
      <c r="AF52" s="16">
        <f>AF46/AF51</f>
        <v>46.036833062594646</v>
      </c>
      <c r="AG52" s="28"/>
      <c r="AH52" s="16">
        <f>AH46/AH51</f>
        <v>46.648692949793499</v>
      </c>
      <c r="AI52" s="16">
        <f>AI46/AI51</f>
        <v>47.481750046467852</v>
      </c>
      <c r="AJ52" s="16">
        <f>AJ46/AJ51</f>
        <v>50.485908709345992</v>
      </c>
      <c r="AK52" s="16">
        <f>AK46/AK51</f>
        <v>46.483758197684644</v>
      </c>
      <c r="AL52" s="28"/>
      <c r="AM52" s="16">
        <f>AM46/AM51</f>
        <v>46.550820913699461</v>
      </c>
      <c r="AN52" s="16">
        <f>AN46/AN51</f>
        <v>47.143635400170609</v>
      </c>
      <c r="AO52" s="16">
        <f>AO46/AO51</f>
        <v>50.040296380766819</v>
      </c>
      <c r="AP52" s="16">
        <f>AP46/AP51</f>
        <v>46.218570266034334</v>
      </c>
      <c r="AQ52" s="28"/>
      <c r="AR52" s="16">
        <f>AR46/AR51</f>
        <v>46.658931048794827</v>
      </c>
      <c r="AS52" s="16">
        <f>AS46/AS51</f>
        <v>47.301773604998132</v>
      </c>
      <c r="AT52" s="16">
        <f>AT46/AT51</f>
        <v>49.979567178135831</v>
      </c>
      <c r="AU52" s="16">
        <f>AU46/AU51</f>
        <v>46.245659603324398</v>
      </c>
      <c r="AV52" s="28"/>
    </row>
    <row r="53" spans="2:48" s="23" customFormat="1" outlineLevel="1" x14ac:dyDescent="0.3">
      <c r="B53" s="486" t="s">
        <v>256</v>
      </c>
      <c r="C53" s="487"/>
      <c r="D53" s="30">
        <f t="shared" ref="D53:L53" si="96">(D12+D7)/D20</f>
        <v>2.4783172266068774E-2</v>
      </c>
      <c r="E53" s="30">
        <f t="shared" si="96"/>
        <v>1.862044337628033E-2</v>
      </c>
      <c r="F53" s="118">
        <f t="shared" si="96"/>
        <v>1.4104190097872643E-2</v>
      </c>
      <c r="G53" s="118">
        <f t="shared" si="96"/>
        <v>1.5114935950133718E-2</v>
      </c>
      <c r="H53" s="128">
        <f t="shared" si="96"/>
        <v>1.5114935950133718E-2</v>
      </c>
      <c r="I53" s="118">
        <f t="shared" si="96"/>
        <v>9.6713821566244626E-3</v>
      </c>
      <c r="J53" s="118">
        <f t="shared" si="96"/>
        <v>9.1597553031598795E-3</v>
      </c>
      <c r="K53" s="118">
        <f t="shared" si="96"/>
        <v>1.5555616562459249E-2</v>
      </c>
      <c r="L53" s="118">
        <f t="shared" si="96"/>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34">
        <f>AVERAGE(Q53,S53,T53,U53)</f>
        <v>1.3337890475732842E-2</v>
      </c>
      <c r="W53" s="28"/>
      <c r="X53" s="34">
        <f>AVERAGE(S53,T53,U53,V53)</f>
        <v>1.3137294320496344E-2</v>
      </c>
      <c r="Y53" s="34">
        <f>AVERAGE(T53,U53,V53,X53)</f>
        <v>1.306619251591701E-2</v>
      </c>
      <c r="Z53" s="34">
        <f>AVERAGE(U53,V53,X53,Y53)</f>
        <v>1.3165261362295431E-2</v>
      </c>
      <c r="AA53" s="34">
        <f>AVERAGE(V53,X53,Y53,Z53)</f>
        <v>1.3176659668610407E-2</v>
      </c>
      <c r="AB53" s="28"/>
      <c r="AC53" s="34">
        <f>AVERAGE(X53,Y53,Z53,AA53)</f>
        <v>1.3136351966829798E-2</v>
      </c>
      <c r="AD53" s="34">
        <f>AVERAGE(Y53,Z53,AA53,AC53)</f>
        <v>1.3136116378413162E-2</v>
      </c>
      <c r="AE53" s="34">
        <f>AVERAGE(Z53,AA53,AC53,AD53)</f>
        <v>1.3153597344037201E-2</v>
      </c>
      <c r="AF53" s="34">
        <f>AVERAGE(AA53,AC53,AD53,AE53)</f>
        <v>1.3150681339472642E-2</v>
      </c>
      <c r="AG53" s="28"/>
      <c r="AH53" s="34">
        <f>AVERAGE(AC53,AD53,AE53,AF53)</f>
        <v>1.31441867571882E-2</v>
      </c>
      <c r="AI53" s="34">
        <f>AVERAGE(AD53,AE53,AF53,AH53)</f>
        <v>1.31461454547778E-2</v>
      </c>
      <c r="AJ53" s="34">
        <f>AVERAGE(AE53,AF53,AH53,AI53)</f>
        <v>1.3148652723868962E-2</v>
      </c>
      <c r="AK53" s="34">
        <f>AVERAGE(AF53,AH53,AI53,AJ53)</f>
        <v>1.3147416568826901E-2</v>
      </c>
      <c r="AL53" s="28"/>
      <c r="AM53" s="34">
        <f>AVERAGE(AH53,AI53,AJ53,AK53)</f>
        <v>1.3146600376165465E-2</v>
      </c>
      <c r="AN53" s="34">
        <f>AVERAGE(AI53,AJ53,AK53,AM53)</f>
        <v>1.3147203780909781E-2</v>
      </c>
      <c r="AO53" s="34">
        <f>AVERAGE(AJ53,AK53,AM53,AN53)</f>
        <v>1.3147468362442776E-2</v>
      </c>
      <c r="AP53" s="34">
        <f>AVERAGE(AK53,AM53,AN53,AO53)</f>
        <v>1.3147172272086231E-2</v>
      </c>
      <c r="AQ53" s="28"/>
      <c r="AR53" s="34">
        <f>AVERAGE(AM53,AN53,AO53,AP53)</f>
        <v>1.3147111197901063E-2</v>
      </c>
      <c r="AS53" s="34">
        <f>AVERAGE(AN53,AO53,AP53,AR53)</f>
        <v>1.3147238903334961E-2</v>
      </c>
      <c r="AT53" s="34">
        <f>AVERAGE(AO53,AP53,AR53,AS53)</f>
        <v>1.3147247683941257E-2</v>
      </c>
      <c r="AU53" s="34">
        <f>AVERAGE(AP53,AR53,AS53,AT53)</f>
        <v>1.3147192514315878E-2</v>
      </c>
      <c r="AV53" s="28"/>
    </row>
    <row r="54" spans="2:48" s="23" customFormat="1" outlineLevel="1" x14ac:dyDescent="0.3">
      <c r="B54" s="180" t="s">
        <v>257</v>
      </c>
      <c r="C54" s="201"/>
      <c r="D54" s="30">
        <f t="shared" ref="D54:L54" si="97">D7/(D7+D12)</f>
        <v>0.4648626817447496</v>
      </c>
      <c r="E54" s="30">
        <f t="shared" si="97"/>
        <v>0.23318112633181123</v>
      </c>
      <c r="F54" s="118">
        <f t="shared" si="97"/>
        <v>0.24465558194774345</v>
      </c>
      <c r="G54" s="118">
        <f t="shared" si="97"/>
        <v>0.24268502581755594</v>
      </c>
      <c r="H54" s="128">
        <f t="shared" si="97"/>
        <v>0.24268502581755594</v>
      </c>
      <c r="I54" s="118">
        <f t="shared" si="97"/>
        <v>0.25503355704697983</v>
      </c>
      <c r="J54" s="118">
        <f t="shared" si="97"/>
        <v>0.21017083829956296</v>
      </c>
      <c r="K54" s="118">
        <f t="shared" si="97"/>
        <v>0.50716964482682547</v>
      </c>
      <c r="L54" s="118">
        <f t="shared" si="97"/>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34">
        <f>AVERAGE(Q54,S54,T54,U54)</f>
        <v>0.25567316816443164</v>
      </c>
      <c r="W54" s="28"/>
      <c r="X54" s="34">
        <f>AVERAGE(S54,T54,U54,V54)</f>
        <v>0.22824205718684165</v>
      </c>
      <c r="Y54" s="34">
        <f>AVERAGE(T54,U54,V54,X54)</f>
        <v>0.22884262316313861</v>
      </c>
      <c r="Z54" s="34">
        <f>AVERAGE(U54,V54,X54,Y54)</f>
        <v>0.23023331702844058</v>
      </c>
      <c r="AA54" s="34">
        <f>AVERAGE(V54,X54,Y54,Z54)</f>
        <v>0.23574779138571311</v>
      </c>
      <c r="AB54" s="28"/>
      <c r="AC54" s="34">
        <f>AVERAGE(X54,Y54,Z54,AA54)</f>
        <v>0.23076644719103351</v>
      </c>
      <c r="AD54" s="34">
        <f>AVERAGE(Y54,Z54,AA54,AC54)</f>
        <v>0.23139754469208146</v>
      </c>
      <c r="AE54" s="34">
        <f>AVERAGE(Z54,AA54,AC54,AD54)</f>
        <v>0.23203627507431718</v>
      </c>
      <c r="AF54" s="34">
        <f>AVERAGE(AA54,AC54,AD54,AE54)</f>
        <v>0.2324870145857863</v>
      </c>
      <c r="AG54" s="28"/>
      <c r="AH54" s="34">
        <f>AVERAGE(AC54,AD54,AE54,AF54)</f>
        <v>0.23167182038580458</v>
      </c>
      <c r="AI54" s="34">
        <f>AVERAGE(AD54,AE54,AF54,AH54)</f>
        <v>0.23189816368449739</v>
      </c>
      <c r="AJ54" s="34">
        <f>AVERAGE(AE54,AF54,AH54,AI54)</f>
        <v>0.23202331843260138</v>
      </c>
      <c r="AK54" s="34">
        <f>AVERAGE(AF54,AH54,AI54,AJ54)</f>
        <v>0.23202007927217241</v>
      </c>
      <c r="AL54" s="28"/>
      <c r="AM54" s="34">
        <f>AVERAGE(AH54,AI54,AJ54,AK54)</f>
        <v>0.23190334544376892</v>
      </c>
      <c r="AN54" s="34">
        <f>AVERAGE(AI54,AJ54,AK54,AM54)</f>
        <v>0.23196122670826003</v>
      </c>
      <c r="AO54" s="34">
        <f>AVERAGE(AJ54,AK54,AM54,AN54)</f>
        <v>0.23197699246420067</v>
      </c>
      <c r="AP54" s="34">
        <f>AVERAGE(AK54,AM54,AN54,AO54)</f>
        <v>0.23196541097210052</v>
      </c>
      <c r="AQ54" s="28"/>
      <c r="AR54" s="34">
        <f>AVERAGE(AM54,AN54,AO54,AP54)</f>
        <v>0.23195174389708254</v>
      </c>
      <c r="AS54" s="34">
        <f>AVERAGE(AN54,AO54,AP54,AR54)</f>
        <v>0.23196384351041094</v>
      </c>
      <c r="AT54" s="34">
        <f>AVERAGE(AO54,AP54,AR54,AS54)</f>
        <v>0.23196449771094868</v>
      </c>
      <c r="AU54" s="34">
        <f>AVERAGE(AP54,AR54,AS54,AT54)</f>
        <v>0.23196137402263567</v>
      </c>
      <c r="AV54" s="28"/>
    </row>
    <row r="55" spans="2:48" s="23" customFormat="1" outlineLevel="1" x14ac:dyDescent="0.3">
      <c r="B55" s="200" t="s">
        <v>258</v>
      </c>
      <c r="C55" s="201"/>
      <c r="D55" s="30">
        <f t="shared" ref="D55:L55" si="98">+D16/(D27+D33)</f>
        <v>7.7585075018799465E-2</v>
      </c>
      <c r="E55" s="30">
        <f t="shared" si="98"/>
        <v>0.12468259571674534</v>
      </c>
      <c r="F55" s="113">
        <f t="shared" si="98"/>
        <v>0.19119242713361023</v>
      </c>
      <c r="G55" s="113">
        <f t="shared" si="98"/>
        <v>0.22035590386103276</v>
      </c>
      <c r="H55" s="125">
        <f t="shared" si="98"/>
        <v>0.22035590386103276</v>
      </c>
      <c r="I55" s="281">
        <f t="shared" si="98"/>
        <v>0.20507171706404201</v>
      </c>
      <c r="J55" s="281">
        <f t="shared" si="98"/>
        <v>0.21050752296288999</v>
      </c>
      <c r="K55" s="113">
        <f t="shared" si="98"/>
        <v>0.2146584586535733</v>
      </c>
      <c r="L55" s="113">
        <f t="shared" si="98"/>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35">
        <f>AVERAGE(Q55,S55,T55,U55)</f>
        <v>0.22254472063941272</v>
      </c>
      <c r="W55" s="282"/>
      <c r="X55" s="283">
        <f>AVERAGE(S55,T55,U55,V55)</f>
        <v>0.22002304198128375</v>
      </c>
      <c r="Y55" s="283">
        <f>AVERAGE(T55,U55,V55,X55)</f>
        <v>0.22044989094392251</v>
      </c>
      <c r="Z55" s="35">
        <f>AVERAGE(U55,V55,X55,Y55)</f>
        <v>0.22015108175425849</v>
      </c>
      <c r="AA55" s="284">
        <f>AVERAGE(V55,X55,Y55,Z55)</f>
        <v>0.22079218382971935</v>
      </c>
      <c r="AB55" s="28"/>
      <c r="AC55" s="283">
        <f>AVERAGE(X55,Y55,Z55,AA55)</f>
        <v>0.22035404962729602</v>
      </c>
      <c r="AD55" s="283">
        <f>AVERAGE(Y55,Z55,AA55,AC55)</f>
        <v>0.22043680153879908</v>
      </c>
      <c r="AE55" s="35">
        <f>AVERAGE(Z55,AA55,AC55,AD55)</f>
        <v>0.22043352918751824</v>
      </c>
      <c r="AF55" s="284">
        <f>AVERAGE(AA55,AC55,AD55,AE55)</f>
        <v>0.22050414104583319</v>
      </c>
      <c r="AG55" s="28"/>
      <c r="AH55" s="283">
        <f>AVERAGE(AC55,AD55,AE55,AF55)</f>
        <v>0.22043213034986162</v>
      </c>
      <c r="AI55" s="283">
        <f>AVERAGE(AD55,AE55,AF55,AH55)</f>
        <v>0.22045165053050303</v>
      </c>
      <c r="AJ55" s="35">
        <f>AVERAGE(AE55,AF55,AH55,AI55)</f>
        <v>0.22045536277842903</v>
      </c>
      <c r="AK55" s="284">
        <f>AVERAGE(AF55,AH55,AI55,AJ55)</f>
        <v>0.2204608211761567</v>
      </c>
      <c r="AL55" s="28"/>
      <c r="AM55" s="283">
        <f>AVERAGE(AH55,AI55,AJ55,AK55)</f>
        <v>0.22044999120873759</v>
      </c>
      <c r="AN55" s="283">
        <f>AVERAGE(AI55,AJ55,AK55,AM55)</f>
        <v>0.22045445642345657</v>
      </c>
      <c r="AO55" s="35">
        <f>AVERAGE(AJ55,AK55,AM55,AN55)</f>
        <v>0.22045515789669495</v>
      </c>
      <c r="AP55" s="284">
        <f>AVERAGE(AK55,AM55,AN55,AO55)</f>
        <v>0.22045510667626145</v>
      </c>
      <c r="AQ55" s="28"/>
      <c r="AR55" s="283">
        <f>AVERAGE(AM55,AN55,AO55,AP55)</f>
        <v>0.22045367805128763</v>
      </c>
      <c r="AS55" s="283">
        <f>AVERAGE(AN55,AO55,AP55,AR55)</f>
        <v>0.22045459976192516</v>
      </c>
      <c r="AT55" s="35">
        <f>AVERAGE(AO55,AP55,AR55,AS55)</f>
        <v>0.2204546355965423</v>
      </c>
      <c r="AU55" s="284">
        <f>AVERAGE(AP55,AR55,AS55,AT55)</f>
        <v>0.22045450502150413</v>
      </c>
      <c r="AV55" s="28"/>
    </row>
    <row r="56" spans="2:48" outlineLevel="1" x14ac:dyDescent="0.3">
      <c r="B56" s="200" t="s">
        <v>259</v>
      </c>
      <c r="C56" s="201"/>
      <c r="D56" s="285"/>
      <c r="E56" s="285">
        <f>+'CFS 3Q2022'!E7/((E14+D14)/2)</f>
        <v>6.122482504846076E-2</v>
      </c>
      <c r="F56" s="286">
        <f>+'CFS 3Q2022'!F7/((F14+E14)/2)</f>
        <v>5.8442138063667992E-2</v>
      </c>
      <c r="G56" s="286">
        <f>+'CFS 3Q2022'!G7/((G14+F14)/2)</f>
        <v>5.7957922263164152E-2</v>
      </c>
      <c r="H56" s="125">
        <f>+'CFS 3Q2022'!H7/((H14+G14)/2)</f>
        <v>0.2253370026587061</v>
      </c>
      <c r="I56" s="287">
        <f>+'CFS 3Q2022'!I7/((I14+G14)/2)</f>
        <v>5.75858250276855E-2</v>
      </c>
      <c r="J56" s="287">
        <f>+'CFS 3Q2022'!J7/((J14+I14)/2)</f>
        <v>5.9117695395957084E-2</v>
      </c>
      <c r="K56" s="286">
        <f>+'CFS 3Q2022'!K7/((K14+J14)/2)</f>
        <v>5.9467301657388859E-2</v>
      </c>
      <c r="L56" s="286">
        <f>+'CFS 3Q2022'!L7/((L14+K14)/2)</f>
        <v>6.0492940894950963E-2</v>
      </c>
      <c r="M56" s="282"/>
      <c r="N56" s="287">
        <f>+'CFS 3Q2022'!N7/((N14+L14)/2)</f>
        <v>6.2547808652661588E-2</v>
      </c>
      <c r="O56" s="287">
        <f>+'CFS 3Q2022'!O7/((O14+N14)/2)</f>
        <v>6.251524266319812E-2</v>
      </c>
      <c r="P56" s="286">
        <f>+'CFS 3Q2022'!P7/((P14+O14)/2)</f>
        <v>6.0825288199111989E-2</v>
      </c>
      <c r="Q56" s="286">
        <f>+'CFS 3Q2022'!Q7/((Q14+P14)/2)</f>
        <v>6.0363072942040873E-2</v>
      </c>
      <c r="R56" s="282"/>
      <c r="S56" s="287">
        <f>+'CFS 3Q2022'!S7/((S14+Q14)/2)</f>
        <v>6.052868611709418E-2</v>
      </c>
      <c r="T56" s="287">
        <f>+'CFS 3Q2022'!T7/((T14+S14)/2)</f>
        <v>6.0861044576476821E-2</v>
      </c>
      <c r="U56" s="287">
        <f>+'CFS 3Q2022'!U7/((U14+T14)/2)</f>
        <v>6.0812805967829661E-2</v>
      </c>
      <c r="V56" s="288">
        <f>AVERAGE(Q56,S56,T56,U56)</f>
        <v>6.0641402400860384E-2</v>
      </c>
      <c r="W56" s="282"/>
      <c r="X56" s="289">
        <f>AVERAGE(S56,T56,U56,V56)</f>
        <v>6.0710984765565267E-2</v>
      </c>
      <c r="Y56" s="289">
        <f>AVERAGE(T56,U56,V56,X56)</f>
        <v>6.0756559427683036E-2</v>
      </c>
      <c r="Z56" s="288">
        <f>AVERAGE(U56,V56,X56,Y56)</f>
        <v>6.0730438140484587E-2</v>
      </c>
      <c r="AA56" s="288">
        <f>AVERAGE(V56,X56,Y56,Z56)</f>
        <v>6.0709846183648324E-2</v>
      </c>
      <c r="AB56" s="290"/>
      <c r="AC56" s="289">
        <f>AVERAGE(X56,Y56,Z56,AA56)</f>
        <v>6.0726957129345303E-2</v>
      </c>
      <c r="AD56" s="289">
        <f>AVERAGE(Y56,Z56,AA56,AC56)</f>
        <v>6.0730950220290313E-2</v>
      </c>
      <c r="AE56" s="288">
        <f>AVERAGE(Z56,AA56,AC56,AD56)</f>
        <v>6.0724547918442132E-2</v>
      </c>
      <c r="AF56" s="288">
        <f>AVERAGE(AA56,AC56,AD56,AE56)</f>
        <v>6.072307536293152E-2</v>
      </c>
      <c r="AG56" s="290"/>
      <c r="AH56" s="289">
        <f>AVERAGE(AC56,AD56,AE56,AF56)</f>
        <v>6.072638265775232E-2</v>
      </c>
      <c r="AI56" s="289">
        <f>AVERAGE(AD56,AE56,AF56,AH56)</f>
        <v>6.0726239039854066E-2</v>
      </c>
      <c r="AJ56" s="288">
        <f>AVERAGE(AE56,AF56,AH56,AI56)</f>
        <v>6.0725061244745013E-2</v>
      </c>
      <c r="AK56" s="288">
        <f>AVERAGE(AF56,AH56,AI56,AJ56)</f>
        <v>6.0725189576320726E-2</v>
      </c>
      <c r="AL56" s="290"/>
      <c r="AM56" s="289">
        <f>AVERAGE(AH56,AI56,AJ56,AK56)</f>
        <v>6.0725718129668031E-2</v>
      </c>
      <c r="AN56" s="289">
        <f>AVERAGE(AI56,AJ56,AK56,AM56)</f>
        <v>6.0725551997646961E-2</v>
      </c>
      <c r="AO56" s="288">
        <f>AVERAGE(AJ56,AK56,AM56,AN56)</f>
        <v>6.0725380237095179E-2</v>
      </c>
      <c r="AP56" s="288">
        <f>AVERAGE(AK56,AM56,AN56,AO56)</f>
        <v>6.0725459985182723E-2</v>
      </c>
      <c r="AQ56" s="290"/>
      <c r="AR56" s="289">
        <f>AVERAGE(AM56,AN56,AO56,AP56)</f>
        <v>6.0725527587398222E-2</v>
      </c>
      <c r="AS56" s="289">
        <f>AVERAGE(AN56,AO56,AP56,AR56)</f>
        <v>6.0725479951830773E-2</v>
      </c>
      <c r="AT56" s="288">
        <f>AVERAGE(AO56,AP56,AR56,AS56)</f>
        <v>6.0725461940376722E-2</v>
      </c>
      <c r="AU56" s="288">
        <f>AVERAGE(AP56,AR56,AS56,AT56)</f>
        <v>6.0725482366197112E-2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8"/>
      <c r="W57" s="282"/>
      <c r="X57" s="289"/>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300">
        <v>199</v>
      </c>
      <c r="W59" s="26"/>
      <c r="X59" s="301">
        <v>0</v>
      </c>
      <c r="Y59" s="301">
        <v>1000</v>
      </c>
      <c r="Z59" s="300">
        <v>0</v>
      </c>
      <c r="AA59" s="300">
        <v>0</v>
      </c>
      <c r="AB59" s="6"/>
      <c r="AC59" s="301">
        <v>750</v>
      </c>
      <c r="AD59" s="301">
        <f>500+626.3</f>
        <v>1126.3</v>
      </c>
      <c r="AE59" s="300">
        <v>0</v>
      </c>
      <c r="AF59" s="300">
        <v>0</v>
      </c>
      <c r="AG59" s="6"/>
      <c r="AH59" s="301">
        <v>0</v>
      </c>
      <c r="AI59" s="301">
        <v>0</v>
      </c>
      <c r="AJ59" s="300">
        <v>0</v>
      </c>
      <c r="AK59" s="300">
        <v>1250</v>
      </c>
      <c r="AL59" s="6"/>
      <c r="AM59" s="301">
        <v>0</v>
      </c>
      <c r="AN59" s="301">
        <v>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300">
        <f>Z59</f>
        <v>0</v>
      </c>
      <c r="W60" s="26"/>
      <c r="X60" s="300">
        <f>AA59</f>
        <v>0</v>
      </c>
      <c r="Y60" s="300">
        <f>AC59</f>
        <v>750</v>
      </c>
      <c r="Z60" s="300">
        <f>AD59</f>
        <v>1126.3</v>
      </c>
      <c r="AA60" s="300">
        <f>AE59</f>
        <v>0</v>
      </c>
      <c r="AB60" s="6"/>
      <c r="AC60" s="300">
        <f>AF59</f>
        <v>0</v>
      </c>
      <c r="AD60" s="300">
        <f>AH59</f>
        <v>0</v>
      </c>
      <c r="AE60" s="300">
        <f>AI59</f>
        <v>0</v>
      </c>
      <c r="AF60" s="300">
        <f>AJ59</f>
        <v>0</v>
      </c>
      <c r="AG60" s="6"/>
      <c r="AH60" s="300">
        <f>AK59</f>
        <v>1250</v>
      </c>
      <c r="AI60" s="300">
        <f>AM59</f>
        <v>0</v>
      </c>
      <c r="AJ60" s="300">
        <f>AN59</f>
        <v>0</v>
      </c>
      <c r="AK60" s="300">
        <f>AO59</f>
        <v>500</v>
      </c>
      <c r="AL60" s="6"/>
      <c r="AM60" s="300">
        <f>AP59</f>
        <v>0</v>
      </c>
      <c r="AN60" s="300">
        <f>AR59</f>
        <v>0</v>
      </c>
      <c r="AO60" s="300">
        <f>AS59</f>
        <v>500</v>
      </c>
      <c r="AP60" s="300">
        <f>AT59</f>
        <v>0</v>
      </c>
      <c r="AQ60" s="6"/>
      <c r="AR60" s="300">
        <f>AU60</f>
        <v>0</v>
      </c>
      <c r="AS60" s="300">
        <f t="shared" ref="AS60:AU60" si="99">AW60</f>
        <v>0</v>
      </c>
      <c r="AT60" s="300">
        <f t="shared" si="99"/>
        <v>0</v>
      </c>
      <c r="AU60" s="300">
        <f t="shared" si="99"/>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300">
        <v>0</v>
      </c>
      <c r="W61" s="26"/>
      <c r="X61" s="301">
        <v>0</v>
      </c>
      <c r="Y61" s="301">
        <v>1000</v>
      </c>
      <c r="Z61" s="300">
        <v>0</v>
      </c>
      <c r="AA61" s="300">
        <v>0</v>
      </c>
      <c r="AB61" s="6"/>
      <c r="AC61" s="301">
        <v>750</v>
      </c>
      <c r="AD61" s="301">
        <v>1126</v>
      </c>
      <c r="AE61" s="300">
        <v>0</v>
      </c>
      <c r="AF61" s="300">
        <f>0.5*(SUM('IS 3Q2022'!AC154:AF154))</f>
        <v>100</v>
      </c>
      <c r="AG61" s="6"/>
      <c r="AH61" s="301"/>
      <c r="AI61" s="301"/>
      <c r="AJ61" s="300">
        <f>0.5*(SUM('IS 3Q2022'!AH154:AK154))</f>
        <v>5290.5983828510816</v>
      </c>
      <c r="AK61" s="300">
        <v>1250</v>
      </c>
      <c r="AL61" s="6"/>
      <c r="AM61" s="301">
        <v>0</v>
      </c>
      <c r="AN61" s="301">
        <v>0</v>
      </c>
      <c r="AO61" s="300">
        <v>500</v>
      </c>
      <c r="AP61" s="300">
        <v>0</v>
      </c>
      <c r="AQ61" s="6"/>
      <c r="AR61" s="301">
        <v>0</v>
      </c>
      <c r="AS61" s="301">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100">+(S28+S31)/S41</f>
        <v>-1.7497130279398361</v>
      </c>
      <c r="T62" s="179">
        <f t="shared" si="100"/>
        <v>-1.8277176642469066</v>
      </c>
      <c r="U62" s="179">
        <f t="shared" si="100"/>
        <v>-1.7473235630391852</v>
      </c>
      <c r="V62" s="179">
        <f t="shared" si="100"/>
        <v>-1.7742139209382464</v>
      </c>
      <c r="W62" s="28">
        <f t="shared" si="100"/>
        <v>-1.7742139209382464</v>
      </c>
      <c r="X62" s="179">
        <f t="shared" si="100"/>
        <v>-1.8367932095831883</v>
      </c>
      <c r="Y62" s="179">
        <f t="shared" si="100"/>
        <v>-1.8964761972124962</v>
      </c>
      <c r="Z62" s="179">
        <f t="shared" si="100"/>
        <v>-2.0223795405290299</v>
      </c>
      <c r="AA62" s="179">
        <f t="shared" si="100"/>
        <v>-2.179230948690738</v>
      </c>
      <c r="AB62" s="28"/>
      <c r="AC62" s="179">
        <f>+(AC28+AC31)/AC41</f>
        <v>-2.3862999073578428</v>
      </c>
      <c r="AD62" s="179">
        <f>+(AD28+AD31)/AD41</f>
        <v>-2.5459234117428156</v>
      </c>
      <c r="AE62" s="179">
        <f>+(AE28+AE31)/AE41</f>
        <v>-2.7960250496436827</v>
      </c>
      <c r="AF62" s="179">
        <f>+(AF28+AF31)/AF41</f>
        <v>-3.0939610523505015</v>
      </c>
      <c r="AG62" s="28"/>
      <c r="AH62" s="179">
        <f>+(AH28+AH31)/AH41</f>
        <v>-3.5850136046613872</v>
      </c>
      <c r="AI62" s="179">
        <f>+(AI28+AI31)/AI41</f>
        <v>-4.0090181974628498</v>
      </c>
      <c r="AJ62" s="179">
        <f>+(AJ28+AJ31)/AJ41</f>
        <v>-2.5149749933620966</v>
      </c>
      <c r="AK62" s="179">
        <f>+(AK28+AK31)/AK41</f>
        <v>-1.6212297121081063</v>
      </c>
      <c r="AL62" s="28"/>
      <c r="AM62" s="179">
        <f>+(AM28+AM31)/AM41</f>
        <v>-1.7018014851359355</v>
      </c>
      <c r="AN62" s="179">
        <f>+(AN28+AN31)/AN41</f>
        <v>-1.751868987564791</v>
      </c>
      <c r="AO62" s="179">
        <f>+(AO28+AO31)/AO41</f>
        <v>-1.8636306505597473</v>
      </c>
      <c r="AP62" s="179">
        <f>+(AP28+AP31)/AP41</f>
        <v>-1.976112765427495</v>
      </c>
      <c r="AQ62" s="28"/>
      <c r="AR62" s="179">
        <f>+(AR28+AR31)/AR41</f>
        <v>-2.1254002086966941</v>
      </c>
      <c r="AS62" s="179">
        <f>+(AS28+AS31)/AS41</f>
        <v>-2.2316426865646166</v>
      </c>
      <c r="AT62" s="179">
        <f>+(AT28+AT31)/AT41</f>
        <v>-2.448143658928958</v>
      </c>
      <c r="AU62" s="179">
        <f>+(AU28+AU31)/AU41</f>
        <v>-2.6814356187108959</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101">+S28/(S28+S31)</f>
        <v>8.1112704252786494E-2</v>
      </c>
      <c r="T63" s="179">
        <f t="shared" si="101"/>
        <v>0.12481109098857178</v>
      </c>
      <c r="U63" s="179">
        <f t="shared" si="101"/>
        <v>7.9253663276029576E-2</v>
      </c>
      <c r="V63" s="179">
        <f t="shared" si="101"/>
        <v>6.6981896603687655E-2</v>
      </c>
      <c r="W63" s="28">
        <f t="shared" si="101"/>
        <v>6.6981896603687655E-2</v>
      </c>
      <c r="X63" s="179">
        <f t="shared" si="101"/>
        <v>6.6981896603687655E-2</v>
      </c>
      <c r="Y63" s="179">
        <f t="shared" si="101"/>
        <v>5.0238096832742829E-2</v>
      </c>
      <c r="Z63" s="179">
        <f t="shared" si="101"/>
        <v>0.12567226356080344</v>
      </c>
      <c r="AA63" s="179">
        <f t="shared" si="101"/>
        <v>0.12567226356080344</v>
      </c>
      <c r="AB63" s="28"/>
      <c r="AC63" s="179">
        <f>+AC28/(AC28+AC31)</f>
        <v>7.5440864247968975E-2</v>
      </c>
      <c r="AD63" s="179">
        <f>+AD28/(AD28+AD31)</f>
        <v>6.6976544813945215E-6</v>
      </c>
      <c r="AE63" s="179">
        <f>+AE28/(AE28+AE31)</f>
        <v>6.6976544813945215E-6</v>
      </c>
      <c r="AF63" s="179">
        <f>+AF28/(AF28+AF31)</f>
        <v>6.6530943541780797E-6</v>
      </c>
      <c r="AG63" s="28"/>
      <c r="AH63" s="179">
        <f>+AH28/(AH28+AH31)</f>
        <v>8.3170332521655815E-2</v>
      </c>
      <c r="AI63" s="179">
        <f>+AI28/(AI28+AI31)</f>
        <v>8.3170332521655815E-2</v>
      </c>
      <c r="AJ63" s="179">
        <f>+AJ28/(AJ28+AJ31)</f>
        <v>6.1517041290977743E-2</v>
      </c>
      <c r="AK63" s="179">
        <f>+AK28/(AK28+AK31)</f>
        <v>2.460976909816652E-2</v>
      </c>
      <c r="AL63" s="28"/>
      <c r="AM63" s="179">
        <f>+AM28/(AM28+AM31)</f>
        <v>2.460976909816652E-2</v>
      </c>
      <c r="AN63" s="179">
        <f>+AN28/(AN28+AN31)</f>
        <v>2.460976909816652E-2</v>
      </c>
      <c r="AO63" s="179">
        <f>+AO28/(AO28+AO31)</f>
        <v>2.460976909816652E-2</v>
      </c>
      <c r="AP63" s="179">
        <f>+AP28/(AP28+AP31)</f>
        <v>2.460976909816652E-2</v>
      </c>
      <c r="AQ63" s="28"/>
      <c r="AR63" s="179">
        <f>+AR28/(AR28+AR31)</f>
        <v>2.460976909816652E-2</v>
      </c>
      <c r="AS63" s="179">
        <f>+AS28/(AS28+AS31)</f>
        <v>4.9209696257036872E-6</v>
      </c>
      <c r="AT63" s="179">
        <f>+AT28/(AT28+AT31)</f>
        <v>4.9209696257036872E-6</v>
      </c>
      <c r="AU63" s="179">
        <f>+AU28/(AU28+AU31)</f>
        <v>4.9209696257036872E-6</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4.1761593231356127</v>
      </c>
      <c r="X64" s="307"/>
      <c r="Y64" s="307"/>
      <c r="Z64" s="307"/>
      <c r="AA64" s="307"/>
      <c r="AB64" s="306">
        <f>AB67/(AB65-AB66)</f>
        <v>3.4824851132898802</v>
      </c>
      <c r="AC64" s="307"/>
      <c r="AD64" s="307"/>
      <c r="AE64" s="307"/>
      <c r="AF64" s="307"/>
      <c r="AG64" s="405">
        <f>AG67/(AG65-AG66)</f>
        <v>2.9151652662738683</v>
      </c>
      <c r="AH64" s="307"/>
      <c r="AI64" s="307"/>
      <c r="AJ64" s="307"/>
      <c r="AK64" s="307"/>
      <c r="AL64" s="405">
        <f>AL67/(AL65-AL66)</f>
        <v>3.2285886421452323</v>
      </c>
      <c r="AM64" s="307"/>
      <c r="AN64" s="307"/>
      <c r="AO64" s="307"/>
      <c r="AP64" s="307"/>
      <c r="AQ64" s="306">
        <f>AQ67/(AQ65-AQ66)</f>
        <v>2.8763851934141531</v>
      </c>
      <c r="AR64" s="307"/>
      <c r="AS64" s="307"/>
      <c r="AT64" s="307"/>
      <c r="AU64" s="307"/>
      <c r="AV64" s="306">
        <f>AV67/(AV65-AV66)</f>
        <v>2.6846795651658271</v>
      </c>
    </row>
    <row r="65" spans="2:48" outlineLevel="1" x14ac:dyDescent="0.3">
      <c r="B65" s="180" t="s">
        <v>325</v>
      </c>
      <c r="C65" s="44"/>
      <c r="D65" s="139"/>
      <c r="E65" s="139"/>
      <c r="F65" s="309"/>
      <c r="G65" s="309"/>
      <c r="H65" s="17"/>
      <c r="I65" s="139"/>
      <c r="J65" s="139"/>
      <c r="K65" s="309"/>
      <c r="L65" s="309"/>
      <c r="M65" s="17">
        <f>'IS 3Q2022'!M19+'IS 3Q2022'!M12</f>
        <v>3564.3800000000042</v>
      </c>
      <c r="N65" s="139"/>
      <c r="O65" s="139"/>
      <c r="P65" s="309"/>
      <c r="Q65" s="309"/>
      <c r="R65" s="17">
        <f>'IS 3Q2022'!R19+'IS 3Q2022'!R12</f>
        <v>6703.7999999999975</v>
      </c>
      <c r="S65" s="139"/>
      <c r="T65" s="139"/>
      <c r="U65" s="309"/>
      <c r="V65" s="309"/>
      <c r="W65" s="17">
        <f>'IS 3Q2022'!W19+'IS 3Q2022'!W12</f>
        <v>6262.9556840670375</v>
      </c>
      <c r="X65" s="139"/>
      <c r="Y65" s="305"/>
      <c r="Z65" s="305"/>
      <c r="AA65" s="310"/>
      <c r="AB65" s="17">
        <f>'IS 3Q2022'!AB19+'IS 3Q2022'!AB12</f>
        <v>7109.496048472336</v>
      </c>
      <c r="AC65" s="139"/>
      <c r="AD65" s="139"/>
      <c r="AE65" s="309"/>
      <c r="AF65" s="309"/>
      <c r="AG65" s="17">
        <f>'IS 3Q2022'!AG19+'IS 3Q2022'!AG12</f>
        <v>8119.1754180385251</v>
      </c>
      <c r="AH65" s="139"/>
      <c r="AI65" s="139"/>
      <c r="AJ65" s="309"/>
      <c r="AK65" s="309"/>
      <c r="AL65" s="17">
        <f>'IS 3Q2022'!AL19+'IS 3Q2022'!AL12</f>
        <v>9405.4742802975798</v>
      </c>
      <c r="AM65" s="139"/>
      <c r="AN65" s="139"/>
      <c r="AO65" s="309"/>
      <c r="AP65" s="309"/>
      <c r="AQ65" s="17">
        <f>'IS 3Q2022'!AQ19+'IS 3Q2022'!AQ12</f>
        <v>10331.736946610616</v>
      </c>
      <c r="AR65" s="139"/>
      <c r="AS65" s="139"/>
      <c r="AT65" s="309"/>
      <c r="AU65" s="309"/>
      <c r="AV65" s="17">
        <f>'IS 3Q2022'!AV19+'IS 3Q2022'!AV12</f>
        <v>10999.562683415485</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14930.9</v>
      </c>
      <c r="X67" s="313"/>
      <c r="Y67" s="313"/>
      <c r="Z67" s="314"/>
      <c r="AA67" s="315"/>
      <c r="AB67" s="316">
        <f>AB28+AB31</f>
        <v>14930.9</v>
      </c>
      <c r="AC67" s="313"/>
      <c r="AD67" s="313"/>
      <c r="AE67" s="314"/>
      <c r="AF67" s="314"/>
      <c r="AG67" s="316">
        <f>AG28+AG31</f>
        <v>15030.6</v>
      </c>
      <c r="AH67" s="313"/>
      <c r="AI67" s="313"/>
      <c r="AJ67" s="314"/>
      <c r="AK67" s="314"/>
      <c r="AL67" s="316">
        <f>AL28+AL31</f>
        <v>20321.198382851078</v>
      </c>
      <c r="AM67" s="313"/>
      <c r="AN67" s="313"/>
      <c r="AO67" s="314"/>
      <c r="AP67" s="314"/>
      <c r="AQ67" s="316">
        <f>AQ28+AQ31</f>
        <v>20321.198382851078</v>
      </c>
      <c r="AR67" s="313"/>
      <c r="AS67" s="313"/>
      <c r="AT67" s="314"/>
      <c r="AU67" s="314"/>
      <c r="AV67" s="316">
        <f>AV28+AV31</f>
        <v>20321.198382851078</v>
      </c>
    </row>
  </sheetData>
  <dataConsolidate/>
  <mergeCells count="27">
    <mergeCell ref="B51:C51"/>
    <mergeCell ref="B52:C52"/>
    <mergeCell ref="B53:C53"/>
    <mergeCell ref="B44:C44"/>
    <mergeCell ref="B45:C45"/>
    <mergeCell ref="B47:C47"/>
    <mergeCell ref="B48:C48"/>
    <mergeCell ref="B49:C49"/>
    <mergeCell ref="B50:C50"/>
    <mergeCell ref="B42:C42"/>
    <mergeCell ref="B20:C20"/>
    <mergeCell ref="B21:C21"/>
    <mergeCell ref="B22:C22"/>
    <mergeCell ref="B23:C23"/>
    <mergeCell ref="B34:C34"/>
    <mergeCell ref="B35:C35"/>
    <mergeCell ref="B36:C36"/>
    <mergeCell ref="B37:C37"/>
    <mergeCell ref="B38:C38"/>
    <mergeCell ref="B39:C39"/>
    <mergeCell ref="B41:C41"/>
    <mergeCell ref="B19:C19"/>
    <mergeCell ref="B3:C3"/>
    <mergeCell ref="B5:C5"/>
    <mergeCell ref="B6:C6"/>
    <mergeCell ref="B8:C8"/>
    <mergeCell ref="B10:C1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173C-52DC-43C0-9DE7-86CD8C82289A}">
  <sheetPr>
    <tabColor theme="4" tint="0.79998168889431442"/>
    <pageSetUpPr fitToPage="1"/>
  </sheetPr>
  <dimension ref="B1:AV65"/>
  <sheetViews>
    <sheetView showGridLines="0" zoomScaleNormal="100" workbookViewId="0">
      <pane xSplit="3" ySplit="4" topLeftCell="D5"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494" t="s">
        <v>266</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510" t="s">
        <v>267</v>
      </c>
      <c r="C5" s="511"/>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3Q2022'!V25</f>
        <v>766.45200440213353</v>
      </c>
      <c r="W6" s="17">
        <f t="shared" ref="W6:W13" si="0">SUM(S6:V6)</f>
        <v>3171.2520044021339</v>
      </c>
      <c r="X6" s="16">
        <f>'IS 3Q2022'!X25</f>
        <v>806.52584225126407</v>
      </c>
      <c r="Y6" s="16">
        <f>'IS 3Q2022'!Y25</f>
        <v>785.8876141579351</v>
      </c>
      <c r="Z6" s="16">
        <f>'IS 3Q2022'!Z25</f>
        <v>1013.6072362595346</v>
      </c>
      <c r="AA6" s="16">
        <f>'IS 3Q2022'!AA25</f>
        <v>1082.1271452832177</v>
      </c>
      <c r="AB6" s="17">
        <f t="shared" ref="AB6" si="1">SUM(X6:AA6)</f>
        <v>3688.1478379519513</v>
      </c>
      <c r="AC6" s="16">
        <f>'IS 3Q2022'!AC25</f>
        <v>1109.8061631354949</v>
      </c>
      <c r="AD6" s="16">
        <f>'IS 3Q2022'!AD25</f>
        <v>914.13175288605191</v>
      </c>
      <c r="AE6" s="16">
        <f>'IS 3Q2022'!AE25</f>
        <v>1139.971189996266</v>
      </c>
      <c r="AF6" s="16">
        <f>'IS 3Q2022'!AF25</f>
        <v>1125.9513031539486</v>
      </c>
      <c r="AG6" s="17">
        <f t="shared" ref="AG6" si="2">SUM(AC6:AF6)</f>
        <v>4289.8604091717607</v>
      </c>
      <c r="AH6" s="16">
        <f>'IS 3Q2022'!AH25</f>
        <v>1306.9473475341936</v>
      </c>
      <c r="AI6" s="16">
        <f>'IS 3Q2022'!AI25</f>
        <v>1091.0542437185381</v>
      </c>
      <c r="AJ6" s="16">
        <f>'IS 3Q2022'!AJ25</f>
        <v>1400.1543057318988</v>
      </c>
      <c r="AK6" s="16">
        <f>'IS 3Q2022'!AK25</f>
        <v>1306.4431565599975</v>
      </c>
      <c r="AL6" s="17">
        <f t="shared" ref="AL6" si="3">SUM(AH6:AK6)</f>
        <v>5104.5990535446272</v>
      </c>
      <c r="AM6" s="16">
        <f>'IS 3Q2022'!AM25</f>
        <v>1411.5276426853732</v>
      </c>
      <c r="AN6" s="16">
        <f>'IS 3Q2022'!AN25</f>
        <v>1165.8410324944425</v>
      </c>
      <c r="AO6" s="16">
        <f>'IS 3Q2022'!AO25</f>
        <v>1487.670510723279</v>
      </c>
      <c r="AP6" s="16">
        <f>'IS 3Q2022'!AP25</f>
        <v>1416.6710162256986</v>
      </c>
      <c r="AQ6" s="17">
        <f t="shared" ref="AQ6" si="4">SUM(AM6:AP6)</f>
        <v>5481.7102021287938</v>
      </c>
      <c r="AR6" s="16">
        <f>'IS 3Q2022'!AR25</f>
        <v>1517.1922125879778</v>
      </c>
      <c r="AS6" s="16">
        <f>'IS 3Q2022'!AS25</f>
        <v>1256.1998078812735</v>
      </c>
      <c r="AT6" s="16">
        <f>'IS 3Q2022'!AT25</f>
        <v>1597.6355770318992</v>
      </c>
      <c r="AU6" s="16">
        <f>'IS 3Q2022'!AU25</f>
        <v>1524.8997218286436</v>
      </c>
      <c r="AV6" s="17">
        <f t="shared" ref="AV6" si="5">SUM(AR6:AU6)</f>
        <v>5895.927319329794</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('BS 3Q2022'!U14*'BS 3Q2022'!V56)</f>
        <v>388.60223486519351</v>
      </c>
      <c r="W7" s="17">
        <f t="shared" si="0"/>
        <v>1557.6022348651936</v>
      </c>
      <c r="X7" s="16">
        <f>('BS 3Q2022'!W14*'BS 3Q2022'!X56)</f>
        <v>395.05484417418882</v>
      </c>
      <c r="Y7" s="16">
        <f>('BS 3Q2022'!X14*'BS 3Q2022'!Y56)</f>
        <v>411.97358561619359</v>
      </c>
      <c r="Z7" s="16">
        <f>('BS 3Q2022'!Y14*'BS 3Q2022'!Z56)</f>
        <v>426.0942333748124</v>
      </c>
      <c r="AA7" s="16">
        <f>('BS 3Q2022'!Z14*'BS 3Q2022'!AA56)</f>
        <v>443.12162482405927</v>
      </c>
      <c r="AB7" s="17">
        <f t="shared" ref="AB7:AB13" si="9">SUM(X7:AA7)</f>
        <v>1676.2442879892542</v>
      </c>
      <c r="AC7" s="16">
        <f>('BS 3Q2022'!AB14*'BS 3Q2022'!AC56)</f>
        <v>460.36469566335944</v>
      </c>
      <c r="AD7" s="16">
        <f>('BS 3Q2022'!AC14*'BS 3Q2022'!AD56)</f>
        <v>473.72843212383037</v>
      </c>
      <c r="AE7" s="16">
        <f>('BS 3Q2022'!AD14*'BS 3Q2022'!AE56)</f>
        <v>483.94719089268239</v>
      </c>
      <c r="AF7" s="16">
        <f>('BS 3Q2022'!AE14*'BS 3Q2022'!AF56)</f>
        <v>497.3308997633788</v>
      </c>
      <c r="AG7" s="17">
        <f t="shared" ref="AG7:AG13" si="10">SUM(AC7:AF7)</f>
        <v>1915.3712184432509</v>
      </c>
      <c r="AH7" s="16">
        <f>('BS 3Q2022'!AG14*'BS 3Q2022'!AH56)</f>
        <v>511.04432742042661</v>
      </c>
      <c r="AI7" s="16">
        <f>('BS 3Q2022'!AH14*'BS 3Q2022'!AI56)</f>
        <v>521.28508540048176</v>
      </c>
      <c r="AJ7" s="16">
        <f>('BS 3Q2022'!AI14*'BS 3Q2022'!AJ56)</f>
        <v>528.61395315514869</v>
      </c>
      <c r="AK7" s="16">
        <f>('BS 3Q2022'!AJ14*'BS 3Q2022'!AK56)</f>
        <v>539.27985303808055</v>
      </c>
      <c r="AL7" s="17">
        <f t="shared" ref="AL7:AL13" si="11">SUM(AH7:AK7)</f>
        <v>2100.2232190141376</v>
      </c>
      <c r="AM7" s="16">
        <f>('BS 3Q2022'!AL14*'BS 3Q2022'!AM56)</f>
        <v>550.49689671777037</v>
      </c>
      <c r="AN7" s="16">
        <f>('BS 3Q2022'!AM14*'BS 3Q2022'!AN56)</f>
        <v>562.47346275039888</v>
      </c>
      <c r="AO7" s="16">
        <f>('BS 3Q2022'!AN14*'BS 3Q2022'!AO56)</f>
        <v>570.9960580289752</v>
      </c>
      <c r="AP7" s="16">
        <f>('BS 3Q2022'!AO14*'BS 3Q2022'!AP56)</f>
        <v>582.95989381806976</v>
      </c>
      <c r="AQ7" s="17">
        <f t="shared" ref="AQ7:AQ13" si="12">SUM(AM7:AP7)</f>
        <v>2266.9263113152142</v>
      </c>
      <c r="AR7" s="16">
        <f>('BS 3Q2022'!AQ14*'BS 3Q2022'!AR56)</f>
        <v>595.35679349257009</v>
      </c>
      <c r="AS7" s="16">
        <f>('BS 3Q2022'!AR14*'BS 3Q2022'!AS56)</f>
        <v>607.56363343668158</v>
      </c>
      <c r="AT7" s="16">
        <f>('BS 3Q2022'!AS14*'BS 3Q2022'!AT56)</f>
        <v>616.09275353103158</v>
      </c>
      <c r="AU7" s="16">
        <f>('BS 3Q2022'!AT14*'BS 3Q2022'!AU56)</f>
        <v>628.30472439664527</v>
      </c>
      <c r="AV7" s="17">
        <f t="shared" ref="AV7:AV13" si="13">SUM(AR7:AU7)</f>
        <v>2447.3179048569286</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-('BS 3Q2022'!V16-'BS 3Q2022'!U16)</f>
        <v>-29.061088555148217</v>
      </c>
      <c r="W8" s="17">
        <f t="shared" si="0"/>
        <v>5.938911444851783</v>
      </c>
      <c r="X8" s="16">
        <f>-('BS 3Q2022'!X16-'BS 3Q2022'!V16)</f>
        <v>-85.468710659521548</v>
      </c>
      <c r="Y8" s="16">
        <f>-('BS 3Q2022'!Y16-'BS 3Q2022'!X16)</f>
        <v>76.615352043510484</v>
      </c>
      <c r="Z8" s="16">
        <f>-('BS 3Q2022'!Z16-'BS 3Q2022'!Y16)</f>
        <v>13.444085279574892</v>
      </c>
      <c r="AA8" s="16">
        <f>-('BS 3Q2022'!AA16-'BS 3Q2022'!Z16)</f>
        <v>5.796871076917796</v>
      </c>
      <c r="AB8" s="17">
        <f t="shared" si="9"/>
        <v>10.387597740481624</v>
      </c>
      <c r="AC8" s="16">
        <f>-('BS 3Q2022'!AC16-'BS 3Q2022'!AA16)</f>
        <v>-111.80204784423381</v>
      </c>
      <c r="AD8" s="16">
        <f>-('BS 3Q2022'!AD16-'BS 3Q2022'!AC16)</f>
        <v>85.475538825547574</v>
      </c>
      <c r="AE8" s="16">
        <f>-('BS 3Q2022'!AE16-'BS 3Q2022'!AD16)</f>
        <v>11.265955380932837</v>
      </c>
      <c r="AF8" s="16">
        <f>-('BS 3Q2022'!AF16-'BS 3Q2022'!AE16)</f>
        <v>10.591829976826375</v>
      </c>
      <c r="AG8" s="17">
        <f t="shared" si="10"/>
        <v>-4.4687236609270258</v>
      </c>
      <c r="AH8" s="16">
        <f>-('BS 3Q2022'!AH16-'BS 3Q2022'!AF16)</f>
        <v>-125.05453091257664</v>
      </c>
      <c r="AI8" s="16">
        <f>-('BS 3Q2022'!AI16-'BS 3Q2022'!AH16)</f>
        <v>92.478070341651119</v>
      </c>
      <c r="AJ8" s="16">
        <f>-('BS 3Q2022'!AJ16-'BS 3Q2022'!AI16)</f>
        <v>11.449695696046547</v>
      </c>
      <c r="AK8" s="16">
        <f>-('BS 3Q2022'!AK16-'BS 3Q2022'!AJ16)</f>
        <v>11.354166666982792</v>
      </c>
      <c r="AL8" s="17">
        <f t="shared" si="11"/>
        <v>-9.7725982078961806</v>
      </c>
      <c r="AM8" s="16">
        <f>-('BS 3Q2022'!AM16-'BS 3Q2022'!AK16)</f>
        <v>-136.67318679588493</v>
      </c>
      <c r="AN8" s="16">
        <f>-('BS 3Q2022'!AN16-'BS 3Q2022'!AM16)</f>
        <v>99.616436467583071</v>
      </c>
      <c r="AO8" s="16">
        <f>-('BS 3Q2022'!AO16-'BS 3Q2022'!AN16)</f>
        <v>11.747778753396688</v>
      </c>
      <c r="AP8" s="16">
        <f>-('BS 3Q2022'!AP16-'BS 3Q2022'!AO16)</f>
        <v>11.668837291818136</v>
      </c>
      <c r="AQ8" s="17">
        <f t="shared" si="12"/>
        <v>-13.640134283087036</v>
      </c>
      <c r="AR8" s="16">
        <f>-('BS 3Q2022'!AR16-'BS 3Q2022'!AP16)</f>
        <v>-148.77707258237524</v>
      </c>
      <c r="AS8" s="16">
        <f>-('BS 3Q2022'!AS16-'BS 3Q2022'!AR16)</f>
        <v>107.25035350842995</v>
      </c>
      <c r="AT8" s="16">
        <f>-('BS 3Q2022'!AT16-'BS 3Q2022'!AS16)</f>
        <v>12.062876678310658</v>
      </c>
      <c r="AU8" s="16">
        <f>-('BS 3Q2022'!AU16-'BS 3Q2022'!AT16)</f>
        <v>11.975353561145312</v>
      </c>
      <c r="AV8" s="17">
        <f t="shared" si="13"/>
        <v>-17.488488834489317</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-'IS 3Q2022'!V16</f>
        <v>-54.1</v>
      </c>
      <c r="W9" s="17">
        <f t="shared" si="0"/>
        <v>-229.1</v>
      </c>
      <c r="X9" s="16">
        <f>-'IS 3Q2022'!X16</f>
        <v>-54.1</v>
      </c>
      <c r="Y9" s="16">
        <f>-'IS 3Q2022'!Y16</f>
        <v>-54.2</v>
      </c>
      <c r="Z9" s="16">
        <f>-'IS 3Q2022'!Z16</f>
        <v>-54.300000000000004</v>
      </c>
      <c r="AA9" s="16">
        <f>-'IS 3Q2022'!AA16</f>
        <v>-54.400000000000006</v>
      </c>
      <c r="AB9" s="17">
        <f t="shared" si="9"/>
        <v>-217.00000000000003</v>
      </c>
      <c r="AC9" s="16">
        <f>-'IS 3Q2022'!AC16</f>
        <v>-54.7</v>
      </c>
      <c r="AD9" s="16">
        <f>-'IS 3Q2022'!AD16</f>
        <v>-54.7</v>
      </c>
      <c r="AE9" s="16">
        <f>-'IS 3Q2022'!AE16</f>
        <v>-54.7</v>
      </c>
      <c r="AF9" s="16">
        <f>-'IS 3Q2022'!AF16</f>
        <v>-54.7</v>
      </c>
      <c r="AG9" s="17">
        <f t="shared" si="10"/>
        <v>-218.8</v>
      </c>
      <c r="AH9" s="16">
        <f>-'IS 3Q2022'!AH16</f>
        <v>-54.7</v>
      </c>
      <c r="AI9" s="16">
        <f>-'IS 3Q2022'!AI16</f>
        <v>-54.7</v>
      </c>
      <c r="AJ9" s="16">
        <f>-'IS 3Q2022'!AJ16</f>
        <v>-54.7</v>
      </c>
      <c r="AK9" s="16">
        <f>-'IS 3Q2022'!AK16</f>
        <v>-54.7</v>
      </c>
      <c r="AL9" s="17">
        <f t="shared" si="11"/>
        <v>-218.8</v>
      </c>
      <c r="AM9" s="16">
        <f>-'IS 3Q2022'!AM16</f>
        <v>-54.7</v>
      </c>
      <c r="AN9" s="16">
        <f>-'IS 3Q2022'!AN16</f>
        <v>-54.7</v>
      </c>
      <c r="AO9" s="16">
        <f>-'IS 3Q2022'!AO16</f>
        <v>-54.7</v>
      </c>
      <c r="AP9" s="16">
        <f>-'IS 3Q2022'!AP16</f>
        <v>-54.7</v>
      </c>
      <c r="AQ9" s="17">
        <f t="shared" si="12"/>
        <v>-218.8</v>
      </c>
      <c r="AR9" s="16">
        <f>-'IS 3Q2022'!AR16</f>
        <v>-54.7</v>
      </c>
      <c r="AS9" s="16">
        <f>-'IS 3Q2022'!AS16</f>
        <v>-54.7</v>
      </c>
      <c r="AT9" s="16">
        <f>-'IS 3Q2022'!AT16</f>
        <v>-54.7</v>
      </c>
      <c r="AU9" s="16">
        <f>-'IS 3Q2022'!AU16</f>
        <v>-54.7</v>
      </c>
      <c r="AV9" s="17">
        <f t="shared" si="13"/>
        <v>-218.8</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-V54*V9</f>
        <v>54.1</v>
      </c>
      <c r="W10" s="17">
        <f t="shared" si="0"/>
        <v>200</v>
      </c>
      <c r="X10" s="16">
        <f>-X54*X9</f>
        <v>54.1</v>
      </c>
      <c r="Y10" s="16">
        <f>-Y54*Y9</f>
        <v>54.2</v>
      </c>
      <c r="Z10" s="16">
        <f>-Z54*Z9</f>
        <v>54.300000000000004</v>
      </c>
      <c r="AA10" s="16">
        <f>-AA54*AA9</f>
        <v>54.400000000000006</v>
      </c>
      <c r="AB10" s="17">
        <f t="shared" si="9"/>
        <v>217.00000000000003</v>
      </c>
      <c r="AC10" s="16">
        <f>-AC54*AC9</f>
        <v>54.7</v>
      </c>
      <c r="AD10" s="16">
        <f>-AD54*AD9</f>
        <v>54.7</v>
      </c>
      <c r="AE10" s="16">
        <f>-AE54*AE9</f>
        <v>54.7</v>
      </c>
      <c r="AF10" s="16">
        <f>-AF54*AF9</f>
        <v>54.7</v>
      </c>
      <c r="AG10" s="17">
        <f t="shared" si="10"/>
        <v>218.8</v>
      </c>
      <c r="AH10" s="16">
        <f>-AH54*AH9</f>
        <v>54.7</v>
      </c>
      <c r="AI10" s="16">
        <f>-AI54*AI9</f>
        <v>54.7</v>
      </c>
      <c r="AJ10" s="16">
        <f>-AJ54*AJ9</f>
        <v>54.7</v>
      </c>
      <c r="AK10" s="16">
        <f>-AK54*AK9</f>
        <v>54.7</v>
      </c>
      <c r="AL10" s="17">
        <f t="shared" si="11"/>
        <v>218.8</v>
      </c>
      <c r="AM10" s="16">
        <f>-AM54*AM9</f>
        <v>54.7</v>
      </c>
      <c r="AN10" s="16">
        <f>-AN54*AN9</f>
        <v>54.7</v>
      </c>
      <c r="AO10" s="16">
        <f>-AO54*AO9</f>
        <v>54.7</v>
      </c>
      <c r="AP10" s="16">
        <f>-AP54*AP9</f>
        <v>54.7</v>
      </c>
      <c r="AQ10" s="17">
        <f t="shared" si="12"/>
        <v>218.8</v>
      </c>
      <c r="AR10" s="16">
        <f>-AR54*AR9</f>
        <v>54.7</v>
      </c>
      <c r="AS10" s="16">
        <f>-AS54*AS9</f>
        <v>54.7</v>
      </c>
      <c r="AT10" s="16">
        <f>-AT54*AT9</f>
        <v>54.7</v>
      </c>
      <c r="AU10" s="16">
        <f>-AU54*AU9</f>
        <v>54.7</v>
      </c>
      <c r="AV10" s="17">
        <f t="shared" si="13"/>
        <v>218.8</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'IS 3Q2022'!V8*V53</f>
        <v>69.964664787652922</v>
      </c>
      <c r="W12" s="17">
        <f t="shared" si="0"/>
        <v>276.56466478765287</v>
      </c>
      <c r="X12" s="16">
        <f>'IS 3Q2022'!X8*X53</f>
        <v>74.500596857055086</v>
      </c>
      <c r="Y12" s="16">
        <f>'IS 3Q2022'!Y8*Y53</f>
        <v>65.198665506355923</v>
      </c>
      <c r="Z12" s="16">
        <f>'IS 3Q2022'!Z8*Z53</f>
        <v>73.176438384221598</v>
      </c>
      <c r="AA12" s="16">
        <f>'IS 3Q2022'!AA8*AA53</f>
        <v>76.99406692963656</v>
      </c>
      <c r="AB12" s="17">
        <f t="shared" si="9"/>
        <v>289.86976767726918</v>
      </c>
      <c r="AC12" s="16">
        <f>'IS 3Q2022'!AC8*AC53</f>
        <v>79.147177393420236</v>
      </c>
      <c r="AD12" s="16">
        <f>'IS 3Q2022'!AD8*AD53</f>
        <v>73.759187719512198</v>
      </c>
      <c r="AE12" s="16">
        <f>'IS 3Q2022'!AE8*AE53</f>
        <v>81.457077993814693</v>
      </c>
      <c r="AF12" s="16">
        <f>'IS 3Q2022'!AF8*AF53</f>
        <v>83.846530958848987</v>
      </c>
      <c r="AG12" s="17">
        <f t="shared" si="10"/>
        <v>318.2099740655961</v>
      </c>
      <c r="AH12" s="16">
        <f>'IS 3Q2022'!AH8*AH53</f>
        <v>87.727634522356112</v>
      </c>
      <c r="AI12" s="16">
        <f>'IS 3Q2022'!AI8*AI53</f>
        <v>82.752156081540846</v>
      </c>
      <c r="AJ12" s="16">
        <f>'IS 3Q2022'!AJ8*AJ53</f>
        <v>90.907008537366281</v>
      </c>
      <c r="AK12" s="16">
        <f>'IS 3Q2022'!AK8*AK53</f>
        <v>93.466833723848723</v>
      </c>
      <c r="AL12" s="17">
        <f t="shared" si="11"/>
        <v>354.85363286511193</v>
      </c>
      <c r="AM12" s="16">
        <f>'IS 3Q2022'!AM8*AM53</f>
        <v>96.484464802490663</v>
      </c>
      <c r="AN12" s="16">
        <f>'IS 3Q2022'!AN8*AN53</f>
        <v>90.684872500253007</v>
      </c>
      <c r="AO12" s="16">
        <f>'IS 3Q2022'!AO8*AO53</f>
        <v>99.121174116546584</v>
      </c>
      <c r="AP12" s="16">
        <f>'IS 3Q2022'!AP8*AP53</f>
        <v>101.58165837586701</v>
      </c>
      <c r="AQ12" s="17">
        <f t="shared" si="12"/>
        <v>387.87216979515722</v>
      </c>
      <c r="AR12" s="16">
        <f>'IS 3Q2022'!AR8*AR53</f>
        <v>102.76941481176389</v>
      </c>
      <c r="AS12" s="16">
        <f>'IS 3Q2022'!AS8*AS53</f>
        <v>96.530864617637349</v>
      </c>
      <c r="AT12" s="16">
        <f>'IS 3Q2022'!AT8*AT53</f>
        <v>105.4619220369474</v>
      </c>
      <c r="AU12" s="16">
        <f>'IS 3Q2022'!AU8*AU53</f>
        <v>108.11259059057532</v>
      </c>
      <c r="AV12" s="17">
        <f t="shared" si="13"/>
        <v>412.87479205692398</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33">
        <v>0</v>
      </c>
      <c r="W13" s="17">
        <f t="shared" si="0"/>
        <v>1135.3</v>
      </c>
      <c r="X13" s="33">
        <v>0</v>
      </c>
      <c r="Y13" s="33">
        <v>0</v>
      </c>
      <c r="Z13" s="33">
        <v>0</v>
      </c>
      <c r="AA13" s="33">
        <v>0</v>
      </c>
      <c r="AB13" s="17">
        <f t="shared" si="9"/>
        <v>0</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542" t="s">
        <v>275</v>
      </c>
      <c r="C14" s="543"/>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538" t="s">
        <v>276</v>
      </c>
      <c r="C15" s="539"/>
      <c r="D15" s="327">
        <v>-28.8</v>
      </c>
      <c r="E15" s="327">
        <f>9.8-D15</f>
        <v>38.6</v>
      </c>
      <c r="F15" s="327">
        <f>-70.1-E15-D15</f>
        <v>-79.899999999999991</v>
      </c>
      <c r="G15" s="327">
        <f>-197.7-F15-E15-D15</f>
        <v>-127.60000000000001</v>
      </c>
      <c r="H15" s="328">
        <f t="shared" ref="H15:H21" si="15">SUM(D15:G15)</f>
        <v>-197.7</v>
      </c>
      <c r="I15" s="327">
        <v>-22.9</v>
      </c>
      <c r="J15" s="327">
        <f>-60.7-I15</f>
        <v>-37.800000000000004</v>
      </c>
      <c r="K15" s="327">
        <f>13.4-J15-I15</f>
        <v>74.099999999999994</v>
      </c>
      <c r="L15" s="327">
        <f>-2.7-K15-J15-I15</f>
        <v>-16.099999999999994</v>
      </c>
      <c r="M15" s="328">
        <f t="shared" ref="M15:M21" si="16">SUM(I15:L15)</f>
        <v>-2.7000000000000028</v>
      </c>
      <c r="N15" s="327">
        <v>19.600000000000001</v>
      </c>
      <c r="O15" s="327">
        <f>12.8-N15</f>
        <v>-6.8000000000000007</v>
      </c>
      <c r="P15" s="327">
        <f>-13.1-O15-N15</f>
        <v>-25.9</v>
      </c>
      <c r="Q15" s="327">
        <f>-43-P15-O15-N15</f>
        <v>-29.900000000000002</v>
      </c>
      <c r="R15" s="328">
        <f t="shared" ref="R15:R21" si="17">SUM(N15:Q15)</f>
        <v>-43</v>
      </c>
      <c r="S15" s="327">
        <v>-91.6</v>
      </c>
      <c r="T15" s="327">
        <f>-62.1-S15</f>
        <v>29.499999999999993</v>
      </c>
      <c r="U15" s="327">
        <f>-245.5-T15-S15</f>
        <v>-183.4</v>
      </c>
      <c r="V15" s="327">
        <f>-('BS 3Q2022'!V8-'BS 3Q2022'!U8)</f>
        <v>81.947992724675032</v>
      </c>
      <c r="W15" s="328">
        <f t="shared" ref="W15:W21" si="18">SUM(S15:V15)</f>
        <v>-163.55200727532497</v>
      </c>
      <c r="X15" s="327">
        <f>-('BS 3Q2022'!X8-'BS 3Q2022'!V8)</f>
        <v>-55.610602128540677</v>
      </c>
      <c r="Y15" s="327">
        <f>-('BS 3Q2022'!Y8-'BS 3Q2022'!X8)</f>
        <v>-47.641630315567227</v>
      </c>
      <c r="Z15" s="327">
        <f>-('BS 3Q2022'!Z8-'BS 3Q2022'!Y8)</f>
        <v>-202.30878876819224</v>
      </c>
      <c r="AA15" s="327">
        <f>-('BS 3Q2022'!AA8-'BS 3Q2022'!Z8)</f>
        <v>168.64026072464071</v>
      </c>
      <c r="AB15" s="328">
        <f t="shared" ref="AB15:AB21" si="19">SUM(X15:AA15)</f>
        <v>-136.92076048765944</v>
      </c>
      <c r="AC15" s="327">
        <f>-('BS 3Q2022'!AC8-'BS 3Q2022'!AA8)</f>
        <v>-60.676017205583548</v>
      </c>
      <c r="AD15" s="327">
        <f>-('BS 3Q2022'!AD8-'BS 3Q2022'!AC8)</f>
        <v>28.138516975505127</v>
      </c>
      <c r="AE15" s="327">
        <f>-('BS 3Q2022'!AE8-'BS 3Q2022'!AD8)</f>
        <v>-139.15017764151003</v>
      </c>
      <c r="AF15" s="327">
        <f>-('BS 3Q2022'!AF8-'BS 3Q2022'!AE8)</f>
        <v>94.064754570011473</v>
      </c>
      <c r="AG15" s="328">
        <f t="shared" ref="AG15:AG21" si="20">SUM(AC15:AF15)</f>
        <v>-77.622923301576975</v>
      </c>
      <c r="AH15" s="327">
        <f>-('BS 3Q2022'!AH8-'BS 3Q2022'!AF8)</f>
        <v>-121.44331289662068</v>
      </c>
      <c r="AI15" s="327">
        <f>-('BS 3Q2022'!AI8-'BS 3Q2022'!AH8)</f>
        <v>18.418826250513348</v>
      </c>
      <c r="AJ15" s="327">
        <f>-('BS 3Q2022'!AJ8-'BS 3Q2022'!AI8)</f>
        <v>-212.49332660922414</v>
      </c>
      <c r="AK15" s="327">
        <f>-('BS 3Q2022'!AK8-'BS 3Q2022'!AJ8)</f>
        <v>130.78402029181757</v>
      </c>
      <c r="AL15" s="328">
        <f t="shared" ref="AL15:AL21" si="21">SUM(AH15:AK15)</f>
        <v>-184.73379296351391</v>
      </c>
      <c r="AM15" s="327">
        <f>-('BS 3Q2022'!AM8-'BS 3Q2022'!AK8)</f>
        <v>-80.358458903846667</v>
      </c>
      <c r="AN15" s="327">
        <f>-('BS 3Q2022'!AN8-'BS 3Q2022'!AM8)</f>
        <v>17.955124230011052</v>
      </c>
      <c r="AO15" s="327">
        <f>-('BS 3Q2022'!AO8-'BS 3Q2022'!AN8)</f>
        <v>-217.18976233464264</v>
      </c>
      <c r="AP15" s="327">
        <f>-('BS 3Q2022'!AP8-'BS 3Q2022'!AO8)</f>
        <v>159.51159829116364</v>
      </c>
      <c r="AQ15" s="328">
        <f t="shared" ref="AQ15:AQ21" si="22">SUM(AM15:AP15)</f>
        <v>-120.08149871731462</v>
      </c>
      <c r="AR15" s="327">
        <f>-('BS 3Q2022'!AR8-'BS 3Q2022'!AP8)</f>
        <v>-60.943817533797073</v>
      </c>
      <c r="AS15" s="327">
        <f>-('BS 3Q2022'!AS8-'BS 3Q2022'!AR8)</f>
        <v>32.897915351049051</v>
      </c>
      <c r="AT15" s="327">
        <f>-('BS 3Q2022'!AT8-'BS 3Q2022'!AS8)</f>
        <v>-214.67816604780023</v>
      </c>
      <c r="AU15" s="327">
        <f>-('BS 3Q2022'!AU8-'BS 3Q2022'!AT8)</f>
        <v>148.91455693651801</v>
      </c>
      <c r="AV15" s="328">
        <f t="shared" ref="AV15:AV21" si="23">SUM(AR15:AU15)</f>
        <v>-93.809511294030244</v>
      </c>
    </row>
    <row r="16" spans="2:48" outlineLevel="1" x14ac:dyDescent="0.3">
      <c r="B16" s="325" t="s">
        <v>215</v>
      </c>
      <c r="C16" s="326"/>
      <c r="D16" s="327">
        <v>44.8</v>
      </c>
      <c r="E16" s="327">
        <f>-51-D16</f>
        <v>-95.8</v>
      </c>
      <c r="F16" s="327">
        <f>-140.5-E16-D16</f>
        <v>-89.5</v>
      </c>
      <c r="G16" s="327">
        <f>-173-F16-E16-D16</f>
        <v>-32.5</v>
      </c>
      <c r="H16" s="328">
        <f t="shared" si="15"/>
        <v>-173</v>
      </c>
      <c r="I16" s="327">
        <v>122.8</v>
      </c>
      <c r="J16" s="327">
        <f>36.9-I16</f>
        <v>-85.9</v>
      </c>
      <c r="K16" s="327">
        <f>-51.7-J16-I16</f>
        <v>-88.6</v>
      </c>
      <c r="L16" s="327">
        <f>-10.9-K16-J16-I16</f>
        <v>40.799999999999997</v>
      </c>
      <c r="M16" s="328">
        <f t="shared" si="16"/>
        <v>-10.900000000000006</v>
      </c>
      <c r="N16" s="327">
        <v>90.1</v>
      </c>
      <c r="O16" s="327">
        <f>51.3-N16</f>
        <v>-38.799999999999997</v>
      </c>
      <c r="P16" s="327">
        <f>8.4-O16-N16</f>
        <v>-42.9</v>
      </c>
      <c r="Q16" s="327">
        <f>-49.8-P16-O16-N16</f>
        <v>-58.199999999999996</v>
      </c>
      <c r="R16" s="328">
        <f t="shared" si="17"/>
        <v>-49.8</v>
      </c>
      <c r="S16" s="327">
        <v>-36</v>
      </c>
      <c r="T16" s="327">
        <f>-324.9-S16</f>
        <v>-288.89999999999998</v>
      </c>
      <c r="U16" s="327">
        <f>-557.3-T16-S16</f>
        <v>-232.39999999999998</v>
      </c>
      <c r="V16" s="327">
        <f>-('BS 3Q2022'!V9-'BS 3Q2022'!U9)</f>
        <v>230.17685105161627</v>
      </c>
      <c r="W16" s="328">
        <f t="shared" si="18"/>
        <v>-327.12314894838369</v>
      </c>
      <c r="X16" s="327">
        <f>-('BS 3Q2022'!X9-'BS 3Q2022'!V9)</f>
        <v>50.968836132077286</v>
      </c>
      <c r="Y16" s="327">
        <f>-('BS 3Q2022'!Y9-'BS 3Q2022'!X9)</f>
        <v>-198.34437961405547</v>
      </c>
      <c r="Z16" s="327">
        <f>-('BS 3Q2022'!Z9-'BS 3Q2022'!Y9)</f>
        <v>-418.66248602383303</v>
      </c>
      <c r="AA16" s="327">
        <f>-('BS 3Q2022'!AA9-'BS 3Q2022'!Z9)</f>
        <v>378.81019356275965</v>
      </c>
      <c r="AB16" s="328">
        <f t="shared" si="19"/>
        <v>-187.22783594305156</v>
      </c>
      <c r="AC16" s="327">
        <f>-('BS 3Q2022'!AC9-'BS 3Q2022'!AA9)</f>
        <v>49.022620696068316</v>
      </c>
      <c r="AD16" s="327">
        <f>-('BS 3Q2022'!AD9-'BS 3Q2022'!AC9)</f>
        <v>-177.29332688166505</v>
      </c>
      <c r="AE16" s="327">
        <f>-('BS 3Q2022'!AE9-'BS 3Q2022'!AD9)</f>
        <v>-291.93166011439507</v>
      </c>
      <c r="AF16" s="327">
        <f>-('BS 3Q2022'!AF9-'BS 3Q2022'!AE9)</f>
        <v>235.89924009949391</v>
      </c>
      <c r="AG16" s="328">
        <f t="shared" si="20"/>
        <v>-184.3031262004979</v>
      </c>
      <c r="AH16" s="327">
        <f>-('BS 3Q2022'!AH9-'BS 3Q2022'!AF9)</f>
        <v>57.595713526479813</v>
      </c>
      <c r="AI16" s="327">
        <f>-('BS 3Q2022'!AI9-'BS 3Q2022'!AH9)</f>
        <v>-245.91331939683914</v>
      </c>
      <c r="AJ16" s="327">
        <f>-('BS 3Q2022'!AJ9-'BS 3Q2022'!AI9)</f>
        <v>-402.07896124089893</v>
      </c>
      <c r="AK16" s="327">
        <f>-('BS 3Q2022'!AK9-'BS 3Q2022'!AJ9)</f>
        <v>283.77054281896744</v>
      </c>
      <c r="AL16" s="328">
        <f t="shared" si="21"/>
        <v>-306.62602429229082</v>
      </c>
      <c r="AM16" s="327">
        <f>-('BS 3Q2022'!AM9-'BS 3Q2022'!AK9)</f>
        <v>128.89334725752315</v>
      </c>
      <c r="AN16" s="327">
        <f>-('BS 3Q2022'!AN9-'BS 3Q2022'!AM9)</f>
        <v>-222.49768997264346</v>
      </c>
      <c r="AO16" s="327">
        <f>-('BS 3Q2022'!AO9-'BS 3Q2022'!AN9)</f>
        <v>-434.94924390666256</v>
      </c>
      <c r="AP16" s="327">
        <f>-('BS 3Q2022'!AP9-'BS 3Q2022'!AO9)</f>
        <v>320.90131179469972</v>
      </c>
      <c r="AQ16" s="328">
        <f t="shared" si="22"/>
        <v>-207.65227482708315</v>
      </c>
      <c r="AR16" s="327">
        <f>-('BS 3Q2022'!AR9-'BS 3Q2022'!AP9)</f>
        <v>176.15380559137566</v>
      </c>
      <c r="AS16" s="327">
        <f>-('BS 3Q2022'!AS9-'BS 3Q2022'!AR9)</f>
        <v>-234.21112185295533</v>
      </c>
      <c r="AT16" s="327">
        <f>-('BS 3Q2022'!AT9-'BS 3Q2022'!AS9)</f>
        <v>-420.61642400330174</v>
      </c>
      <c r="AU16" s="327">
        <f>-('BS 3Q2022'!AU9-'BS 3Q2022'!AT9)</f>
        <v>316.91088076407641</v>
      </c>
      <c r="AV16" s="328">
        <f t="shared" si="23"/>
        <v>-161.76285950080501</v>
      </c>
    </row>
    <row r="17" spans="2:48" outlineLevel="1" x14ac:dyDescent="0.3">
      <c r="B17" s="538" t="s">
        <v>277</v>
      </c>
      <c r="C17" s="539"/>
      <c r="D17" s="327">
        <v>847.3</v>
      </c>
      <c r="E17" s="327">
        <f>774.6-D17</f>
        <v>-72.699999999999932</v>
      </c>
      <c r="F17" s="327">
        <f>831.6-E17-D17</f>
        <v>57</v>
      </c>
      <c r="G17" s="327">
        <f>922-F17-E17-D17</f>
        <v>90.399999999999977</v>
      </c>
      <c r="H17" s="328">
        <f t="shared" si="15"/>
        <v>922</v>
      </c>
      <c r="I17" s="327">
        <v>-28.5</v>
      </c>
      <c r="J17" s="327">
        <f>-247.7-I17</f>
        <v>-219.2</v>
      </c>
      <c r="K17" s="327">
        <f>-492.1-J17-I17</f>
        <v>-244.40000000000003</v>
      </c>
      <c r="L17" s="327">
        <f>-317.5-K17-J17-I17</f>
        <v>174.60000000000002</v>
      </c>
      <c r="M17" s="328">
        <f t="shared" si="16"/>
        <v>-317.5</v>
      </c>
      <c r="N17" s="327">
        <v>5.2</v>
      </c>
      <c r="O17" s="327">
        <f>139.7-N17</f>
        <v>134.5</v>
      </c>
      <c r="P17" s="327">
        <f>216.8-O17-N17</f>
        <v>77.100000000000009</v>
      </c>
      <c r="Q17" s="327">
        <f>251.1-P17-O17-N17</f>
        <v>34.299999999999997</v>
      </c>
      <c r="R17" s="328">
        <f t="shared" si="17"/>
        <v>251.10000000000002</v>
      </c>
      <c r="S17" s="327">
        <f>64.6+330.4+50.7-4.9</f>
        <v>440.8</v>
      </c>
      <c r="T17" s="327">
        <f>-120.7+670.7+77.3-17.9-S17</f>
        <v>168.59999999999997</v>
      </c>
      <c r="U17" s="327">
        <f t="shared" ref="U17:U20" si="24">0-T17-S17</f>
        <v>-609.4</v>
      </c>
      <c r="V17" s="327">
        <f>-('BS 3Q2022'!V10-'BS 3Q2022'!U10)</f>
        <v>-5.3410000000000082</v>
      </c>
      <c r="W17" s="328">
        <f t="shared" si="18"/>
        <v>-5.3410000000000082</v>
      </c>
      <c r="X17" s="327">
        <f>-('BS 3Q2022'!X10-'BS 3Q2022'!V10)</f>
        <v>-5.3944099999999935</v>
      </c>
      <c r="Y17" s="327">
        <f>-('BS 3Q2022'!Y10-'BS 3Q2022'!X10)</f>
        <v>-5.4483540999999605</v>
      </c>
      <c r="Z17" s="327">
        <f>-('BS 3Q2022'!Z10-'BS 3Q2022'!Y10)</f>
        <v>-5.5028376410000419</v>
      </c>
      <c r="AA17" s="327">
        <f>-('BS 3Q2022'!AA10-'BS 3Q2022'!Z10)</f>
        <v>-5.5578660174099923</v>
      </c>
      <c r="AB17" s="328">
        <f t="shared" si="19"/>
        <v>-21.903467758409988</v>
      </c>
      <c r="AC17" s="327">
        <f>-('BS 3Q2022'!AC10-'BS 3Q2022'!AA10)</f>
        <v>-5.6134446775840843</v>
      </c>
      <c r="AD17" s="327">
        <f>-('BS 3Q2022'!AD10-'BS 3Q2022'!AC10)</f>
        <v>-5.6695791243599842</v>
      </c>
      <c r="AE17" s="327">
        <f>-('BS 3Q2022'!AE10-'BS 3Q2022'!AD10)</f>
        <v>-5.7262749156035397</v>
      </c>
      <c r="AF17" s="327">
        <f>-('BS 3Q2022'!AF10-'BS 3Q2022'!AE10)</f>
        <v>-5.7835376647595922</v>
      </c>
      <c r="AG17" s="328">
        <f t="shared" si="20"/>
        <v>-22.7928363823072</v>
      </c>
      <c r="AH17" s="327">
        <f>-('BS 3Q2022'!AH10-'BS 3Q2022'!AF10)</f>
        <v>-5.8413730414072234</v>
      </c>
      <c r="AI17" s="327">
        <f>-('BS 3Q2022'!AI10-'BS 3Q2022'!AH10)</f>
        <v>-5.8997867718212547</v>
      </c>
      <c r="AJ17" s="327">
        <f>-('BS 3Q2022'!AJ10-'BS 3Q2022'!AI10)</f>
        <v>-5.9587846395394308</v>
      </c>
      <c r="AK17" s="327">
        <f>-('BS 3Q2022'!AK10-'BS 3Q2022'!AJ10)</f>
        <v>-6.0183724859348331</v>
      </c>
      <c r="AL17" s="328">
        <f t="shared" si="21"/>
        <v>-23.718316938702742</v>
      </c>
      <c r="AM17" s="327">
        <f>-('BS 3Q2022'!AM10-'BS 3Q2022'!AK10)</f>
        <v>-6.0785562107942042</v>
      </c>
      <c r="AN17" s="327">
        <f>-('BS 3Q2022'!AN10-'BS 3Q2022'!AM10)</f>
        <v>-6.1393417729021849</v>
      </c>
      <c r="AO17" s="327">
        <f>-('BS 3Q2022'!AO10-'BS 3Q2022'!AN10)</f>
        <v>-6.2007351906311214</v>
      </c>
      <c r="AP17" s="327">
        <f>-('BS 3Q2022'!AP10-'BS 3Q2022'!AO10)</f>
        <v>-6.2627425425374668</v>
      </c>
      <c r="AQ17" s="328">
        <f t="shared" si="22"/>
        <v>-24.681375716864977</v>
      </c>
      <c r="AR17" s="327">
        <f>-('BS 3Q2022'!AR10-'BS 3Q2022'!AP10)</f>
        <v>-6.3253699679628426</v>
      </c>
      <c r="AS17" s="327">
        <f>-('BS 3Q2022'!AS10-'BS 3Q2022'!AR10)</f>
        <v>-6.3886236676424915</v>
      </c>
      <c r="AT17" s="327">
        <f>-('BS 3Q2022'!AT10-'BS 3Q2022'!AS10)</f>
        <v>-6.4525099043189584</v>
      </c>
      <c r="AU17" s="327">
        <f>-('BS 3Q2022'!AU10-'BS 3Q2022'!AT10)</f>
        <v>-6.5170350033621389</v>
      </c>
      <c r="AV17" s="328">
        <f t="shared" si="23"/>
        <v>-25.683538543286431</v>
      </c>
    </row>
    <row r="18" spans="2:48" outlineLevel="1" x14ac:dyDescent="0.3">
      <c r="B18" s="538" t="s">
        <v>228</v>
      </c>
      <c r="C18" s="539"/>
      <c r="D18" s="327">
        <v>-21.3</v>
      </c>
      <c r="E18" s="327">
        <f>-83.4-D18</f>
        <v>-62.100000000000009</v>
      </c>
      <c r="F18" s="327">
        <f>-15.1-E18-D18</f>
        <v>68.300000000000011</v>
      </c>
      <c r="G18" s="327">
        <f>31.9-F18-E18-D18</f>
        <v>47</v>
      </c>
      <c r="H18" s="328">
        <f t="shared" si="15"/>
        <v>31.900000000000006</v>
      </c>
      <c r="I18" s="327">
        <v>-110.3</v>
      </c>
      <c r="J18" s="327">
        <f>-186.4-I18</f>
        <v>-76.100000000000009</v>
      </c>
      <c r="K18" s="327">
        <f>-320.3-J18-I18</f>
        <v>-133.89999999999998</v>
      </c>
      <c r="L18" s="327">
        <f>-210.8-K18-J18-I18</f>
        <v>109.49999999999997</v>
      </c>
      <c r="M18" s="328">
        <f t="shared" si="16"/>
        <v>-210.79999999999998</v>
      </c>
      <c r="N18" s="327">
        <v>24.8</v>
      </c>
      <c r="O18" s="327">
        <f>21.3-N18</f>
        <v>-3.5</v>
      </c>
      <c r="P18" s="327">
        <f>108.2-O18-N18</f>
        <v>86.9</v>
      </c>
      <c r="Q18" s="327">
        <f>189.9-P18-O18-N18</f>
        <v>81.7</v>
      </c>
      <c r="R18" s="328">
        <f t="shared" si="17"/>
        <v>189.9</v>
      </c>
      <c r="S18" s="327">
        <v>84</v>
      </c>
      <c r="T18" s="327">
        <f>133-S18</f>
        <v>49</v>
      </c>
      <c r="U18" s="327">
        <f>341.7-T18-S18</f>
        <v>208.7</v>
      </c>
      <c r="V18" s="327">
        <f>'BS 3Q2022'!V22-'BS 3Q2022'!U22</f>
        <v>-111.74786545579241</v>
      </c>
      <c r="W18" s="328">
        <f t="shared" si="18"/>
        <v>229.95213454420758</v>
      </c>
      <c r="X18" s="327">
        <f>'BS 3Q2022'!X22-'BS 3Q2022'!V22</f>
        <v>25.014764896827273</v>
      </c>
      <c r="Y18" s="327">
        <f>'BS 3Q2022'!Y22-'BS 3Q2022'!X22</f>
        <v>-3.8333167508994848</v>
      </c>
      <c r="Z18" s="327">
        <f>'BS 3Q2022'!Z22-'BS 3Q2022'!Y22</f>
        <v>229.9983367940149</v>
      </c>
      <c r="AA18" s="327">
        <f>'BS 3Q2022'!AA22-'BS 3Q2022'!Z22</f>
        <v>-149.27702804219052</v>
      </c>
      <c r="AB18" s="328">
        <f t="shared" si="19"/>
        <v>101.90275689775217</v>
      </c>
      <c r="AC18" s="327">
        <f>'BS 3Q2022'!AC22-'BS 3Q2022'!AA22</f>
        <v>57.225010547429974</v>
      </c>
      <c r="AD18" s="327">
        <f>'BS 3Q2022'!AD22-'BS 3Q2022'!AC22</f>
        <v>-12.37999998613077</v>
      </c>
      <c r="AE18" s="327">
        <f>'BS 3Q2022'!AE22-'BS 3Q2022'!AD22</f>
        <v>222.96911897695077</v>
      </c>
      <c r="AF18" s="327">
        <f>'BS 3Q2022'!AF22-'BS 3Q2022'!AE22</f>
        <v>-88.53075887466548</v>
      </c>
      <c r="AG18" s="328">
        <f t="shared" si="20"/>
        <v>179.28337066358449</v>
      </c>
      <c r="AH18" s="327">
        <f>'BS 3Q2022'!AH22-'BS 3Q2022'!AF22</f>
        <v>38.950283760349294</v>
      </c>
      <c r="AI18" s="327">
        <f>'BS 3Q2022'!AI22-'BS 3Q2022'!AH22</f>
        <v>-5.4392831069490057</v>
      </c>
      <c r="AJ18" s="327">
        <f>'BS 3Q2022'!AJ22-'BS 3Q2022'!AI22</f>
        <v>269.01658275997056</v>
      </c>
      <c r="AK18" s="327">
        <f>'BS 3Q2022'!AK22-'BS 3Q2022'!AJ22</f>
        <v>-101.90883775548923</v>
      </c>
      <c r="AL18" s="328">
        <f t="shared" si="21"/>
        <v>200.61874565788162</v>
      </c>
      <c r="AM18" s="327">
        <f>'BS 3Q2022'!AM22-'BS 3Q2022'!AK22</f>
        <v>1.184687747842645</v>
      </c>
      <c r="AN18" s="327">
        <f>'BS 3Q2022'!AN22-'BS 3Q2022'!AM22</f>
        <v>-27.005475101480897</v>
      </c>
      <c r="AO18" s="327">
        <f>'BS 3Q2022'!AO22-'BS 3Q2022'!AN22</f>
        <v>281.69606376357956</v>
      </c>
      <c r="AP18" s="327">
        <f>'BS 3Q2022'!AP22-'BS 3Q2022'!AO22</f>
        <v>-109.52634139320548</v>
      </c>
      <c r="AQ18" s="328">
        <f t="shared" si="22"/>
        <v>146.34893501673582</v>
      </c>
      <c r="AR18" s="327">
        <f>'BS 3Q2022'!AR22-'BS 3Q2022'!AP22</f>
        <v>-22.287725200280875</v>
      </c>
      <c r="AS18" s="327">
        <f>'BS 3Q2022'!AS22-'BS 3Q2022'!AR22</f>
        <v>-28.751378274335366</v>
      </c>
      <c r="AT18" s="327">
        <f>'BS 3Q2022'!AT22-'BS 3Q2022'!AS22</f>
        <v>290.11838658660486</v>
      </c>
      <c r="AU18" s="327">
        <f>'BS 3Q2022'!AU22-'BS 3Q2022'!AT22</f>
        <v>-111.54097907464939</v>
      </c>
      <c r="AV18" s="328">
        <f t="shared" si="23"/>
        <v>127.53830403733923</v>
      </c>
    </row>
    <row r="19" spans="2:48" outlineLevel="1" x14ac:dyDescent="0.3">
      <c r="B19" s="325" t="s">
        <v>233</v>
      </c>
      <c r="C19" s="326"/>
      <c r="D19" s="327">
        <v>362.7</v>
      </c>
      <c r="E19" s="327">
        <f>9.4-D19</f>
        <v>-353.3</v>
      </c>
      <c r="F19" s="327">
        <f>-32.4-E19-D19</f>
        <v>-41.799999999999955</v>
      </c>
      <c r="G19" s="327">
        <f>-30.5-F19-E19-D19</f>
        <v>1.8999999999999773</v>
      </c>
      <c r="H19" s="328">
        <f t="shared" si="15"/>
        <v>-30.5</v>
      </c>
      <c r="I19" s="327">
        <v>426.7</v>
      </c>
      <c r="J19" s="327">
        <f>112.1-I19</f>
        <v>-314.60000000000002</v>
      </c>
      <c r="K19" s="327">
        <f>92-J19-I19</f>
        <v>-20.099999999999966</v>
      </c>
      <c r="L19" s="327">
        <f>31-K19-J19-I19</f>
        <v>-61</v>
      </c>
      <c r="M19" s="328">
        <f t="shared" si="16"/>
        <v>31</v>
      </c>
      <c r="N19" s="327">
        <v>398.9</v>
      </c>
      <c r="O19" s="327">
        <f>89.8-N19</f>
        <v>-309.09999999999997</v>
      </c>
      <c r="P19" s="327">
        <f>52.4-O19-N19</f>
        <v>-37.400000000000034</v>
      </c>
      <c r="Q19" s="327">
        <f>-6.1-P19-O19-N19</f>
        <v>-58.5</v>
      </c>
      <c r="R19" s="328">
        <f t="shared" si="17"/>
        <v>-6.1000000000000227</v>
      </c>
      <c r="S19" s="327">
        <v>461.3</v>
      </c>
      <c r="T19" s="327">
        <f>110.2-S19</f>
        <v>-351.1</v>
      </c>
      <c r="U19" s="327">
        <f>32.7-T19-S19</f>
        <v>-77.5</v>
      </c>
      <c r="V19" s="327">
        <f>+('BS 3Q2022'!V27-'BS 3Q2022'!U27)</f>
        <v>-17.230000000000018</v>
      </c>
      <c r="W19" s="328">
        <f t="shared" si="18"/>
        <v>15.46999999999997</v>
      </c>
      <c r="X19" s="327">
        <f>+('BS 3Q2022'!X27-'BS 3Q2022'!V27)</f>
        <v>511.73100000000022</v>
      </c>
      <c r="Y19" s="327">
        <f>+('BS 3Q2022'!Y27-'BS 3Q2022'!X27)</f>
        <v>-332.62515000000008</v>
      </c>
      <c r="Z19" s="327">
        <f>+('BS 3Q2022'!Z27-'BS 3Q2022'!Y27)</f>
        <v>-18.848758500000031</v>
      </c>
      <c r="AA19" s="327">
        <f>+('BS 3Q2022'!AA27-'BS 3Q2022'!Z27)</f>
        <v>-18.660270914999955</v>
      </c>
      <c r="AB19" s="328">
        <f t="shared" si="19"/>
        <v>141.59682058500016</v>
      </c>
      <c r="AC19" s="327">
        <f>+('BS 3Q2022'!AC27-'BS 3Q2022'!AA27)</f>
        <v>554.21004617550011</v>
      </c>
      <c r="AD19" s="327">
        <f>+('BS 3Q2022'!AD27-'BS 3Q2022'!AC27)</f>
        <v>-360.23653001407502</v>
      </c>
      <c r="AE19" s="327">
        <f>+('BS 3Q2022'!AE27-'BS 3Q2022'!AD27)</f>
        <v>-20.413403367464298</v>
      </c>
      <c r="AF19" s="327">
        <f>+('BS 3Q2022'!AF27-'BS 3Q2022'!AE27)</f>
        <v>-20.209269333789734</v>
      </c>
      <c r="AG19" s="328">
        <f t="shared" si="20"/>
        <v>153.35084346017106</v>
      </c>
      <c r="AH19" s="327">
        <f>+('BS 3Q2022'!AH27-'BS 3Q2022'!AF27)</f>
        <v>600.21529921355159</v>
      </c>
      <c r="AI19" s="327">
        <f>+('BS 3Q2022'!AI27-'BS 3Q2022'!AH27)</f>
        <v>-390.1399444888084</v>
      </c>
      <c r="AJ19" s="327">
        <f>+('BS 3Q2022'!AJ27-'BS 3Q2022'!AI27)</f>
        <v>-22.107930187699367</v>
      </c>
      <c r="AK19" s="327">
        <f>+('BS 3Q2022'!AK27-'BS 3Q2022'!AJ27)</f>
        <v>-21.886850885822241</v>
      </c>
      <c r="AL19" s="328">
        <f t="shared" si="21"/>
        <v>166.08057365122158</v>
      </c>
      <c r="AM19" s="327">
        <f>+('BS 3Q2022'!AM27-'BS 3Q2022'!AK27)</f>
        <v>650.03947130891811</v>
      </c>
      <c r="AN19" s="327">
        <f>+('BS 3Q2022'!AN27-'BS 3Q2022'!AM27)</f>
        <v>-422.52565635079691</v>
      </c>
      <c r="AO19" s="327">
        <f>+('BS 3Q2022'!AO27-'BS 3Q2022'!AN27)</f>
        <v>-23.943120526545044</v>
      </c>
      <c r="AP19" s="327">
        <f>+('BS 3Q2022'!AP27-'BS 3Q2022'!AO27)</f>
        <v>-23.703689321279853</v>
      </c>
      <c r="AQ19" s="328">
        <f t="shared" si="22"/>
        <v>179.8670051102963</v>
      </c>
      <c r="AR19" s="327">
        <f>+('BS 3Q2022'!AR27-'BS 3Q2022'!AP27)</f>
        <v>703.99957284200673</v>
      </c>
      <c r="AS19" s="327">
        <f>+('BS 3Q2022'!AS27-'BS 3Q2022'!AR27)</f>
        <v>-457.59972234730458</v>
      </c>
      <c r="AT19" s="327">
        <f>+('BS 3Q2022'!AT27-'BS 3Q2022'!AS27)</f>
        <v>-25.930650933014022</v>
      </c>
      <c r="AU19" s="327">
        <f>+('BS 3Q2022'!AU27-'BS 3Q2022'!AT27)</f>
        <v>-25.671344423683877</v>
      </c>
      <c r="AV19" s="328">
        <f t="shared" si="23"/>
        <v>194.79785513800425</v>
      </c>
    </row>
    <row r="20" spans="2:48" outlineLevel="1" x14ac:dyDescent="0.3">
      <c r="B20" s="325" t="s">
        <v>278</v>
      </c>
      <c r="C20" s="326"/>
      <c r="D20" s="327">
        <v>0</v>
      </c>
      <c r="E20" s="327">
        <v>0</v>
      </c>
      <c r="F20" s="327">
        <f>1045.4-E20-D20</f>
        <v>1045.4000000000001</v>
      </c>
      <c r="G20" s="327">
        <f>1237-F20-E20-D20</f>
        <v>191.59999999999991</v>
      </c>
      <c r="H20" s="328">
        <f t="shared" si="15"/>
        <v>1237</v>
      </c>
      <c r="I20" s="327">
        <v>125.1</v>
      </c>
      <c r="J20" s="327">
        <f>-1227.4-I20</f>
        <v>-1352.5</v>
      </c>
      <c r="K20" s="327">
        <f>-1224.5-J20-I20</f>
        <v>2.9000000000000057</v>
      </c>
      <c r="L20" s="327">
        <f>-1214.6-K20-J20-I20</f>
        <v>9.9000000000000057</v>
      </c>
      <c r="M20" s="328">
        <f t="shared" si="16"/>
        <v>-1214.5999999999999</v>
      </c>
      <c r="N20" s="327">
        <v>56.9</v>
      </c>
      <c r="O20" s="327">
        <f>40-N20</f>
        <v>-16.899999999999999</v>
      </c>
      <c r="P20" s="327">
        <f>128.9-O20-N20</f>
        <v>88.9</v>
      </c>
      <c r="Q20" s="327">
        <f>286.1-P20-O20-N20</f>
        <v>157.20000000000002</v>
      </c>
      <c r="R20" s="328">
        <f t="shared" si="17"/>
        <v>286.10000000000002</v>
      </c>
      <c r="S20" s="327">
        <v>0</v>
      </c>
      <c r="T20" s="327">
        <f>0-S20</f>
        <v>0</v>
      </c>
      <c r="U20" s="327">
        <f t="shared" si="24"/>
        <v>0</v>
      </c>
      <c r="V20" s="327">
        <f>+('BS 3Q2022'!V25-'BS 3Q2022'!U25)</f>
        <v>0</v>
      </c>
      <c r="W20" s="328">
        <f t="shared" si="18"/>
        <v>0</v>
      </c>
      <c r="X20" s="327">
        <f>+('BS 3Q2022'!X25-'BS 3Q2022'!V25)</f>
        <v>0</v>
      </c>
      <c r="Y20" s="327">
        <f>+('BS 3Q2022'!Y25-'BS 3Q2022'!X25)</f>
        <v>0</v>
      </c>
      <c r="Z20" s="327">
        <f>+('BS 3Q2022'!Z25-'BS 3Q2022'!Y25)</f>
        <v>0</v>
      </c>
      <c r="AA20" s="327">
        <f>+('BS 3Q2022'!AA25-'BS 3Q2022'!Z25)</f>
        <v>0</v>
      </c>
      <c r="AB20" s="328">
        <f t="shared" si="19"/>
        <v>0</v>
      </c>
      <c r="AC20" s="327">
        <f>+('BS 3Q2022'!AC25-'BS 3Q2022'!AA25)</f>
        <v>0</v>
      </c>
      <c r="AD20" s="327">
        <f>+('BS 3Q2022'!AD25-'BS 3Q2022'!AC25)</f>
        <v>0</v>
      </c>
      <c r="AE20" s="327">
        <f>+('BS 3Q2022'!AE25-'BS 3Q2022'!AD25)</f>
        <v>0</v>
      </c>
      <c r="AF20" s="327">
        <f>+('BS 3Q2022'!AF25-'BS 3Q2022'!AE25)</f>
        <v>0</v>
      </c>
      <c r="AG20" s="328">
        <f t="shared" si="20"/>
        <v>0</v>
      </c>
      <c r="AH20" s="327">
        <f>+('BS 3Q2022'!AH25-'BS 3Q2022'!AF25)</f>
        <v>0</v>
      </c>
      <c r="AI20" s="327">
        <f>+('BS 3Q2022'!AI25-'BS 3Q2022'!AH25)</f>
        <v>0</v>
      </c>
      <c r="AJ20" s="327">
        <f>+('BS 3Q2022'!AJ25-'BS 3Q2022'!AI25)</f>
        <v>0</v>
      </c>
      <c r="AK20" s="327">
        <f>+('BS 3Q2022'!AK25-'BS 3Q2022'!AJ25)</f>
        <v>0</v>
      </c>
      <c r="AL20" s="328">
        <f t="shared" si="21"/>
        <v>0</v>
      </c>
      <c r="AM20" s="327">
        <f>+('BS 3Q2022'!AM25-'BS 3Q2022'!AK25)</f>
        <v>0</v>
      </c>
      <c r="AN20" s="327">
        <f>+('BS 3Q2022'!AN25-'BS 3Q2022'!AM25)</f>
        <v>0</v>
      </c>
      <c r="AO20" s="327">
        <f>+('BS 3Q2022'!AO25-'BS 3Q2022'!AN25)</f>
        <v>0</v>
      </c>
      <c r="AP20" s="327">
        <f>+('BS 3Q2022'!AP25-'BS 3Q2022'!AO25)</f>
        <v>0</v>
      </c>
      <c r="AQ20" s="328">
        <f t="shared" si="22"/>
        <v>0</v>
      </c>
      <c r="AR20" s="327">
        <f>+('BS 3Q2022'!AR25-'BS 3Q2022'!AP25)</f>
        <v>0</v>
      </c>
      <c r="AS20" s="327">
        <f>+('BS 3Q2022'!AS25-'BS 3Q2022'!AR25)</f>
        <v>0</v>
      </c>
      <c r="AT20" s="327">
        <f>+('BS 3Q2022'!AT25-'BS 3Q2022'!AS25)</f>
        <v>0</v>
      </c>
      <c r="AU20" s="327">
        <f>+('BS 3Q2022'!AU25-'BS 3Q2022'!AT25)</f>
        <v>0</v>
      </c>
      <c r="AV20" s="328">
        <f t="shared" si="23"/>
        <v>0</v>
      </c>
    </row>
    <row r="21" spans="2:48" ht="16.2" outlineLevel="1" x14ac:dyDescent="0.45">
      <c r="B21" s="538" t="s">
        <v>279</v>
      </c>
      <c r="C21" s="539"/>
      <c r="D21" s="329">
        <v>305.60000000000002</v>
      </c>
      <c r="E21" s="329">
        <f>429.3-D21</f>
        <v>123.69999999999999</v>
      </c>
      <c r="F21" s="329">
        <f>-67.4-E21-D21</f>
        <v>-496.70000000000005</v>
      </c>
      <c r="G21" s="329">
        <f>-141.1-F21-E21-D21</f>
        <v>-73.699999999999989</v>
      </c>
      <c r="H21" s="330">
        <f t="shared" si="15"/>
        <v>-141.10000000000002</v>
      </c>
      <c r="I21" s="329">
        <f>-31.8-301.6</f>
        <v>-333.40000000000003</v>
      </c>
      <c r="J21" s="329">
        <f>-608.6-140.5-I21</f>
        <v>-415.7</v>
      </c>
      <c r="K21" s="329">
        <f>-918.2+70.5-J21-I21</f>
        <v>-98.600000000000023</v>
      </c>
      <c r="L21" s="329">
        <f>-1231.4+280.5-K21-J21-I21</f>
        <v>-103.20000000000005</v>
      </c>
      <c r="M21" s="330">
        <f t="shared" si="16"/>
        <v>-950.90000000000009</v>
      </c>
      <c r="N21" s="329">
        <f>-314.8+12.3</f>
        <v>-302.5</v>
      </c>
      <c r="O21" s="329">
        <f>-676.3+59.5-N21</f>
        <v>-314.29999999999995</v>
      </c>
      <c r="P21" s="329">
        <f>-1029.8+154.6-O21-N21</f>
        <v>-258.39999999999998</v>
      </c>
      <c r="Q21" s="329">
        <f>-1488.1+358.7-P21-O21-N21</f>
        <v>-254.19999999999993</v>
      </c>
      <c r="R21" s="330">
        <f t="shared" si="17"/>
        <v>-1129.3999999999999</v>
      </c>
      <c r="S21" s="329">
        <f>-363.3+79.4</f>
        <v>-283.89999999999998</v>
      </c>
      <c r="T21" s="329">
        <f>-766.3-95-S21</f>
        <v>-577.4</v>
      </c>
      <c r="U21" s="329">
        <f>-1201.4+5.8-T21-S21</f>
        <v>-334.30000000000018</v>
      </c>
      <c r="V21" s="329">
        <f>('BS 3Q2022'!V23-'BS 3Q2022'!U23)+('BS 3Q2022'!V33-'BS 3Q2022'!U33)+('BS 3Q2022'!V34-'BS 3Q2022'!U34)+('BS 3Q2022'!V26-'BS 3Q2022'!U26)+('BS 3Q2022'!V24-'BS 3Q2022'!U24)</f>
        <v>-36.524700000000166</v>
      </c>
      <c r="W21" s="330">
        <f t="shared" si="18"/>
        <v>-1232.1247000000003</v>
      </c>
      <c r="X21" s="329">
        <f>('BS 3Q2022'!X23-'BS 3Q2022'!V23)+('BS 3Q2022'!X33-'BS 3Q2022'!V33)+('BS 3Q2022'!X34-'BS 3Q2022'!V34)+('BS 3Q2022'!X26-'BS 3Q2022'!V26)+('BS 3Q2022'!X24-'BS 3Q2022'!V24)</f>
        <v>-36.346935699999904</v>
      </c>
      <c r="Y21" s="329">
        <f>('BS 3Q2022'!Y23-'BS 3Q2022'!X23)+('BS 3Q2022'!Y33-'BS 3Q2022'!X33)+('BS 3Q2022'!Y34-'BS 3Q2022'!X34)+('BS 3Q2022'!Y26-'BS 3Q2022'!X26)+('BS 3Q2022'!Y24-'BS 3Q2022'!X24)</f>
        <v>-36.170040784700177</v>
      </c>
      <c r="Z21" s="329">
        <f>('BS 3Q2022'!Z23-'BS 3Q2022'!Y23)+('BS 3Q2022'!Z33-'BS 3Q2022'!Y33)+('BS 3Q2022'!Z34-'BS 3Q2022'!Y34)+('BS 3Q2022'!Z26-'BS 3Q2022'!Y26)+('BS 3Q2022'!Z24-'BS 3Q2022'!Y24)</f>
        <v>-35.994010984923307</v>
      </c>
      <c r="AA21" s="329">
        <f>('BS 3Q2022'!AA23-'BS 3Q2022'!Z23)+('BS 3Q2022'!AA33-'BS 3Q2022'!Z33)+('BS 3Q2022'!AA34-'BS 3Q2022'!Z34)+('BS 3Q2022'!AA26-'BS 3Q2022'!Z26)+('BS 3Q2022'!AA24-'BS 3Q2022'!Z24)</f>
        <v>-35.81884205252959</v>
      </c>
      <c r="AB21" s="330">
        <f t="shared" si="19"/>
        <v>-144.32982952215298</v>
      </c>
      <c r="AC21" s="329">
        <f>('BS 3Q2022'!AC23-'BS 3Q2022'!AA23)+('BS 3Q2022'!AC33-'BS 3Q2022'!AA33)+('BS 3Q2022'!AC34-'BS 3Q2022'!AA34)+('BS 3Q2022'!AC26-'BS 3Q2022'!AA26)+('BS 3Q2022'!AC24-'BS 3Q2022'!AA24)</f>
        <v>-35.644529760307478</v>
      </c>
      <c r="AD21" s="329">
        <f>('BS 3Q2022'!AD23-'BS 3Q2022'!AC23)+('BS 3Q2022'!AD33-'BS 3Q2022'!AC33)+('BS 3Q2022'!AD34-'BS 3Q2022'!AC34)+('BS 3Q2022'!AD26-'BS 3Q2022'!AC26)+('BS 3Q2022'!AD24-'BS 3Q2022'!AC24)</f>
        <v>-35.471069901874444</v>
      </c>
      <c r="AE21" s="329">
        <f>('BS 3Q2022'!AE23-'BS 3Q2022'!AD23)+('BS 3Q2022'!AE33-'BS 3Q2022'!AD33)+('BS 3Q2022'!AE34-'BS 3Q2022'!AD34)+('BS 3Q2022'!AE26-'BS 3Q2022'!AD26)+('BS 3Q2022'!AE24-'BS 3Q2022'!AD24)</f>
        <v>-35.298458291571478</v>
      </c>
      <c r="AF21" s="329">
        <f>('BS 3Q2022'!AF23-'BS 3Q2022'!AE23)+('BS 3Q2022'!AF33-'BS 3Q2022'!AE33)+('BS 3Q2022'!AF34-'BS 3Q2022'!AE34)+('BS 3Q2022'!AF26-'BS 3Q2022'!AE26)+('BS 3Q2022'!AF24-'BS 3Q2022'!AE24)</f>
        <v>-35.126690764364412</v>
      </c>
      <c r="AG21" s="330">
        <f t="shared" si="20"/>
        <v>-141.54074871811781</v>
      </c>
      <c r="AH21" s="329">
        <f>('BS 3Q2022'!AH23-'BS 3Q2022'!AF23)+('BS 3Q2022'!AH33-'BS 3Q2022'!AF33)+('BS 3Q2022'!AH34-'BS 3Q2022'!AF34)+('BS 3Q2022'!AH26-'BS 3Q2022'!AF26)+('BS 3Q2022'!AH24-'BS 3Q2022'!AF24)</f>
        <v>-34.955763175734774</v>
      </c>
      <c r="AI21" s="329">
        <f>('BS 3Q2022'!AI23-'BS 3Q2022'!AH23)+('BS 3Q2022'!AI33-'BS 3Q2022'!AH33)+('BS 3Q2022'!AI34-'BS 3Q2022'!AH34)+('BS 3Q2022'!AI26-'BS 3Q2022'!AH26)+('BS 3Q2022'!AI24-'BS 3Q2022'!AH24)</f>
        <v>-34.785671401588388</v>
      </c>
      <c r="AJ21" s="329">
        <f>('BS 3Q2022'!AJ23-'BS 3Q2022'!AI23)+('BS 3Q2022'!AJ33-'BS 3Q2022'!AI33)+('BS 3Q2022'!AJ34-'BS 3Q2022'!AI34)+('BS 3Q2022'!AJ26-'BS 3Q2022'!AI26)+('BS 3Q2022'!AJ24-'BS 3Q2022'!AI24)</f>
        <v>-34.616411338146236</v>
      </c>
      <c r="AK21" s="329">
        <f>('BS 3Q2022'!AK23-'BS 3Q2022'!AJ23)+('BS 3Q2022'!AK33-'BS 3Q2022'!AJ33)+('BS 3Q2022'!AK34-'BS 3Q2022'!AJ34)+('BS 3Q2022'!AK26-'BS 3Q2022'!AJ26)+('BS 3Q2022'!AK24-'BS 3Q2022'!AJ24)</f>
        <v>-34.447978901846909</v>
      </c>
      <c r="AL21" s="330">
        <f t="shared" si="21"/>
        <v>-138.80582481731631</v>
      </c>
      <c r="AM21" s="329">
        <f>('BS 3Q2022'!AM23-'BS 3Q2022'!AK23)+('BS 3Q2022'!AM33-'BS 3Q2022'!AK33)+('BS 3Q2022'!AM34-'BS 3Q2022'!AK34)+('BS 3Q2022'!AM26-'BS 3Q2022'!AK26)+('BS 3Q2022'!AM24-'BS 3Q2022'!AK24)</f>
        <v>-34.280370029247024</v>
      </c>
      <c r="AN21" s="329">
        <f>('BS 3Q2022'!AN23-'BS 3Q2022'!AM23)+('BS 3Q2022'!AN33-'BS 3Q2022'!AM33)+('BS 3Q2022'!AN34-'BS 3Q2022'!AM34)+('BS 3Q2022'!AN26-'BS 3Q2022'!AM26)+('BS 3Q2022'!AN24-'BS 3Q2022'!AM24)</f>
        <v>-34.113580676922538</v>
      </c>
      <c r="AO21" s="329">
        <f>('BS 3Q2022'!AO23-'BS 3Q2022'!AN23)+('BS 3Q2022'!AO33-'BS 3Q2022'!AN33)+('BS 3Q2022'!AO34-'BS 3Q2022'!AN34)+('BS 3Q2022'!AO26-'BS 3Q2022'!AN26)+('BS 3Q2022'!AO24-'BS 3Q2022'!AN24)</f>
        <v>-33.947606821368026</v>
      </c>
      <c r="AP21" s="329">
        <f>('BS 3Q2022'!AP23-'BS 3Q2022'!AO23)+('BS 3Q2022'!AP33-'BS 3Q2022'!AO33)+('BS 3Q2022'!AP34-'BS 3Q2022'!AO34)+('BS 3Q2022'!AP26-'BS 3Q2022'!AO26)+('BS 3Q2022'!AP24-'BS 3Q2022'!AO24)</f>
        <v>-33.7824444589005</v>
      </c>
      <c r="AQ21" s="330">
        <f t="shared" si="22"/>
        <v>-136.12400198643809</v>
      </c>
      <c r="AR21" s="329">
        <f>('BS 3Q2022'!AR23-'BS 3Q2022'!AP23)+('BS 3Q2022'!AR33-'BS 3Q2022'!AP33)+('BS 3Q2022'!AR34-'BS 3Q2022'!AP34)+('BS 3Q2022'!AR26-'BS 3Q2022'!AP26)+('BS 3Q2022'!AR24-'BS 3Q2022'!AP24)</f>
        <v>-33.618089605559135</v>
      </c>
      <c r="AS21" s="329">
        <f>('BS 3Q2022'!AS23-'BS 3Q2022'!AR23)+('BS 3Q2022'!AS33-'BS 3Q2022'!AR33)+('BS 3Q2022'!AS34-'BS 3Q2022'!AR34)+('BS 3Q2022'!AS26-'BS 3Q2022'!AR26)+('BS 3Q2022'!AS24-'BS 3Q2022'!AR24)</f>
        <v>-33.454538297008185</v>
      </c>
      <c r="AT21" s="329">
        <f>('BS 3Q2022'!AT23-'BS 3Q2022'!AS23)+('BS 3Q2022'!AT33-'BS 3Q2022'!AS33)+('BS 3Q2022'!AT34-'BS 3Q2022'!AS34)+('BS 3Q2022'!AT26-'BS 3Q2022'!AS26)+('BS 3Q2022'!AT24-'BS 3Q2022'!AS24)</f>
        <v>-33.291786588442392</v>
      </c>
      <c r="AU21" s="329">
        <f>('BS 3Q2022'!AU23-'BS 3Q2022'!AT23)+('BS 3Q2022'!AU33-'BS 3Q2022'!AT33)+('BS 3Q2022'!AU34-'BS 3Q2022'!AT34)+('BS 3Q2022'!AU26-'BS 3Q2022'!AT26)+('BS 3Q2022'!AU24-'BS 3Q2022'!AT24)</f>
        <v>-33.129830554487398</v>
      </c>
      <c r="AV21" s="330">
        <f t="shared" si="23"/>
        <v>-133.49424504549711</v>
      </c>
    </row>
    <row r="22" spans="2:48" outlineLevel="1" x14ac:dyDescent="0.3">
      <c r="B22" s="540" t="s">
        <v>280</v>
      </c>
      <c r="C22" s="541"/>
      <c r="D22" s="331">
        <f t="shared" ref="D22:AV22" si="25">D6+SUM(D7:D21)</f>
        <v>2379.0000000000005</v>
      </c>
      <c r="E22" s="331">
        <f t="shared" si="25"/>
        <v>390.39999999999969</v>
      </c>
      <c r="F22" s="331">
        <f t="shared" si="25"/>
        <v>1169.400000000001</v>
      </c>
      <c r="G22" s="331">
        <f t="shared" si="25"/>
        <v>1108.1000000000008</v>
      </c>
      <c r="H22" s="332">
        <f t="shared" si="25"/>
        <v>5046.9000000000051</v>
      </c>
      <c r="I22" s="331">
        <f t="shared" si="25"/>
        <v>1836.0999999999985</v>
      </c>
      <c r="J22" s="331">
        <f t="shared" si="25"/>
        <v>-1361.3000000000009</v>
      </c>
      <c r="K22" s="331">
        <f t="shared" si="25"/>
        <v>-367.69999999999925</v>
      </c>
      <c r="L22" s="331">
        <f t="shared" si="25"/>
        <v>1490.7000000000014</v>
      </c>
      <c r="M22" s="332">
        <f t="shared" si="25"/>
        <v>1597.8000000000043</v>
      </c>
      <c r="N22" s="331">
        <f t="shared" si="25"/>
        <v>1835.7000000000003</v>
      </c>
      <c r="O22" s="331">
        <f t="shared" si="25"/>
        <v>883.80000000000018</v>
      </c>
      <c r="P22" s="331">
        <f t="shared" si="25"/>
        <v>1748.9999999999991</v>
      </c>
      <c r="Q22" s="331">
        <f t="shared" si="25"/>
        <v>1520.6999999999996</v>
      </c>
      <c r="R22" s="332">
        <f t="shared" si="25"/>
        <v>5989.199999999998</v>
      </c>
      <c r="S22" s="331">
        <f t="shared" si="25"/>
        <v>1870.8999999999999</v>
      </c>
      <c r="T22" s="331">
        <f t="shared" si="25"/>
        <v>161.9000000000002</v>
      </c>
      <c r="U22" s="331">
        <f t="shared" si="25"/>
        <v>1264.7999999999993</v>
      </c>
      <c r="V22" s="331">
        <f t="shared" si="25"/>
        <v>1337.2390938203303</v>
      </c>
      <c r="W22" s="332">
        <f>W6+SUM(W7:W21)</f>
        <v>4634.8390938203302</v>
      </c>
      <c r="X22" s="331">
        <f t="shared" si="25"/>
        <v>1680.9752258233507</v>
      </c>
      <c r="Y22" s="331">
        <f t="shared" si="25"/>
        <v>715.61234575877268</v>
      </c>
      <c r="Z22" s="331">
        <f t="shared" si="25"/>
        <v>1075.0034481742098</v>
      </c>
      <c r="AA22" s="331">
        <f t="shared" si="25"/>
        <v>1946.1761553741014</v>
      </c>
      <c r="AB22" s="332">
        <f t="shared" si="25"/>
        <v>5417.7671751304351</v>
      </c>
      <c r="AC22" s="331">
        <f t="shared" si="25"/>
        <v>2096.0396741235641</v>
      </c>
      <c r="AD22" s="331">
        <f t="shared" si="25"/>
        <v>984.18292262234183</v>
      </c>
      <c r="AE22" s="331">
        <f t="shared" si="25"/>
        <v>1447.0905589101023</v>
      </c>
      <c r="AF22" s="331">
        <f t="shared" si="25"/>
        <v>1898.0343018849289</v>
      </c>
      <c r="AG22" s="332">
        <f t="shared" si="25"/>
        <v>6425.3474575409364</v>
      </c>
      <c r="AH22" s="331">
        <f t="shared" si="25"/>
        <v>2315.1856259510178</v>
      </c>
      <c r="AI22" s="331">
        <f t="shared" si="25"/>
        <v>1123.8103766267191</v>
      </c>
      <c r="AJ22" s="331">
        <f t="shared" si="25"/>
        <v>1622.8861318649228</v>
      </c>
      <c r="AK22" s="331">
        <f t="shared" si="25"/>
        <v>2200.836533070601</v>
      </c>
      <c r="AL22" s="332">
        <f t="shared" si="25"/>
        <v>7262.7186675132607</v>
      </c>
      <c r="AM22" s="331">
        <f t="shared" si="25"/>
        <v>2581.2359385801456</v>
      </c>
      <c r="AN22" s="331">
        <f t="shared" si="25"/>
        <v>1224.2891845679426</v>
      </c>
      <c r="AO22" s="331">
        <f t="shared" si="25"/>
        <v>1735.0011166059276</v>
      </c>
      <c r="AP22" s="331">
        <f t="shared" si="25"/>
        <v>2420.0190980813932</v>
      </c>
      <c r="AQ22" s="332">
        <f t="shared" si="25"/>
        <v>7960.5453378354086</v>
      </c>
      <c r="AR22" s="331">
        <f t="shared" si="25"/>
        <v>2823.5197244357187</v>
      </c>
      <c r="AS22" s="331">
        <f t="shared" si="25"/>
        <v>1340.0371903558255</v>
      </c>
      <c r="AT22" s="331">
        <f t="shared" si="25"/>
        <v>1920.4019783879162</v>
      </c>
      <c r="AU22" s="331">
        <f t="shared" si="25"/>
        <v>2562.258639021421</v>
      </c>
      <c r="AV22" s="332">
        <f t="shared" si="25"/>
        <v>8646.2175322008825</v>
      </c>
    </row>
    <row r="23" spans="2:48" outlineLevel="1" x14ac:dyDescent="0.3">
      <c r="B23" s="506" t="s">
        <v>281</v>
      </c>
      <c r="C23" s="507"/>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-('BS 3Q2022'!V7-'BS 3Q2022'!U7)-('BS 3Q2022'!V12-'BS 3Q2022'!U12)</f>
        <v>-4.1259993581648757</v>
      </c>
      <c r="W24" s="17">
        <f>SUM(S24:V24)</f>
        <v>10.674000641835121</v>
      </c>
      <c r="X24" s="16">
        <f>-('BS 3Q2022'!X7-'BS 3Q2022'!V7)-('BS 3Q2022'!X12-'BS 3Q2022'!V12)</f>
        <v>-4.3274850693935321</v>
      </c>
      <c r="Y24" s="16">
        <f>-('BS 3Q2022'!Y7-'BS 3Q2022'!X7)-('BS 3Q2022'!Y12-'BS 3Q2022'!X12)</f>
        <v>3.9629849836104825</v>
      </c>
      <c r="Z24" s="16">
        <f>-('BS 3Q2022'!Z7-'BS 3Q2022'!Y7)-('BS 3Q2022'!Z12-'BS 3Q2022'!Y12)</f>
        <v>-11.200484529819349</v>
      </c>
      <c r="AA24" s="16">
        <f>-('BS 3Q2022'!AA7-'BS 3Q2022'!Z7)-('BS 3Q2022'!AA12-'BS 3Q2022'!Z12)</f>
        <v>-4.2586131396127058</v>
      </c>
      <c r="AB24" s="17">
        <f>SUM(X24:AA24)</f>
        <v>-15.823597755215104</v>
      </c>
      <c r="AC24" s="16">
        <f>-('BS 3Q2022'!AC7-'BS 3Q2022'!AA7)-('BS 3Q2022'!AC12-'BS 3Q2022'!AA12)</f>
        <v>-13.793620527275763</v>
      </c>
      <c r="AD24" s="16">
        <f>-('BS 3Q2022'!AD7-'BS 3Q2022'!AC7)-('BS 3Q2022'!AD12-'BS 3Q2022'!AC12)</f>
        <v>0.60459004128858851</v>
      </c>
      <c r="AE24" s="16">
        <f>-('BS 3Q2022'!AE7-'BS 3Q2022'!AD7)-('BS 3Q2022'!AE12-'BS 3Q2022'!AD12)</f>
        <v>-9.2492870448767377</v>
      </c>
      <c r="AF24" s="16">
        <f>-('BS 3Q2022'!AF7-'BS 3Q2022'!AE7)-('BS 3Q2022'!AF12-'BS 3Q2022'!AE12)</f>
        <v>-5.2842195307710114</v>
      </c>
      <c r="AG24" s="17">
        <f>SUM(AC24:AF24)</f>
        <v>-27.722537061634924</v>
      </c>
      <c r="AH24" s="16">
        <f>-('BS 3Q2022'!AH7-'BS 3Q2022'!AF7)-('BS 3Q2022'!AH12-'BS 3Q2022'!AF12)</f>
        <v>-16.099219072777217</v>
      </c>
      <c r="AI24" s="16">
        <f>-('BS 3Q2022'!AI7-'BS 3Q2022'!AH7)-('BS 3Q2022'!AI12-'BS 3Q2022'!AH12)</f>
        <v>0.14542720808130127</v>
      </c>
      <c r="AJ24" s="16">
        <f>-('BS 3Q2022'!AJ7-'BS 3Q2022'!AI7)-('BS 3Q2022'!AJ12-'BS 3Q2022'!AI12)</f>
        <v>-15.112732305197483</v>
      </c>
      <c r="AK24" s="16">
        <f>-('BS 3Q2022'!AK7-'BS 3Q2022'!AJ7)-('BS 3Q2022'!AK12-'BS 3Q2022'!AJ12)</f>
        <v>61.064518598499077</v>
      </c>
      <c r="AL24" s="17">
        <f>SUM(AH24:AK24)</f>
        <v>29.997994428605679</v>
      </c>
      <c r="AM24" s="16">
        <f>-('BS 3Q2022'!AM7-'BS 3Q2022'!AK7)-('BS 3Q2022'!AM12-'BS 3Q2022'!AK12)</f>
        <v>-15.511347889801613</v>
      </c>
      <c r="AN24" s="16">
        <f>-('BS 3Q2022'!AN7-'BS 3Q2022'!AM7)-('BS 3Q2022'!AN12-'BS 3Q2022'!AM12)</f>
        <v>2.2289851837894901</v>
      </c>
      <c r="AO24" s="16">
        <f>-('BS 3Q2022'!AO7-'BS 3Q2022'!AN7)-('BS 3Q2022'!AO12-'BS 3Q2022'!AN12)</f>
        <v>-11.722250650789007</v>
      </c>
      <c r="AP24" s="16">
        <f>-('BS 3Q2022'!AP7-'BS 3Q2022'!AO7)-('BS 3Q2022'!AP12-'BS 3Q2022'!AO12)</f>
        <v>-5.5824430425501959</v>
      </c>
      <c r="AQ24" s="17">
        <f>SUM(AM24:AP24)</f>
        <v>-30.587056399351326</v>
      </c>
      <c r="AR24" s="16">
        <f>-('BS 3Q2022'!AR7-'BS 3Q2022'!AP7)-('BS 3Q2022'!AR12-'BS 3Q2022'!AP12)</f>
        <v>-17.643727490371234</v>
      </c>
      <c r="AS24" s="16">
        <f>-('BS 3Q2022'!AS7-'BS 3Q2022'!AR7)-('BS 3Q2022'!AS12-'BS 3Q2022'!AR12)</f>
        <v>1.2150608149971731</v>
      </c>
      <c r="AT24" s="16">
        <f>-('BS 3Q2022'!AT7-'BS 3Q2022'!AS7)-('BS 3Q2022'!AT12-'BS 3Q2022'!AS12)</f>
        <v>-13.25502087241577</v>
      </c>
      <c r="AU24" s="16">
        <f>-('BS 3Q2022'!AU7-'BS 3Q2022'!AT7)-('BS 3Q2022'!AU12-'BS 3Q2022'!AT12)</f>
        <v>-6.8865534574673717</v>
      </c>
      <c r="AV24" s="17">
        <f>SUM(AR24:AU24)</f>
        <v>-36.570241005257202</v>
      </c>
    </row>
    <row r="25" spans="2:48" outlineLevel="1" x14ac:dyDescent="0.3">
      <c r="B25" s="486" t="s">
        <v>283</v>
      </c>
      <c r="C25" s="487"/>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-'IS 3Q2022'!V8*V56</f>
        <v>-487.54168746488921</v>
      </c>
      <c r="W25" s="169">
        <f>SUM(S25:V25)</f>
        <v>-1782.9416874648894</v>
      </c>
      <c r="X25" s="16">
        <f>-'IS 3Q2022'!X8*X56</f>
        <v>-668.64144810103335</v>
      </c>
      <c r="Y25" s="16">
        <f>-'IS 3Q2022'!Y8*Y56</f>
        <v>-647.40361854763819</v>
      </c>
      <c r="Z25" s="16">
        <f>-'IS 3Q2022'!Z8*Z56</f>
        <v>-708.94568024971056</v>
      </c>
      <c r="AA25" s="16">
        <f>-'IS 3Q2022'!AA8*AA56</f>
        <v>-725.00925310161779</v>
      </c>
      <c r="AB25" s="418">
        <f>SUM(X25:AA25)</f>
        <v>-2750</v>
      </c>
      <c r="AC25" s="16">
        <f>-'IS 3Q2022'!AC8*AC56</f>
        <v>-679.91445090791535</v>
      </c>
      <c r="AD25" s="16">
        <f>-'IS 3Q2022'!AD8*AD56</f>
        <v>-642.83137193609161</v>
      </c>
      <c r="AE25" s="16">
        <f>-'IS 3Q2022'!AE8*AE56</f>
        <v>-704.54610476935875</v>
      </c>
      <c r="AF25" s="16">
        <f>-'IS 3Q2022'!AF8*AF56</f>
        <v>-722.7080723866344</v>
      </c>
      <c r="AG25" s="418">
        <f>SUM(AC25:AF25)</f>
        <v>-2750</v>
      </c>
      <c r="AH25" s="16">
        <f>-'IS 3Q2022'!AH8*AH56</f>
        <v>-679.70233690452073</v>
      </c>
      <c r="AI25" s="16">
        <f>-'IS 3Q2022'!AI8*AI56</f>
        <v>-642.1409233651508</v>
      </c>
      <c r="AJ25" s="16">
        <f>-'IS 3Q2022'!AJ8*AJ56</f>
        <v>-704.23765768572832</v>
      </c>
      <c r="AK25" s="16">
        <f>-'IS 3Q2022'!AK8*AK56</f>
        <v>-723.91908204459253</v>
      </c>
      <c r="AL25" s="418">
        <f>SUM(AH25:AK25)</f>
        <v>-2749.9999999999923</v>
      </c>
      <c r="AM25" s="16">
        <f>-'IS 3Q2022'!AM8*AM56</f>
        <v>-747.74618758998724</v>
      </c>
      <c r="AN25" s="16">
        <f>-'IS 3Q2022'!AN8*AN56</f>
        <v>-702.84617323811699</v>
      </c>
      <c r="AO25" s="16">
        <f>-'IS 3Q2022'!AO8*AO56</f>
        <v>-767.99886256777359</v>
      </c>
      <c r="AP25" s="16">
        <f>-'IS 3Q2022'!AP8*AP56</f>
        <v>-787.09563690279879</v>
      </c>
      <c r="AQ25" s="17">
        <f>SUM(AM25:AP25)</f>
        <v>-3005.6868602986769</v>
      </c>
      <c r="AR25" s="16">
        <f>-'IS 3Q2022'!AR8*AR56</f>
        <v>-796.38125597218891</v>
      </c>
      <c r="AS25" s="16">
        <f>-'IS 3Q2022'!AS8*AS56</f>
        <v>-748.0203714828491</v>
      </c>
      <c r="AT25" s="16">
        <f>-'IS 3Q2022'!AT8*AT56</f>
        <v>-817.19059843482205</v>
      </c>
      <c r="AU25" s="16">
        <f>-'IS 3Q2022'!AU8*AU56</f>
        <v>-837.74595396265283</v>
      </c>
      <c r="AV25" s="17">
        <f>SUM(AR25:AU25)</f>
        <v>-3199.3381798525129</v>
      </c>
    </row>
    <row r="26" spans="2:48" ht="16.2" outlineLevel="1" x14ac:dyDescent="0.45">
      <c r="B26" s="486" t="s">
        <v>284</v>
      </c>
      <c r="C26" s="487"/>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-('BS 3Q2022'!V13-'BS 3Q2022'!U13)-('BS 3Q2022'!V17-'BS 3Q2022'!U17)-('BS 3Q2022'!V15-'BS 3Q2022'!U15)+('BS 3Q2022'!V32-'BS 3Q2022'!U32)-('BS 3Q2022'!V18-'BS 3Q2022'!U18)-('BS 3Q2022'!V19-'BS 3Q2022'!U19)</f>
        <v>21.646156080834032</v>
      </c>
      <c r="W26" s="261">
        <f>SUM(S26:V26)</f>
        <v>-74.053843919165985</v>
      </c>
      <c r="X26" s="260">
        <f>-('BS 3Q2022'!X13-'BS 3Q2022'!V13)-('BS 3Q2022'!X17-'BS 3Q2022'!V17)-('BS 3Q2022'!X15-'BS 3Q2022'!V15)+('BS 3Q2022'!X32-'BS 3Q2022'!V32)-('BS 3Q2022'!X18-'BS 3Q2022'!V18)-('BS 3Q2022'!X19-'BS 3Q2022'!V19)</f>
        <v>-0.33275892022197695</v>
      </c>
      <c r="Y26" s="260">
        <f>-('BS 3Q2022'!Y13-'BS 3Q2022'!X13)-('BS 3Q2022'!Y17-'BS 3Q2022'!X17)-('BS 3Q2022'!Y15-'BS 3Q2022'!X15)+('BS 3Q2022'!Y32-'BS 3Q2022'!X32)-('BS 3Q2022'!Y18-'BS 3Q2022'!X18)-('BS 3Q2022'!Y19-'BS 3Q2022'!X19)</f>
        <v>19.028199364505525</v>
      </c>
      <c r="Z26" s="260">
        <f>-('BS 3Q2022'!Z13-'BS 3Q2022'!Y13)-('BS 3Q2022'!Z17-'BS 3Q2022'!Y17)-('BS 3Q2022'!Z15-'BS 3Q2022'!Y15)+('BS 3Q2022'!Z32-'BS 3Q2022'!Y32)-('BS 3Q2022'!Z18-'BS 3Q2022'!Y18)-('BS 3Q2022'!Z19-'BS 3Q2022'!Y19)</f>
        <v>0.11916738937679838</v>
      </c>
      <c r="AA26" s="260">
        <f>-('BS 3Q2022'!AA13-'BS 3Q2022'!Z13)-('BS 3Q2022'!AA17-'BS 3Q2022'!Z17)-('BS 3Q2022'!AA15-'BS 3Q2022'!Z15)+('BS 3Q2022'!AA32-'BS 3Q2022'!Z32)-('BS 3Q2022'!AA18-'BS 3Q2022'!Z18)-('BS 3Q2022'!AA19-'BS 3Q2022'!Z19)</f>
        <v>6.7786717047456762</v>
      </c>
      <c r="AB26" s="261">
        <f>SUM(X26:AA26)</f>
        <v>25.593279538406023</v>
      </c>
      <c r="AC26" s="260">
        <f>-('BS 3Q2022'!AC13-'BS 3Q2022'!AA13)-('BS 3Q2022'!AC17-'BS 3Q2022'!AA17)-('BS 3Q2022'!AC15-'BS 3Q2022'!AA15)+('BS 3Q2022'!AC32-'BS 3Q2022'!AA32)-('BS 3Q2022'!AC18-'BS 3Q2022'!AA18)-('BS 3Q2022'!AC19-'BS 3Q2022'!AA19)</f>
        <v>-13.339814650338951</v>
      </c>
      <c r="AD26" s="260">
        <f>-('BS 3Q2022'!AD13-'BS 3Q2022'!AC13)-('BS 3Q2022'!AD17-'BS 3Q2022'!AC17)-('BS 3Q2022'!AD15-'BS 3Q2022'!AC15)+('BS 3Q2022'!AD32-'BS 3Q2022'!AC32)-('BS 3Q2022'!AD18-'BS 3Q2022'!AC18)-('BS 3Q2022'!AD19-'BS 3Q2022'!AC19)</f>
        <v>12.786314681317606</v>
      </c>
      <c r="AE26" s="260">
        <f>-('BS 3Q2022'!AE13-'BS 3Q2022'!AD13)-('BS 3Q2022'!AE17-'BS 3Q2022'!AD17)-('BS 3Q2022'!AE15-'BS 3Q2022'!AD15)+('BS 3Q2022'!AE32-'BS 3Q2022'!AD32)-('BS 3Q2022'!AE18-'BS 3Q2022'!AD18)-('BS 3Q2022'!AE19-'BS 3Q2022'!AD19)</f>
        <v>-4.1195312125490489</v>
      </c>
      <c r="AF26" s="260">
        <f>-('BS 3Q2022'!AF13-'BS 3Q2022'!AE13)-('BS 3Q2022'!AF17-'BS 3Q2022'!AE17)-('BS 3Q2022'!AF15-'BS 3Q2022'!AE15)+('BS 3Q2022'!AF32-'BS 3Q2022'!AE32)-('BS 3Q2022'!AF18-'BS 3Q2022'!AE18)-('BS 3Q2022'!AF19-'BS 3Q2022'!AE19)</f>
        <v>0.91949201359113886</v>
      </c>
      <c r="AG26" s="261">
        <f>SUM(AC26:AF26)</f>
        <v>-3.7535391679792554</v>
      </c>
      <c r="AH26" s="260">
        <f>-('BS 3Q2022'!AH13-'BS 3Q2022'!AF13)-('BS 3Q2022'!AH17-'BS 3Q2022'!AF17)-('BS 3Q2022'!AH15-'BS 3Q2022'!AF15)+('BS 3Q2022'!AH32-'BS 3Q2022'!AF32)-('BS 3Q2022'!AH18-'BS 3Q2022'!AF18)-('BS 3Q2022'!AH19-'BS 3Q2022'!AF19)</f>
        <v>-18.682130624768888</v>
      </c>
      <c r="AI26" s="260">
        <f>-('BS 3Q2022'!AI13-'BS 3Q2022'!AH13)-('BS 3Q2022'!AI17-'BS 3Q2022'!AH17)-('BS 3Q2022'!AI15-'BS 3Q2022'!AH15)+('BS 3Q2022'!AI32-'BS 3Q2022'!AH32)-('BS 3Q2022'!AI18-'BS 3Q2022'!AH18)-('BS 3Q2022'!AI19-'BS 3Q2022'!AH19)</f>
        <v>9.2867697898808643</v>
      </c>
      <c r="AJ26" s="260">
        <f>-('BS 3Q2022'!AJ13-'BS 3Q2022'!AI13)-('BS 3Q2022'!AJ17-'BS 3Q2022'!AI17)-('BS 3Q2022'!AJ15-'BS 3Q2022'!AI15)+('BS 3Q2022'!AJ32-'BS 3Q2022'!AI32)-('BS 3Q2022'!AJ18-'BS 3Q2022'!AI18)-('BS 3Q2022'!AJ19-'BS 3Q2022'!AI19)</f>
        <v>-17.6609082117631</v>
      </c>
      <c r="AK26" s="260">
        <f>-('BS 3Q2022'!AK13-'BS 3Q2022'!AJ13)-('BS 3Q2022'!AK17-'BS 3Q2022'!AJ17)-('BS 3Q2022'!AK15-'BS 3Q2022'!AJ15)+('BS 3Q2022'!AK32-'BS 3Q2022'!AJ32)-('BS 3Q2022'!AK18-'BS 3Q2022'!AJ18)-('BS 3Q2022'!AK19-'BS 3Q2022'!AJ19)</f>
        <v>113.43873735190577</v>
      </c>
      <c r="AL26" s="261">
        <f>SUM(AH26:AK26)</f>
        <v>86.382468305254648</v>
      </c>
      <c r="AM26" s="260">
        <f>-('BS 3Q2022'!AM13-'BS 3Q2022'!AK13)-('BS 3Q2022'!AM17-'BS 3Q2022'!AK17)-('BS 3Q2022'!AM15-'BS 3Q2022'!AK15)+('BS 3Q2022'!AM32-'BS 3Q2022'!AK32)-('BS 3Q2022'!AM18-'BS 3Q2022'!AK18)-('BS 3Q2022'!AM19-'BS 3Q2022'!AK19)</f>
        <v>-19.553063234851415</v>
      </c>
      <c r="AN26" s="260">
        <f>-('BS 3Q2022'!AN13-'BS 3Q2022'!AM13)-('BS 3Q2022'!AN17-'BS 3Q2022'!AM17)-('BS 3Q2022'!AN15-'BS 3Q2022'!AM15)+('BS 3Q2022'!AN32-'BS 3Q2022'!AM32)-('BS 3Q2022'!AN18-'BS 3Q2022'!AM18)-('BS 3Q2022'!AN19-'BS 3Q2022'!AM19)</f>
        <v>10.779084451538075</v>
      </c>
      <c r="AO26" s="260">
        <f>-('BS 3Q2022'!AO13-'BS 3Q2022'!AN13)-('BS 3Q2022'!AO17-'BS 3Q2022'!AN17)-('BS 3Q2022'!AO15-'BS 3Q2022'!AN15)+('BS 3Q2022'!AO32-'BS 3Q2022'!AN32)-('BS 3Q2022'!AO18-'BS 3Q2022'!AN18)-('BS 3Q2022'!AO19-'BS 3Q2022'!AN19)</f>
        <v>-13.797765563079629</v>
      </c>
      <c r="AP26" s="260">
        <f>-('BS 3Q2022'!AP13-'BS 3Q2022'!AO13)-('BS 3Q2022'!AP17-'BS 3Q2022'!AO17)-('BS 3Q2022'!AP15-'BS 3Q2022'!AO15)+('BS 3Q2022'!AP32-'BS 3Q2022'!AO32)-('BS 3Q2022'!AP18-'BS 3Q2022'!AO18)-('BS 3Q2022'!AP19-'BS 3Q2022'!AO19)</f>
        <v>-3.5813784385751504</v>
      </c>
      <c r="AQ26" s="261">
        <f>SUM(AM26:AP26)</f>
        <v>-26.153122784968119</v>
      </c>
      <c r="AR26" s="260">
        <f>-('BS 3Q2022'!AR13-'BS 3Q2022'!AP13)-('BS 3Q2022'!AR17-'BS 3Q2022'!AP17)-('BS 3Q2022'!AR15-'BS 3Q2022'!AP15)+('BS 3Q2022'!AR32-'BS 3Q2022'!AP32)-('BS 3Q2022'!AR18-'BS 3Q2022'!AP18)-('BS 3Q2022'!AR19-'BS 3Q2022'!AP19)</f>
        <v>-24.794675230808394</v>
      </c>
      <c r="AS26" s="260">
        <f>-('BS 3Q2022'!AS13-'BS 3Q2022'!AR13)-('BS 3Q2022'!AS17-'BS 3Q2022'!AR17)-('BS 3Q2022'!AS15-'BS 3Q2022'!AR15)+('BS 3Q2022'!AS32-'BS 3Q2022'!AR32)-('BS 3Q2022'!AS18-'BS 3Q2022'!AR18)-('BS 3Q2022'!AS19-'BS 3Q2022'!AR19)</f>
        <v>7.5343720242820282</v>
      </c>
      <c r="AT26" s="260">
        <f>-('BS 3Q2022'!AT13-'BS 3Q2022'!AS13)-('BS 3Q2022'!AT17-'BS 3Q2022'!AS17)-('BS 3Q2022'!AT15-'BS 3Q2022'!AS15)+('BS 3Q2022'!AT32-'BS 3Q2022'!AS32)-('BS 3Q2022'!AT18-'BS 3Q2022'!AS18)-('BS 3Q2022'!AT19-'BS 3Q2022'!AS19)</f>
        <v>-17.814598212621696</v>
      </c>
      <c r="AU26" s="260">
        <f>-('BS 3Q2022'!AU13-'BS 3Q2022'!AT13)-('BS 3Q2022'!AU17-'BS 3Q2022'!AT17)-('BS 3Q2022'!AU15-'BS 3Q2022'!AT15)+('BS 3Q2022'!AU32-'BS 3Q2022'!AT32)-('BS 3Q2022'!AU18-'BS 3Q2022'!AT18)-('BS 3Q2022'!AU19-'BS 3Q2022'!AT19)</f>
        <v>-7.0700320223620139</v>
      </c>
      <c r="AV26" s="261">
        <f>SUM(AR26:AU26)</f>
        <v>-42.144933441510076</v>
      </c>
    </row>
    <row r="27" spans="2:48" outlineLevel="1" x14ac:dyDescent="0.3">
      <c r="B27" s="500" t="s">
        <v>285</v>
      </c>
      <c r="C27" s="501"/>
      <c r="D27" s="21">
        <f t="shared" ref="D27:AV27" si="26">SUM(D24:D26)</f>
        <v>-510.4</v>
      </c>
      <c r="E27" s="21">
        <f t="shared" si="26"/>
        <v>-200.60000000000002</v>
      </c>
      <c r="F27" s="21">
        <f t="shared" si="26"/>
        <v>204.5</v>
      </c>
      <c r="G27" s="21">
        <f t="shared" si="26"/>
        <v>-504.30000000000007</v>
      </c>
      <c r="H27" s="22">
        <f t="shared" si="26"/>
        <v>-1010.8</v>
      </c>
      <c r="I27" s="21">
        <f t="shared" si="26"/>
        <v>-386.3</v>
      </c>
      <c r="J27" s="21">
        <f t="shared" si="26"/>
        <v>-361.59999999999997</v>
      </c>
      <c r="K27" s="21">
        <f t="shared" si="26"/>
        <v>-583.80000000000007</v>
      </c>
      <c r="L27" s="21">
        <f t="shared" si="26"/>
        <v>-379.79999999999978</v>
      </c>
      <c r="M27" s="22">
        <f t="shared" si="26"/>
        <v>-1711.5</v>
      </c>
      <c r="N27" s="21">
        <f t="shared" si="26"/>
        <v>-272.5</v>
      </c>
      <c r="O27" s="21">
        <f t="shared" si="26"/>
        <v>-306.5</v>
      </c>
      <c r="P27" s="21">
        <f t="shared" si="26"/>
        <v>-407.2</v>
      </c>
      <c r="Q27" s="21">
        <f t="shared" si="26"/>
        <v>666.70000000000016</v>
      </c>
      <c r="R27" s="22">
        <f t="shared" si="26"/>
        <v>-319.49999999999977</v>
      </c>
      <c r="S27" s="21">
        <f t="shared" si="26"/>
        <v>-401</v>
      </c>
      <c r="T27" s="21">
        <f t="shared" si="26"/>
        <v>-479.89999999999992</v>
      </c>
      <c r="U27" s="21">
        <f t="shared" si="26"/>
        <v>-495.4000000000002</v>
      </c>
      <c r="V27" s="21">
        <f t="shared" si="26"/>
        <v>-470.02153074222002</v>
      </c>
      <c r="W27" s="22">
        <f t="shared" si="26"/>
        <v>-1846.3215307422201</v>
      </c>
      <c r="X27" s="21">
        <f t="shared" si="26"/>
        <v>-673.30169209064888</v>
      </c>
      <c r="Y27" s="21">
        <f t="shared" si="26"/>
        <v>-624.41243419952218</v>
      </c>
      <c r="Z27" s="21">
        <f t="shared" si="26"/>
        <v>-720.02699739015316</v>
      </c>
      <c r="AA27" s="21">
        <f t="shared" si="26"/>
        <v>-722.48919453648489</v>
      </c>
      <c r="AB27" s="22">
        <f t="shared" si="26"/>
        <v>-2740.2303182168089</v>
      </c>
      <c r="AC27" s="21">
        <f t="shared" si="26"/>
        <v>-707.04788608553008</v>
      </c>
      <c r="AD27" s="21">
        <f t="shared" si="26"/>
        <v>-629.44046721348536</v>
      </c>
      <c r="AE27" s="21">
        <f t="shared" si="26"/>
        <v>-717.91492302678455</v>
      </c>
      <c r="AF27" s="21">
        <f t="shared" si="26"/>
        <v>-727.07279990381426</v>
      </c>
      <c r="AG27" s="22">
        <f t="shared" si="26"/>
        <v>-2781.4760762296141</v>
      </c>
      <c r="AH27" s="21">
        <f t="shared" si="26"/>
        <v>-714.48368660206688</v>
      </c>
      <c r="AI27" s="21">
        <f t="shared" si="26"/>
        <v>-632.70872636718866</v>
      </c>
      <c r="AJ27" s="21">
        <f t="shared" si="26"/>
        <v>-737.01129820268886</v>
      </c>
      <c r="AK27" s="21">
        <f t="shared" si="26"/>
        <v>-549.41582609418776</v>
      </c>
      <c r="AL27" s="22">
        <f t="shared" si="26"/>
        <v>-2633.6195372661318</v>
      </c>
      <c r="AM27" s="21">
        <f t="shared" si="26"/>
        <v>-782.81059871464026</v>
      </c>
      <c r="AN27" s="21">
        <f t="shared" si="26"/>
        <v>-689.83810360278937</v>
      </c>
      <c r="AO27" s="21">
        <f t="shared" si="26"/>
        <v>-793.51887878164223</v>
      </c>
      <c r="AP27" s="21">
        <f t="shared" si="26"/>
        <v>-796.25945838392408</v>
      </c>
      <c r="AQ27" s="22">
        <f t="shared" si="26"/>
        <v>-3062.4270394829964</v>
      </c>
      <c r="AR27" s="21">
        <f t="shared" si="26"/>
        <v>-838.81965869336852</v>
      </c>
      <c r="AS27" s="21">
        <f t="shared" si="26"/>
        <v>-739.27093864356993</v>
      </c>
      <c r="AT27" s="21">
        <f t="shared" si="26"/>
        <v>-848.26021751985957</v>
      </c>
      <c r="AU27" s="21">
        <f t="shared" si="26"/>
        <v>-851.70253944248225</v>
      </c>
      <c r="AV27" s="22">
        <f t="shared" si="26"/>
        <v>-3278.0533542992803</v>
      </c>
    </row>
    <row r="28" spans="2:48" outlineLevel="1" x14ac:dyDescent="0.3">
      <c r="B28" s="542" t="s">
        <v>286</v>
      </c>
      <c r="C28" s="543"/>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538" t="s">
        <v>263</v>
      </c>
      <c r="C29" s="539"/>
      <c r="D29" s="327">
        <v>0</v>
      </c>
      <c r="E29" s="327">
        <f>-D29</f>
        <v>0</v>
      </c>
      <c r="F29" s="327">
        <f>1996-350-E29-D29</f>
        <v>1646</v>
      </c>
      <c r="G29" s="327">
        <f>1996-F29-E29-D29</f>
        <v>350</v>
      </c>
      <c r="H29" s="328">
        <f t="shared" ref="H29:H36" si="27">SUM(D29:G29)</f>
        <v>1996</v>
      </c>
      <c r="I29" s="327">
        <v>0</v>
      </c>
      <c r="J29" s="327">
        <f>1739.7-I29</f>
        <v>1739.7</v>
      </c>
      <c r="K29" s="327">
        <f>1157.2+4727.6-J29-I29</f>
        <v>4145.1000000000004</v>
      </c>
      <c r="L29" s="327">
        <f>1406.6-K29-J29-I29</f>
        <v>-4478.2000000000007</v>
      </c>
      <c r="M29" s="328">
        <f t="shared" ref="M29:M36" si="28">SUM(I29:L29)</f>
        <v>1406.5999999999995</v>
      </c>
      <c r="N29" s="327">
        <v>192.9</v>
      </c>
      <c r="O29" s="327">
        <f>203.3-N29</f>
        <v>10.400000000000006</v>
      </c>
      <c r="P29" s="327">
        <f>215.6-O29-N29</f>
        <v>12.299999999999983</v>
      </c>
      <c r="Q29" s="327">
        <f>-296.5-P29-O29-N29</f>
        <v>-512.09999999999991</v>
      </c>
      <c r="R29" s="328">
        <f t="shared" ref="R29:R36" si="29">SUM(N29:Q29)</f>
        <v>-296.49999999999989</v>
      </c>
      <c r="S29" s="327">
        <v>200</v>
      </c>
      <c r="T29" s="327">
        <f>17.4+1498.1-S29</f>
        <v>1315.5</v>
      </c>
      <c r="U29" s="327">
        <f>200+38.9+1498.1-T29-S29</f>
        <v>221.5</v>
      </c>
      <c r="V29" s="327">
        <f>+('BS 3Q2022'!V28-'BS 3Q2022'!U28)+('BS 3Q2022'!V31-'BS 3Q2022'!U31)</f>
        <v>-199</v>
      </c>
      <c r="W29" s="328">
        <f t="shared" ref="W29:W36" si="30">SUM(S29:V29)</f>
        <v>1538</v>
      </c>
      <c r="X29" s="327">
        <f>+('BS 3Q2022'!X28-'BS 3Q2022'!V28)+('BS 3Q2022'!X31-'BS 3Q2022'!V31)</f>
        <v>0</v>
      </c>
      <c r="Y29" s="327">
        <f>+('BS 3Q2022'!Y28-'BS 3Q2022'!X28)+('BS 3Q2022'!Y31-'BS 3Q2022'!X31)</f>
        <v>0</v>
      </c>
      <c r="Z29" s="327">
        <f>+('BS 3Q2022'!Z28-'BS 3Q2022'!Y28)+('BS 3Q2022'!Z31-'BS 3Q2022'!Y31)</f>
        <v>0</v>
      </c>
      <c r="AA29" s="327">
        <f>+('BS 3Q2022'!AA28-'BS 3Q2022'!Z28)+('BS 3Q2022'!AA31-'BS 3Q2022'!Z31)</f>
        <v>0</v>
      </c>
      <c r="AB29" s="328">
        <f t="shared" ref="AB29:AB36" si="31">SUM(X29:AA29)</f>
        <v>0</v>
      </c>
      <c r="AC29" s="327">
        <f>+('BS 3Q2022'!AC28-'BS 3Q2022'!AA28)+('BS 3Q2022'!AC31-'BS 3Q2022'!AA31)</f>
        <v>0</v>
      </c>
      <c r="AD29" s="327">
        <f>+('BS 3Q2022'!AD28-'BS 3Q2022'!AC28)+('BS 3Q2022'!AD31-'BS 3Q2022'!AC31)</f>
        <v>-0.29999999999995453</v>
      </c>
      <c r="AE29" s="327">
        <f>+('BS 3Q2022'!AE28-'BS 3Q2022'!AD28)+('BS 3Q2022'!AE31-'BS 3Q2022'!AD31)</f>
        <v>0</v>
      </c>
      <c r="AF29" s="327">
        <f>+('BS 3Q2022'!AF28-'BS 3Q2022'!AE28)+('BS 3Q2022'!AF31-'BS 3Q2022'!AE31)</f>
        <v>100</v>
      </c>
      <c r="AG29" s="328">
        <f t="shared" ref="AG29:AG36" si="32">SUM(AC29:AF29)</f>
        <v>99.700000000000045</v>
      </c>
      <c r="AH29" s="327">
        <f>+('BS 3Q2022'!AH28-'BS 3Q2022'!AF28)+('BS 3Q2022'!AH31-'BS 3Q2022'!AF31)</f>
        <v>0</v>
      </c>
      <c r="AI29" s="327">
        <f>+('BS 3Q2022'!AI28-'BS 3Q2022'!AH28)+('BS 3Q2022'!AI31-'BS 3Q2022'!AH31)</f>
        <v>0</v>
      </c>
      <c r="AJ29" s="327">
        <f>+('BS 3Q2022'!AJ28-'BS 3Q2022'!AI28)+('BS 3Q2022'!AJ31-'BS 3Q2022'!AI31)</f>
        <v>5290.5983828510798</v>
      </c>
      <c r="AK29" s="327">
        <f>+('BS 3Q2022'!AK28-'BS 3Q2022'!AJ28)+('BS 3Q2022'!AK31-'BS 3Q2022'!AJ31)</f>
        <v>0</v>
      </c>
      <c r="AL29" s="328">
        <f t="shared" ref="AL29:AL36" si="33">SUM(AH29:AK29)</f>
        <v>5290.5983828510798</v>
      </c>
      <c r="AM29" s="327">
        <f>+('BS 3Q2022'!AM28-'BS 3Q2022'!AK28)+('BS 3Q2022'!AM31-'BS 3Q2022'!AK31)</f>
        <v>0</v>
      </c>
      <c r="AN29" s="327">
        <f>+('BS 3Q2022'!AN28-'BS 3Q2022'!AM28)+('BS 3Q2022'!AN31-'BS 3Q2022'!AM31)</f>
        <v>0</v>
      </c>
      <c r="AO29" s="327">
        <f>+('BS 3Q2022'!AO28-'BS 3Q2022'!AN28)+('BS 3Q2022'!AO31-'BS 3Q2022'!AN31)</f>
        <v>0</v>
      </c>
      <c r="AP29" s="327">
        <f>+('BS 3Q2022'!AP28-'BS 3Q2022'!AO28)+('BS 3Q2022'!AP31-'BS 3Q2022'!AO31)</f>
        <v>0</v>
      </c>
      <c r="AQ29" s="328">
        <f t="shared" ref="AQ29:AQ36" si="34">SUM(AM29:AP29)</f>
        <v>0</v>
      </c>
      <c r="AR29" s="327">
        <f>+('BS 3Q2022'!AR28-'BS 3Q2022'!AP28)+('BS 3Q2022'!AR31-'BS 3Q2022'!AP31)</f>
        <v>0</v>
      </c>
      <c r="AS29" s="327">
        <f>+('BS 3Q2022'!AS28-'BS 3Q2022'!AR28)+('BS 3Q2022'!AS31-'BS 3Q2022'!AR31)</f>
        <v>0</v>
      </c>
      <c r="AT29" s="327">
        <f>+('BS 3Q2022'!AT28-'BS 3Q2022'!AS28)+('BS 3Q2022'!AT31-'BS 3Q2022'!AS31)</f>
        <v>0</v>
      </c>
      <c r="AU29" s="327">
        <f>+('BS 3Q2022'!AU28-'BS 3Q2022'!AT28)+('BS 3Q2022'!AU31-'BS 3Q2022'!AT31)</f>
        <v>0</v>
      </c>
      <c r="AV29" s="328">
        <f t="shared" ref="AV29:AV36" si="35">SUM(AR29:AU29)</f>
        <v>0</v>
      </c>
    </row>
    <row r="30" spans="2:48" outlineLevel="1" x14ac:dyDescent="0.3">
      <c r="B30" s="325" t="s">
        <v>287</v>
      </c>
      <c r="C30" s="326"/>
      <c r="D30" s="327">
        <v>-350</v>
      </c>
      <c r="E30" s="327">
        <v>0</v>
      </c>
      <c r="F30" s="327">
        <f>-75-E30-D30</f>
        <v>275</v>
      </c>
      <c r="G30" s="327">
        <f>-350-F30-E30-D30</f>
        <v>-275</v>
      </c>
      <c r="H30" s="328">
        <f t="shared" si="27"/>
        <v>-350</v>
      </c>
      <c r="I30" s="327"/>
      <c r="J30" s="327">
        <f>0-I30</f>
        <v>0</v>
      </c>
      <c r="K30" s="327">
        <v>-220.7</v>
      </c>
      <c r="L30" s="327">
        <f>-967.7-K30-J30-I30</f>
        <v>-747</v>
      </c>
      <c r="M30" s="328">
        <f t="shared" si="28"/>
        <v>-967.7</v>
      </c>
      <c r="N30" s="327">
        <f>-144.7-500</f>
        <v>-644.70000000000005</v>
      </c>
      <c r="O30" s="327">
        <f>-296.5-320.5-1250-N30</f>
        <v>-1222.3</v>
      </c>
      <c r="P30" s="327">
        <f>-296.5-346.2-1250-O30-N30</f>
        <v>-25.700000000000045</v>
      </c>
      <c r="Q30" s="327">
        <f>215.1-349.8-1250-P30-O30-N30</f>
        <v>508</v>
      </c>
      <c r="R30" s="328">
        <f t="shared" si="29"/>
        <v>-1384.7</v>
      </c>
      <c r="S30" s="327"/>
      <c r="T30" s="327">
        <v>-12.6</v>
      </c>
      <c r="U30" s="327">
        <f>-38.9-1000-T30-S30</f>
        <v>-1026.3000000000002</v>
      </c>
      <c r="V30" s="327"/>
      <c r="W30" s="328">
        <f t="shared" si="30"/>
        <v>-1038.9000000000001</v>
      </c>
      <c r="X30" s="327"/>
      <c r="Y30" s="327"/>
      <c r="Z30" s="327"/>
      <c r="AA30" s="327"/>
      <c r="AB30" s="328">
        <f t="shared" si="31"/>
        <v>0</v>
      </c>
      <c r="AC30" s="327"/>
      <c r="AD30" s="327"/>
      <c r="AE30" s="327"/>
      <c r="AF30" s="327"/>
      <c r="AG30" s="328">
        <f t="shared" si="32"/>
        <v>0</v>
      </c>
      <c r="AH30" s="327"/>
      <c r="AI30" s="327"/>
      <c r="AJ30" s="327"/>
      <c r="AK30" s="327"/>
      <c r="AL30" s="328">
        <f t="shared" si="33"/>
        <v>0</v>
      </c>
      <c r="AM30" s="327"/>
      <c r="AN30" s="327"/>
      <c r="AO30" s="327"/>
      <c r="AP30" s="327"/>
      <c r="AQ30" s="328">
        <f t="shared" si="34"/>
        <v>0</v>
      </c>
      <c r="AR30" s="327"/>
      <c r="AS30" s="327"/>
      <c r="AT30" s="327"/>
      <c r="AU30" s="327"/>
      <c r="AV30" s="328">
        <f t="shared" si="35"/>
        <v>0</v>
      </c>
    </row>
    <row r="31" spans="2:48" outlineLevel="1" x14ac:dyDescent="0.3">
      <c r="B31" s="325" t="s">
        <v>288</v>
      </c>
      <c r="C31" s="326"/>
      <c r="D31" s="327"/>
      <c r="E31" s="327">
        <v>75</v>
      </c>
      <c r="F31" s="327">
        <v>0</v>
      </c>
      <c r="G31" s="327">
        <f>0-F31-E31-D31</f>
        <v>-75</v>
      </c>
      <c r="H31" s="328">
        <f t="shared" si="27"/>
        <v>0</v>
      </c>
      <c r="I31" s="327">
        <f>398.9+99</f>
        <v>497.9</v>
      </c>
      <c r="J31" s="327">
        <f>613+494.1-I31</f>
        <v>609.19999999999993</v>
      </c>
      <c r="K31" s="327">
        <f>0-J31-I31</f>
        <v>-1107.0999999999999</v>
      </c>
      <c r="L31" s="327">
        <f>4727.6-K31-J31-I31</f>
        <v>4727.6000000000013</v>
      </c>
      <c r="M31" s="328">
        <f t="shared" si="28"/>
        <v>4727.6000000000013</v>
      </c>
      <c r="N31" s="327">
        <v>0</v>
      </c>
      <c r="O31" s="327">
        <f>0-N31</f>
        <v>0</v>
      </c>
      <c r="P31" s="327">
        <f>0-O31-N31</f>
        <v>0</v>
      </c>
      <c r="Q31" s="327">
        <f>0-P31-O31-N31</f>
        <v>0</v>
      </c>
      <c r="R31" s="328">
        <f t="shared" si="29"/>
        <v>0</v>
      </c>
      <c r="S31" s="327">
        <v>0</v>
      </c>
      <c r="T31" s="327">
        <f>0-S31</f>
        <v>0</v>
      </c>
      <c r="U31" s="327">
        <f t="shared" ref="U31" si="36">0-T31-S31</f>
        <v>0</v>
      </c>
      <c r="V31" s="327"/>
      <c r="W31" s="328">
        <f t="shared" si="30"/>
        <v>0</v>
      </c>
      <c r="X31" s="327"/>
      <c r="Y31" s="327"/>
      <c r="Z31" s="327"/>
      <c r="AA31" s="327"/>
      <c r="AB31" s="328">
        <f t="shared" si="31"/>
        <v>0</v>
      </c>
      <c r="AC31" s="327"/>
      <c r="AD31" s="327"/>
      <c r="AE31" s="327"/>
      <c r="AF31" s="327"/>
      <c r="AG31" s="328">
        <f t="shared" si="32"/>
        <v>0</v>
      </c>
      <c r="AH31" s="327"/>
      <c r="AI31" s="327"/>
      <c r="AJ31" s="327"/>
      <c r="AK31" s="327"/>
      <c r="AL31" s="328">
        <f t="shared" si="33"/>
        <v>0</v>
      </c>
      <c r="AM31" s="327"/>
      <c r="AN31" s="327"/>
      <c r="AO31" s="327"/>
      <c r="AP31" s="327"/>
      <c r="AQ31" s="328">
        <f t="shared" si="34"/>
        <v>0</v>
      </c>
      <c r="AR31" s="327"/>
      <c r="AS31" s="327"/>
      <c r="AT31" s="327"/>
      <c r="AU31" s="327"/>
      <c r="AV31" s="328">
        <f t="shared" si="35"/>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7"/>
        <v>409.8</v>
      </c>
      <c r="I32" s="327">
        <v>33.1</v>
      </c>
      <c r="J32" s="327">
        <f>65.4-I32</f>
        <v>32.300000000000004</v>
      </c>
      <c r="K32" s="327">
        <f>98.9-J32-I32</f>
        <v>33.499999999999993</v>
      </c>
      <c r="L32" s="327">
        <f>298.8-K32-J32-I32</f>
        <v>199.9</v>
      </c>
      <c r="M32" s="328">
        <f t="shared" si="28"/>
        <v>298.8</v>
      </c>
      <c r="N32" s="327">
        <v>102.8</v>
      </c>
      <c r="O32" s="327">
        <f>134.4-N32</f>
        <v>31.600000000000009</v>
      </c>
      <c r="P32" s="327">
        <f>191.6-O32-N32</f>
        <v>57.2</v>
      </c>
      <c r="Q32" s="327">
        <f>246.2-P32-O32-N32</f>
        <v>54.59999999999998</v>
      </c>
      <c r="R32" s="328">
        <f t="shared" si="29"/>
        <v>246.2</v>
      </c>
      <c r="S32" s="327">
        <v>41.3</v>
      </c>
      <c r="T32" s="327">
        <f>56.3-S32</f>
        <v>15</v>
      </c>
      <c r="U32" s="327">
        <f>75.5-T32-S32</f>
        <v>19.200000000000003</v>
      </c>
      <c r="V32" s="327">
        <v>0</v>
      </c>
      <c r="W32" s="328">
        <f t="shared" si="30"/>
        <v>75.5</v>
      </c>
      <c r="X32" s="327">
        <v>0</v>
      </c>
      <c r="Y32" s="327">
        <v>0</v>
      </c>
      <c r="Z32" s="327">
        <v>0</v>
      </c>
      <c r="AA32" s="327">
        <v>0</v>
      </c>
      <c r="AB32" s="328">
        <f t="shared" si="31"/>
        <v>0</v>
      </c>
      <c r="AC32" s="327">
        <v>0</v>
      </c>
      <c r="AD32" s="327">
        <v>0</v>
      </c>
      <c r="AE32" s="327">
        <v>0</v>
      </c>
      <c r="AF32" s="327">
        <v>0</v>
      </c>
      <c r="AG32" s="328">
        <f t="shared" si="32"/>
        <v>0</v>
      </c>
      <c r="AH32" s="327">
        <v>0</v>
      </c>
      <c r="AI32" s="327">
        <v>0</v>
      </c>
      <c r="AJ32" s="327">
        <v>0</v>
      </c>
      <c r="AK32" s="327">
        <v>0</v>
      </c>
      <c r="AL32" s="328">
        <f t="shared" si="33"/>
        <v>0</v>
      </c>
      <c r="AM32" s="327">
        <v>0</v>
      </c>
      <c r="AN32" s="327">
        <v>0</v>
      </c>
      <c r="AO32" s="327">
        <v>0</v>
      </c>
      <c r="AP32" s="327">
        <v>0</v>
      </c>
      <c r="AQ32" s="328">
        <f t="shared" si="34"/>
        <v>0</v>
      </c>
      <c r="AR32" s="327">
        <v>0</v>
      </c>
      <c r="AS32" s="327">
        <v>0</v>
      </c>
      <c r="AT32" s="327">
        <v>0</v>
      </c>
      <c r="AU32" s="327">
        <v>0</v>
      </c>
      <c r="AV32" s="328">
        <f t="shared" si="35"/>
        <v>0</v>
      </c>
    </row>
    <row r="33" spans="2:48" outlineLevel="1" x14ac:dyDescent="0.3">
      <c r="B33" s="325" t="s">
        <v>290</v>
      </c>
      <c r="C33" s="326"/>
      <c r="D33" s="327">
        <v>-446.7</v>
      </c>
      <c r="E33" s="327">
        <f>-894.5-D33</f>
        <v>-447.8</v>
      </c>
      <c r="F33" s="327">
        <f>-1330.7-E33-D33</f>
        <v>-436.2000000000001</v>
      </c>
      <c r="G33" s="327">
        <f>-1761.3-F33-E33-D33</f>
        <v>-430.59999999999997</v>
      </c>
      <c r="H33" s="328">
        <f t="shared" si="27"/>
        <v>-1761.3</v>
      </c>
      <c r="I33" s="327">
        <v>-484.2</v>
      </c>
      <c r="J33" s="327">
        <f>-965.2-I33</f>
        <v>-481.00000000000006</v>
      </c>
      <c r="K33" s="327">
        <f>-1444.2-J33-I33</f>
        <v>-479.00000000000006</v>
      </c>
      <c r="L33" s="327">
        <f>-1923.5-K33-J33-I33</f>
        <v>-479.3</v>
      </c>
      <c r="M33" s="328">
        <f t="shared" si="28"/>
        <v>-1923.5</v>
      </c>
      <c r="N33" s="327">
        <v>-528.20000000000005</v>
      </c>
      <c r="O33" s="327">
        <f>-1058-N33</f>
        <v>-529.79999999999995</v>
      </c>
      <c r="P33" s="327">
        <f>-1588.2-O33-N33</f>
        <v>-530.20000000000005</v>
      </c>
      <c r="Q33" s="327">
        <f>-2119-P33-O33-N33</f>
        <v>-530.79999999999995</v>
      </c>
      <c r="R33" s="328">
        <f t="shared" si="29"/>
        <v>-2119</v>
      </c>
      <c r="S33" s="327">
        <v>-576</v>
      </c>
      <c r="T33" s="327">
        <f>-1139.2-S33</f>
        <v>-563.20000000000005</v>
      </c>
      <c r="U33" s="327">
        <f>-1701.1-T33-S33</f>
        <v>-561.89999999999986</v>
      </c>
      <c r="V33" s="327">
        <f>-'IS 3Q2022'!V35*'IS 3Q2022'!V30</f>
        <v>-591.31176300000004</v>
      </c>
      <c r="W33" s="328">
        <f t="shared" si="30"/>
        <v>-2292.4117630000001</v>
      </c>
      <c r="X33" s="327">
        <f>-'IS 3Q2022'!X35*'IS 3Q2022'!X30</f>
        <v>-592.49438652600008</v>
      </c>
      <c r="Y33" s="327">
        <f>-'IS 3Q2022'!Y35*'IS 3Q2022'!Y30</f>
        <v>-593.67937529905203</v>
      </c>
      <c r="Z33" s="327">
        <f>-'IS 3Q2022'!Z35*'IS 3Q2022'!Z30</f>
        <v>-594.86673404965018</v>
      </c>
      <c r="AA33" s="327">
        <f>-'IS 3Q2022'!AA35*'IS 3Q2022'!AA30</f>
        <v>-625.85929089363685</v>
      </c>
      <c r="AB33" s="328">
        <f t="shared" si="31"/>
        <v>-2406.8997867683393</v>
      </c>
      <c r="AC33" s="327">
        <f>-'IS 3Q2022'!X35*'IS 3Q2022'!X30</f>
        <v>-592.49438652600008</v>
      </c>
      <c r="AD33" s="327">
        <f>-'IS 3Q2022'!Y35*'IS 3Q2022'!Y30</f>
        <v>-593.67937529905203</v>
      </c>
      <c r="AE33" s="327">
        <f>-'IS 3Q2022'!Z35*'IS 3Q2022'!Z30</f>
        <v>-594.86673404965018</v>
      </c>
      <c r="AF33" s="327">
        <f>-'IS 3Q2022'!AA35*'IS 3Q2022'!AA30</f>
        <v>-625.85929089363685</v>
      </c>
      <c r="AG33" s="328">
        <f t="shared" si="32"/>
        <v>-2406.8997867683393</v>
      </c>
      <c r="AH33" s="327">
        <f>-'IS 3Q2022'!AC35*'IS 3Q2022'!AC30</f>
        <v>-627.11100947542411</v>
      </c>
      <c r="AI33" s="327">
        <f>-'IS 3Q2022'!AD35*'IS 3Q2022'!AD30</f>
        <v>-628.36523149437494</v>
      </c>
      <c r="AJ33" s="327">
        <f>-'IS 3Q2022'!AE35*'IS 3Q2022'!AE30</f>
        <v>-629.12813479686986</v>
      </c>
      <c r="AK33" s="327">
        <f>-'IS 3Q2022'!AF35*'IS 3Q2022'!AF30</f>
        <v>-661.38719210126828</v>
      </c>
      <c r="AL33" s="328">
        <f t="shared" si="33"/>
        <v>-2545.9915678679372</v>
      </c>
      <c r="AM33" s="327">
        <f>-'IS 3Q2022'!AH35*'IS 3Q2022'!AH30</f>
        <v>-662.21613932497689</v>
      </c>
      <c r="AN33" s="327">
        <f>-'IS 3Q2022'!AI35*'IS 3Q2022'!AI30</f>
        <v>-663.04674444313298</v>
      </c>
      <c r="AO33" s="327">
        <f>-'IS 3Q2022'!AJ35*'IS 3Q2022'!AJ30</f>
        <v>-638.74025332534723</v>
      </c>
      <c r="AP33" s="327">
        <f>-'IS 3Q2022'!AK35*'IS 3Q2022'!AK30</f>
        <v>-645.10440668659226</v>
      </c>
      <c r="AQ33" s="328">
        <f t="shared" si="34"/>
        <v>-2609.1075437800491</v>
      </c>
      <c r="AR33" s="327">
        <f>-'IS 3Q2022'!AM35*'IS 3Q2022'!AM30</f>
        <v>-645.15083440543822</v>
      </c>
      <c r="AS33" s="327">
        <f>-'IS 3Q2022'!AN35*'IS 3Q2022'!AN30</f>
        <v>-645.19735497972169</v>
      </c>
      <c r="AT33" s="327">
        <f>-'IS 3Q2022'!AO35*'IS 3Q2022'!AO30</f>
        <v>-645.24396859515389</v>
      </c>
      <c r="AU33" s="327">
        <f>-'IS 3Q2022'!AP35*'IS 3Q2022'!AP30</f>
        <v>-658.19648894657325</v>
      </c>
      <c r="AV33" s="328">
        <f t="shared" si="35"/>
        <v>-2593.7886469268869</v>
      </c>
    </row>
    <row r="34" spans="2:48" outlineLevel="1" x14ac:dyDescent="0.3">
      <c r="B34" s="325" t="s">
        <v>291</v>
      </c>
      <c r="C34" s="338"/>
      <c r="D34" s="327">
        <v>-5114.7</v>
      </c>
      <c r="E34" s="327">
        <f>-7827.9-D34</f>
        <v>-2713.2</v>
      </c>
      <c r="F34" s="327">
        <f>-7972.9-E34-D34</f>
        <v>-145</v>
      </c>
      <c r="G34" s="327">
        <f>-10222.3-F34-E34-D34</f>
        <v>-2249.3999999999996</v>
      </c>
      <c r="H34" s="328">
        <f t="shared" si="27"/>
        <v>-10222.299999999999</v>
      </c>
      <c r="I34" s="327">
        <v>-1091.4000000000001</v>
      </c>
      <c r="J34" s="327">
        <f>-1698.9-I34</f>
        <v>-607.5</v>
      </c>
      <c r="K34" s="327">
        <f>-1698.9-J34-I34</f>
        <v>0</v>
      </c>
      <c r="L34" s="327">
        <f>-1698.9-K34-J34-I34</f>
        <v>0</v>
      </c>
      <c r="M34" s="328">
        <f t="shared" si="28"/>
        <v>-1698.9</v>
      </c>
      <c r="N34" s="327">
        <v>0</v>
      </c>
      <c r="O34" s="327">
        <f>0-N34</f>
        <v>0</v>
      </c>
      <c r="P34" s="327">
        <f>0-O34-N34</f>
        <v>0</v>
      </c>
      <c r="Q34" s="327">
        <f>0-P34-O34-N34</f>
        <v>0</v>
      </c>
      <c r="R34" s="328">
        <f t="shared" si="29"/>
        <v>0</v>
      </c>
      <c r="S34" s="327">
        <v>-3520.9</v>
      </c>
      <c r="T34" s="327">
        <f>-3997.5-S34</f>
        <v>-476.59999999999991</v>
      </c>
      <c r="U34" s="327">
        <f>-4013-T34-S34</f>
        <v>-15.5</v>
      </c>
      <c r="V34" s="327">
        <f>-'IS 3Q2022'!V154</f>
        <v>0</v>
      </c>
      <c r="W34" s="328">
        <f t="shared" si="30"/>
        <v>-4013</v>
      </c>
      <c r="X34" s="327">
        <f>-'IS 3Q2022'!X154</f>
        <v>0</v>
      </c>
      <c r="Y34" s="327">
        <f>-'IS 3Q2022'!Y154</f>
        <v>0</v>
      </c>
      <c r="Z34" s="327">
        <f>-'IS 3Q2022'!Z154</f>
        <v>0</v>
      </c>
      <c r="AA34" s="327">
        <f>-'IS 3Q2022'!AA154</f>
        <v>0</v>
      </c>
      <c r="AB34" s="328">
        <f t="shared" si="31"/>
        <v>0</v>
      </c>
      <c r="AC34" s="327">
        <f>-'IS 3Q2022'!AC154</f>
        <v>0</v>
      </c>
      <c r="AD34" s="327">
        <f>-'IS 3Q2022'!AD154</f>
        <v>0</v>
      </c>
      <c r="AE34" s="327">
        <f>-'IS 3Q2022'!AE154</f>
        <v>-100</v>
      </c>
      <c r="AF34" s="327">
        <f>-'IS 3Q2022'!AF154</f>
        <v>-100</v>
      </c>
      <c r="AG34" s="328">
        <f t="shared" si="32"/>
        <v>-200</v>
      </c>
      <c r="AH34" s="327">
        <f>-'IS 3Q2022'!AH154</f>
        <v>-100</v>
      </c>
      <c r="AI34" s="327">
        <f>-'IS 3Q2022'!AI154</f>
        <v>-100</v>
      </c>
      <c r="AJ34" s="327">
        <f>-'IS 3Q2022'!AJ154</f>
        <v>-5190.5983828510816</v>
      </c>
      <c r="AK34" s="327">
        <f>-'IS 3Q2022'!AK154</f>
        <v>-5190.5983828510816</v>
      </c>
      <c r="AL34" s="328">
        <f t="shared" si="33"/>
        <v>-10581.196765702163</v>
      </c>
      <c r="AM34" s="327">
        <f>-'IS 3Q2022'!AM154</f>
        <v>-250</v>
      </c>
      <c r="AN34" s="327">
        <f>-'IS 3Q2022'!AN154</f>
        <v>-250</v>
      </c>
      <c r="AO34" s="327">
        <f>-'IS 3Q2022'!AO154</f>
        <v>-250</v>
      </c>
      <c r="AP34" s="327">
        <f>-'IS 3Q2022'!AP154</f>
        <v>-250</v>
      </c>
      <c r="AQ34" s="328">
        <f t="shared" si="34"/>
        <v>-1000</v>
      </c>
      <c r="AR34" s="327">
        <f>-'IS 3Q2022'!AR154</f>
        <v>-250</v>
      </c>
      <c r="AS34" s="327">
        <f>-'IS 3Q2022'!AS154</f>
        <v>-250</v>
      </c>
      <c r="AT34" s="327">
        <f>-'IS 3Q2022'!AT154</f>
        <v>-250</v>
      </c>
      <c r="AU34" s="327">
        <f>-'IS 3Q2022'!AU154</f>
        <v>-250</v>
      </c>
      <c r="AV34" s="328">
        <f t="shared" si="35"/>
        <v>-1000</v>
      </c>
    </row>
    <row r="35" spans="2:48" outlineLevel="1" x14ac:dyDescent="0.3">
      <c r="B35" s="325" t="s">
        <v>292</v>
      </c>
      <c r="C35" s="339"/>
      <c r="D35" s="327">
        <v>-55.3</v>
      </c>
      <c r="E35" s="327">
        <f>-56.3-D35</f>
        <v>-1</v>
      </c>
      <c r="F35" s="327">
        <f>-106.1-E35-D35</f>
        <v>-49.8</v>
      </c>
      <c r="G35" s="327">
        <f>-111.6-F35-E35-D35</f>
        <v>-5.5</v>
      </c>
      <c r="H35" s="328">
        <f t="shared" si="27"/>
        <v>-111.6</v>
      </c>
      <c r="I35" s="327">
        <v>-78.400000000000006</v>
      </c>
      <c r="J35" s="327">
        <f>-87.6-I35</f>
        <v>-9.1999999999999886</v>
      </c>
      <c r="K35" s="327">
        <f>-89.1-J35-I35</f>
        <v>-1.5</v>
      </c>
      <c r="L35" s="327">
        <f>-91.9-K35-J35-I35</f>
        <v>-2.8000000000000114</v>
      </c>
      <c r="M35" s="328">
        <f t="shared" si="28"/>
        <v>-91.9</v>
      </c>
      <c r="N35" s="327">
        <v>-88.6</v>
      </c>
      <c r="O35" s="327">
        <f>-90.1-N35</f>
        <v>-1.5</v>
      </c>
      <c r="P35" s="327">
        <f>-94.2-O35-N35</f>
        <v>-4.1000000000000085</v>
      </c>
      <c r="Q35" s="327">
        <f>-97-P35-O35-N35</f>
        <v>-2.7999999999999972</v>
      </c>
      <c r="R35" s="328">
        <f t="shared" si="29"/>
        <v>-97</v>
      </c>
      <c r="S35" s="327">
        <v>-113.6</v>
      </c>
      <c r="T35" s="327">
        <f>-122.1-S35</f>
        <v>-8.5</v>
      </c>
      <c r="U35" s="327">
        <f>-123.5-T35-S35</f>
        <v>-1.4000000000000057</v>
      </c>
      <c r="V35" s="327">
        <f>(U35/U12)*V12</f>
        <v>-1.706455238723249</v>
      </c>
      <c r="W35" s="328">
        <f t="shared" si="30"/>
        <v>-125.20645523872325</v>
      </c>
      <c r="X35" s="327">
        <f>(V35/V12)*X12</f>
        <v>-1.8170877282208633</v>
      </c>
      <c r="Y35" s="327">
        <f>(X35/X12)*Y12</f>
        <v>-1.5902113538135656</v>
      </c>
      <c r="Z35" s="327">
        <f>(Y35/Y12)*Z12</f>
        <v>-1.7847911801029732</v>
      </c>
      <c r="AA35" s="327">
        <f>(Z35/Z12)*AA12</f>
        <v>-1.8779040714545581</v>
      </c>
      <c r="AB35" s="328">
        <f t="shared" si="31"/>
        <v>-7.0699943335919597</v>
      </c>
      <c r="AC35" s="327">
        <f>(AA35/AA12)*AC12</f>
        <v>-1.9304189608151356</v>
      </c>
      <c r="AD35" s="327">
        <f>(AC35/AC12)*AD12</f>
        <v>-1.7990045785246953</v>
      </c>
      <c r="AE35" s="327">
        <f>(AD35/AD12)*AE12</f>
        <v>-1.9867579998491471</v>
      </c>
      <c r="AF35" s="327">
        <f>(AE35/AE12)*AF12</f>
        <v>-2.0450373404597397</v>
      </c>
      <c r="AG35" s="328">
        <f t="shared" si="32"/>
        <v>-7.7612188796487178</v>
      </c>
      <c r="AH35" s="327">
        <f>(AF35/AF12)*AH12</f>
        <v>-2.1396984029843038</v>
      </c>
      <c r="AI35" s="327">
        <f>(AH35/AH12)*AI12</f>
        <v>-2.0183452702814919</v>
      </c>
      <c r="AJ35" s="327">
        <f>(AI35/AI12)*AJ12</f>
        <v>-2.2172441106674787</v>
      </c>
      <c r="AK35" s="327">
        <f>(AJ35/AJ12)*AK12</f>
        <v>-2.2796788713133922</v>
      </c>
      <c r="AL35" s="328">
        <f t="shared" si="33"/>
        <v>-8.6549666552466675</v>
      </c>
      <c r="AM35" s="327">
        <f>(AK35/AK12)*AM12</f>
        <v>-2.3532796293290499</v>
      </c>
      <c r="AN35" s="327">
        <f>(AM35/AM12)*AN12</f>
        <v>-2.211826158542765</v>
      </c>
      <c r="AO35" s="327">
        <f>(AN35/AN12)*AO12</f>
        <v>-2.4175896125987064</v>
      </c>
      <c r="AP35" s="327">
        <f>(AO35/AO12)*AP12</f>
        <v>-2.4776014238016439</v>
      </c>
      <c r="AQ35" s="328">
        <f t="shared" si="34"/>
        <v>-9.4602968242721648</v>
      </c>
      <c r="AR35" s="327">
        <f>(AP35/AP12)*AR12</f>
        <v>-2.5065710929698608</v>
      </c>
      <c r="AS35" s="327">
        <f>(AR35/AR12)*AS12</f>
        <v>-2.3544113321375053</v>
      </c>
      <c r="AT35" s="327">
        <f>(AS35/AS12)*AT12</f>
        <v>-2.5722420009011659</v>
      </c>
      <c r="AU35" s="327">
        <f>(AT35/AT12)*AU12</f>
        <v>-2.6368924534286768</v>
      </c>
      <c r="AV35" s="328">
        <f t="shared" si="35"/>
        <v>-10.07011687943721</v>
      </c>
    </row>
    <row r="36" spans="2:48" ht="16.2" outlineLevel="1" x14ac:dyDescent="0.45">
      <c r="B36" s="538" t="s">
        <v>293</v>
      </c>
      <c r="C36" s="539"/>
      <c r="D36" s="329">
        <v>-0.3</v>
      </c>
      <c r="E36" s="329">
        <f>0.1-D36</f>
        <v>0.4</v>
      </c>
      <c r="F36" s="329">
        <f>-17.6-E36-D36</f>
        <v>-17.7</v>
      </c>
      <c r="G36" s="329">
        <f>-17.5-F36-E36-D36</f>
        <v>9.9999999999999256E-2</v>
      </c>
      <c r="H36" s="330">
        <f t="shared" si="27"/>
        <v>-17.5</v>
      </c>
      <c r="I36" s="329">
        <v>0</v>
      </c>
      <c r="J36" s="329">
        <f>-10.4-I36</f>
        <v>-10.4</v>
      </c>
      <c r="K36" s="329">
        <f>-37.8-J36-I36</f>
        <v>-27.4</v>
      </c>
      <c r="L36" s="329">
        <f>-37.7-K36-J36-I36</f>
        <v>9.9999999999996092E-2</v>
      </c>
      <c r="M36" s="330">
        <f t="shared" si="28"/>
        <v>-37.700000000000003</v>
      </c>
      <c r="N36" s="329">
        <v>0</v>
      </c>
      <c r="O36" s="329">
        <f>0-N36</f>
        <v>0</v>
      </c>
      <c r="P36" s="329">
        <f>0-O36-N36</f>
        <v>0</v>
      </c>
      <c r="Q36" s="329">
        <f>0-P36-O36-N36</f>
        <v>0</v>
      </c>
      <c r="R36" s="330">
        <f t="shared" si="29"/>
        <v>0</v>
      </c>
      <c r="S36" s="329">
        <v>0</v>
      </c>
      <c r="T36" s="329">
        <f>-9.2-S36</f>
        <v>-9.1999999999999993</v>
      </c>
      <c r="U36" s="329">
        <f>-9.2-T36-S36</f>
        <v>0</v>
      </c>
      <c r="V36" s="329">
        <v>0</v>
      </c>
      <c r="W36" s="330">
        <f t="shared" si="30"/>
        <v>-9.1999999999999993</v>
      </c>
      <c r="X36" s="329">
        <v>0</v>
      </c>
      <c r="Y36" s="329">
        <v>0</v>
      </c>
      <c r="Z36" s="329">
        <v>0</v>
      </c>
      <c r="AA36" s="329">
        <v>0</v>
      </c>
      <c r="AB36" s="330">
        <f t="shared" si="31"/>
        <v>0</v>
      </c>
      <c r="AC36" s="329">
        <v>0</v>
      </c>
      <c r="AD36" s="329">
        <v>0</v>
      </c>
      <c r="AE36" s="329">
        <v>0</v>
      </c>
      <c r="AF36" s="329">
        <v>0</v>
      </c>
      <c r="AG36" s="330">
        <f t="shared" si="32"/>
        <v>0</v>
      </c>
      <c r="AH36" s="329">
        <v>0</v>
      </c>
      <c r="AI36" s="329">
        <v>0</v>
      </c>
      <c r="AJ36" s="329">
        <v>0</v>
      </c>
      <c r="AK36" s="329">
        <v>0</v>
      </c>
      <c r="AL36" s="330">
        <f t="shared" si="33"/>
        <v>0</v>
      </c>
      <c r="AM36" s="329">
        <v>0</v>
      </c>
      <c r="AN36" s="329">
        <v>0</v>
      </c>
      <c r="AO36" s="329">
        <v>0</v>
      </c>
      <c r="AP36" s="329">
        <v>0</v>
      </c>
      <c r="AQ36" s="330">
        <f t="shared" si="34"/>
        <v>0</v>
      </c>
      <c r="AR36" s="329">
        <v>0</v>
      </c>
      <c r="AS36" s="329">
        <v>0</v>
      </c>
      <c r="AT36" s="329">
        <v>0</v>
      </c>
      <c r="AU36" s="329">
        <v>0</v>
      </c>
      <c r="AV36" s="330">
        <f t="shared" si="35"/>
        <v>0</v>
      </c>
    </row>
    <row r="37" spans="2:48" outlineLevel="1" x14ac:dyDescent="0.3">
      <c r="B37" s="540" t="s">
        <v>294</v>
      </c>
      <c r="C37" s="541"/>
      <c r="D37" s="331">
        <f t="shared" ref="D37:AV37" si="37">SUM(D29:D36)</f>
        <v>-5858.6</v>
      </c>
      <c r="E37" s="331">
        <f t="shared" si="37"/>
        <v>-2919.2999999999997</v>
      </c>
      <c r="F37" s="331">
        <f t="shared" si="37"/>
        <v>1355.1</v>
      </c>
      <c r="G37" s="331">
        <f t="shared" si="37"/>
        <v>-2634.1</v>
      </c>
      <c r="H37" s="332">
        <f t="shared" si="37"/>
        <v>-10056.9</v>
      </c>
      <c r="I37" s="331">
        <f t="shared" si="37"/>
        <v>-1123.0000000000002</v>
      </c>
      <c r="J37" s="331">
        <f t="shared" si="37"/>
        <v>1273.1000000000001</v>
      </c>
      <c r="K37" s="331">
        <f t="shared" si="37"/>
        <v>2342.9000000000005</v>
      </c>
      <c r="L37" s="331">
        <f t="shared" si="37"/>
        <v>-779.69999999999948</v>
      </c>
      <c r="M37" s="332">
        <f t="shared" si="37"/>
        <v>1713.3000000000009</v>
      </c>
      <c r="N37" s="331">
        <f t="shared" si="37"/>
        <v>-965.80000000000007</v>
      </c>
      <c r="O37" s="331">
        <f t="shared" si="37"/>
        <v>-1711.6</v>
      </c>
      <c r="P37" s="331">
        <f t="shared" si="37"/>
        <v>-490.50000000000011</v>
      </c>
      <c r="Q37" s="331">
        <f t="shared" si="37"/>
        <v>-483.09999999999991</v>
      </c>
      <c r="R37" s="332">
        <f t="shared" si="37"/>
        <v>-3651</v>
      </c>
      <c r="S37" s="331">
        <f t="shared" si="37"/>
        <v>-3969.2</v>
      </c>
      <c r="T37" s="331">
        <f t="shared" si="37"/>
        <v>260.40000000000015</v>
      </c>
      <c r="U37" s="331">
        <f t="shared" si="37"/>
        <v>-1364.4</v>
      </c>
      <c r="V37" s="331">
        <f t="shared" si="37"/>
        <v>-792.01821823872331</v>
      </c>
      <c r="W37" s="332">
        <f t="shared" si="37"/>
        <v>-5865.2182182387223</v>
      </c>
      <c r="X37" s="331">
        <f t="shared" si="37"/>
        <v>-594.31147425422091</v>
      </c>
      <c r="Y37" s="331">
        <f t="shared" si="37"/>
        <v>-595.26958665286554</v>
      </c>
      <c r="Z37" s="331">
        <f t="shared" si="37"/>
        <v>-596.65152522975313</v>
      </c>
      <c r="AA37" s="331">
        <f t="shared" si="37"/>
        <v>-627.73719496509136</v>
      </c>
      <c r="AB37" s="332">
        <f t="shared" si="37"/>
        <v>-2413.9697811019314</v>
      </c>
      <c r="AC37" s="331">
        <f t="shared" si="37"/>
        <v>-594.42480548681522</v>
      </c>
      <c r="AD37" s="331">
        <f t="shared" si="37"/>
        <v>-595.77837987757664</v>
      </c>
      <c r="AE37" s="331">
        <f t="shared" si="37"/>
        <v>-696.85349204949932</v>
      </c>
      <c r="AF37" s="331">
        <f t="shared" si="37"/>
        <v>-627.90432823409662</v>
      </c>
      <c r="AG37" s="332">
        <f t="shared" si="37"/>
        <v>-2514.9610056479883</v>
      </c>
      <c r="AH37" s="331">
        <f t="shared" si="37"/>
        <v>-729.25070787840843</v>
      </c>
      <c r="AI37" s="331">
        <f t="shared" si="37"/>
        <v>-730.38357676465648</v>
      </c>
      <c r="AJ37" s="331">
        <f t="shared" si="37"/>
        <v>-531.34537890753904</v>
      </c>
      <c r="AK37" s="331">
        <f t="shared" si="37"/>
        <v>-5854.2652538236634</v>
      </c>
      <c r="AL37" s="332">
        <f t="shared" si="37"/>
        <v>-7845.2449173742671</v>
      </c>
      <c r="AM37" s="331">
        <f t="shared" si="37"/>
        <v>-914.56941895430589</v>
      </c>
      <c r="AN37" s="331">
        <f t="shared" si="37"/>
        <v>-915.25857060167573</v>
      </c>
      <c r="AO37" s="331">
        <f t="shared" si="37"/>
        <v>-891.15784293794593</v>
      </c>
      <c r="AP37" s="331">
        <f t="shared" si="37"/>
        <v>-897.58200811039387</v>
      </c>
      <c r="AQ37" s="332">
        <f t="shared" si="37"/>
        <v>-3618.5678406043212</v>
      </c>
      <c r="AR37" s="331">
        <f t="shared" si="37"/>
        <v>-897.65740549840802</v>
      </c>
      <c r="AS37" s="331">
        <f t="shared" si="37"/>
        <v>-897.55176631185918</v>
      </c>
      <c r="AT37" s="331">
        <f t="shared" si="37"/>
        <v>-897.81621059605504</v>
      </c>
      <c r="AU37" s="331">
        <f t="shared" si="37"/>
        <v>-910.83338140000194</v>
      </c>
      <c r="AV37" s="332">
        <f t="shared" si="37"/>
        <v>-3603.8587638063241</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1">
        <v>0</v>
      </c>
      <c r="W38" s="337">
        <f>SUM(S38:V38)</f>
        <v>-126.29999999999998</v>
      </c>
      <c r="X38" s="341">
        <v>0</v>
      </c>
      <c r="Y38" s="341">
        <v>0</v>
      </c>
      <c r="Z38" s="341">
        <v>0</v>
      </c>
      <c r="AA38" s="341">
        <v>0</v>
      </c>
      <c r="AB38" s="337">
        <f>SUM(X38:AA38)</f>
        <v>0</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486" t="s">
        <v>296</v>
      </c>
      <c r="C39" s="487"/>
      <c r="D39" s="260">
        <f t="shared" ref="D39:AV39" si="38">D37+D27+D22+D38</f>
        <v>-3994.7999999999997</v>
      </c>
      <c r="E39" s="260">
        <f t="shared" si="38"/>
        <v>-2706.5</v>
      </c>
      <c r="F39" s="260">
        <f t="shared" si="38"/>
        <v>2708.3000000000011</v>
      </c>
      <c r="G39" s="260">
        <f t="shared" si="38"/>
        <v>-2076.7999999999993</v>
      </c>
      <c r="H39" s="261">
        <f t="shared" si="38"/>
        <v>-6069.7999999999938</v>
      </c>
      <c r="I39" s="260">
        <f t="shared" si="38"/>
        <v>353.89999999999839</v>
      </c>
      <c r="J39" s="260">
        <f t="shared" si="38"/>
        <v>-468.20000000000061</v>
      </c>
      <c r="K39" s="260">
        <f t="shared" si="38"/>
        <v>1393.600000000001</v>
      </c>
      <c r="L39" s="260">
        <f t="shared" si="38"/>
        <v>385.0000000000021</v>
      </c>
      <c r="M39" s="261">
        <f t="shared" si="38"/>
        <v>1664.3000000000052</v>
      </c>
      <c r="N39" s="260">
        <f t="shared" si="38"/>
        <v>677.2</v>
      </c>
      <c r="O39" s="260">
        <f t="shared" si="38"/>
        <v>-1147.3999999999996</v>
      </c>
      <c r="P39" s="260">
        <f t="shared" si="38"/>
        <v>872.49999999999909</v>
      </c>
      <c r="Q39" s="260">
        <f t="shared" si="38"/>
        <v>1702.5999999999997</v>
      </c>
      <c r="R39" s="261">
        <f t="shared" si="38"/>
        <v>2104.8999999999978</v>
      </c>
      <c r="S39" s="260">
        <f t="shared" si="38"/>
        <v>-2486.3000000000002</v>
      </c>
      <c r="T39" s="260">
        <f t="shared" si="38"/>
        <v>-55.999999999999567</v>
      </c>
      <c r="U39" s="260">
        <f t="shared" si="38"/>
        <v>-735.90000000000089</v>
      </c>
      <c r="V39" s="260">
        <f t="shared" si="38"/>
        <v>75.199344839386868</v>
      </c>
      <c r="W39" s="261">
        <f>W37+W27+W22+W38</f>
        <v>-3203.000655160612</v>
      </c>
      <c r="X39" s="260">
        <f>X37+X27+X22+X38</f>
        <v>413.36205947848089</v>
      </c>
      <c r="Y39" s="260">
        <f t="shared" si="38"/>
        <v>-504.06967509361505</v>
      </c>
      <c r="Z39" s="260">
        <f t="shared" si="38"/>
        <v>-241.67507444569651</v>
      </c>
      <c r="AA39" s="260">
        <f t="shared" si="38"/>
        <v>595.94976587252518</v>
      </c>
      <c r="AB39" s="261">
        <f t="shared" si="38"/>
        <v>263.56707581169485</v>
      </c>
      <c r="AC39" s="260">
        <f t="shared" si="38"/>
        <v>794.56698255121864</v>
      </c>
      <c r="AD39" s="260">
        <f t="shared" si="38"/>
        <v>-241.03592446872005</v>
      </c>
      <c r="AE39" s="260">
        <f t="shared" si="38"/>
        <v>32.322143833818473</v>
      </c>
      <c r="AF39" s="260">
        <f t="shared" si="38"/>
        <v>543.05717374701817</v>
      </c>
      <c r="AG39" s="261">
        <f t="shared" si="38"/>
        <v>1128.910375663334</v>
      </c>
      <c r="AH39" s="260">
        <f t="shared" si="38"/>
        <v>871.45123147054255</v>
      </c>
      <c r="AI39" s="260">
        <f t="shared" si="38"/>
        <v>-239.28192650512619</v>
      </c>
      <c r="AJ39" s="260">
        <f t="shared" si="38"/>
        <v>354.52945475469505</v>
      </c>
      <c r="AK39" s="260">
        <f t="shared" si="38"/>
        <v>-4202.8445468472501</v>
      </c>
      <c r="AL39" s="261">
        <f t="shared" si="38"/>
        <v>-3216.1457871271386</v>
      </c>
      <c r="AM39" s="260">
        <f t="shared" si="38"/>
        <v>883.85592091119952</v>
      </c>
      <c r="AN39" s="260">
        <f t="shared" si="38"/>
        <v>-380.80748963652263</v>
      </c>
      <c r="AO39" s="260">
        <f t="shared" si="38"/>
        <v>50.324394886339405</v>
      </c>
      <c r="AP39" s="260">
        <f t="shared" si="38"/>
        <v>726.17763158707521</v>
      </c>
      <c r="AQ39" s="261">
        <f t="shared" si="38"/>
        <v>1279.5504577480915</v>
      </c>
      <c r="AR39" s="260">
        <f t="shared" si="38"/>
        <v>1087.042660243942</v>
      </c>
      <c r="AS39" s="260">
        <f t="shared" si="38"/>
        <v>-296.78551459960363</v>
      </c>
      <c r="AT39" s="260">
        <f t="shared" si="38"/>
        <v>174.32555027200169</v>
      </c>
      <c r="AU39" s="260">
        <f t="shared" si="38"/>
        <v>799.7227181789367</v>
      </c>
      <c r="AV39" s="261">
        <f t="shared" si="38"/>
        <v>1764.3054140952781</v>
      </c>
    </row>
    <row r="40" spans="2:48" ht="16.2" outlineLevel="1" x14ac:dyDescent="0.45">
      <c r="B40" s="486" t="s">
        <v>297</v>
      </c>
      <c r="C40" s="487"/>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3252.699344839396</v>
      </c>
      <c r="Y40" s="260">
        <f>X41</f>
        <v>3666.0614043178766</v>
      </c>
      <c r="Z40" s="260">
        <f>Y41</f>
        <v>3161.9917292242617</v>
      </c>
      <c r="AA40" s="260">
        <f>Z41</f>
        <v>2920.316654778565</v>
      </c>
      <c r="AB40" s="261">
        <f>W41</f>
        <v>3252.699344839396</v>
      </c>
      <c r="AC40" s="260">
        <f>+AB41</f>
        <v>3516.2664206510908</v>
      </c>
      <c r="AD40" s="260">
        <f>AC41</f>
        <v>4310.8334032023095</v>
      </c>
      <c r="AE40" s="260">
        <f>AD41</f>
        <v>4069.7974787335893</v>
      </c>
      <c r="AF40" s="260">
        <f>AE41</f>
        <v>4102.1196225674075</v>
      </c>
      <c r="AG40" s="261">
        <f>AB41</f>
        <v>3516.2664206510908</v>
      </c>
      <c r="AH40" s="260">
        <f>+AG41</f>
        <v>4645.1767963144248</v>
      </c>
      <c r="AI40" s="260">
        <f>AH41</f>
        <v>5516.6280277849673</v>
      </c>
      <c r="AJ40" s="260">
        <f>AI41</f>
        <v>5277.3461012798416</v>
      </c>
      <c r="AK40" s="260">
        <f>AJ41</f>
        <v>5631.8755560345362</v>
      </c>
      <c r="AL40" s="261">
        <f>AG41</f>
        <v>4645.1767963144248</v>
      </c>
      <c r="AM40" s="260">
        <f>+AL41</f>
        <v>1429.0310091872861</v>
      </c>
      <c r="AN40" s="260">
        <f>AM41</f>
        <v>2312.8869300984857</v>
      </c>
      <c r="AO40" s="260">
        <f>AN41</f>
        <v>1932.079440461963</v>
      </c>
      <c r="AP40" s="260">
        <f>AO41</f>
        <v>1982.4038353483024</v>
      </c>
      <c r="AQ40" s="261">
        <f>AL41</f>
        <v>1429.0310091872861</v>
      </c>
      <c r="AR40" s="260">
        <f>+AQ41</f>
        <v>2708.5814669353776</v>
      </c>
      <c r="AS40" s="260">
        <f>AR41</f>
        <v>3795.6241271793197</v>
      </c>
      <c r="AT40" s="260">
        <f>AS41</f>
        <v>3498.838612579716</v>
      </c>
      <c r="AU40" s="260">
        <f>AT41</f>
        <v>3673.1641628517177</v>
      </c>
      <c r="AV40" s="261">
        <f>AQ41</f>
        <v>2708.5814669353776</v>
      </c>
    </row>
    <row r="41" spans="2:48" outlineLevel="1" x14ac:dyDescent="0.3">
      <c r="B41" s="529" t="s">
        <v>298</v>
      </c>
      <c r="C41" s="530"/>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3252.6993448393941</v>
      </c>
      <c r="W41" s="22">
        <f>+S40+W39</f>
        <v>3252.699344839396</v>
      </c>
      <c r="X41" s="21">
        <f>+X40+X39</f>
        <v>3666.0614043178766</v>
      </c>
      <c r="Y41" s="21">
        <f>+Y40+Y39</f>
        <v>3161.9917292242617</v>
      </c>
      <c r="Z41" s="21">
        <f>+Z40+Z39</f>
        <v>2920.316654778565</v>
      </c>
      <c r="AA41" s="21">
        <f>+AA40+AA39</f>
        <v>3516.2664206510899</v>
      </c>
      <c r="AB41" s="22">
        <f>+X40+AB39</f>
        <v>3516.2664206510908</v>
      </c>
      <c r="AC41" s="21">
        <f>+AC40+AC39</f>
        <v>4310.8334032023095</v>
      </c>
      <c r="AD41" s="21">
        <f>+AD40+AD39</f>
        <v>4069.7974787335893</v>
      </c>
      <c r="AE41" s="21">
        <f>+AE40+AE39</f>
        <v>4102.1196225674075</v>
      </c>
      <c r="AF41" s="21">
        <f>+AF40+AF39</f>
        <v>4645.1767963144257</v>
      </c>
      <c r="AG41" s="22">
        <f>+AC40+AG39</f>
        <v>4645.1767963144248</v>
      </c>
      <c r="AH41" s="21">
        <f>+AH40+AH39</f>
        <v>5516.6280277849673</v>
      </c>
      <c r="AI41" s="21">
        <f>+AI40+AI39</f>
        <v>5277.3461012798416</v>
      </c>
      <c r="AJ41" s="21">
        <f>+AJ40+AJ39</f>
        <v>5631.8755560345362</v>
      </c>
      <c r="AK41" s="21">
        <f>+AK40+AK39</f>
        <v>1429.0310091872861</v>
      </c>
      <c r="AL41" s="22">
        <f>+AH40+AL39</f>
        <v>1429.0310091872861</v>
      </c>
      <c r="AM41" s="21">
        <f>+AM40+AM39</f>
        <v>2312.8869300984857</v>
      </c>
      <c r="AN41" s="21">
        <f>+AN40+AN39</f>
        <v>1932.079440461963</v>
      </c>
      <c r="AO41" s="21">
        <f>+AO40+AO39</f>
        <v>1982.4038353483024</v>
      </c>
      <c r="AP41" s="21">
        <f>+AP40+AP39</f>
        <v>2708.5814669353776</v>
      </c>
      <c r="AQ41" s="22">
        <f>+AM40+AQ39</f>
        <v>2708.5814669353776</v>
      </c>
      <c r="AR41" s="21">
        <f>+AR40+AR39</f>
        <v>3795.6241271793197</v>
      </c>
      <c r="AS41" s="21">
        <f>+AS40+AS39</f>
        <v>3498.838612579716</v>
      </c>
      <c r="AT41" s="21">
        <f>+AT40+AT39</f>
        <v>3673.1641628517177</v>
      </c>
      <c r="AU41" s="21">
        <f>+AU40+AU39</f>
        <v>4472.886881030654</v>
      </c>
      <c r="AV41" s="22">
        <f>+AR40+AV39</f>
        <v>4472.8868810306558</v>
      </c>
    </row>
    <row r="42" spans="2:48" s="23" customFormat="1" outlineLevel="1" x14ac:dyDescent="0.3">
      <c r="B42" s="531" t="s">
        <v>299</v>
      </c>
      <c r="C42" s="532"/>
      <c r="D42" s="321"/>
      <c r="E42" s="321"/>
      <c r="F42" s="321"/>
      <c r="G42" s="321"/>
      <c r="H42" s="342"/>
      <c r="I42" s="321"/>
      <c r="J42" s="321"/>
      <c r="K42" s="321"/>
      <c r="L42" s="321"/>
      <c r="M42" s="342"/>
      <c r="N42" s="321"/>
      <c r="O42" s="321"/>
      <c r="P42" s="321"/>
      <c r="Q42" s="321"/>
      <c r="R42" s="342"/>
      <c r="S42" s="321"/>
      <c r="T42" s="321"/>
      <c r="U42" s="321"/>
      <c r="V42" s="321"/>
      <c r="W42" s="342"/>
      <c r="X42" s="321"/>
      <c r="Y42" s="321"/>
      <c r="Z42" s="321"/>
      <c r="AA42" s="321"/>
      <c r="AB42" s="342"/>
      <c r="AC42" s="321"/>
      <c r="AD42" s="321"/>
      <c r="AE42" s="321"/>
      <c r="AF42" s="321"/>
      <c r="AG42" s="342"/>
      <c r="AH42" s="321"/>
      <c r="AI42" s="321"/>
      <c r="AJ42" s="321"/>
      <c r="AK42" s="321"/>
      <c r="AL42" s="342"/>
      <c r="AM42" s="321"/>
      <c r="AN42" s="321"/>
      <c r="AO42" s="321"/>
      <c r="AP42" s="321"/>
      <c r="AQ42" s="342"/>
      <c r="AR42" s="321"/>
      <c r="AS42" s="321"/>
      <c r="AT42" s="321"/>
      <c r="AU42" s="321"/>
      <c r="AV42" s="342"/>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c r="X43" s="327"/>
      <c r="Y43" s="327"/>
      <c r="Z43" s="327"/>
      <c r="AA43" s="327"/>
      <c r="AB43" s="328"/>
      <c r="AC43" s="327"/>
      <c r="AD43" s="327"/>
      <c r="AE43" s="327"/>
      <c r="AF43" s="327"/>
      <c r="AG43" s="328"/>
      <c r="AH43" s="327"/>
      <c r="AI43" s="327"/>
      <c r="AJ43" s="327"/>
      <c r="AK43" s="327"/>
      <c r="AL43" s="328"/>
      <c r="AM43" s="327"/>
      <c r="AN43" s="327"/>
      <c r="AO43" s="327"/>
      <c r="AP43" s="327"/>
      <c r="AQ43" s="328"/>
      <c r="AR43" s="327"/>
      <c r="AS43" s="327"/>
      <c r="AT43" s="327"/>
      <c r="AU43" s="327"/>
      <c r="AV43" s="328"/>
    </row>
    <row r="44" spans="2:48" s="23" customFormat="1" outlineLevel="1" x14ac:dyDescent="0.3">
      <c r="B44" s="533" t="s">
        <v>301</v>
      </c>
      <c r="C44" s="534"/>
      <c r="D44" s="344"/>
      <c r="E44" s="344"/>
      <c r="F44" s="344"/>
      <c r="G44" s="344"/>
      <c r="H44" s="345"/>
      <c r="I44" s="344"/>
      <c r="J44" s="344"/>
      <c r="K44" s="344"/>
      <c r="L44" s="344"/>
      <c r="M44" s="345"/>
      <c r="N44" s="344"/>
      <c r="O44" s="344"/>
      <c r="P44" s="344"/>
      <c r="Q44" s="344"/>
      <c r="R44" s="345"/>
      <c r="S44" s="344"/>
      <c r="T44" s="344"/>
      <c r="U44" s="344"/>
      <c r="V44" s="344"/>
      <c r="W44" s="345"/>
      <c r="X44" s="344"/>
      <c r="Y44" s="344"/>
      <c r="Z44" s="344"/>
      <c r="AA44" s="344"/>
      <c r="AB44" s="345"/>
      <c r="AC44" s="344"/>
      <c r="AD44" s="344"/>
      <c r="AE44" s="344"/>
      <c r="AF44" s="344"/>
      <c r="AG44" s="345"/>
      <c r="AH44" s="344"/>
      <c r="AI44" s="344"/>
      <c r="AJ44" s="344"/>
      <c r="AK44" s="344"/>
      <c r="AL44" s="345"/>
      <c r="AM44" s="344"/>
      <c r="AN44" s="344"/>
      <c r="AO44" s="344"/>
      <c r="AP44" s="344"/>
      <c r="AQ44" s="345"/>
      <c r="AR44" s="344"/>
      <c r="AS44" s="344"/>
      <c r="AT44" s="344"/>
      <c r="AU44" s="344"/>
      <c r="AV44" s="345"/>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3Q2022'!D6+'BS 3Q2022'!D7+'BS 3Q2022'!D12</f>
        <v>5256.8</v>
      </c>
      <c r="E46" s="16">
        <f>+'BS 3Q2022'!E6+'BS 3Q2022'!E7+'BS 3Q2022'!E12</f>
        <v>2383.6000000000004</v>
      </c>
      <c r="F46" s="16">
        <f>+'BS 3Q2022'!F6+'BS 3Q2022'!F7+'BS 3Q2022'!F12</f>
        <v>5058.1000000000022</v>
      </c>
      <c r="G46" s="16">
        <f>+'BS 3Q2022'!G6+'BS 3Q2022'!G7+'BS 3Q2022'!G12</f>
        <v>2977.1000000000022</v>
      </c>
      <c r="H46" s="17">
        <f>+'BS 3Q2022'!H6+'BS 3Q2022'!H7+'BS 3Q2022'!H12</f>
        <v>2977.1000000000022</v>
      </c>
      <c r="I46" s="16">
        <f>+'BS 3Q2022'!I6+'BS 3Q2022'!I7+'BS 3Q2022'!I12</f>
        <v>3308.7000000000039</v>
      </c>
      <c r="J46" s="16">
        <f>+'BS 3Q2022'!J6+'BS 3Q2022'!J7+'BS 3Q2022'!J12</f>
        <v>2824.0000000000032</v>
      </c>
      <c r="K46" s="16">
        <f>+'BS 3Q2022'!K6+'BS 3Q2022'!K7+'BS 3Q2022'!K12</f>
        <v>4419.2000000000035</v>
      </c>
      <c r="L46" s="16">
        <f>+'BS 3Q2022'!L6+'BS 3Q2022'!L7+'BS 3Q2022'!L12</f>
        <v>4838.2000000000062</v>
      </c>
      <c r="M46" s="17">
        <f>+'BS 3Q2022'!M6+'BS 3Q2022'!M7+'BS 3Q2022'!M12</f>
        <v>4838.2000000000062</v>
      </c>
      <c r="N46" s="16">
        <f>+'BS 3Q2022'!N6+'BS 3Q2022'!N7+'BS 3Q2022'!N12</f>
        <v>5454.4000000000096</v>
      </c>
      <c r="O46" s="16">
        <f>+'BS 3Q2022'!O6+'BS 3Q2022'!O7+'BS 3Q2022'!O12</f>
        <v>4288.4000000000106</v>
      </c>
      <c r="P46" s="16">
        <f>+'BS 3Q2022'!P6+'BS 3Q2022'!P7+'BS 3Q2022'!P12</f>
        <v>5192.6000000000095</v>
      </c>
      <c r="Q46" s="16">
        <f>+'BS 3Q2022'!Q6+'BS 3Q2022'!Q7+'BS 3Q2022'!Q12</f>
        <v>6899.6000000000085</v>
      </c>
      <c r="R46" s="17">
        <f>+'BS 3Q2022'!R6+'BS 3Q2022'!R7+'BS 3Q2022'!R12</f>
        <v>6899.6000000000085</v>
      </c>
      <c r="S46" s="16">
        <f>+'BS 3Q2022'!S6+'BS 3Q2022'!S7+'BS 3Q2022'!S12</f>
        <v>4356.4000000000078</v>
      </c>
      <c r="T46" s="16">
        <f>+'BS 3Q2022'!T6+'BS 3Q2022'!T7+'BS 3Q2022'!T12</f>
        <v>4281.1000000000085</v>
      </c>
      <c r="U46" s="16">
        <f>+'BS 3Q2022'!U6+'BS 3Q2022'!U7+'BS 3Q2022'!U12</f>
        <v>3546.9000000000074</v>
      </c>
      <c r="V46" s="16">
        <f>+'BS 3Q2022'!V6+'BS 3Q2022'!V7+'BS 3Q2022'!V12</f>
        <v>3626.225344197559</v>
      </c>
      <c r="W46" s="17">
        <f>+'BS 3Q2022'!W6+'BS 3Q2022'!W7+'BS 3Q2022'!W12</f>
        <v>3626.225344197559</v>
      </c>
      <c r="X46" s="16">
        <f>+'BS 3Q2022'!X6+'BS 3Q2022'!X7+'BS 3Q2022'!X12</f>
        <v>4043.9148887454353</v>
      </c>
      <c r="Y46" s="16">
        <f>+'BS 3Q2022'!Y6+'BS 3Q2022'!Y7+'BS 3Q2022'!Y12</f>
        <v>3535.8822286682098</v>
      </c>
      <c r="Z46" s="16">
        <f>+'BS 3Q2022'!Z6+'BS 3Q2022'!Z7+'BS 3Q2022'!Z12</f>
        <v>3305.4076387523319</v>
      </c>
      <c r="AA46" s="16">
        <f>+'BS 3Q2022'!AA6+'BS 3Q2022'!AA7+'BS 3Q2022'!AA12</f>
        <v>3905.6160177644697</v>
      </c>
      <c r="AB46" s="17">
        <f>+'BS 3Q2022'!AB6+'BS 3Q2022'!AB7+'BS 3Q2022'!AB12</f>
        <v>3905.6160177644697</v>
      </c>
      <c r="AC46" s="16">
        <f>+'BS 3Q2022'!AC6+'BS 3Q2022'!AC7+'BS 3Q2022'!AC12</f>
        <v>4713.9766208429646</v>
      </c>
      <c r="AD46" s="16">
        <f>+'BS 3Q2022'!AD6+'BS 3Q2022'!AD7+'BS 3Q2022'!AD12</f>
        <v>4472.3361063329567</v>
      </c>
      <c r="AE46" s="16">
        <f>+'BS 3Q2022'!AE6+'BS 3Q2022'!AE7+'BS 3Q2022'!AE12</f>
        <v>4513.9075372116513</v>
      </c>
      <c r="AF46" s="16">
        <f>+'BS 3Q2022'!AF6+'BS 3Q2022'!AF7+'BS 3Q2022'!AF12</f>
        <v>5062.2489304894407</v>
      </c>
      <c r="AG46" s="17">
        <f>+'BS 3Q2022'!AG6+'BS 3Q2022'!AG7+'BS 3Q2022'!AG12</f>
        <v>5062.2489304894407</v>
      </c>
      <c r="AH46" s="16">
        <f>+'BS 3Q2022'!AH6+'BS 3Q2022'!AH7+'BS 3Q2022'!AH12</f>
        <v>5949.7993810327598</v>
      </c>
      <c r="AI46" s="16">
        <f>+'BS 3Q2022'!AI6+'BS 3Q2022'!AI7+'BS 3Q2022'!AI12</f>
        <v>5710.3720273195531</v>
      </c>
      <c r="AJ46" s="16">
        <f>+'BS 3Q2022'!AJ6+'BS 3Q2022'!AJ7+'BS 3Q2022'!AJ12</f>
        <v>6080.0142143794446</v>
      </c>
      <c r="AK46" s="16">
        <f>+'BS 3Q2022'!AK6+'BS 3Q2022'!AK7+'BS 3Q2022'!AK12</f>
        <v>1816.1051489336953</v>
      </c>
      <c r="AL46" s="17">
        <f>+'BS 3Q2022'!AL6+'BS 3Q2022'!AL7+'BS 3Q2022'!AL12</f>
        <v>1816.1051489336953</v>
      </c>
      <c r="AM46" s="16">
        <f>+'BS 3Q2022'!AM6+'BS 3Q2022'!AM7+'BS 3Q2022'!AM12</f>
        <v>2715.4724177346966</v>
      </c>
      <c r="AN46" s="16">
        <f>+'BS 3Q2022'!AN6+'BS 3Q2022'!AN7+'BS 3Q2022'!AN12</f>
        <v>2332.4359429143842</v>
      </c>
      <c r="AO46" s="16">
        <f>+'BS 3Q2022'!AO6+'BS 3Q2022'!AO7+'BS 3Q2022'!AO12</f>
        <v>2394.4825884515126</v>
      </c>
      <c r="AP46" s="16">
        <f>+'BS 3Q2022'!AP6+'BS 3Q2022'!AP7+'BS 3Q2022'!AP12</f>
        <v>3126.2426630811383</v>
      </c>
      <c r="AQ46" s="17">
        <f>+'BS 3Q2022'!AQ6+'BS 3Q2022'!AQ7+'BS 3Q2022'!AQ12</f>
        <v>3126.2426630811383</v>
      </c>
      <c r="AR46" s="16">
        <f>+'BS 3Q2022'!AR6+'BS 3Q2022'!AR7+'BS 3Q2022'!AR12</f>
        <v>4230.9290508154518</v>
      </c>
      <c r="AS46" s="16">
        <f>+'BS 3Q2022'!AS6+'BS 3Q2022'!AS7+'BS 3Q2022'!AS12</f>
        <v>3932.9284754008504</v>
      </c>
      <c r="AT46" s="16">
        <f>+'BS 3Q2022'!AT6+'BS 3Q2022'!AT7+'BS 3Q2022'!AT12</f>
        <v>4120.5090465452677</v>
      </c>
      <c r="AU46" s="16">
        <f>+'BS 3Q2022'!AU6+'BS 3Q2022'!AU7+'BS 3Q2022'!AU12</f>
        <v>4927.1183181816714</v>
      </c>
      <c r="AV46" s="17">
        <f>+'BS 3Q2022'!AV6+'BS 3Q2022'!AV7+'BS 3Q2022'!AV12</f>
        <v>4927.1183181816714</v>
      </c>
    </row>
    <row r="47" spans="2:48" outlineLevel="1" x14ac:dyDescent="0.3">
      <c r="B47" s="200" t="s">
        <v>304</v>
      </c>
      <c r="C47" s="201"/>
      <c r="D47" s="16">
        <f>'BS 3Q2022'!D28+'BS 3Q2022'!D31</f>
        <v>9130.7000000000007</v>
      </c>
      <c r="E47" s="16">
        <f>'BS 3Q2022'!E28+'BS 3Q2022'!E31</f>
        <v>9216.5</v>
      </c>
      <c r="F47" s="16">
        <f>'BS 3Q2022'!F28+'BS 3Q2022'!F31</f>
        <v>11159.1</v>
      </c>
      <c r="G47" s="16">
        <f>'BS 3Q2022'!G28+'BS 3Q2022'!G31</f>
        <v>11167</v>
      </c>
      <c r="H47" s="17">
        <f>'BS 3Q2022'!H28+'BS 3Q2022'!H31</f>
        <v>11167</v>
      </c>
      <c r="I47" s="16">
        <f>'BS 3Q2022'!I28+'BS 3Q2022'!I31</f>
        <v>11649.800000000001</v>
      </c>
      <c r="J47" s="16">
        <f>'BS 3Q2022'!J28+'BS 3Q2022'!J31</f>
        <v>14015.2</v>
      </c>
      <c r="K47" s="16">
        <f>'BS 3Q2022'!K28+'BS 3Q2022'!K31</f>
        <v>16831.7</v>
      </c>
      <c r="L47" s="16">
        <f>'BS 3Q2022'!L28+'BS 3Q2022'!L31</f>
        <v>16348.300000000001</v>
      </c>
      <c r="M47" s="17">
        <f>'BS 3Q2022'!M28+'BS 3Q2022'!M31</f>
        <v>16348.300000000001</v>
      </c>
      <c r="N47" s="16">
        <f>'BS 3Q2022'!N28+'BS 3Q2022'!N31</f>
        <v>15916.1</v>
      </c>
      <c r="O47" s="16">
        <f>'BS 3Q2022'!O28+'BS 3Q2022'!O31</f>
        <v>14648.599999999999</v>
      </c>
      <c r="P47" s="16">
        <f>'BS 3Q2022'!P28+'BS 3Q2022'!P31</f>
        <v>14618.1</v>
      </c>
      <c r="Q47" s="16">
        <f>'BS 3Q2022'!Q28+'BS 3Q2022'!Q31</f>
        <v>14615.8</v>
      </c>
      <c r="R47" s="17">
        <f>'BS 3Q2022'!R28+'BS 3Q2022'!R31</f>
        <v>14615.8</v>
      </c>
      <c r="S47" s="16">
        <f>'BS 3Q2022'!S28+'BS 3Q2022'!S31</f>
        <v>14785.599999999999</v>
      </c>
      <c r="T47" s="16">
        <f>'BS 3Q2022'!T28+'BS 3Q2022'!T31</f>
        <v>16013</v>
      </c>
      <c r="U47" s="16">
        <f>'BS 3Q2022'!U28+'BS 3Q2022'!U31</f>
        <v>15129.9</v>
      </c>
      <c r="V47" s="16">
        <f>'BS 3Q2022'!V28+'BS 3Q2022'!V31</f>
        <v>14930.9</v>
      </c>
      <c r="W47" s="17">
        <f>'BS 3Q2022'!W28+'BS 3Q2022'!W31</f>
        <v>14930.9</v>
      </c>
      <c r="X47" s="16">
        <f>'BS 3Q2022'!X28+'BS 3Q2022'!X31</f>
        <v>14930.9</v>
      </c>
      <c r="Y47" s="16">
        <f>'BS 3Q2022'!Y28+'BS 3Q2022'!Y31</f>
        <v>14930.9</v>
      </c>
      <c r="Z47" s="16">
        <f>'BS 3Q2022'!Z28+'BS 3Q2022'!Z31</f>
        <v>14930.9</v>
      </c>
      <c r="AA47" s="16">
        <f>'BS 3Q2022'!AA28+'BS 3Q2022'!AA31</f>
        <v>14930.9</v>
      </c>
      <c r="AB47" s="17">
        <f>'BS 3Q2022'!AB28+'BS 3Q2022'!AB31</f>
        <v>14930.9</v>
      </c>
      <c r="AC47" s="16">
        <f>'BS 3Q2022'!AC28+'BS 3Q2022'!AC31</f>
        <v>14930.9</v>
      </c>
      <c r="AD47" s="16">
        <f>'BS 3Q2022'!AD28+'BS 3Q2022'!AD31</f>
        <v>14930.6</v>
      </c>
      <c r="AE47" s="16">
        <f>'BS 3Q2022'!AE28+'BS 3Q2022'!AE31</f>
        <v>14930.6</v>
      </c>
      <c r="AF47" s="16">
        <f>'BS 3Q2022'!AF28+'BS 3Q2022'!AF31</f>
        <v>15030.6</v>
      </c>
      <c r="AG47" s="17">
        <f>'BS 3Q2022'!AG28+'BS 3Q2022'!AG31</f>
        <v>15030.6</v>
      </c>
      <c r="AH47" s="16">
        <f>'BS 3Q2022'!AH28+'BS 3Q2022'!AH31</f>
        <v>15030.6</v>
      </c>
      <c r="AI47" s="16">
        <f>'BS 3Q2022'!AI28+'BS 3Q2022'!AI31</f>
        <v>15030.6</v>
      </c>
      <c r="AJ47" s="16">
        <f>'BS 3Q2022'!AJ28+'BS 3Q2022'!AJ31</f>
        <v>20321.198382851078</v>
      </c>
      <c r="AK47" s="16">
        <f>'BS 3Q2022'!AK28+'BS 3Q2022'!AK31</f>
        <v>20321.198382851078</v>
      </c>
      <c r="AL47" s="17">
        <f>'BS 3Q2022'!AL28+'BS 3Q2022'!AL31</f>
        <v>20321.198382851078</v>
      </c>
      <c r="AM47" s="16">
        <f>'BS 3Q2022'!AM28+'BS 3Q2022'!AM31</f>
        <v>20321.198382851078</v>
      </c>
      <c r="AN47" s="16">
        <f>'BS 3Q2022'!AN28+'BS 3Q2022'!AN31</f>
        <v>20321.198382851078</v>
      </c>
      <c r="AO47" s="16">
        <f>'BS 3Q2022'!AO28+'BS 3Q2022'!AO31</f>
        <v>20321.198382851078</v>
      </c>
      <c r="AP47" s="16">
        <f>'BS 3Q2022'!AP28+'BS 3Q2022'!AP31</f>
        <v>20321.198382851078</v>
      </c>
      <c r="AQ47" s="17">
        <f>'BS 3Q2022'!AQ28+'BS 3Q2022'!AQ31</f>
        <v>20321.198382851078</v>
      </c>
      <c r="AR47" s="16">
        <f>'BS 3Q2022'!AR28+'BS 3Q2022'!AR31</f>
        <v>20321.198382851078</v>
      </c>
      <c r="AS47" s="16">
        <f>'BS 3Q2022'!AS28+'BS 3Q2022'!AS31</f>
        <v>20321.198382851078</v>
      </c>
      <c r="AT47" s="16">
        <f>'BS 3Q2022'!AT28+'BS 3Q2022'!AT31</f>
        <v>20321.198382851078</v>
      </c>
      <c r="AU47" s="16">
        <f>'BS 3Q2022'!AU28+'BS 3Q2022'!AU31</f>
        <v>20321.198382851078</v>
      </c>
      <c r="AV47" s="17">
        <f>'BS 3Q2022'!AV28+'BS 3Q2022'!AV31</f>
        <v>20321.198382851078</v>
      </c>
    </row>
    <row r="48" spans="2:48" outlineLevel="1" x14ac:dyDescent="0.3">
      <c r="B48" s="535" t="s">
        <v>305</v>
      </c>
      <c r="C48" s="536"/>
      <c r="D48" s="346">
        <f>(D46-D47)/'IS 3Q2022'!D31</f>
        <v>-3.0907132599329823</v>
      </c>
      <c r="E48" s="346">
        <f>(E46-E47)/'IS 3Q2022'!E31</f>
        <v>-5.4632605740785154</v>
      </c>
      <c r="F48" s="346">
        <f>(F46-F47)/'IS 3Q2022'!F31</f>
        <v>-4.9885527391659839</v>
      </c>
      <c r="G48" s="346">
        <f>(G46-G47)/'IS 3Q2022'!G31</f>
        <v>-6.6975821179389685</v>
      </c>
      <c r="H48" s="347">
        <f>(H46-H47)/'IS 3Q2022'!H31</f>
        <v>-6.6411774245864397</v>
      </c>
      <c r="I48" s="346">
        <f>(I46-I47)/'IS 3Q2022'!I31</f>
        <v>-7.0034424853064623</v>
      </c>
      <c r="J48" s="346">
        <f>(J46-J47)/'IS 3Q2022'!J31</f>
        <v>-9.4784449902600123</v>
      </c>
      <c r="K48" s="346">
        <f>(K46-K47)/'IS 3Q2022'!K31</f>
        <v>-10.62259306803594</v>
      </c>
      <c r="L48" s="346">
        <f>(L46-L47)/'IS 3Q2022'!L31</f>
        <v>-9.7625954198473242</v>
      </c>
      <c r="M48" s="347">
        <f>(M46-M47)/'IS 3Q2022'!M31</f>
        <v>-9.6019593007244595</v>
      </c>
      <c r="N48" s="346">
        <f>(N46-N47)/'IS 3Q2022'!N31</f>
        <v>-8.8433643279797032</v>
      </c>
      <c r="O48" s="346">
        <f>(O46-O47)/'IS 3Q2022'!O31</f>
        <v>-8.7442606347062704</v>
      </c>
      <c r="P48" s="346">
        <f>(P46-P47)/'IS 3Q2022'!P31</f>
        <v>-7.9459618951272892</v>
      </c>
      <c r="Q48" s="346">
        <f>(Q46-Q47)/'IS 3Q2022'!Q31</f>
        <v>-6.4956646182338496</v>
      </c>
      <c r="R48" s="347">
        <f>(R46-R47)/'IS 3Q2022'!R31</f>
        <v>-6.504862503325251</v>
      </c>
      <c r="S48" s="346">
        <f>(S46-S47)/'IS 3Q2022'!S31</f>
        <v>-8.8638449770525156</v>
      </c>
      <c r="T48" s="346">
        <f>(T46-T47)/'IS 3Q2022'!T31</f>
        <v>-10.167172198630722</v>
      </c>
      <c r="U48" s="346">
        <f>(U46-U47)/'IS 3Q2022'!U31</f>
        <v>-10.06342311033883</v>
      </c>
      <c r="V48" s="346">
        <f>(V46-V47)/'IS 3Q2022'!V31</f>
        <v>-9.8117995434647387</v>
      </c>
      <c r="W48" s="347">
        <f>(W46-W47)/'IS 3Q2022'!W31</f>
        <v>-9.7581506396475532</v>
      </c>
      <c r="X48" s="346">
        <f>(X46-X47)/'IS 3Q2022'!X31</f>
        <v>-9.4398295034698716</v>
      </c>
      <c r="Y48" s="346">
        <f>(Y46-Y47)/'IS 3Q2022'!Y31</f>
        <v>-9.8704613156776162</v>
      </c>
      <c r="Z48" s="346">
        <f>(Z46-Z47)/'IS 3Q2022'!Z31</f>
        <v>-10.060040325475839</v>
      </c>
      <c r="AA48" s="346">
        <f>(AA46-AA47)/'IS 3Q2022'!AA31</f>
        <v>-9.5311229856381736</v>
      </c>
      <c r="AB48" s="347">
        <f>(AB46-AB47)/'IS 3Q2022'!AB31</f>
        <v>-9.544052897566921</v>
      </c>
      <c r="AC48" s="346">
        <f>(AC46-AC47)/'IS 3Q2022'!AC31</f>
        <v>-8.8234889864553576</v>
      </c>
      <c r="AD48" s="346">
        <f>(AD46-AD47)/'IS 3Q2022'!AD31</f>
        <v>-9.0228914000848413</v>
      </c>
      <c r="AE48" s="346">
        <f>(AE46-AE47)/'IS 3Q2022'!AE31</f>
        <v>-8.9851265798956348</v>
      </c>
      <c r="AF48" s="346">
        <f>(AF46-AF47)/'IS 3Q2022'!AF31</f>
        <v>-8.5965824501494748</v>
      </c>
      <c r="AG48" s="347">
        <f>(AG46-AG47)/'IS 3Q2022'!AG31</f>
        <v>-8.6010031298334102</v>
      </c>
      <c r="AH48" s="346">
        <f>(AH46-AH47)/'IS 3Q2022'!AH31</f>
        <v>-7.8292187517801022</v>
      </c>
      <c r="AI48" s="346">
        <f>(AI46-AI47)/'IS 3Q2022'!AI31</f>
        <v>-8.0336428533463344</v>
      </c>
      <c r="AJ48" s="346">
        <f>(AJ46-AJ47)/'IS 3Q2022'!AJ31</f>
        <v>-12.759531412759575</v>
      </c>
      <c r="AK48" s="346">
        <f>(AK46-AK47)/'IS 3Q2022'!AK31</f>
        <v>-17.261427717773124</v>
      </c>
      <c r="AL48" s="347">
        <f>(AL46-AL47)/'IS 3Q2022'!AL31</f>
        <v>-16.442390842696405</v>
      </c>
      <c r="AM48" s="346">
        <f>(AM46-AM47)/'IS 3Q2022'!AM31</f>
        <v>-16.438086278560323</v>
      </c>
      <c r="AN48" s="346">
        <f>(AN46-AN47)/'IS 3Q2022'!AN31</f>
        <v>-16.811686750078103</v>
      </c>
      <c r="AO48" s="346">
        <f>(AO46-AO47)/'IS 3Q2022'!AO31</f>
        <v>-16.769658812311746</v>
      </c>
      <c r="AP48" s="346">
        <f>(AP46-AP47)/'IS 3Q2022'!AP31</f>
        <v>-16.100481120652798</v>
      </c>
      <c r="AQ48" s="347">
        <f>(AQ46-AQ47)/'IS 3Q2022'!AQ31</f>
        <v>-16.077950911531907</v>
      </c>
      <c r="AR48" s="346">
        <f>(AR46-AR47)/'IS 3Q2022'!AR31</f>
        <v>-15.079937742500038</v>
      </c>
      <c r="AS48" s="346">
        <f>(AS46-AS47)/'IS 3Q2022'!AS31</f>
        <v>-15.373351258388739</v>
      </c>
      <c r="AT48" s="346">
        <f>(AT46-AT47)/'IS 3Q2022'!AT31</f>
        <v>-15.211390340362108</v>
      </c>
      <c r="AU48" s="346">
        <f>(AU46-AU47)/'IS 3Q2022'!AU31</f>
        <v>-14.467380427558908</v>
      </c>
      <c r="AV48" s="347">
        <f>(AV46-AV47)/'IS 3Q2022'!AV31</f>
        <v>-14.447799317808673</v>
      </c>
    </row>
    <row r="49" spans="2:48" x14ac:dyDescent="0.3">
      <c r="B49" s="537"/>
      <c r="C49" s="5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494" t="s">
        <v>306</v>
      </c>
      <c r="C50" s="495"/>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5" t="s">
        <v>20</v>
      </c>
      <c r="W50" s="41" t="s">
        <v>20</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12"/>
      <c r="C51" s="513"/>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2" t="s">
        <v>25</v>
      </c>
      <c r="W51" s="42" t="s">
        <v>26</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510" t="s">
        <v>307</v>
      </c>
      <c r="C52" s="511"/>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3Q2022'!D8</f>
        <v>1.4669742337208073E-2</v>
      </c>
      <c r="E53" s="281">
        <f>E12/'IS 3Q2022'!E8</f>
        <v>1.5033540018078308E-2</v>
      </c>
      <c r="F53" s="113">
        <f>F12/'IS 3Q2022'!F8</f>
        <v>9.2774439396160081E-3</v>
      </c>
      <c r="G53" s="113">
        <f>G12/'IS 3Q2022'!G8</f>
        <v>7.7960575070401619E-3</v>
      </c>
      <c r="H53" s="125">
        <f>H12/'IS 3Q2022'!H8</f>
        <v>1.1618870857004896E-2</v>
      </c>
      <c r="I53" s="113">
        <f>I12/'IS 3Q2022'!I8</f>
        <v>1.2723506784461259E-2</v>
      </c>
      <c r="J53" s="113">
        <f>J12/'IS 3Q2022'!J8</f>
        <v>9.3900628783961833E-3</v>
      </c>
      <c r="K53" s="113">
        <f>K12/'IS 3Q2022'!K8</f>
        <v>9.8055470026763899E-3</v>
      </c>
      <c r="L53" s="113">
        <f>L12/'IS 3Q2022'!L8</f>
        <v>9.7693088939401224E-3</v>
      </c>
      <c r="M53" s="282">
        <f>M12/'IS 3Q2022'!M8</f>
        <v>1.0570626753975675E-2</v>
      </c>
      <c r="N53" s="113">
        <f>N12/'IS 3Q2022'!N8</f>
        <v>1.4712418881678371E-2</v>
      </c>
      <c r="O53" s="113">
        <f>O12/'IS 3Q2022'!O8</f>
        <v>1.1397720455908821E-2</v>
      </c>
      <c r="P53" s="113">
        <f>P12/'IS 3Q2022'!P8</f>
        <v>1.0671646768491964E-2</v>
      </c>
      <c r="Q53" s="113">
        <f>Q12/'IS 3Q2022'!Q8</f>
        <v>7.8313918519155035E-3</v>
      </c>
      <c r="R53" s="282">
        <f>R12/'IS 3Q2022'!R8</f>
        <v>1.0980502811366593E-2</v>
      </c>
      <c r="S53" s="113">
        <f>S12/'IS 3Q2022'!S8</f>
        <v>1.1900029812183245E-2</v>
      </c>
      <c r="T53" s="113">
        <f>T12/'IS 3Q2022'!T8</f>
        <v>6.9935564985069932E-3</v>
      </c>
      <c r="U53" s="113">
        <f>U12/'IS 3Q2022'!U8</f>
        <v>7.0428583698359517E-3</v>
      </c>
      <c r="V53" s="35">
        <f>AVERAGE(U53,T53,S53,Q53)</f>
        <v>8.4419591331104243E-3</v>
      </c>
      <c r="W53" s="282"/>
      <c r="X53" s="35">
        <f>AVERAGE(V53,U53,T53,S53)</f>
        <v>8.5946009534091546E-3</v>
      </c>
      <c r="Y53" s="35">
        <f>AVERAGE(X53,V53,U53,T53)</f>
        <v>7.7682437387156314E-3</v>
      </c>
      <c r="Z53" s="35">
        <f>AVERAGE(Y53,X53,V53,U53)</f>
        <v>7.9619155487677899E-3</v>
      </c>
      <c r="AA53" s="35">
        <f>AVERAGE(Z53,Y53,X53,V53)</f>
        <v>8.1916798435007487E-3</v>
      </c>
      <c r="AB53" s="282"/>
      <c r="AC53" s="35">
        <f>AVERAGE(AA53,Z53,Y53,X53)</f>
        <v>8.1291100210983298E-3</v>
      </c>
      <c r="AD53" s="35">
        <f>AVERAGE(AC53,AA53,Z53,Y53)</f>
        <v>8.0127372880206254E-3</v>
      </c>
      <c r="AE53" s="35">
        <f>AVERAGE(AD53,AC53,AA53,Z53)</f>
        <v>8.0738606753468726E-3</v>
      </c>
      <c r="AF53" s="35">
        <f>AVERAGE(AE53,AD53,AC53,AA53)</f>
        <v>8.101846956991645E-3</v>
      </c>
      <c r="AG53" s="282"/>
      <c r="AH53" s="35">
        <f>AVERAGE(AF53,AE53,AD53,AC53)</f>
        <v>8.0793887353643699E-3</v>
      </c>
      <c r="AI53" s="35">
        <f>AVERAGE(AH53,AF53,AE53,AD53)</f>
        <v>8.0669584139308782E-3</v>
      </c>
      <c r="AJ53" s="35">
        <f>AVERAGE(AI53,AH53,AF53,AE53)</f>
        <v>8.0805136954084419E-3</v>
      </c>
      <c r="AK53" s="35">
        <f>AVERAGE(AJ53,AI53,AH53,AF53)</f>
        <v>8.0821769504238333E-3</v>
      </c>
      <c r="AL53" s="282"/>
      <c r="AM53" s="35">
        <f>AVERAGE(AK53,AJ53,AI53,AH53)</f>
        <v>8.0772594487818813E-3</v>
      </c>
      <c r="AN53" s="35">
        <f>AVERAGE(AM53,AK53,AJ53,AI53)</f>
        <v>8.0767271271362587E-3</v>
      </c>
      <c r="AO53" s="35">
        <f>AVERAGE(AN53,AM53,AK53,AJ53)</f>
        <v>8.0791693054376047E-3</v>
      </c>
      <c r="AP53" s="35">
        <f>AVERAGE(AO53,AN53,AM53,AK53)</f>
        <v>8.0788332079448945E-3</v>
      </c>
      <c r="AQ53" s="282"/>
      <c r="AR53" s="35">
        <f>AVERAGE(AP53,AO53,AN53,AM53)</f>
        <v>8.0779972723251606E-3</v>
      </c>
      <c r="AS53" s="35">
        <f>AVERAGE(AR53,AP53,AO53,AN53)</f>
        <v>8.0781817282109796E-3</v>
      </c>
      <c r="AT53" s="35">
        <f>AVERAGE(AS53,AR53,AP53,AO53)</f>
        <v>8.0785453784796603E-3</v>
      </c>
      <c r="AU53" s="35">
        <f>AVERAGE(AT53,AS53,AR53,AP53)</f>
        <v>8.0783893967401738E-3</v>
      </c>
      <c r="AV53" s="282"/>
    </row>
    <row r="54" spans="2:48" s="23" customFormat="1" outlineLevel="1" x14ac:dyDescent="0.3">
      <c r="B54" s="200" t="s">
        <v>309</v>
      </c>
      <c r="C54" s="201"/>
      <c r="D54" s="351">
        <f t="shared" ref="D54" si="39">+D10/-D9</f>
        <v>1.1581818181818182</v>
      </c>
      <c r="E54" s="351">
        <f t="shared" ref="E54:U54" si="40">+E10/-E9</f>
        <v>0.55639097744360888</v>
      </c>
      <c r="F54" s="113">
        <f t="shared" si="40"/>
        <v>1.0682852807283763</v>
      </c>
      <c r="G54" s="113">
        <f t="shared" si="40"/>
        <v>0.69411764705882406</v>
      </c>
      <c r="H54" s="125">
        <f t="shared" si="40"/>
        <v>0.86512370311252995</v>
      </c>
      <c r="I54" s="113">
        <f t="shared" si="40"/>
        <v>1.0222575516693164</v>
      </c>
      <c r="J54" s="113">
        <f t="shared" si="40"/>
        <v>0.63295880149812733</v>
      </c>
      <c r="K54" s="113">
        <f t="shared" si="40"/>
        <v>1.0227272727272729</v>
      </c>
      <c r="L54" s="113">
        <f t="shared" si="40"/>
        <v>0.63109756097560987</v>
      </c>
      <c r="M54" s="282">
        <f t="shared" si="40"/>
        <v>0.81118631991449952</v>
      </c>
      <c r="N54" s="113">
        <f t="shared" si="40"/>
        <v>1.1188405797101451</v>
      </c>
      <c r="O54" s="113">
        <f t="shared" si="40"/>
        <v>0.85072231139646837</v>
      </c>
      <c r="P54" s="113">
        <f t="shared" si="40"/>
        <v>0.9018691588785045</v>
      </c>
      <c r="Q54" s="113">
        <f t="shared" si="40"/>
        <v>1.0027522935779816</v>
      </c>
      <c r="R54" s="282">
        <f t="shared" si="40"/>
        <v>0.96746328822343797</v>
      </c>
      <c r="S54" s="113">
        <f t="shared" si="40"/>
        <v>0.96351931330472096</v>
      </c>
      <c r="T54" s="113">
        <f t="shared" si="40"/>
        <v>0.77531206657420249</v>
      </c>
      <c r="U54" s="113">
        <f t="shared" si="40"/>
        <v>0.80106571936056836</v>
      </c>
      <c r="V54" s="35">
        <v>1</v>
      </c>
      <c r="W54" s="282"/>
      <c r="X54" s="35">
        <v>1</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486" t="s">
        <v>310</v>
      </c>
      <c r="C55" s="487"/>
      <c r="D55" s="352"/>
      <c r="E55" s="352"/>
      <c r="F55" s="352"/>
      <c r="G55" s="352"/>
      <c r="H55" s="353"/>
      <c r="I55" s="352">
        <f t="shared" ref="I55" si="41">I22/D22-1</f>
        <v>-0.22820512820512895</v>
      </c>
      <c r="J55" s="352">
        <f t="shared" ref="J55" si="42">J22/E22-1</f>
        <v>-4.4869364754098413</v>
      </c>
      <c r="K55" s="352">
        <f t="shared" ref="K55" si="43">K22/F22-1</f>
        <v>-1.314434752864716</v>
      </c>
      <c r="L55" s="352">
        <f t="shared" ref="L55" si="44">L22/G22-1</f>
        <v>0.34527569713924766</v>
      </c>
      <c r="M55" s="353">
        <f t="shared" ref="M55" si="45">M22/H22-1</f>
        <v>-0.68340961778517451</v>
      </c>
      <c r="N55" s="352">
        <f t="shared" ref="N55" si="46">N22/I22-1</f>
        <v>-2.1785305811139466E-4</v>
      </c>
      <c r="O55" s="352">
        <f t="shared" ref="O55" si="47">O22/J22-1</f>
        <v>-1.649232351428781</v>
      </c>
      <c r="P55" s="352">
        <f t="shared" ref="P55" si="48">P22/K22-1</f>
        <v>-5.7565950503127619</v>
      </c>
      <c r="Q55" s="352">
        <f t="shared" ref="Q55" si="49">Q22/L22-1</f>
        <v>2.012477359629572E-2</v>
      </c>
      <c r="R55" s="353">
        <f t="shared" ref="R55" si="50">R22/M22-1</f>
        <v>2.7484040555764064</v>
      </c>
      <c r="S55" s="352">
        <f t="shared" ref="S55" si="51">S22/N22-1</f>
        <v>1.9175246499972598E-2</v>
      </c>
      <c r="T55" s="352">
        <f t="shared" ref="T55" si="52">T22/O22-1</f>
        <v>-0.81681375876895213</v>
      </c>
      <c r="U55" s="352">
        <f t="shared" ref="U55" si="53">U22/P22-1</f>
        <v>-0.27684391080617499</v>
      </c>
      <c r="V55" s="352">
        <f t="shared" ref="V55:AV55" si="54">V22/Q22-1</f>
        <v>-0.12064240558931372</v>
      </c>
      <c r="W55" s="353">
        <f t="shared" si="54"/>
        <v>-0.22613385864216728</v>
      </c>
      <c r="X55" s="352">
        <f t="shared" si="54"/>
        <v>-0.10151519278243049</v>
      </c>
      <c r="Y55" s="352">
        <f t="shared" si="54"/>
        <v>3.42008860876326</v>
      </c>
      <c r="Z55" s="352">
        <f t="shared" si="54"/>
        <v>-0.15006052484644972</v>
      </c>
      <c r="AA55" s="352">
        <f t="shared" si="54"/>
        <v>0.45536887484654054</v>
      </c>
      <c r="AB55" s="353">
        <f t="shared" si="54"/>
        <v>0.16892238661618042</v>
      </c>
      <c r="AC55" s="352">
        <f t="shared" si="54"/>
        <v>0.24691883730583397</v>
      </c>
      <c r="AD55" s="352">
        <f t="shared" si="54"/>
        <v>0.37530176562116235</v>
      </c>
      <c r="AE55" s="352">
        <f t="shared" si="54"/>
        <v>0.34612643463409065</v>
      </c>
      <c r="AF55" s="352">
        <f t="shared" si="54"/>
        <v>-2.4736637203284673E-2</v>
      </c>
      <c r="AG55" s="353">
        <f t="shared" si="54"/>
        <v>0.18597703626609663</v>
      </c>
      <c r="AH55" s="352">
        <f t="shared" si="54"/>
        <v>0.10455238731064909</v>
      </c>
      <c r="AI55" s="352">
        <f t="shared" si="54"/>
        <v>0.14187144563770904</v>
      </c>
      <c r="AJ55" s="352">
        <f t="shared" si="54"/>
        <v>0.12148208131993044</v>
      </c>
      <c r="AK55" s="352">
        <f t="shared" si="54"/>
        <v>0.15953464638914094</v>
      </c>
      <c r="AL55" s="353">
        <f t="shared" si="54"/>
        <v>0.13032310166971062</v>
      </c>
      <c r="AM55" s="352">
        <f t="shared" si="54"/>
        <v>0.11491532672238369</v>
      </c>
      <c r="AN55" s="352">
        <f t="shared" si="54"/>
        <v>8.9409040912066695E-2</v>
      </c>
      <c r="AO55" s="352">
        <f t="shared" si="54"/>
        <v>6.908370374215278E-2</v>
      </c>
      <c r="AP55" s="352">
        <f t="shared" si="54"/>
        <v>9.9590570093358588E-2</v>
      </c>
      <c r="AQ55" s="353">
        <f t="shared" si="54"/>
        <v>9.6083395525643045E-2</v>
      </c>
      <c r="AR55" s="352">
        <f t="shared" si="54"/>
        <v>9.3863479209438605E-2</v>
      </c>
      <c r="AS55" s="352">
        <f t="shared" si="54"/>
        <v>9.4543027290346471E-2</v>
      </c>
      <c r="AT55" s="352">
        <f t="shared" si="54"/>
        <v>0.10685921755755201</v>
      </c>
      <c r="AU55" s="352">
        <f t="shared" si="54"/>
        <v>5.8776205961678762E-2</v>
      </c>
      <c r="AV55" s="353">
        <f t="shared" si="54"/>
        <v>8.6133821901191343E-2</v>
      </c>
    </row>
    <row r="56" spans="2:48" outlineLevel="1" x14ac:dyDescent="0.3">
      <c r="B56" s="200" t="s">
        <v>311</v>
      </c>
      <c r="C56" s="356"/>
      <c r="D56" s="351">
        <f>-D25/'IS 3Q2022'!D8</f>
        <v>6.5041385860961587E-2</v>
      </c>
      <c r="E56" s="351">
        <f>-E25/'IS 3Q2022'!E8</f>
        <v>6.5684517673924428E-2</v>
      </c>
      <c r="F56" s="113">
        <f>-F25/'IS 3Q2022'!F8</f>
        <v>6.3769602814011436E-2</v>
      </c>
      <c r="G56" s="113">
        <f>-G25/'IS 3Q2022'!G8</f>
        <v>7.7945753668297008E-2</v>
      </c>
      <c r="H56" s="363">
        <f>-H25/'IS 3Q2022'!H8</f>
        <v>6.8151467825535855E-2</v>
      </c>
      <c r="I56" s="354">
        <f>-I25/'IS 3Q2022'!I8</f>
        <v>5.555790393259219E-2</v>
      </c>
      <c r="J56" s="118">
        <f>-J25/'IS 3Q2022'!J8</f>
        <v>6.0710175625865198E-2</v>
      </c>
      <c r="K56" s="118">
        <f>-K25/'IS 3Q2022'!K8</f>
        <v>9.0026290234717338E-2</v>
      </c>
      <c r="L56" s="113">
        <f>-L25/'IS 3Q2022'!L8</f>
        <v>5.5649594557559891E-2</v>
      </c>
      <c r="M56" s="353">
        <f>-M25/'IS 3Q2022'!M8</f>
        <v>6.3083595543838744E-2</v>
      </c>
      <c r="N56" s="354">
        <f>-N25/'IS 3Q2022'!N8</f>
        <v>4.8033899309568251E-2</v>
      </c>
      <c r="O56" s="118">
        <f>-O25/'IS 3Q2022'!O8</f>
        <v>4.8545290941811634E-2</v>
      </c>
      <c r="P56" s="118">
        <f>-P25/'IS 3Q2022'!P8</f>
        <v>4.5061028479957313E-2</v>
      </c>
      <c r="Q56" s="118">
        <f>-Q25/'IS 3Q2022'!Q8</f>
        <v>5.9447383603176751E-2</v>
      </c>
      <c r="R56" s="353">
        <f>-R25/'IS 3Q2022'!R8</f>
        <v>5.058395215515165E-2</v>
      </c>
      <c r="S56" s="354">
        <f>-S25/'IS 3Q2022'!S8</f>
        <v>5.1773824903110409E-2</v>
      </c>
      <c r="T56" s="118">
        <f>-T25/'IS 3Q2022'!T8</f>
        <v>5.9602388810309603E-2</v>
      </c>
      <c r="U56" s="118">
        <f>-U25/'IS 3Q2022'!U8</f>
        <v>5.1962552606716499E-2</v>
      </c>
      <c r="V56" s="35">
        <v>5.8826938051629606E-2</v>
      </c>
      <c r="W56" s="353">
        <f>-W25/'IS 3Q2022'!W8</f>
        <v>5.5502154447597589E-2</v>
      </c>
      <c r="X56" s="355">
        <v>7.7136381046238753E-2</v>
      </c>
      <c r="Y56" s="355">
        <f>X56</f>
        <v>7.7136381046238753E-2</v>
      </c>
      <c r="Z56" s="355">
        <f>Y56</f>
        <v>7.7136381046238753E-2</v>
      </c>
      <c r="AA56" s="355">
        <f>Z56</f>
        <v>7.7136381046238753E-2</v>
      </c>
      <c r="AB56" s="353">
        <f>-AB25/'IS 3Q2022'!AB8</f>
        <v>7.7136381046238753E-2</v>
      </c>
      <c r="AC56" s="355">
        <v>6.9833183676169711E-2</v>
      </c>
      <c r="AD56" s="35">
        <f>AC56</f>
        <v>6.9833183676169711E-2</v>
      </c>
      <c r="AE56" s="35">
        <f>AD56</f>
        <v>6.9833183676169711E-2</v>
      </c>
      <c r="AF56" s="35">
        <f>AE56</f>
        <v>6.9833183676169711E-2</v>
      </c>
      <c r="AG56" s="353">
        <f>-AG25/'IS 3Q2022'!AG8</f>
        <v>6.9833183676169711E-2</v>
      </c>
      <c r="AH56" s="355">
        <v>6.2598056291917614E-2</v>
      </c>
      <c r="AI56" s="35">
        <f>AH56</f>
        <v>6.2598056291917614E-2</v>
      </c>
      <c r="AJ56" s="35">
        <f>AI56</f>
        <v>6.2598056291917614E-2</v>
      </c>
      <c r="AK56" s="35">
        <f>AJ56</f>
        <v>6.2598056291917614E-2</v>
      </c>
      <c r="AL56" s="353">
        <f>-AL25/'IS 3Q2022'!AL8</f>
        <v>6.2598056291917614E-2</v>
      </c>
      <c r="AM56" s="355">
        <f>AVERAGE(AH56,AI56,AJ56,AK56)</f>
        <v>6.2598056291917614E-2</v>
      </c>
      <c r="AN56" s="35">
        <f>AVERAGE(AI56,AJ56,AK56,AM56)</f>
        <v>6.2598056291917614E-2</v>
      </c>
      <c r="AO56" s="35">
        <f>AVERAGE(AN56,AM56,AK56,AJ56)</f>
        <v>6.2598056291917614E-2</v>
      </c>
      <c r="AP56" s="35">
        <f>AVERAGE(AO56,AN56,AM56,AK56)</f>
        <v>6.2598056291917614E-2</v>
      </c>
      <c r="AQ56" s="353">
        <f>-AQ25/'IS 3Q2022'!AQ8</f>
        <v>6.2598056291917614E-2</v>
      </c>
      <c r="AR56" s="355">
        <f>AVERAGE(AM56,AN56,AO56,AP56)</f>
        <v>6.2598056291917614E-2</v>
      </c>
      <c r="AS56" s="35">
        <f>AVERAGE(AN56,AO56,AP56,AR56)</f>
        <v>6.2598056291917614E-2</v>
      </c>
      <c r="AT56" s="35">
        <f>AVERAGE(AS56,AR56,AP56,AO56)</f>
        <v>6.2598056291917614E-2</v>
      </c>
      <c r="AU56" s="35">
        <f>AVERAGE(AT56,AS56,AR56,AP56)</f>
        <v>6.2598056291917614E-2</v>
      </c>
      <c r="AV56" s="353">
        <f>-AV25/'IS 3Q2022'!AV8</f>
        <v>6.25980562919176E-2</v>
      </c>
    </row>
    <row r="57" spans="2:48" outlineLevel="1" x14ac:dyDescent="0.3">
      <c r="B57" s="200" t="s">
        <v>312</v>
      </c>
      <c r="C57" s="356"/>
      <c r="D57" s="299">
        <f>-D34-D33</f>
        <v>5561.4</v>
      </c>
      <c r="E57" s="299">
        <f t="shared" ref="E57:AV57" si="55">-E34-E33</f>
        <v>3161</v>
      </c>
      <c r="F57" s="146">
        <f t="shared" si="55"/>
        <v>581.20000000000005</v>
      </c>
      <c r="G57" s="146">
        <f t="shared" si="55"/>
        <v>2679.9999999999995</v>
      </c>
      <c r="H57" s="122">
        <f t="shared" si="55"/>
        <v>11983.599999999999</v>
      </c>
      <c r="I57" s="299">
        <f t="shared" si="55"/>
        <v>1575.6000000000001</v>
      </c>
      <c r="J57" s="146">
        <f t="shared" si="55"/>
        <v>1088.5</v>
      </c>
      <c r="K57" s="146">
        <f t="shared" si="55"/>
        <v>479.00000000000006</v>
      </c>
      <c r="L57" s="146">
        <f t="shared" si="55"/>
        <v>479.3</v>
      </c>
      <c r="M57" s="122">
        <f t="shared" si="55"/>
        <v>3622.4</v>
      </c>
      <c r="N57" s="299">
        <f t="shared" si="55"/>
        <v>528.20000000000005</v>
      </c>
      <c r="O57" s="146">
        <f t="shared" si="55"/>
        <v>529.79999999999995</v>
      </c>
      <c r="P57" s="146">
        <f t="shared" si="55"/>
        <v>530.20000000000005</v>
      </c>
      <c r="Q57" s="146">
        <f t="shared" si="55"/>
        <v>530.79999999999995</v>
      </c>
      <c r="R57" s="122">
        <f t="shared" si="55"/>
        <v>2119</v>
      </c>
      <c r="S57" s="299">
        <f t="shared" si="55"/>
        <v>4096.8999999999996</v>
      </c>
      <c r="T57" s="146">
        <f t="shared" si="55"/>
        <v>1039.8</v>
      </c>
      <c r="U57" s="146">
        <f t="shared" si="55"/>
        <v>577.39999999999986</v>
      </c>
      <c r="V57" s="146">
        <f t="shared" si="55"/>
        <v>591.31176300000004</v>
      </c>
      <c r="W57" s="122">
        <f>-W34-W33</f>
        <v>6305.4117630000001</v>
      </c>
      <c r="X57" s="299">
        <f t="shared" si="55"/>
        <v>592.49438652600008</v>
      </c>
      <c r="Y57" s="299">
        <f t="shared" si="55"/>
        <v>593.67937529905203</v>
      </c>
      <c r="Z57" s="299">
        <f t="shared" si="55"/>
        <v>594.86673404965018</v>
      </c>
      <c r="AA57" s="299">
        <f t="shared" si="55"/>
        <v>625.85929089363685</v>
      </c>
      <c r="AB57" s="166">
        <f t="shared" si="55"/>
        <v>2406.8997867683393</v>
      </c>
      <c r="AC57" s="299">
        <f t="shared" si="55"/>
        <v>592.49438652600008</v>
      </c>
      <c r="AD57" s="146">
        <f t="shared" si="55"/>
        <v>593.67937529905203</v>
      </c>
      <c r="AE57" s="146">
        <f t="shared" si="55"/>
        <v>694.86673404965018</v>
      </c>
      <c r="AF57" s="146">
        <f t="shared" si="55"/>
        <v>725.85929089363685</v>
      </c>
      <c r="AG57" s="166">
        <f t="shared" si="55"/>
        <v>2606.8997867683393</v>
      </c>
      <c r="AH57" s="299">
        <f t="shared" si="55"/>
        <v>727.11100947542411</v>
      </c>
      <c r="AI57" s="146">
        <f t="shared" si="55"/>
        <v>728.36523149437494</v>
      </c>
      <c r="AJ57" s="146">
        <f t="shared" si="55"/>
        <v>5819.7265176479514</v>
      </c>
      <c r="AK57" s="146">
        <f>-AK34-AK33</f>
        <v>5851.9855749523504</v>
      </c>
      <c r="AL57" s="122">
        <f t="shared" si="55"/>
        <v>13127.1883335701</v>
      </c>
      <c r="AM57" s="299">
        <f t="shared" si="55"/>
        <v>912.21613932497689</v>
      </c>
      <c r="AN57" s="146">
        <f t="shared" si="55"/>
        <v>913.04674444313298</v>
      </c>
      <c r="AO57" s="146">
        <f t="shared" si="55"/>
        <v>888.74025332534723</v>
      </c>
      <c r="AP57" s="146">
        <f t="shared" si="55"/>
        <v>895.10440668659226</v>
      </c>
      <c r="AQ57" s="122">
        <f t="shared" si="55"/>
        <v>3609.1075437800491</v>
      </c>
      <c r="AR57" s="299">
        <f t="shared" si="55"/>
        <v>895.15083440543822</v>
      </c>
      <c r="AS57" s="146">
        <f t="shared" si="55"/>
        <v>895.19735497972169</v>
      </c>
      <c r="AT57" s="146">
        <f t="shared" si="55"/>
        <v>895.24396859515389</v>
      </c>
      <c r="AU57" s="146">
        <f t="shared" si="55"/>
        <v>908.19648894657325</v>
      </c>
      <c r="AV57" s="122">
        <f t="shared" si="55"/>
        <v>3593.7886469268869</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592.49438652600008</v>
      </c>
      <c r="Y58" s="365">
        <f>+Y57+X58</f>
        <v>1186.1737618250522</v>
      </c>
      <c r="Z58" s="365">
        <f t="shared" ref="Z58:AA58" si="56">+Z57+Y58</f>
        <v>1781.0404958747024</v>
      </c>
      <c r="AA58" s="365">
        <f t="shared" si="56"/>
        <v>2406.8997867683393</v>
      </c>
      <c r="AB58" s="368">
        <f>AA58</f>
        <v>2406.8997867683393</v>
      </c>
      <c r="AC58" s="365">
        <f>AA58+AC57</f>
        <v>2999.3941732943395</v>
      </c>
      <c r="AD58" s="365">
        <f>AC58+AD57</f>
        <v>3593.0735485933915</v>
      </c>
      <c r="AE58" s="365">
        <f t="shared" ref="AE58:AF58" si="57">AD58+AE57</f>
        <v>4287.9402826430414</v>
      </c>
      <c r="AF58" s="365">
        <f t="shared" si="57"/>
        <v>5013.7995735366785</v>
      </c>
      <c r="AG58" s="368">
        <f>+AF58</f>
        <v>5013.7995735366785</v>
      </c>
      <c r="AH58" s="365">
        <f>AF58+AH57</f>
        <v>5740.9105830121025</v>
      </c>
      <c r="AI58" s="365">
        <f>AH58+AI57</f>
        <v>6469.2758145064772</v>
      </c>
      <c r="AJ58" s="365">
        <f t="shared" ref="AJ58" si="58">AI58+AJ57</f>
        <v>12289.002332154429</v>
      </c>
      <c r="AK58" s="365">
        <f>AJ58+AK57</f>
        <v>18140.987907106777</v>
      </c>
      <c r="AL58" s="394">
        <f>+AK58</f>
        <v>18140.987907106777</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3Q2022'!AL34/'IS 3Q2022'!W34)^(1/3)-1</f>
        <v>0.17678317249137177</v>
      </c>
    </row>
    <row r="60" spans="2:48" x14ac:dyDescent="0.3">
      <c r="B60" s="308" t="s">
        <v>330</v>
      </c>
      <c r="D60" s="399"/>
      <c r="E60" s="399"/>
      <c r="I60" s="399"/>
      <c r="J60" s="399"/>
      <c r="N60" s="399"/>
      <c r="O60" s="399"/>
      <c r="S60" s="399"/>
      <c r="T60" s="399"/>
      <c r="X60" s="399"/>
      <c r="Y60" s="399"/>
      <c r="AC60" s="399"/>
      <c r="AD60" s="399"/>
      <c r="AH60" s="399"/>
      <c r="AI60" s="399"/>
      <c r="AL60" s="29">
        <v>0.16676103207707516</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1.002214041429661E-2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(0.15+1)^3*2.88</f>
        <v>4.3801199999999989</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(0.2+1)^3*2.88</f>
        <v>4.9766399999999997</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(('IS 3Q2022'!AK57+'IS 3Q2022'!AK90)/('IS 3Q2022'!V57+'IS 3Q2022'!V90))^(1/3)-1</f>
        <v>7.0002254704243816E-2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('IS 3Q2022'!AL8/'IS 3Q2022'!W8)^(1/3)-1</f>
        <v>0.10997922210109468</v>
      </c>
      <c r="AM65" s="48"/>
      <c r="AN65" s="48"/>
      <c r="AO65" s="309"/>
      <c r="AP65" s="309"/>
      <c r="AQ65" s="309"/>
      <c r="AR65" s="48"/>
      <c r="AS65" s="48"/>
      <c r="AT65" s="309"/>
      <c r="AU65" s="309"/>
      <c r="AV65" s="309"/>
    </row>
  </sheetData>
  <dataConsolidate/>
  <mergeCells count="27">
    <mergeCell ref="B51:C51"/>
    <mergeCell ref="B52:C52"/>
    <mergeCell ref="B55:C55"/>
    <mergeCell ref="B41:C41"/>
    <mergeCell ref="B42:C42"/>
    <mergeCell ref="B44:C44"/>
    <mergeCell ref="B48:C48"/>
    <mergeCell ref="B49:C49"/>
    <mergeCell ref="B50:C50"/>
    <mergeCell ref="B40:C40"/>
    <mergeCell ref="B21:C21"/>
    <mergeCell ref="B22:C22"/>
    <mergeCell ref="B23:C23"/>
    <mergeCell ref="B25:C25"/>
    <mergeCell ref="B26:C26"/>
    <mergeCell ref="B27:C27"/>
    <mergeCell ref="B28:C28"/>
    <mergeCell ref="B29:C29"/>
    <mergeCell ref="B36:C36"/>
    <mergeCell ref="B37:C37"/>
    <mergeCell ref="B39:C39"/>
    <mergeCell ref="B18:C18"/>
    <mergeCell ref="B3:C3"/>
    <mergeCell ref="B5:C5"/>
    <mergeCell ref="B14:C14"/>
    <mergeCell ref="B15:C15"/>
    <mergeCell ref="B17:C17"/>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02D07-9B06-44CF-A020-50DD97CF27E8}">
  <sheetPr>
    <tabColor theme="9" tint="0.79998168889431442"/>
    <pageSetUpPr fitToPage="1"/>
  </sheetPr>
  <dimension ref="A1:AV316"/>
  <sheetViews>
    <sheetView showGridLines="0" zoomScaleNormal="100" workbookViewId="0">
      <pane xSplit="3" ySplit="4" topLeftCell="AA39"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22"/>
      <c r="B3" s="494" t="s">
        <v>18</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22"/>
      <c r="B4" s="512" t="s">
        <v>3</v>
      </c>
      <c r="C4" s="513"/>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486" t="s">
        <v>101</v>
      </c>
      <c r="C5" s="487"/>
      <c r="D5" s="105">
        <f>'IS (Before Changes)'!D5-'IS 3Q2022'!D5</f>
        <v>0</v>
      </c>
      <c r="E5" s="105">
        <f>'IS (Before Changes)'!E5-'IS 3Q2022'!E5</f>
        <v>0</v>
      </c>
      <c r="F5" s="105">
        <f>'IS (Before Changes)'!F5-'IS 3Q2022'!F5</f>
        <v>0</v>
      </c>
      <c r="G5" s="105">
        <f>'IS (Before Changes)'!G5-'IS 3Q2022'!G5</f>
        <v>0</v>
      </c>
      <c r="H5" s="170">
        <f>'IS (Before Changes)'!H5-'IS 3Q2022'!H5</f>
        <v>0</v>
      </c>
      <c r="I5" s="105">
        <f>'IS (Before Changes)'!I5-'IS 3Q2022'!I5</f>
        <v>0</v>
      </c>
      <c r="J5" s="105">
        <f>'IS (Before Changes)'!J5-'IS 3Q2022'!J5</f>
        <v>0</v>
      </c>
      <c r="K5" s="105">
        <f>'IS (Before Changes)'!K5-'IS 3Q2022'!K5</f>
        <v>0</v>
      </c>
      <c r="L5" s="105">
        <f>'IS (Before Changes)'!L5-'IS 3Q2022'!L5</f>
        <v>0</v>
      </c>
      <c r="M5" s="49">
        <f>'IS (Before Changes)'!M5-'IS 3Q2022'!M5</f>
        <v>0</v>
      </c>
      <c r="N5" s="48">
        <f>'IS (Before Changes)'!N5-'IS 3Q2022'!N5</f>
        <v>0</v>
      </c>
      <c r="O5" s="48">
        <f>'IS (Before Changes)'!O5-'IS 3Q2022'!O5</f>
        <v>0</v>
      </c>
      <c r="P5" s="48">
        <f>'IS (Before Changes)'!P5-'IS 3Q2022'!P5</f>
        <v>0</v>
      </c>
      <c r="Q5" s="105">
        <f>'IS (Before Changes)'!Q5-'IS 3Q2022'!Q5</f>
        <v>0</v>
      </c>
      <c r="R5" s="49">
        <f>'IS (Before Changes)'!R5-'IS 3Q2022'!R5</f>
        <v>0</v>
      </c>
      <c r="S5" s="48">
        <f>'IS (Before Changes)'!S5-'IS 3Q2022'!S5</f>
        <v>0</v>
      </c>
      <c r="T5" s="48">
        <f>'IS (Before Changes)'!T5-'IS 3Q2022'!T5</f>
        <v>0</v>
      </c>
      <c r="U5" s="48">
        <f>'IS (Before Changes)'!U5-'IS 3Q2022'!U5</f>
        <v>0</v>
      </c>
      <c r="V5" s="48">
        <f>'IS (Before Changes)'!V5-'IS 3Q2022'!V5</f>
        <v>52.596234109226316</v>
      </c>
      <c r="W5" s="49">
        <f>'IS (Before Changes)'!W5-'IS 3Q2022'!W5</f>
        <v>52.596234109227225</v>
      </c>
      <c r="X5" s="48">
        <f>'IS (Before Changes)'!X5-'IS 3Q2022'!X5</f>
        <v>51.688829441486632</v>
      </c>
      <c r="Y5" s="48">
        <f>'IS (Before Changes)'!Y5-'IS 3Q2022'!Y5</f>
        <v>49.072878944639342</v>
      </c>
      <c r="Z5" s="48">
        <f>'IS (Before Changes)'!Z5-'IS 3Q2022'!Z5</f>
        <v>53.273091288694559</v>
      </c>
      <c r="AA5" s="48">
        <f>'IS (Before Changes)'!AA5-'IS 3Q2022'!AA5</f>
        <v>64.89249146135262</v>
      </c>
      <c r="AB5" s="49">
        <f>'IS (Before Changes)'!AB5-'IS 3Q2022'!AB5</f>
        <v>218.92729113616952</v>
      </c>
      <c r="AC5" s="48">
        <f>'IS (Before Changes)'!AC5-'IS 3Q2022'!AC5</f>
        <v>56.09770372510684</v>
      </c>
      <c r="AD5" s="48">
        <f>'IS (Before Changes)'!AD5-'IS 3Q2022'!AD5</f>
        <v>51.526522891871537</v>
      </c>
      <c r="AE5" s="48">
        <f>'IS (Before Changes)'!AE5-'IS 3Q2022'!AE5</f>
        <v>55.936745853128741</v>
      </c>
      <c r="AF5" s="48">
        <f>'IS (Before Changes)'!AF5-'IS 3Q2022'!AF5</f>
        <v>59.399992875083626</v>
      </c>
      <c r="AG5" s="49">
        <f>'IS (Before Changes)'!AG5-'IS 3Q2022'!AG5</f>
        <v>222.96096534519165</v>
      </c>
      <c r="AH5" s="48">
        <f>'IS (Before Changes)'!AH5-'IS 3Q2022'!AH5</f>
        <v>59.732633736017306</v>
      </c>
      <c r="AI5" s="48">
        <f>'IS (Before Changes)'!AI5-'IS 3Q2022'!AI5</f>
        <v>54.884989287296776</v>
      </c>
      <c r="AJ5" s="48">
        <f>'IS (Before Changes)'!AJ5-'IS 3Q2022'!AJ5</f>
        <v>59.584375407333937</v>
      </c>
      <c r="AK5" s="48">
        <f>'IS (Before Changes)'!AK5-'IS 3Q2022'!AK5</f>
        <v>56.493106653173527</v>
      </c>
      <c r="AL5" s="49">
        <f>'IS (Before Changes)'!AL5-'IS 3Q2022'!AL5</f>
        <v>230.69510508382518</v>
      </c>
      <c r="AM5" s="48">
        <f>'IS (Before Changes)'!AM5-'IS 3Q2022'!AM5</f>
        <v>62.719265422818353</v>
      </c>
      <c r="AN5" s="48">
        <f>'IS (Before Changes)'!AN5-'IS 3Q2022'!AN5</f>
        <v>57.629238751658704</v>
      </c>
      <c r="AO5" s="48">
        <f>'IS (Before Changes)'!AO5-'IS 3Q2022'!AO5</f>
        <v>62.563594177699997</v>
      </c>
      <c r="AP5" s="48">
        <f>'IS (Before Changes)'!AP5-'IS 3Q2022'!AP5</f>
        <v>56.538039981358452</v>
      </c>
      <c r="AQ5" s="49">
        <f>'IS (Before Changes)'!AQ5-'IS 3Q2022'!AQ5</f>
        <v>239.45013833353005</v>
      </c>
      <c r="AR5" s="48">
        <f>'IS (Before Changes)'!AR5-'IS 3Q2022'!AR5</f>
        <v>64.60084338550223</v>
      </c>
      <c r="AS5" s="48">
        <f>'IS (Before Changes)'!AS5-'IS 3Q2022'!AS5</f>
        <v>59.358115914212249</v>
      </c>
      <c r="AT5" s="48">
        <f>'IS (Before Changes)'!AT5-'IS 3Q2022'!AT5</f>
        <v>64.440502003029906</v>
      </c>
      <c r="AU5" s="48">
        <f>'IS (Before Changes)'!AU5-'IS 3Q2022'!AU5</f>
        <v>56.354397697392415</v>
      </c>
      <c r="AV5" s="49">
        <f>'IS (Before Changes)'!AV5-'IS 3Q2022'!AV5</f>
        <v>244.75385900013498</v>
      </c>
    </row>
    <row r="6" spans="1:48" outlineLevel="1" x14ac:dyDescent="0.3">
      <c r="B6" s="486" t="s">
        <v>102</v>
      </c>
      <c r="C6" s="487"/>
      <c r="D6" s="105">
        <f>'IS (Before Changes)'!D6-'IS 3Q2022'!D6</f>
        <v>0</v>
      </c>
      <c r="E6" s="105">
        <f>'IS (Before Changes)'!E6-'IS 3Q2022'!E6</f>
        <v>0</v>
      </c>
      <c r="F6" s="105">
        <f>'IS (Before Changes)'!F6-'IS 3Q2022'!F6</f>
        <v>0</v>
      </c>
      <c r="G6" s="105">
        <f>'IS (Before Changes)'!G6-'IS 3Q2022'!G6</f>
        <v>0</v>
      </c>
      <c r="H6" s="170">
        <f>'IS (Before Changes)'!H6-'IS 3Q2022'!H6</f>
        <v>0</v>
      </c>
      <c r="I6" s="105">
        <f>'IS (Before Changes)'!I6-'IS 3Q2022'!I6</f>
        <v>0</v>
      </c>
      <c r="J6" s="105">
        <f>'IS (Before Changes)'!J6-'IS 3Q2022'!J6</f>
        <v>0</v>
      </c>
      <c r="K6" s="105">
        <f>'IS (Before Changes)'!K6-'IS 3Q2022'!K6</f>
        <v>0</v>
      </c>
      <c r="L6" s="48">
        <f>'IS (Before Changes)'!L6-'IS 3Q2022'!L6</f>
        <v>0</v>
      </c>
      <c r="M6" s="49">
        <f>'IS (Before Changes)'!M6-'IS 3Q2022'!M6</f>
        <v>0</v>
      </c>
      <c r="N6" s="48">
        <f>'IS (Before Changes)'!N6-'IS 3Q2022'!N6</f>
        <v>0</v>
      </c>
      <c r="O6" s="48">
        <f>'IS (Before Changes)'!O6-'IS 3Q2022'!O6</f>
        <v>0</v>
      </c>
      <c r="P6" s="48">
        <f>'IS (Before Changes)'!P6-'IS 3Q2022'!P6</f>
        <v>0</v>
      </c>
      <c r="Q6" s="105">
        <f>'IS (Before Changes)'!Q6-'IS 3Q2022'!Q6</f>
        <v>0</v>
      </c>
      <c r="R6" s="49">
        <f>'IS (Before Changes)'!R6-'IS 3Q2022'!R6</f>
        <v>0</v>
      </c>
      <c r="S6" s="48">
        <f>'IS (Before Changes)'!S6-'IS 3Q2022'!S6</f>
        <v>0</v>
      </c>
      <c r="T6" s="48">
        <f>'IS (Before Changes)'!T6-'IS 3Q2022'!T6</f>
        <v>0</v>
      </c>
      <c r="U6" s="48">
        <f>'IS (Before Changes)'!U6-'IS 3Q2022'!U6</f>
        <v>0</v>
      </c>
      <c r="V6" s="48">
        <f>'IS (Before Changes)'!V6-'IS 3Q2022'!V6</f>
        <v>89.583326973944054</v>
      </c>
      <c r="W6" s="49">
        <f>'IS (Before Changes)'!W6-'IS 3Q2022'!W6</f>
        <v>89.583326973944168</v>
      </c>
      <c r="X6" s="48">
        <f>'IS (Before Changes)'!X6-'IS 3Q2022'!X6</f>
        <v>6.1089869596881954</v>
      </c>
      <c r="Y6" s="48">
        <f>'IS (Before Changes)'!Y6-'IS 3Q2022'!Y6</f>
        <v>6.0416866429881111</v>
      </c>
      <c r="Z6" s="48">
        <f>'IS (Before Changes)'!Z6-'IS 3Q2022'!Z6</f>
        <v>6.5131578409555004</v>
      </c>
      <c r="AA6" s="48">
        <f>'IS (Before Changes)'!AA6-'IS 3Q2022'!AA6</f>
        <v>104.49824842395992</v>
      </c>
      <c r="AB6" s="49">
        <f>'IS (Before Changes)'!AB6-'IS 3Q2022'!AB6</f>
        <v>123.16207986759218</v>
      </c>
      <c r="AC6" s="48">
        <f>'IS (Before Changes)'!AC6-'IS 3Q2022'!AC6</f>
        <v>6.4144363076725313</v>
      </c>
      <c r="AD6" s="48">
        <f>'IS (Before Changes)'!AD6-'IS 3Q2022'!AD6</f>
        <v>6.3437709751376588</v>
      </c>
      <c r="AE6" s="48">
        <f>'IS (Before Changes)'!AE6-'IS 3Q2022'!AE6</f>
        <v>6.8388157330030026</v>
      </c>
      <c r="AF6" s="48">
        <f>'IS (Before Changes)'!AF6-'IS 3Q2022'!AF6</f>
        <v>115.25530183519982</v>
      </c>
      <c r="AG6" s="49">
        <f>'IS (Before Changes)'!AG6-'IS 3Q2022'!AG6</f>
        <v>134.85232485101278</v>
      </c>
      <c r="AH6" s="48">
        <f>'IS (Before Changes)'!AH6-'IS 3Q2022'!AH6</f>
        <v>6.8222765621017061</v>
      </c>
      <c r="AI6" s="48">
        <f>'IS (Before Changes)'!AI6-'IS 3Q2022'!AI6</f>
        <v>6.7465321170177504</v>
      </c>
      <c r="AJ6" s="48">
        <f>'IS (Before Changes)'!AJ6-'IS 3Q2022'!AJ6</f>
        <v>7.2683574515169767</v>
      </c>
      <c r="AK6" s="48">
        <f>'IS (Before Changes)'!AK6-'IS 3Q2022'!AK6</f>
        <v>129.42349696578458</v>
      </c>
      <c r="AL6" s="49">
        <f>'IS (Before Changes)'!AL6-'IS 3Q2022'!AL6</f>
        <v>150.26066309642192</v>
      </c>
      <c r="AM6" s="48">
        <f>'IS (Before Changes)'!AM6-'IS 3Q2022'!AM6</f>
        <v>7.1633903902065867</v>
      </c>
      <c r="AN6" s="48">
        <f>'IS (Before Changes)'!AN6-'IS 3Q2022'!AN6</f>
        <v>7.0838587228683991</v>
      </c>
      <c r="AO6" s="48">
        <f>'IS (Before Changes)'!AO6-'IS 3Q2022'!AO6</f>
        <v>7.6317753240928141</v>
      </c>
      <c r="AP6" s="48">
        <f>'IS (Before Changes)'!AP6-'IS 3Q2022'!AP6</f>
        <v>138.49477800342129</v>
      </c>
      <c r="AQ6" s="49">
        <f>'IS (Before Changes)'!AQ6-'IS 3Q2022'!AQ6</f>
        <v>160.37380244058932</v>
      </c>
      <c r="AR6" s="48">
        <f>'IS (Before Changes)'!AR6-'IS 3Q2022'!AR6</f>
        <v>7.378292101912848</v>
      </c>
      <c r="AS6" s="48">
        <f>'IS (Before Changes)'!AS6-'IS 3Q2022'!AS6</f>
        <v>7.2963744845546898</v>
      </c>
      <c r="AT6" s="48">
        <f>'IS (Before Changes)'!AT6-'IS 3Q2022'!AT6</f>
        <v>7.8607285838152166</v>
      </c>
      <c r="AU6" s="48">
        <f>'IS (Before Changes)'!AU6-'IS 3Q2022'!AU6</f>
        <v>144.66827385061947</v>
      </c>
      <c r="AV6" s="49">
        <f>'IS (Before Changes)'!AV6-'IS 3Q2022'!AV6</f>
        <v>167.20366902090154</v>
      </c>
    </row>
    <row r="7" spans="1:48" ht="16.2" outlineLevel="1" x14ac:dyDescent="0.45">
      <c r="B7" s="486" t="s">
        <v>103</v>
      </c>
      <c r="C7" s="487"/>
      <c r="D7" s="104">
        <f>'IS (Before Changes)'!D7-'IS 3Q2022'!D7</f>
        <v>0</v>
      </c>
      <c r="E7" s="104">
        <f>'IS (Before Changes)'!E7-'IS 3Q2022'!E7</f>
        <v>0</v>
      </c>
      <c r="F7" s="104">
        <f>'IS (Before Changes)'!F7-'IS 3Q2022'!F7</f>
        <v>0</v>
      </c>
      <c r="G7" s="104">
        <f>'IS (Before Changes)'!G7-'IS 3Q2022'!G7</f>
        <v>0</v>
      </c>
      <c r="H7" s="173">
        <f>'IS (Before Changes)'!H7-'IS 3Q2022'!H7</f>
        <v>0</v>
      </c>
      <c r="I7" s="104">
        <f>'IS (Before Changes)'!I7-'IS 3Q2022'!I7</f>
        <v>0</v>
      </c>
      <c r="J7" s="104">
        <f>'IS (Before Changes)'!J7-'IS 3Q2022'!J7</f>
        <v>0</v>
      </c>
      <c r="K7" s="104">
        <f>'IS (Before Changes)'!K7-'IS 3Q2022'!K7</f>
        <v>0</v>
      </c>
      <c r="L7" s="52">
        <f>'IS (Before Changes)'!L7-'IS 3Q2022'!L7</f>
        <v>0</v>
      </c>
      <c r="M7" s="53">
        <f>'IS (Before Changes)'!M7-'IS 3Q2022'!M7</f>
        <v>0</v>
      </c>
      <c r="N7" s="52">
        <f>'IS (Before Changes)'!N7-'IS 3Q2022'!N7</f>
        <v>0</v>
      </c>
      <c r="O7" s="52">
        <f>'IS (Before Changes)'!O7-'IS 3Q2022'!O7</f>
        <v>0</v>
      </c>
      <c r="P7" s="52">
        <f>'IS (Before Changes)'!P7-'IS 3Q2022'!P7</f>
        <v>0</v>
      </c>
      <c r="Q7" s="104">
        <f>'IS (Before Changes)'!Q7-'IS 3Q2022'!Q7</f>
        <v>0</v>
      </c>
      <c r="R7" s="53">
        <f>'IS (Before Changes)'!R7-'IS 3Q2022'!R7</f>
        <v>0</v>
      </c>
      <c r="S7" s="52">
        <f>'IS (Before Changes)'!S7-'IS 3Q2022'!S7</f>
        <v>0</v>
      </c>
      <c r="T7" s="52">
        <f>'IS (Before Changes)'!T7-'IS 3Q2022'!T7</f>
        <v>0</v>
      </c>
      <c r="U7" s="52">
        <f>'IS (Before Changes)'!U7-'IS 3Q2022'!U7</f>
        <v>0</v>
      </c>
      <c r="V7" s="52">
        <f>'IS (Before Changes)'!V7-'IS 3Q2022'!V7</f>
        <v>-15.708000000000084</v>
      </c>
      <c r="W7" s="173">
        <f>'IS (Before Changes)'!W7-'IS 3Q2022'!W7</f>
        <v>-15.708000000000084</v>
      </c>
      <c r="X7" s="52">
        <f>'IS (Before Changes)'!X7-'IS 3Q2022'!X7</f>
        <v>0</v>
      </c>
      <c r="Y7" s="52">
        <f>'IS (Before Changes)'!Y7-'IS 3Q2022'!Y7</f>
        <v>0</v>
      </c>
      <c r="Z7" s="52">
        <f>'IS (Before Changes)'!Z7-'IS 3Q2022'!Z7</f>
        <v>0</v>
      </c>
      <c r="AA7" s="52">
        <f>'IS (Before Changes)'!AA7-'IS 3Q2022'!AA7</f>
        <v>-17.17410000000018</v>
      </c>
      <c r="AB7" s="53">
        <f>'IS (Before Changes)'!AB7-'IS 3Q2022'!AB7</f>
        <v>-17.17410000000018</v>
      </c>
      <c r="AC7" s="52">
        <f>'IS (Before Changes)'!AC7-'IS 3Q2022'!AC7</f>
        <v>0</v>
      </c>
      <c r="AD7" s="52">
        <f>'IS (Before Changes)'!AD7-'IS 3Q2022'!AD7</f>
        <v>0</v>
      </c>
      <c r="AE7" s="52">
        <f>'IS (Before Changes)'!AE7-'IS 3Q2022'!AE7</f>
        <v>0</v>
      </c>
      <c r="AF7" s="52">
        <f>'IS (Before Changes)'!AF7-'IS 3Q2022'!AF7</f>
        <v>-18.948368000000187</v>
      </c>
      <c r="AG7" s="53">
        <f>'IS (Before Changes)'!AG7-'IS 3Q2022'!AG7</f>
        <v>-18.948368000000301</v>
      </c>
      <c r="AH7" s="52">
        <f>'IS (Before Changes)'!AH7-'IS 3Q2022'!AH7</f>
        <v>0</v>
      </c>
      <c r="AI7" s="52">
        <f>'IS (Before Changes)'!AI7-'IS 3Q2022'!AI7</f>
        <v>0</v>
      </c>
      <c r="AJ7" s="52">
        <f>'IS (Before Changes)'!AJ7-'IS 3Q2022'!AJ7</f>
        <v>0</v>
      </c>
      <c r="AK7" s="52">
        <f>'IS (Before Changes)'!AK7-'IS 3Q2022'!AK7</f>
        <v>-20.98949352000011</v>
      </c>
      <c r="AL7" s="53">
        <f>'IS (Before Changes)'!AL7-'IS 3Q2022'!AL7</f>
        <v>-20.989493519999996</v>
      </c>
      <c r="AM7" s="52">
        <f>'IS (Before Changes)'!AM7-'IS 3Q2022'!AM7</f>
        <v>0</v>
      </c>
      <c r="AN7" s="52">
        <f>'IS (Before Changes)'!AN7-'IS 3Q2022'!AN7</f>
        <v>0</v>
      </c>
      <c r="AO7" s="52">
        <f>'IS (Before Changes)'!AO7-'IS 3Q2022'!AO7</f>
        <v>0</v>
      </c>
      <c r="AP7" s="52">
        <f>'IS (Before Changes)'!AP7-'IS 3Q2022'!AP7</f>
        <v>-23.046405060799998</v>
      </c>
      <c r="AQ7" s="53">
        <f>'IS (Before Changes)'!AQ7-'IS 3Q2022'!AQ7</f>
        <v>-23.046405060799771</v>
      </c>
      <c r="AR7" s="52">
        <f>'IS (Before Changes)'!AR7-'IS 3Q2022'!AR7</f>
        <v>0</v>
      </c>
      <c r="AS7" s="52">
        <f>'IS (Before Changes)'!AS7-'IS 3Q2022'!AS7</f>
        <v>0</v>
      </c>
      <c r="AT7" s="52">
        <f>'IS (Before Changes)'!AT7-'IS 3Q2022'!AT7</f>
        <v>0</v>
      </c>
      <c r="AU7" s="52">
        <f>'IS (Before Changes)'!AU7-'IS 3Q2022'!AU7</f>
        <v>-25.225061993231975</v>
      </c>
      <c r="AV7" s="53">
        <f>'IS (Before Changes)'!AV7-'IS 3Q2022'!AV7</f>
        <v>-25.225061993231975</v>
      </c>
    </row>
    <row r="8" spans="1:48" s="8" customFormat="1" x14ac:dyDescent="0.3">
      <c r="B8" s="500" t="s">
        <v>104</v>
      </c>
      <c r="C8" s="501"/>
      <c r="D8" s="103">
        <f>'IS (Before Changes)'!D8-'IS 3Q2022'!D8</f>
        <v>0</v>
      </c>
      <c r="E8" s="103">
        <f>'IS (Before Changes)'!E8-'IS 3Q2022'!E8</f>
        <v>0</v>
      </c>
      <c r="F8" s="103">
        <f>'IS (Before Changes)'!F8-'IS 3Q2022'!F8</f>
        <v>0</v>
      </c>
      <c r="G8" s="103">
        <f>'IS (Before Changes)'!G8-'IS 3Q2022'!G8</f>
        <v>0</v>
      </c>
      <c r="H8" s="171">
        <f>'IS (Before Changes)'!H8-'IS 3Q2022'!H8</f>
        <v>0</v>
      </c>
      <c r="I8" s="103">
        <f>'IS (Before Changes)'!I8-'IS 3Q2022'!I8</f>
        <v>0</v>
      </c>
      <c r="J8" s="103">
        <f>'IS (Before Changes)'!J8-'IS 3Q2022'!J8</f>
        <v>0</v>
      </c>
      <c r="K8" s="103">
        <f>'IS (Before Changes)'!K8-'IS 3Q2022'!K8</f>
        <v>0</v>
      </c>
      <c r="L8" s="103">
        <f>'IS (Before Changes)'!L8-'IS 3Q2022'!L8</f>
        <v>0</v>
      </c>
      <c r="M8" s="171">
        <f>'IS (Before Changes)'!M8-'IS 3Q2022'!M8</f>
        <v>0</v>
      </c>
      <c r="N8" s="103">
        <f>'IS (Before Changes)'!N8-'IS 3Q2022'!N8</f>
        <v>0</v>
      </c>
      <c r="O8" s="103">
        <f>'IS (Before Changes)'!O8-'IS 3Q2022'!O8</f>
        <v>0</v>
      </c>
      <c r="P8" s="103">
        <f>'IS (Before Changes)'!P8-'IS 3Q2022'!P8</f>
        <v>0</v>
      </c>
      <c r="Q8" s="103">
        <f>'IS (Before Changes)'!Q8-'IS 3Q2022'!Q8</f>
        <v>0</v>
      </c>
      <c r="R8" s="171">
        <f>'IS (Before Changes)'!R8-'IS 3Q2022'!R8</f>
        <v>0</v>
      </c>
      <c r="S8" s="103">
        <f>'IS (Before Changes)'!S8-'IS 3Q2022'!S8</f>
        <v>0</v>
      </c>
      <c r="T8" s="103">
        <f>'IS (Before Changes)'!T8-'IS 3Q2022'!T8</f>
        <v>0</v>
      </c>
      <c r="U8" s="103">
        <f>'IS (Before Changes)'!U8-'IS 3Q2022'!U8</f>
        <v>0</v>
      </c>
      <c r="V8" s="103">
        <f>'IS (Before Changes)'!V8-'IS 3Q2022'!V8</f>
        <v>126.47156108316995</v>
      </c>
      <c r="W8" s="171">
        <f>'IS (Before Changes)'!W8-'IS 3Q2022'!W8</f>
        <v>126.47156108317358</v>
      </c>
      <c r="X8" s="50">
        <f>'IS (Before Changes)'!X8-'IS 3Q2022'!X8</f>
        <v>57.797816401174714</v>
      </c>
      <c r="Y8" s="50">
        <f>'IS (Before Changes)'!Y8-'IS 3Q2022'!Y8</f>
        <v>55.114565587628022</v>
      </c>
      <c r="Z8" s="50">
        <f>'IS (Before Changes)'!Z8-'IS 3Q2022'!Z8</f>
        <v>59.786249129650969</v>
      </c>
      <c r="AA8" s="50">
        <f>'IS (Before Changes)'!AA8-'IS 3Q2022'!AA8</f>
        <v>152.21663988531327</v>
      </c>
      <c r="AB8" s="171">
        <f>'IS (Before Changes)'!AB8-'IS 3Q2022'!AB8</f>
        <v>324.9152710037597</v>
      </c>
      <c r="AC8" s="50">
        <f>'IS (Before Changes)'!AC8-'IS 3Q2022'!AC8</f>
        <v>62.512140032778916</v>
      </c>
      <c r="AD8" s="50">
        <f>'IS (Before Changes)'!AD8-'IS 3Q2022'!AD8</f>
        <v>57.870293867010332</v>
      </c>
      <c r="AE8" s="50">
        <f>'IS (Before Changes)'!AE8-'IS 3Q2022'!AE8</f>
        <v>62.775561586131516</v>
      </c>
      <c r="AF8" s="50">
        <f>'IS (Before Changes)'!AF8-'IS 3Q2022'!AF8</f>
        <v>155.70692671028519</v>
      </c>
      <c r="AG8" s="51">
        <f>'IS (Before Changes)'!AG8-'IS 3Q2022'!AG8</f>
        <v>338.86492219620413</v>
      </c>
      <c r="AH8" s="50">
        <f>'IS (Before Changes)'!AH8-'IS 3Q2022'!AH8</f>
        <v>66.554910298120376</v>
      </c>
      <c r="AI8" s="50">
        <f>'IS (Before Changes)'!AI8-'IS 3Q2022'!AI8</f>
        <v>61.631521404315208</v>
      </c>
      <c r="AJ8" s="50">
        <f>'IS (Before Changes)'!AJ8-'IS 3Q2022'!AJ8</f>
        <v>66.852732858851596</v>
      </c>
      <c r="AK8" s="50">
        <f>'IS (Before Changes)'!AK8-'IS 3Q2022'!AK8</f>
        <v>164.92711009895902</v>
      </c>
      <c r="AL8" s="51">
        <f>'IS (Before Changes)'!AL8-'IS 3Q2022'!AL8</f>
        <v>359.96627466024074</v>
      </c>
      <c r="AM8" s="50">
        <f>'IS (Before Changes)'!AM8-'IS 3Q2022'!AM8</f>
        <v>69.882655813025849</v>
      </c>
      <c r="AN8" s="50">
        <f>'IS (Before Changes)'!AN8-'IS 3Q2022'!AN8</f>
        <v>64.713097474526876</v>
      </c>
      <c r="AO8" s="50">
        <f>'IS (Before Changes)'!AO8-'IS 3Q2022'!AO8</f>
        <v>70.195369501792811</v>
      </c>
      <c r="AP8" s="50">
        <f>'IS (Before Changes)'!AP8-'IS 3Q2022'!AP8</f>
        <v>171.98641292398133</v>
      </c>
      <c r="AQ8" s="51">
        <f>'IS (Before Changes)'!AQ8-'IS 3Q2022'!AQ8</f>
        <v>376.77753571331414</v>
      </c>
      <c r="AR8" s="50">
        <f>'IS (Before Changes)'!AR8-'IS 3Q2022'!AR8</f>
        <v>71.979135487415988</v>
      </c>
      <c r="AS8" s="50">
        <f>'IS (Before Changes)'!AS8-'IS 3Q2022'!AS8</f>
        <v>66.654490398766939</v>
      </c>
      <c r="AT8" s="50">
        <f>'IS (Before Changes)'!AT8-'IS 3Q2022'!AT8</f>
        <v>72.301230586845122</v>
      </c>
      <c r="AU8" s="50">
        <f>'IS (Before Changes)'!AU8-'IS 3Q2022'!AU8</f>
        <v>175.79760955478196</v>
      </c>
      <c r="AV8" s="51">
        <f>'IS (Before Changes)'!AV8-'IS 3Q2022'!AV8</f>
        <v>386.73246602780273</v>
      </c>
    </row>
    <row r="9" spans="1:48" outlineLevel="1" x14ac:dyDescent="0.3">
      <c r="B9" s="514" t="s">
        <v>100</v>
      </c>
      <c r="C9" s="515"/>
      <c r="D9" s="105">
        <f>'IS (Before Changes)'!D9-'IS 3Q2022'!D9</f>
        <v>0</v>
      </c>
      <c r="E9" s="105">
        <f>'IS (Before Changes)'!E9-'IS 3Q2022'!E9</f>
        <v>0</v>
      </c>
      <c r="F9" s="105">
        <f>'IS (Before Changes)'!F9-'IS 3Q2022'!F9</f>
        <v>0</v>
      </c>
      <c r="G9" s="105">
        <f>'IS (Before Changes)'!G9-'IS 3Q2022'!G9</f>
        <v>0</v>
      </c>
      <c r="H9" s="170">
        <f>'IS (Before Changes)'!H9-'IS 3Q2022'!H9</f>
        <v>0</v>
      </c>
      <c r="I9" s="105">
        <f>'IS (Before Changes)'!I9-'IS 3Q2022'!I9</f>
        <v>0</v>
      </c>
      <c r="J9" s="105">
        <f>'IS (Before Changes)'!J9-'IS 3Q2022'!J9</f>
        <v>0</v>
      </c>
      <c r="K9" s="105">
        <f>'IS (Before Changes)'!K9-'IS 3Q2022'!K9</f>
        <v>0</v>
      </c>
      <c r="L9" s="105">
        <f>'IS (Before Changes)'!L9-'IS 3Q2022'!L9</f>
        <v>0</v>
      </c>
      <c r="M9" s="170">
        <f>'IS (Before Changes)'!M9-'IS 3Q2022'!M9</f>
        <v>0</v>
      </c>
      <c r="N9" s="105">
        <f>'IS (Before Changes)'!N9-'IS 3Q2022'!N9</f>
        <v>0</v>
      </c>
      <c r="O9" s="105">
        <f>'IS (Before Changes)'!O9-'IS 3Q2022'!O9</f>
        <v>0</v>
      </c>
      <c r="P9" s="105">
        <f>'IS (Before Changes)'!P9-'IS 3Q2022'!P9</f>
        <v>0</v>
      </c>
      <c r="Q9" s="105">
        <f>'IS (Before Changes)'!Q9-'IS 3Q2022'!Q9</f>
        <v>0</v>
      </c>
      <c r="R9" s="170">
        <f>'IS (Before Changes)'!R9-'IS 3Q2022'!R9</f>
        <v>0</v>
      </c>
      <c r="S9" s="105">
        <f>'IS (Before Changes)'!S9-'IS 3Q2022'!S9</f>
        <v>0</v>
      </c>
      <c r="T9" s="105">
        <f>'IS (Before Changes)'!T9-'IS 3Q2022'!T9</f>
        <v>0</v>
      </c>
      <c r="U9" s="105">
        <f>'IS (Before Changes)'!U9-'IS 3Q2022'!U9</f>
        <v>0</v>
      </c>
      <c r="V9" s="105">
        <f>'IS (Before Changes)'!V9-'IS 3Q2022'!V9</f>
        <v>30.525923957287432</v>
      </c>
      <c r="W9" s="170">
        <f>'IS (Before Changes)'!W9-'IS 3Q2022'!W9</f>
        <v>30.525923957287887</v>
      </c>
      <c r="X9" s="105">
        <f>'IS (Before Changes)'!X9-'IS 3Q2022'!X9</f>
        <v>17.551519447004466</v>
      </c>
      <c r="Y9" s="105">
        <f>'IS (Before Changes)'!Y9-'IS 3Q2022'!Y9</f>
        <v>1.3871775912539306</v>
      </c>
      <c r="Z9" s="105">
        <f>'IS (Before Changes)'!Z9-'IS 3Q2022'!Z9</f>
        <v>1.4284630454253602</v>
      </c>
      <c r="AA9" s="105">
        <f>'IS (Before Changes)'!AA9-'IS 3Q2022'!AA9</f>
        <v>22.217640335044962</v>
      </c>
      <c r="AB9" s="49">
        <f>'IS (Before Changes)'!AB9-'IS 3Q2022'!AB9</f>
        <v>42.584800418730083</v>
      </c>
      <c r="AC9" s="105">
        <f>'IS (Before Changes)'!AC9-'IS 3Q2022'!AC9</f>
        <v>18.27282781927488</v>
      </c>
      <c r="AD9" s="105">
        <f>'IS (Before Changes)'!AD9-'IS 3Q2022'!AD9</f>
        <v>0.69995215560084034</v>
      </c>
      <c r="AE9" s="105">
        <f>'IS (Before Changes)'!AE9-'IS 3Q2022'!AE9</f>
        <v>0.97497767110871791</v>
      </c>
      <c r="AF9" s="105">
        <f>'IS (Before Changes)'!AF9-'IS 3Q2022'!AF9</f>
        <v>23.570727855526457</v>
      </c>
      <c r="AG9" s="49">
        <f>'IS (Before Changes)'!AG9-'IS 3Q2022'!AG9</f>
        <v>43.51848550151044</v>
      </c>
      <c r="AH9" s="105">
        <f>'IS (Before Changes)'!AH9-'IS 3Q2022'!AH9</f>
        <v>19.35854446164376</v>
      </c>
      <c r="AI9" s="105">
        <f>'IS (Before Changes)'!AI9-'IS 3Q2022'!AI9</f>
        <v>3.8705481716533541E-2</v>
      </c>
      <c r="AJ9" s="105">
        <f>'IS (Before Changes)'!AJ9-'IS 3Q2022'!AJ9</f>
        <v>0.10662724485518993</v>
      </c>
      <c r="AK9" s="105">
        <f>'IS (Before Changes)'!AK9-'IS 3Q2022'!AK9</f>
        <v>23.94450548374607</v>
      </c>
      <c r="AL9" s="49">
        <f>'IS (Before Changes)'!AL9-'IS 3Q2022'!AL9</f>
        <v>43.448382671962463</v>
      </c>
      <c r="AM9" s="105">
        <f>'IS (Before Changes)'!AM9-'IS 3Q2022'!AM9</f>
        <v>20.32647168472613</v>
      </c>
      <c r="AN9" s="105">
        <f>'IS (Before Changes)'!AN9-'IS 3Q2022'!AN9</f>
        <v>-0.58948423418405582</v>
      </c>
      <c r="AO9" s="105">
        <f>'IS (Before Changes)'!AO9-'IS 3Q2022'!AO9</f>
        <v>-0.56962837823903101</v>
      </c>
      <c r="AP9" s="105">
        <f>'IS (Before Changes)'!AP9-'IS 3Q2022'!AP9</f>
        <v>24.344775645450682</v>
      </c>
      <c r="AQ9" s="49">
        <f>'IS (Before Changes)'!AQ9-'IS 3Q2022'!AQ9</f>
        <v>43.512134717751906</v>
      </c>
      <c r="AR9" s="105">
        <f>'IS (Before Changes)'!AR9-'IS 3Q2022'!AR9</f>
        <v>20.936265835268387</v>
      </c>
      <c r="AS9" s="105">
        <f>'IS (Before Changes)'!AS9-'IS 3Q2022'!AS9</f>
        <v>-1.2548421782162222</v>
      </c>
      <c r="AT9" s="105">
        <f>'IS (Before Changes)'!AT9-'IS 3Q2022'!AT9</f>
        <v>-1.2895125213572101</v>
      </c>
      <c r="AU9" s="105">
        <f>'IS (Before Changes)'!AU9-'IS 3Q2022'!AU9</f>
        <v>24.193411385945183</v>
      </c>
      <c r="AV9" s="49">
        <f>'IS (Before Changes)'!AV9-'IS 3Q2022'!AV9</f>
        <v>42.585322521639682</v>
      </c>
    </row>
    <row r="10" spans="1:48" outlineLevel="1" x14ac:dyDescent="0.3">
      <c r="B10" s="38" t="s">
        <v>32</v>
      </c>
      <c r="C10" s="18"/>
      <c r="D10" s="105">
        <f>'IS (Before Changes)'!D10-'IS 3Q2022'!D10</f>
        <v>0</v>
      </c>
      <c r="E10" s="105">
        <f>'IS (Before Changes)'!E10-'IS 3Q2022'!E10</f>
        <v>0</v>
      </c>
      <c r="F10" s="105">
        <f>'IS (Before Changes)'!F10-'IS 3Q2022'!F10</f>
        <v>0</v>
      </c>
      <c r="G10" s="105">
        <f>'IS (Before Changes)'!G10-'IS 3Q2022'!G10</f>
        <v>0</v>
      </c>
      <c r="H10" s="170">
        <f>'IS (Before Changes)'!H10-'IS 3Q2022'!H10</f>
        <v>0</v>
      </c>
      <c r="I10" s="105">
        <f>'IS (Before Changes)'!I10-'IS 3Q2022'!I10</f>
        <v>0</v>
      </c>
      <c r="J10" s="105">
        <f>'IS (Before Changes)'!J10-'IS 3Q2022'!J10</f>
        <v>0</v>
      </c>
      <c r="K10" s="105">
        <f>'IS (Before Changes)'!K10-'IS 3Q2022'!K10</f>
        <v>0</v>
      </c>
      <c r="L10" s="48">
        <f>'IS (Before Changes)'!L10-'IS 3Q2022'!L10</f>
        <v>0</v>
      </c>
      <c r="M10" s="49">
        <f>'IS (Before Changes)'!M10-'IS 3Q2022'!M10</f>
        <v>0</v>
      </c>
      <c r="N10" s="48">
        <f>'IS (Before Changes)'!N10-'IS 3Q2022'!N10</f>
        <v>0</v>
      </c>
      <c r="O10" s="105">
        <f>'IS (Before Changes)'!O10-'IS 3Q2022'!O10</f>
        <v>0</v>
      </c>
      <c r="P10" s="105">
        <f>'IS (Before Changes)'!P10-'IS 3Q2022'!P10</f>
        <v>0</v>
      </c>
      <c r="Q10" s="105">
        <f>'IS (Before Changes)'!Q10-'IS 3Q2022'!Q10</f>
        <v>0</v>
      </c>
      <c r="R10" s="170">
        <f>'IS (Before Changes)'!R10-'IS 3Q2022'!R10</f>
        <v>0</v>
      </c>
      <c r="S10" s="48">
        <f>'IS (Before Changes)'!S10-'IS 3Q2022'!S10</f>
        <v>0</v>
      </c>
      <c r="T10" s="48">
        <f>'IS (Before Changes)'!T10-'IS 3Q2022'!T10</f>
        <v>0</v>
      </c>
      <c r="U10" s="48">
        <f>'IS (Before Changes)'!U10-'IS 3Q2022'!U10</f>
        <v>0</v>
      </c>
      <c r="V10" s="48">
        <f>'IS (Before Changes)'!V10-'IS 3Q2022'!V10</f>
        <v>129.88495975322439</v>
      </c>
      <c r="W10" s="170">
        <f>'IS (Before Changes)'!W10-'IS 3Q2022'!W10</f>
        <v>129.88495975322439</v>
      </c>
      <c r="X10" s="48">
        <f>'IS (Before Changes)'!X10-'IS 3Q2022'!X10</f>
        <v>26.552093734243499</v>
      </c>
      <c r="Y10" s="48">
        <f>'IS (Before Changes)'!Y10-'IS 3Q2022'!Y10</f>
        <v>25.866278361480909</v>
      </c>
      <c r="Z10" s="48">
        <f>'IS (Before Changes)'!Z10-'IS 3Q2022'!Z10</f>
        <v>26.905201988509816</v>
      </c>
      <c r="AA10" s="48">
        <f>'IS (Before Changes)'!AA10-'IS 3Q2022'!AA10</f>
        <v>152.07718614280611</v>
      </c>
      <c r="AB10" s="49">
        <f>'IS (Before Changes)'!AB10-'IS 3Q2022'!AB10</f>
        <v>231.40076022703943</v>
      </c>
      <c r="AC10" s="48">
        <f>'IS (Before Changes)'!AC10-'IS 3Q2022'!AC10</f>
        <v>28.34497844814905</v>
      </c>
      <c r="AD10" s="48">
        <f>'IS (Before Changes)'!AD10-'IS 3Q2022'!AD10</f>
        <v>26.872095060008178</v>
      </c>
      <c r="AE10" s="48">
        <f>'IS (Before Changes)'!AE10-'IS 3Q2022'!AE10</f>
        <v>28.207922474857696</v>
      </c>
      <c r="AF10" s="48">
        <f>'IS (Before Changes)'!AF10-'IS 3Q2022'!AF10</f>
        <v>163.75073520955812</v>
      </c>
      <c r="AG10" s="49">
        <f>'IS (Before Changes)'!AG10-'IS 3Q2022'!AG10</f>
        <v>247.17573119257213</v>
      </c>
      <c r="AH10" s="48">
        <f>'IS (Before Changes)'!AH10-'IS 3Q2022'!AH10</f>
        <v>30.113220679842925</v>
      </c>
      <c r="AI10" s="48">
        <f>'IS (Before Changes)'!AI10-'IS 3Q2022'!AI10</f>
        <v>28.564933411027596</v>
      </c>
      <c r="AJ10" s="48">
        <f>'IS (Before Changes)'!AJ10-'IS 3Q2022'!AJ10</f>
        <v>29.711150648252442</v>
      </c>
      <c r="AK10" s="48">
        <f>'IS (Before Changes)'!AK10-'IS 3Q2022'!AK10</f>
        <v>178.87310592711219</v>
      </c>
      <c r="AL10" s="49">
        <f>'IS (Before Changes)'!AL10-'IS 3Q2022'!AL10</f>
        <v>267.26241066623334</v>
      </c>
      <c r="AM10" s="48">
        <f>'IS (Before Changes)'!AM10-'IS 3Q2022'!AM10</f>
        <v>31.618881713835435</v>
      </c>
      <c r="AN10" s="48">
        <f>'IS (Before Changes)'!AN10-'IS 3Q2022'!AN10</f>
        <v>29.993180081579339</v>
      </c>
      <c r="AO10" s="48">
        <f>'IS (Before Changes)'!AO10-'IS 3Q2022'!AO10</f>
        <v>31.196708180665155</v>
      </c>
      <c r="AP10" s="48">
        <f>'IS (Before Changes)'!AP10-'IS 3Q2022'!AP10</f>
        <v>192.85590318941195</v>
      </c>
      <c r="AQ10" s="49">
        <f>'IS (Before Changes)'!AQ10-'IS 3Q2022'!AQ10</f>
        <v>285.66467316549097</v>
      </c>
      <c r="AR10" s="48">
        <f>'IS (Before Changes)'!AR10-'IS 3Q2022'!AR10</f>
        <v>32.567448165251335</v>
      </c>
      <c r="AS10" s="48">
        <f>'IS (Before Changes)'!AS10-'IS 3Q2022'!AS10</f>
        <v>30.892975484026465</v>
      </c>
      <c r="AT10" s="48">
        <f>'IS (Before Changes)'!AT10-'IS 3Q2022'!AT10</f>
        <v>32.132609426084855</v>
      </c>
      <c r="AU10" s="48">
        <f>'IS (Before Changes)'!AU10-'IS 3Q2022'!AU10</f>
        <v>204.01660580345742</v>
      </c>
      <c r="AV10" s="49">
        <f>'IS (Before Changes)'!AV10-'IS 3Q2022'!AV10</f>
        <v>299.60963887881735</v>
      </c>
    </row>
    <row r="11" spans="1:48" outlineLevel="1" x14ac:dyDescent="0.3">
      <c r="B11" s="38" t="s">
        <v>33</v>
      </c>
      <c r="C11" s="18"/>
      <c r="D11" s="105">
        <f>'IS (Before Changes)'!D11-'IS 3Q2022'!D11</f>
        <v>0</v>
      </c>
      <c r="E11" s="105">
        <f>'IS (Before Changes)'!E11-'IS 3Q2022'!E11</f>
        <v>0</v>
      </c>
      <c r="F11" s="105">
        <f>'IS (Before Changes)'!F11-'IS 3Q2022'!F11</f>
        <v>0</v>
      </c>
      <c r="G11" s="105">
        <f>'IS (Before Changes)'!G11-'IS 3Q2022'!G11</f>
        <v>0</v>
      </c>
      <c r="H11" s="170">
        <f>'IS (Before Changes)'!H11-'IS 3Q2022'!H11</f>
        <v>0</v>
      </c>
      <c r="I11" s="105">
        <f>'IS (Before Changes)'!I11-'IS 3Q2022'!I11</f>
        <v>0</v>
      </c>
      <c r="J11" s="105">
        <f>'IS (Before Changes)'!J11-'IS 3Q2022'!J11</f>
        <v>0</v>
      </c>
      <c r="K11" s="105">
        <f>'IS (Before Changes)'!K11-'IS 3Q2022'!K11</f>
        <v>0</v>
      </c>
      <c r="L11" s="48">
        <f>'IS (Before Changes)'!L11-'IS 3Q2022'!L11</f>
        <v>0</v>
      </c>
      <c r="M11" s="49">
        <f>'IS (Before Changes)'!M11-'IS 3Q2022'!M11</f>
        <v>0</v>
      </c>
      <c r="N11" s="48">
        <f>'IS (Before Changes)'!N11-'IS 3Q2022'!N11</f>
        <v>0</v>
      </c>
      <c r="O11" s="105">
        <f>'IS (Before Changes)'!O11-'IS 3Q2022'!O11</f>
        <v>0</v>
      </c>
      <c r="P11" s="105">
        <f>'IS (Before Changes)'!P11-'IS 3Q2022'!P11</f>
        <v>0</v>
      </c>
      <c r="Q11" s="105">
        <f>'IS (Before Changes)'!Q11-'IS 3Q2022'!Q11</f>
        <v>0</v>
      </c>
      <c r="R11" s="170">
        <f>'IS (Before Changes)'!R11-'IS 3Q2022'!R11</f>
        <v>0</v>
      </c>
      <c r="S11" s="48">
        <f>'IS (Before Changes)'!S11-'IS 3Q2022'!S11</f>
        <v>0</v>
      </c>
      <c r="T11" s="48">
        <f>'IS (Before Changes)'!T11-'IS 3Q2022'!T11</f>
        <v>0</v>
      </c>
      <c r="U11" s="48">
        <f>'IS (Before Changes)'!U11-'IS 3Q2022'!U11</f>
        <v>0</v>
      </c>
      <c r="V11" s="48">
        <f>'IS (Before Changes)'!V11-'IS 3Q2022'!V11</f>
        <v>-12.226309911422334</v>
      </c>
      <c r="W11" s="170">
        <f>'IS (Before Changes)'!W11-'IS 3Q2022'!W11</f>
        <v>-12.226309911422277</v>
      </c>
      <c r="X11" s="48">
        <f>'IS (Before Changes)'!X11-'IS 3Q2022'!X11</f>
        <v>0.66236723493798877</v>
      </c>
      <c r="Y11" s="48">
        <f>'IS (Before Changes)'!Y11-'IS 3Q2022'!Y11</f>
        <v>0.67745163353436055</v>
      </c>
      <c r="Z11" s="48">
        <f>'IS (Before Changes)'!Z11-'IS 3Q2022'!Z11</f>
        <v>0.9067689919383497</v>
      </c>
      <c r="AA11" s="48">
        <f>'IS (Before Changes)'!AA11-'IS 3Q2022'!AA11</f>
        <v>-5.3826636956564187</v>
      </c>
      <c r="AB11" s="49">
        <f>'IS (Before Changes)'!AB11-'IS 3Q2022'!AB11</f>
        <v>-3.1360758352457196</v>
      </c>
      <c r="AC11" s="48">
        <f>'IS (Before Changes)'!AC11-'IS 3Q2022'!AC11</f>
        <v>0.73361010556737938</v>
      </c>
      <c r="AD11" s="48">
        <f>'IS (Before Changes)'!AD11-'IS 3Q2022'!AD11</f>
        <v>0.71132421521107858</v>
      </c>
      <c r="AE11" s="48">
        <f>'IS (Before Changes)'!AE11-'IS 3Q2022'!AE11</f>
        <v>0.87282793195748809</v>
      </c>
      <c r="AF11" s="48">
        <f>'IS (Before Changes)'!AF11-'IS 3Q2022'!AF11</f>
        <v>-3.2987793773778549</v>
      </c>
      <c r="AG11" s="49">
        <f>'IS (Before Changes)'!AG11-'IS 3Q2022'!AG11</f>
        <v>-0.9810171246418804</v>
      </c>
      <c r="AH11" s="48">
        <f>'IS (Before Changes)'!AH11-'IS 3Q2022'!AH11</f>
        <v>0.74302921964027746</v>
      </c>
      <c r="AI11" s="48">
        <f>'IS (Before Changes)'!AI11-'IS 3Q2022'!AI11</f>
        <v>0.72397752827251338</v>
      </c>
      <c r="AJ11" s="48">
        <f>'IS (Before Changes)'!AJ11-'IS 3Q2022'!AJ11</f>
        <v>0.82515812214336393</v>
      </c>
      <c r="AK11" s="48">
        <f>'IS (Before Changes)'!AK11-'IS 3Q2022'!AK11</f>
        <v>-0.76697598664605948</v>
      </c>
      <c r="AL11" s="49">
        <f>'IS (Before Changes)'!AL11-'IS 3Q2022'!AL11</f>
        <v>1.52518888341001</v>
      </c>
      <c r="AM11" s="48">
        <f>'IS (Before Changes)'!AM11-'IS 3Q2022'!AM11</f>
        <v>0.78018068062229418</v>
      </c>
      <c r="AN11" s="48">
        <f>'IS (Before Changes)'!AN11-'IS 3Q2022'!AN11</f>
        <v>0.76017640468609216</v>
      </c>
      <c r="AO11" s="48">
        <f>'IS (Before Changes)'!AO11-'IS 3Q2022'!AO11</f>
        <v>0.86641602825056907</v>
      </c>
      <c r="AP11" s="48">
        <f>'IS (Before Changes)'!AP11-'IS 3Q2022'!AP11</f>
        <v>0.61603543852982057</v>
      </c>
      <c r="AQ11" s="49">
        <f>'IS (Before Changes)'!AQ11-'IS 3Q2022'!AQ11</f>
        <v>3.0228085520889181</v>
      </c>
      <c r="AR11" s="48">
        <f>'IS (Before Changes)'!AR11-'IS 3Q2022'!AR11</f>
        <v>0.80358610104096329</v>
      </c>
      <c r="AS11" s="48">
        <f>'IS (Before Changes)'!AS11-'IS 3Q2022'!AS11</f>
        <v>0.78298169682670959</v>
      </c>
      <c r="AT11" s="48">
        <f>'IS (Before Changes)'!AT11-'IS 3Q2022'!AT11</f>
        <v>0.89240850909808955</v>
      </c>
      <c r="AU11" s="48">
        <f>'IS (Before Changes)'!AU11-'IS 3Q2022'!AU11</f>
        <v>1.3870117774460482</v>
      </c>
      <c r="AV11" s="49">
        <f>'IS (Before Changes)'!AV11-'IS 3Q2022'!AV11</f>
        <v>3.8659880844118106</v>
      </c>
    </row>
    <row r="12" spans="1:48" outlineLevel="1" x14ac:dyDescent="0.3">
      <c r="B12" s="38" t="s">
        <v>34</v>
      </c>
      <c r="C12" s="18"/>
      <c r="D12" s="105">
        <f>'IS (Before Changes)'!D12-'IS 3Q2022'!D12</f>
        <v>0</v>
      </c>
      <c r="E12" s="105">
        <f>'IS (Before Changes)'!E12-'IS 3Q2022'!E12</f>
        <v>0</v>
      </c>
      <c r="F12" s="105">
        <f>'IS (Before Changes)'!F12-'IS 3Q2022'!F12</f>
        <v>0</v>
      </c>
      <c r="G12" s="105">
        <f>'IS (Before Changes)'!G12-'IS 3Q2022'!G12</f>
        <v>0</v>
      </c>
      <c r="H12" s="170">
        <f>'IS (Before Changes)'!H12-'IS 3Q2022'!H12</f>
        <v>0</v>
      </c>
      <c r="I12" s="105">
        <f>'IS (Before Changes)'!I12-'IS 3Q2022'!I12</f>
        <v>0</v>
      </c>
      <c r="J12" s="105">
        <f>'IS (Before Changes)'!J12-'IS 3Q2022'!J12</f>
        <v>0</v>
      </c>
      <c r="K12" s="105">
        <f>'IS (Before Changes)'!K12-'IS 3Q2022'!K12</f>
        <v>0</v>
      </c>
      <c r="L12" s="48">
        <f>'IS (Before Changes)'!L12-'IS 3Q2022'!L12</f>
        <v>0</v>
      </c>
      <c r="M12" s="49">
        <f>'IS (Before Changes)'!M12-'IS 3Q2022'!M12</f>
        <v>0</v>
      </c>
      <c r="N12" s="48">
        <f>'IS (Before Changes)'!N12-'IS 3Q2022'!N12</f>
        <v>0</v>
      </c>
      <c r="O12" s="105">
        <f>'IS (Before Changes)'!O12-'IS 3Q2022'!O12</f>
        <v>0</v>
      </c>
      <c r="P12" s="105">
        <f>'IS (Before Changes)'!P12-'IS 3Q2022'!P12</f>
        <v>0</v>
      </c>
      <c r="Q12" s="105">
        <f>'IS (Before Changes)'!Q12-'IS 3Q2022'!Q12</f>
        <v>0</v>
      </c>
      <c r="R12" s="170">
        <f>'IS (Before Changes)'!R12-'IS 3Q2022'!R12</f>
        <v>0</v>
      </c>
      <c r="S12" s="48">
        <f>'IS (Before Changes)'!S12-'IS 3Q2022'!S12</f>
        <v>0</v>
      </c>
      <c r="T12" s="48">
        <f>'IS (Before Changes)'!T12-'IS 3Q2022'!T12</f>
        <v>0</v>
      </c>
      <c r="U12" s="48">
        <f>'IS (Before Changes)'!U12-'IS 3Q2022'!U12</f>
        <v>0</v>
      </c>
      <c r="V12" s="48">
        <f>'IS (Before Changes)'!V12-'IS 3Q2022'!V12</f>
        <v>-11.77212312193376</v>
      </c>
      <c r="W12" s="170">
        <f>'IS (Before Changes)'!W12-'IS 3Q2022'!W12</f>
        <v>-11.772123121933646</v>
      </c>
      <c r="X12" s="48">
        <f>'IS (Before Changes)'!X12-'IS 3Q2022'!X12</f>
        <v>-4.808714740806181</v>
      </c>
      <c r="Y12" s="48">
        <f>'IS (Before Changes)'!Y12-'IS 3Q2022'!Y12</f>
        <v>-10.404479351044984</v>
      </c>
      <c r="Z12" s="48">
        <f>'IS (Before Changes)'!Z12-'IS 3Q2022'!Z12</f>
        <v>-16.148981555232922</v>
      </c>
      <c r="AA12" s="48">
        <f>'IS (Before Changes)'!AA12-'IS 3Q2022'!AA12</f>
        <v>-22.799047264368141</v>
      </c>
      <c r="AB12" s="49">
        <f>'IS (Before Changes)'!AB12-'IS 3Q2022'!AB12</f>
        <v>-54.161222911452114</v>
      </c>
      <c r="AC12" s="48">
        <f>'IS (Before Changes)'!AC12-'IS 3Q2022'!AC12</f>
        <v>-20.94868173344031</v>
      </c>
      <c r="AD12" s="48">
        <f>'IS (Before Changes)'!AD12-'IS 3Q2022'!AD12</f>
        <v>-21.196967055276957</v>
      </c>
      <c r="AE12" s="48">
        <f>'IS (Before Changes)'!AE12-'IS 3Q2022'!AE12</f>
        <v>-21.062422145761559</v>
      </c>
      <c r="AF12" s="48">
        <f>'IS (Before Changes)'!AF12-'IS 3Q2022'!AF12</f>
        <v>-20.508673081892766</v>
      </c>
      <c r="AG12" s="49">
        <f>'IS (Before Changes)'!AG12-'IS 3Q2022'!AG12</f>
        <v>-83.716744016371649</v>
      </c>
      <c r="AH12" s="48">
        <f>'IS (Before Changes)'!AH12-'IS 3Q2022'!AH12</f>
        <v>-18.715673015114021</v>
      </c>
      <c r="AI12" s="48">
        <f>'IS (Before Changes)'!AI12-'IS 3Q2022'!AI12</f>
        <v>-18.331375678038739</v>
      </c>
      <c r="AJ12" s="48">
        <f>'IS (Before Changes)'!AJ12-'IS 3Q2022'!AJ12</f>
        <v>-17.683190628237242</v>
      </c>
      <c r="AK12" s="48">
        <f>'IS (Before Changes)'!AK12-'IS 3Q2022'!AK12</f>
        <v>-17.022410602547268</v>
      </c>
      <c r="AL12" s="49">
        <f>'IS (Before Changes)'!AL12-'IS 3Q2022'!AL12</f>
        <v>-71.75264992393727</v>
      </c>
      <c r="AM12" s="48">
        <f>'IS (Before Changes)'!AM12-'IS 3Q2022'!AM12</f>
        <v>-16.02786969129636</v>
      </c>
      <c r="AN12" s="48">
        <f>'IS (Before Changes)'!AN12-'IS 3Q2022'!AN12</f>
        <v>-15.639555313736878</v>
      </c>
      <c r="AO12" s="48">
        <f>'IS (Before Changes)'!AO12-'IS 3Q2022'!AO12</f>
        <v>-15.096522954375018</v>
      </c>
      <c r="AP12" s="48">
        <f>'IS (Before Changes)'!AP12-'IS 3Q2022'!AP12</f>
        <v>-14.675087634336705</v>
      </c>
      <c r="AQ12" s="49">
        <f>'IS (Before Changes)'!AQ12-'IS 3Q2022'!AQ12</f>
        <v>-61.439035593744848</v>
      </c>
      <c r="AR12" s="48">
        <f>'IS (Before Changes)'!AR12-'IS 3Q2022'!AR12</f>
        <v>-13.956395639849234</v>
      </c>
      <c r="AS12" s="48">
        <f>'IS (Before Changes)'!AS12-'IS 3Q2022'!AS12</f>
        <v>-13.651211814514681</v>
      </c>
      <c r="AT12" s="48">
        <f>'IS (Before Changes)'!AT12-'IS 3Q2022'!AT12</f>
        <v>-13.227116668934173</v>
      </c>
      <c r="AU12" s="48">
        <f>'IS (Before Changes)'!AU12-'IS 3Q2022'!AU12</f>
        <v>-12.953129409888561</v>
      </c>
      <c r="AV12" s="49">
        <f>'IS (Before Changes)'!AV12-'IS 3Q2022'!AV12</f>
        <v>-53.78785353318699</v>
      </c>
    </row>
    <row r="13" spans="1:48" ht="17.25" customHeight="1" outlineLevel="1" x14ac:dyDescent="0.3">
      <c r="B13" s="38" t="s">
        <v>83</v>
      </c>
      <c r="C13" s="18"/>
      <c r="D13" s="105">
        <f>'IS (Before Changes)'!D13-'IS 3Q2022'!D13</f>
        <v>0</v>
      </c>
      <c r="E13" s="105">
        <f>'IS (Before Changes)'!E13-'IS 3Q2022'!E13</f>
        <v>0</v>
      </c>
      <c r="F13" s="105">
        <f>'IS (Before Changes)'!F13-'IS 3Q2022'!F13</f>
        <v>0</v>
      </c>
      <c r="G13" s="105">
        <f>'IS (Before Changes)'!G13-'IS 3Q2022'!G13</f>
        <v>0</v>
      </c>
      <c r="H13" s="170">
        <f>'IS (Before Changes)'!H13-'IS 3Q2022'!H13</f>
        <v>0</v>
      </c>
      <c r="I13" s="105">
        <f>'IS (Before Changes)'!I13-'IS 3Q2022'!I13</f>
        <v>0</v>
      </c>
      <c r="J13" s="105">
        <f>'IS (Before Changes)'!J13-'IS 3Q2022'!J13</f>
        <v>0</v>
      </c>
      <c r="K13" s="105">
        <f>'IS (Before Changes)'!K13-'IS 3Q2022'!K13</f>
        <v>0</v>
      </c>
      <c r="L13" s="48">
        <f>'IS (Before Changes)'!L13-'IS 3Q2022'!L13</f>
        <v>0</v>
      </c>
      <c r="M13" s="170">
        <f>'IS (Before Changes)'!M13-'IS 3Q2022'!M13</f>
        <v>0</v>
      </c>
      <c r="N13" s="48">
        <f>'IS (Before Changes)'!N13-'IS 3Q2022'!N13</f>
        <v>0</v>
      </c>
      <c r="O13" s="105">
        <f>'IS (Before Changes)'!O13-'IS 3Q2022'!O13</f>
        <v>0</v>
      </c>
      <c r="P13" s="105">
        <f>'IS (Before Changes)'!P13-'IS 3Q2022'!P13</f>
        <v>0</v>
      </c>
      <c r="Q13" s="105">
        <f>'IS (Before Changes)'!Q13-'IS 3Q2022'!Q13</f>
        <v>0</v>
      </c>
      <c r="R13" s="170">
        <f>'IS (Before Changes)'!R13-'IS 3Q2022'!R13</f>
        <v>0</v>
      </c>
      <c r="S13" s="48">
        <f>'IS (Before Changes)'!S13-'IS 3Q2022'!S13</f>
        <v>0</v>
      </c>
      <c r="T13" s="48">
        <f>'IS (Before Changes)'!T13-'IS 3Q2022'!T13</f>
        <v>0</v>
      </c>
      <c r="U13" s="48">
        <f>'IS (Before Changes)'!U13-'IS 3Q2022'!U13</f>
        <v>0</v>
      </c>
      <c r="V13" s="48">
        <f>'IS (Before Changes)'!V13-'IS 3Q2022'!V13</f>
        <v>-47.157328648872522</v>
      </c>
      <c r="W13" s="170">
        <f>'IS (Before Changes)'!W13-'IS 3Q2022'!W13</f>
        <v>-47.157328648872408</v>
      </c>
      <c r="X13" s="48">
        <f>'IS (Before Changes)'!X13-'IS 3Q2022'!X13</f>
        <v>1.4901344157406129</v>
      </c>
      <c r="Y13" s="48">
        <f>'IS (Before Changes)'!Y13-'IS 3Q2022'!Y13</f>
        <v>1.2893088655832798</v>
      </c>
      <c r="Z13" s="48">
        <f>'IS (Before Changes)'!Z13-'IS 3Q2022'!Z13</f>
        <v>1.3799411460308875</v>
      </c>
      <c r="AA13" s="48">
        <f>'IS (Before Changes)'!AA13-'IS 3Q2022'!AA13</f>
        <v>-84.902042359912002</v>
      </c>
      <c r="AB13" s="49">
        <f>'IS (Before Changes)'!AB13-'IS 3Q2022'!AB13</f>
        <v>-80.742657932557449</v>
      </c>
      <c r="AC13" s="48">
        <f>'IS (Before Changes)'!AC13-'IS 3Q2022'!AC13</f>
        <v>1.4658998098213942</v>
      </c>
      <c r="AD13" s="48">
        <f>'IS (Before Changes)'!AD13-'IS 3Q2022'!AD13</f>
        <v>1.4405455932578661</v>
      </c>
      <c r="AE13" s="48">
        <f>'IS (Before Changes)'!AE13-'IS 3Q2022'!AE13</f>
        <v>1.4020185436617112</v>
      </c>
      <c r="AF13" s="48">
        <f>'IS (Before Changes)'!AF13-'IS 3Q2022'!AF13</f>
        <v>-92.206437125665104</v>
      </c>
      <c r="AG13" s="49">
        <f>'IS (Before Changes)'!AG13-'IS 3Q2022'!AG13</f>
        <v>-87.897973178924076</v>
      </c>
      <c r="AH13" s="48">
        <f>'IS (Before Changes)'!AH13-'IS 3Q2022'!AH13</f>
        <v>1.4692594774784311</v>
      </c>
      <c r="AI13" s="48">
        <f>'IS (Before Changes)'!AI13-'IS 3Q2022'!AI13</f>
        <v>1.450998051674901</v>
      </c>
      <c r="AJ13" s="48">
        <f>'IS (Before Changes)'!AJ13-'IS 3Q2022'!AJ13</f>
        <v>1.4018748119505062</v>
      </c>
      <c r="AK13" s="48">
        <f>'IS (Before Changes)'!AK13-'IS 3Q2022'!AK13</f>
        <v>-102.29166595134473</v>
      </c>
      <c r="AL13" s="49">
        <f>'IS (Before Changes)'!AL13-'IS 3Q2022'!AL13</f>
        <v>-97.969533610240887</v>
      </c>
      <c r="AM13" s="48">
        <f>'IS (Before Changes)'!AM13-'IS 3Q2022'!AM13</f>
        <v>1.542722451352347</v>
      </c>
      <c r="AN13" s="48">
        <f>'IS (Before Changes)'!AN13-'IS 3Q2022'!AN13</f>
        <v>1.5235479542586745</v>
      </c>
      <c r="AO13" s="48">
        <f>'IS (Before Changes)'!AO13-'IS 3Q2022'!AO13</f>
        <v>1.4719685525481054</v>
      </c>
      <c r="AP13" s="48">
        <f>'IS (Before Changes)'!AP13-'IS 3Q2022'!AP13</f>
        <v>-111.10422209840897</v>
      </c>
      <c r="AQ13" s="49">
        <f>'IS (Before Changes)'!AQ13-'IS 3Q2022'!AQ13</f>
        <v>-106.56598314024995</v>
      </c>
      <c r="AR13" s="48">
        <f>'IS (Before Changes)'!AR13-'IS 3Q2022'!AR13</f>
        <v>1.589004124892881</v>
      </c>
      <c r="AS13" s="48">
        <f>'IS (Before Changes)'!AS13-'IS 3Q2022'!AS13</f>
        <v>1.5692543928864779</v>
      </c>
      <c r="AT13" s="48">
        <f>'IS (Before Changes)'!AT13-'IS 3Q2022'!AT13</f>
        <v>1.5161276091245099</v>
      </c>
      <c r="AU13" s="48">
        <f>'IS (Before Changes)'!AU13-'IS 3Q2022'!AU13</f>
        <v>-118.22565757521204</v>
      </c>
      <c r="AV13" s="49">
        <f>'IS (Before Changes)'!AV13-'IS 3Q2022'!AV13</f>
        <v>-113.55127144830794</v>
      </c>
    </row>
    <row r="14" spans="1:48" ht="17.25" customHeight="1" outlineLevel="1" x14ac:dyDescent="0.45">
      <c r="B14" s="38" t="s">
        <v>42</v>
      </c>
      <c r="C14" s="18"/>
      <c r="D14" s="104">
        <f>'IS (Before Changes)'!D14-'IS 3Q2022'!D14</f>
        <v>0</v>
      </c>
      <c r="E14" s="104">
        <f>'IS (Before Changes)'!E14-'IS 3Q2022'!E14</f>
        <v>0</v>
      </c>
      <c r="F14" s="104">
        <f>'IS (Before Changes)'!F14-'IS 3Q2022'!F14</f>
        <v>0</v>
      </c>
      <c r="G14" s="104">
        <f>'IS (Before Changes)'!G14-'IS 3Q2022'!G14</f>
        <v>0</v>
      </c>
      <c r="H14" s="173">
        <f>'IS (Before Changes)'!H14-'IS 3Q2022'!H14</f>
        <v>0</v>
      </c>
      <c r="I14" s="104">
        <f>'IS (Before Changes)'!I14-'IS 3Q2022'!I14</f>
        <v>0</v>
      </c>
      <c r="J14" s="104">
        <f>'IS (Before Changes)'!J14-'IS 3Q2022'!J14</f>
        <v>0</v>
      </c>
      <c r="K14" s="104">
        <f>'IS (Before Changes)'!K14-'IS 3Q2022'!K14</f>
        <v>0</v>
      </c>
      <c r="L14" s="104">
        <f>'IS (Before Changes)'!L14-'IS 3Q2022'!L14</f>
        <v>0</v>
      </c>
      <c r="M14" s="53">
        <f>'IS (Before Changes)'!M14-'IS 3Q2022'!M14</f>
        <v>0</v>
      </c>
      <c r="N14" s="52">
        <f>'IS (Before Changes)'!N14-'IS 3Q2022'!N14</f>
        <v>0</v>
      </c>
      <c r="O14" s="104">
        <f>'IS (Before Changes)'!O14-'IS 3Q2022'!O14</f>
        <v>0</v>
      </c>
      <c r="P14" s="104">
        <f>'IS (Before Changes)'!P14-'IS 3Q2022'!P14</f>
        <v>0</v>
      </c>
      <c r="Q14" s="104">
        <f>'IS (Before Changes)'!Q14-'IS 3Q2022'!Q14</f>
        <v>0</v>
      </c>
      <c r="R14" s="173">
        <f>'IS (Before Changes)'!R14-'IS 3Q2022'!R14</f>
        <v>0</v>
      </c>
      <c r="S14" s="52">
        <f>'IS (Before Changes)'!S14-'IS 3Q2022'!S14</f>
        <v>0</v>
      </c>
      <c r="T14" s="52">
        <f>'IS (Before Changes)'!T14-'IS 3Q2022'!T14</f>
        <v>0</v>
      </c>
      <c r="U14" s="52">
        <f>'IS (Before Changes)'!U14-'IS 3Q2022'!U14</f>
        <v>0</v>
      </c>
      <c r="V14" s="52">
        <f>'IS (Before Changes)'!V14-'IS 3Q2022'!V14</f>
        <v>-14.899999999999999</v>
      </c>
      <c r="W14" s="173">
        <f>'IS (Before Changes)'!W14-'IS 3Q2022'!W14</f>
        <v>-14.899999999999999</v>
      </c>
      <c r="X14" s="52">
        <f>'IS (Before Changes)'!X14-'IS 3Q2022'!X14</f>
        <v>0</v>
      </c>
      <c r="Y14" s="52">
        <f>'IS (Before Changes)'!Y14-'IS 3Q2022'!Y14</f>
        <v>0</v>
      </c>
      <c r="Z14" s="52">
        <f>'IS (Before Changes)'!Z14-'IS 3Q2022'!Z14</f>
        <v>0</v>
      </c>
      <c r="AA14" s="52">
        <f>'IS (Before Changes)'!AA14-'IS 3Q2022'!AA14</f>
        <v>0</v>
      </c>
      <c r="AB14" s="53">
        <f>'IS (Before Changes)'!AB14-'IS 3Q2022'!AB14</f>
        <v>0</v>
      </c>
      <c r="AC14" s="52">
        <f>'IS (Before Changes)'!AC14-'IS 3Q2022'!AC14</f>
        <v>0</v>
      </c>
      <c r="AD14" s="52">
        <f>'IS (Before Changes)'!AD14-'IS 3Q2022'!AD14</f>
        <v>0</v>
      </c>
      <c r="AE14" s="52">
        <f>'IS (Before Changes)'!AE14-'IS 3Q2022'!AE14</f>
        <v>0</v>
      </c>
      <c r="AF14" s="52">
        <f>'IS (Before Changes)'!AF14-'IS 3Q2022'!AF14</f>
        <v>0</v>
      </c>
      <c r="AG14" s="53">
        <f>'IS (Before Changes)'!AG14-'IS 3Q2022'!AG14</f>
        <v>0</v>
      </c>
      <c r="AH14" s="52">
        <f>'IS (Before Changes)'!AH14-'IS 3Q2022'!AH14</f>
        <v>0</v>
      </c>
      <c r="AI14" s="52">
        <f>'IS (Before Changes)'!AI14-'IS 3Q2022'!AI14</f>
        <v>0</v>
      </c>
      <c r="AJ14" s="52">
        <f>'IS (Before Changes)'!AJ14-'IS 3Q2022'!AJ14</f>
        <v>0</v>
      </c>
      <c r="AK14" s="52">
        <f>'IS (Before Changes)'!AK14-'IS 3Q2022'!AK14</f>
        <v>0</v>
      </c>
      <c r="AL14" s="53">
        <f>'IS (Before Changes)'!AL14-'IS 3Q2022'!AL14</f>
        <v>0</v>
      </c>
      <c r="AM14" s="52">
        <f>'IS (Before Changes)'!AM14-'IS 3Q2022'!AM14</f>
        <v>0</v>
      </c>
      <c r="AN14" s="52">
        <f>'IS (Before Changes)'!AN14-'IS 3Q2022'!AN14</f>
        <v>0</v>
      </c>
      <c r="AO14" s="52">
        <f>'IS (Before Changes)'!AO14-'IS 3Q2022'!AO14</f>
        <v>0</v>
      </c>
      <c r="AP14" s="52">
        <f>'IS (Before Changes)'!AP14-'IS 3Q2022'!AP14</f>
        <v>0</v>
      </c>
      <c r="AQ14" s="53">
        <f>'IS (Before Changes)'!AQ14-'IS 3Q2022'!AQ14</f>
        <v>0</v>
      </c>
      <c r="AR14" s="52">
        <f>'IS (Before Changes)'!AR14-'IS 3Q2022'!AR14</f>
        <v>0</v>
      </c>
      <c r="AS14" s="52">
        <f>'IS (Before Changes)'!AS14-'IS 3Q2022'!AS14</f>
        <v>0</v>
      </c>
      <c r="AT14" s="52">
        <f>'IS (Before Changes)'!AT14-'IS 3Q2022'!AT14</f>
        <v>0</v>
      </c>
      <c r="AU14" s="52">
        <f>'IS (Before Changes)'!AU14-'IS 3Q2022'!AU14</f>
        <v>0</v>
      </c>
      <c r="AV14" s="53">
        <f>'IS (Before Changes)'!AV14-'IS 3Q2022'!AV14</f>
        <v>0</v>
      </c>
    </row>
    <row r="15" spans="1:48" s="20" customFormat="1" ht="17.25" customHeight="1" x14ac:dyDescent="0.45">
      <c r="B15" s="46" t="s">
        <v>8</v>
      </c>
      <c r="C15" s="19"/>
      <c r="D15" s="106">
        <f>'IS (Before Changes)'!D15-'IS 3Q2022'!D15</f>
        <v>0</v>
      </c>
      <c r="E15" s="106">
        <f>'IS (Before Changes)'!E15-'IS 3Q2022'!E15</f>
        <v>0</v>
      </c>
      <c r="F15" s="106">
        <f>'IS (Before Changes)'!F15-'IS 3Q2022'!F15</f>
        <v>0</v>
      </c>
      <c r="G15" s="106">
        <f>'IS (Before Changes)'!G15-'IS 3Q2022'!G15</f>
        <v>0</v>
      </c>
      <c r="H15" s="175">
        <f>'IS (Before Changes)'!H15-'IS 3Q2022'!H15</f>
        <v>0</v>
      </c>
      <c r="I15" s="106">
        <f>'IS (Before Changes)'!I15-'IS 3Q2022'!I15</f>
        <v>0</v>
      </c>
      <c r="J15" s="106">
        <f>'IS (Before Changes)'!J15-'IS 3Q2022'!J15</f>
        <v>0</v>
      </c>
      <c r="K15" s="106">
        <f>'IS (Before Changes)'!K15-'IS 3Q2022'!K15</f>
        <v>0</v>
      </c>
      <c r="L15" s="54">
        <f>'IS (Before Changes)'!L15-'IS 3Q2022'!L15</f>
        <v>0</v>
      </c>
      <c r="M15" s="55">
        <f>'IS (Before Changes)'!M15-'IS 3Q2022'!M15</f>
        <v>0</v>
      </c>
      <c r="N15" s="54">
        <f>'IS (Before Changes)'!N15-'IS 3Q2022'!N15</f>
        <v>0</v>
      </c>
      <c r="O15" s="106">
        <f>'IS (Before Changes)'!O15-'IS 3Q2022'!O15</f>
        <v>0</v>
      </c>
      <c r="P15" s="106">
        <f>'IS (Before Changes)'!P15-'IS 3Q2022'!P15</f>
        <v>0</v>
      </c>
      <c r="Q15" s="106">
        <f>'IS (Before Changes)'!Q15-'IS 3Q2022'!Q15</f>
        <v>0</v>
      </c>
      <c r="R15" s="175">
        <f>'IS (Before Changes)'!R15-'IS 3Q2022'!R15</f>
        <v>0</v>
      </c>
      <c r="S15" s="54">
        <f>'IS (Before Changes)'!S15-'IS 3Q2022'!S15</f>
        <v>0</v>
      </c>
      <c r="T15" s="54">
        <f>'IS (Before Changes)'!T15-'IS 3Q2022'!T15</f>
        <v>0</v>
      </c>
      <c r="U15" s="54">
        <f>'IS (Before Changes)'!U15-'IS 3Q2022'!U15</f>
        <v>0</v>
      </c>
      <c r="V15" s="54">
        <f>'IS (Before Changes)'!V15-'IS 3Q2022'!V15</f>
        <v>74.355122028283404</v>
      </c>
      <c r="W15" s="175">
        <f>'IS (Before Changes)'!W15-'IS 3Q2022'!W15</f>
        <v>74.355122028282494</v>
      </c>
      <c r="X15" s="54">
        <f>'IS (Before Changes)'!X15-'IS 3Q2022'!X15</f>
        <v>41.447400091119562</v>
      </c>
      <c r="Y15" s="54">
        <f>'IS (Before Changes)'!Y15-'IS 3Q2022'!Y15</f>
        <v>18.815737100808292</v>
      </c>
      <c r="Z15" s="54">
        <f>'IS (Before Changes)'!Z15-'IS 3Q2022'!Z15</f>
        <v>14.471393616672685</v>
      </c>
      <c r="AA15" s="54">
        <f>'IS (Before Changes)'!AA15-'IS 3Q2022'!AA15</f>
        <v>61.211073157915052</v>
      </c>
      <c r="AB15" s="55">
        <f>'IS (Before Changes)'!AB15-'IS 3Q2022'!AB15</f>
        <v>135.94560396652014</v>
      </c>
      <c r="AC15" s="54">
        <f>'IS (Before Changes)'!AC15-'IS 3Q2022'!AC15</f>
        <v>27.868634449372621</v>
      </c>
      <c r="AD15" s="54">
        <f>'IS (Before Changes)'!AD15-'IS 3Q2022'!AD15</f>
        <v>8.526949968801091</v>
      </c>
      <c r="AE15" s="54">
        <f>'IS (Before Changes)'!AE15-'IS 3Q2022'!AE15</f>
        <v>10.395324475823145</v>
      </c>
      <c r="AF15" s="54">
        <f>'IS (Before Changes)'!AF15-'IS 3Q2022'!AF15</f>
        <v>71.307573480147767</v>
      </c>
      <c r="AG15" s="55">
        <f>'IS (Before Changes)'!AG15-'IS 3Q2022'!AG15</f>
        <v>118.09848237413826</v>
      </c>
      <c r="AH15" s="54">
        <f>'IS (Before Changes)'!AH15-'IS 3Q2022'!AH15</f>
        <v>32.968380823491316</v>
      </c>
      <c r="AI15" s="54">
        <f>'IS (Before Changes)'!AI15-'IS 3Q2022'!AI15</f>
        <v>12.447238794651639</v>
      </c>
      <c r="AJ15" s="54">
        <f>'IS (Before Changes)'!AJ15-'IS 3Q2022'!AJ15</f>
        <v>14.361620198964374</v>
      </c>
      <c r="AK15" s="54">
        <f>'IS (Before Changes)'!AK15-'IS 3Q2022'!AK15</f>
        <v>82.73655887032146</v>
      </c>
      <c r="AL15" s="55">
        <f>'IS (Before Changes)'!AL15-'IS 3Q2022'!AL15</f>
        <v>142.51379868742515</v>
      </c>
      <c r="AM15" s="54">
        <f>'IS (Before Changes)'!AM15-'IS 3Q2022'!AM15</f>
        <v>38.240386839239363</v>
      </c>
      <c r="AN15" s="54">
        <f>'IS (Before Changes)'!AN15-'IS 3Q2022'!AN15</f>
        <v>16.047864892601865</v>
      </c>
      <c r="AO15" s="54">
        <f>'IS (Before Changes)'!AO15-'IS 3Q2022'!AO15</f>
        <v>17.868941428849212</v>
      </c>
      <c r="AP15" s="54">
        <f>'IS (Before Changes)'!AP15-'IS 3Q2022'!AP15</f>
        <v>92.037404540646094</v>
      </c>
      <c r="AQ15" s="55">
        <f>'IS (Before Changes)'!AQ15-'IS 3Q2022'!AQ15</f>
        <v>164.19459770133835</v>
      </c>
      <c r="AR15" s="54">
        <f>'IS (Before Changes)'!AR15-'IS 3Q2022'!AR15</f>
        <v>41.939908586604361</v>
      </c>
      <c r="AS15" s="54">
        <f>'IS (Before Changes)'!AS15-'IS 3Q2022'!AS15</f>
        <v>18.339157581007385</v>
      </c>
      <c r="AT15" s="54">
        <f>'IS (Before Changes)'!AT15-'IS 3Q2022'!AT15</f>
        <v>20.024516354016669</v>
      </c>
      <c r="AU15" s="54">
        <f>'IS (Before Changes)'!AU15-'IS 3Q2022'!AU15</f>
        <v>98.418241981747997</v>
      </c>
      <c r="AV15" s="55">
        <f>'IS (Before Changes)'!AV15-'IS 3Q2022'!AV15</f>
        <v>178.72182450338005</v>
      </c>
    </row>
    <row r="16" spans="1:48" s="23" customFormat="1" ht="17.25" customHeight="1" x14ac:dyDescent="0.45">
      <c r="B16" s="516" t="s">
        <v>36</v>
      </c>
      <c r="C16" s="517"/>
      <c r="D16" s="104">
        <f>'IS (Before Changes)'!D16-'IS 3Q2022'!D16</f>
        <v>0</v>
      </c>
      <c r="E16" s="104">
        <f>'IS (Before Changes)'!E16-'IS 3Q2022'!E16</f>
        <v>0</v>
      </c>
      <c r="F16" s="104">
        <f>'IS (Before Changes)'!F16-'IS 3Q2022'!F16</f>
        <v>0</v>
      </c>
      <c r="G16" s="104">
        <f>'IS (Before Changes)'!G16-'IS 3Q2022'!G16</f>
        <v>0</v>
      </c>
      <c r="H16" s="173">
        <f>'IS (Before Changes)'!H16-'IS 3Q2022'!H16</f>
        <v>0</v>
      </c>
      <c r="I16" s="104">
        <f>'IS (Before Changes)'!I16-'IS 3Q2022'!I16</f>
        <v>0</v>
      </c>
      <c r="J16" s="104">
        <f>'IS (Before Changes)'!J16-'IS 3Q2022'!J16</f>
        <v>0</v>
      </c>
      <c r="K16" s="104">
        <f>'IS (Before Changes)'!K16-'IS 3Q2022'!K16</f>
        <v>0</v>
      </c>
      <c r="L16" s="52">
        <f>'IS (Before Changes)'!L16-'IS 3Q2022'!L16</f>
        <v>0</v>
      </c>
      <c r="M16" s="53">
        <f>'IS (Before Changes)'!M16-'IS 3Q2022'!M16</f>
        <v>0</v>
      </c>
      <c r="N16" s="52">
        <f>'IS (Before Changes)'!N16-'IS 3Q2022'!N16</f>
        <v>0</v>
      </c>
      <c r="O16" s="104">
        <f>'IS (Before Changes)'!O16-'IS 3Q2022'!O16</f>
        <v>0</v>
      </c>
      <c r="P16" s="104">
        <f>'IS (Before Changes)'!P16-'IS 3Q2022'!P16</f>
        <v>0</v>
      </c>
      <c r="Q16" s="104">
        <f>'IS (Before Changes)'!Q16-'IS 3Q2022'!Q16</f>
        <v>0</v>
      </c>
      <c r="R16" s="173">
        <f>'IS (Before Changes)'!R16-'IS 3Q2022'!R16</f>
        <v>0</v>
      </c>
      <c r="S16" s="52">
        <f>'IS (Before Changes)'!S16-'IS 3Q2022'!S16</f>
        <v>0</v>
      </c>
      <c r="T16" s="52">
        <f>'IS (Before Changes)'!T16-'IS 3Q2022'!T16</f>
        <v>0</v>
      </c>
      <c r="U16" s="52">
        <f>'IS (Before Changes)'!U16-'IS 3Q2022'!U16</f>
        <v>0</v>
      </c>
      <c r="V16" s="52">
        <f>'IS (Before Changes)'!V16-'IS 3Q2022'!V16</f>
        <v>36.499999999999993</v>
      </c>
      <c r="W16" s="173">
        <f>'IS (Before Changes)'!W16-'IS 3Q2022'!W16</f>
        <v>36.5</v>
      </c>
      <c r="X16" s="52">
        <f>'IS (Before Changes)'!X16-'IS 3Q2022'!X16</f>
        <v>36.300000000000004</v>
      </c>
      <c r="Y16" s="52">
        <f>'IS (Before Changes)'!Y16-'IS 3Q2022'!Y16</f>
        <v>36.299999999999997</v>
      </c>
      <c r="Z16" s="52">
        <f>'IS (Before Changes)'!Z16-'IS 3Q2022'!Z16</f>
        <v>36.29999999999999</v>
      </c>
      <c r="AA16" s="52">
        <f>'IS (Before Changes)'!AA16-'IS 3Q2022'!AA16</f>
        <v>36.299999999999997</v>
      </c>
      <c r="AB16" s="53">
        <f>'IS (Before Changes)'!AB16-'IS 3Q2022'!AB16</f>
        <v>145.19999999999996</v>
      </c>
      <c r="AC16" s="52">
        <f>'IS (Before Changes)'!AC16-'IS 3Q2022'!AC16</f>
        <v>36.299999999999997</v>
      </c>
      <c r="AD16" s="52">
        <f>'IS (Before Changes)'!AD16-'IS 3Q2022'!AD16</f>
        <v>36.299999999999997</v>
      </c>
      <c r="AE16" s="52">
        <f>'IS (Before Changes)'!AE16-'IS 3Q2022'!AE16</f>
        <v>36.299999999999997</v>
      </c>
      <c r="AF16" s="52">
        <f>'IS (Before Changes)'!AF16-'IS 3Q2022'!AF16</f>
        <v>36.299999999999997</v>
      </c>
      <c r="AG16" s="53">
        <f>'IS (Before Changes)'!AG16-'IS 3Q2022'!AG16</f>
        <v>145.19999999999999</v>
      </c>
      <c r="AH16" s="52">
        <f>'IS (Before Changes)'!AH16-'IS 3Q2022'!AH16</f>
        <v>36.299999999999997</v>
      </c>
      <c r="AI16" s="52">
        <f>'IS (Before Changes)'!AI16-'IS 3Q2022'!AI16</f>
        <v>36.299999999999997</v>
      </c>
      <c r="AJ16" s="52">
        <f>'IS (Before Changes)'!AJ16-'IS 3Q2022'!AJ16</f>
        <v>36.299999999999997</v>
      </c>
      <c r="AK16" s="52">
        <f>'IS (Before Changes)'!AK16-'IS 3Q2022'!AK16</f>
        <v>36.299999999999997</v>
      </c>
      <c r="AL16" s="53">
        <f>'IS (Before Changes)'!AL16-'IS 3Q2022'!AL16</f>
        <v>145.19999999999999</v>
      </c>
      <c r="AM16" s="52">
        <f>'IS (Before Changes)'!AM16-'IS 3Q2022'!AM16</f>
        <v>36.299999999999997</v>
      </c>
      <c r="AN16" s="52">
        <f>'IS (Before Changes)'!AN16-'IS 3Q2022'!AN16</f>
        <v>36.299999999999997</v>
      </c>
      <c r="AO16" s="52">
        <f>'IS (Before Changes)'!AO16-'IS 3Q2022'!AO16</f>
        <v>36.299999999999997</v>
      </c>
      <c r="AP16" s="52">
        <f>'IS (Before Changes)'!AP16-'IS 3Q2022'!AP16</f>
        <v>36.299999999999997</v>
      </c>
      <c r="AQ16" s="53">
        <f>'IS (Before Changes)'!AQ16-'IS 3Q2022'!AQ16</f>
        <v>145.19999999999999</v>
      </c>
      <c r="AR16" s="52">
        <f>'IS (Before Changes)'!AR16-'IS 3Q2022'!AR16</f>
        <v>36.299999999999997</v>
      </c>
      <c r="AS16" s="52">
        <f>'IS (Before Changes)'!AS16-'IS 3Q2022'!AS16</f>
        <v>36.299999999999997</v>
      </c>
      <c r="AT16" s="52">
        <f>'IS (Before Changes)'!AT16-'IS 3Q2022'!AT16</f>
        <v>36.299999999999997</v>
      </c>
      <c r="AU16" s="52">
        <f>'IS (Before Changes)'!AU16-'IS 3Q2022'!AU16</f>
        <v>36.299999999999997</v>
      </c>
      <c r="AV16" s="53">
        <f>'IS (Before Changes)'!AV16-'IS 3Q2022'!AV16</f>
        <v>145.19999999999999</v>
      </c>
    </row>
    <row r="17" spans="1:48" x14ac:dyDescent="0.3">
      <c r="B17" s="135" t="s">
        <v>10</v>
      </c>
      <c r="C17" s="136"/>
      <c r="D17" s="103">
        <f>'IS (Before Changes)'!D17-'IS 3Q2022'!D17</f>
        <v>0</v>
      </c>
      <c r="E17" s="103">
        <f>'IS (Before Changes)'!E17-'IS 3Q2022'!E17</f>
        <v>0</v>
      </c>
      <c r="F17" s="103">
        <f>'IS (Before Changes)'!F17-'IS 3Q2022'!F17</f>
        <v>0</v>
      </c>
      <c r="G17" s="103">
        <f>'IS (Before Changes)'!G17-'IS 3Q2022'!G17</f>
        <v>0</v>
      </c>
      <c r="H17" s="171">
        <f>'IS (Before Changes)'!H17-'IS 3Q2022'!H17</f>
        <v>0</v>
      </c>
      <c r="I17" s="103">
        <f>'IS (Before Changes)'!I17-'IS 3Q2022'!I17</f>
        <v>0</v>
      </c>
      <c r="J17" s="103">
        <f>'IS (Before Changes)'!J17-'IS 3Q2022'!J17</f>
        <v>0</v>
      </c>
      <c r="K17" s="103">
        <f>'IS (Before Changes)'!K17-'IS 3Q2022'!K17</f>
        <v>0</v>
      </c>
      <c r="L17" s="50">
        <f>'IS (Before Changes)'!L17-'IS 3Q2022'!L17</f>
        <v>0</v>
      </c>
      <c r="M17" s="51">
        <f>'IS (Before Changes)'!M17-'IS 3Q2022'!M17</f>
        <v>0</v>
      </c>
      <c r="N17" s="50">
        <f>'IS (Before Changes)'!N17-'IS 3Q2022'!N17</f>
        <v>0</v>
      </c>
      <c r="O17" s="103">
        <f>'IS (Before Changes)'!O17-'IS 3Q2022'!O17</f>
        <v>0</v>
      </c>
      <c r="P17" s="103">
        <f>'IS (Before Changes)'!P17-'IS 3Q2022'!P17</f>
        <v>0</v>
      </c>
      <c r="Q17" s="103">
        <f>'IS (Before Changes)'!Q17-'IS 3Q2022'!Q17</f>
        <v>0</v>
      </c>
      <c r="R17" s="171">
        <f>'IS (Before Changes)'!R17-'IS 3Q2022'!R17</f>
        <v>0</v>
      </c>
      <c r="S17" s="50">
        <f>'IS (Before Changes)'!S17-'IS 3Q2022'!S17</f>
        <v>0</v>
      </c>
      <c r="T17" s="50">
        <f>'IS (Before Changes)'!T17-'IS 3Q2022'!T17</f>
        <v>0</v>
      </c>
      <c r="U17" s="50">
        <f>'IS (Before Changes)'!U17-'IS 3Q2022'!U17</f>
        <v>0</v>
      </c>
      <c r="V17" s="50">
        <f>'IS (Before Changes)'!V17-'IS 3Q2022'!V17</f>
        <v>88.616439054886541</v>
      </c>
      <c r="W17" s="171">
        <f>'IS (Before Changes)'!W17-'IS 3Q2022'!W17</f>
        <v>88.616439054891089</v>
      </c>
      <c r="X17" s="50">
        <f>'IS (Before Changes)'!X17-'IS 3Q2022'!X17</f>
        <v>52.650416310055334</v>
      </c>
      <c r="Y17" s="50">
        <f>'IS (Before Changes)'!Y17-'IS 3Q2022'!Y17</f>
        <v>72.598828486819684</v>
      </c>
      <c r="Z17" s="50">
        <f>'IS (Before Changes)'!Z17-'IS 3Q2022'!Z17</f>
        <v>81.614855512978238</v>
      </c>
      <c r="AA17" s="50">
        <f>'IS (Before Changes)'!AA17-'IS 3Q2022'!AA17</f>
        <v>127.30556672739817</v>
      </c>
      <c r="AB17" s="51">
        <f>'IS (Before Changes)'!AB17-'IS 3Q2022'!AB17</f>
        <v>334.16966703723938</v>
      </c>
      <c r="AC17" s="50">
        <f>'IS (Before Changes)'!AC17-'IS 3Q2022'!AC17</f>
        <v>70.94350558340625</v>
      </c>
      <c r="AD17" s="50">
        <f>'IS (Before Changes)'!AD17-'IS 3Q2022'!AD17</f>
        <v>85.643343898209196</v>
      </c>
      <c r="AE17" s="50">
        <f>'IS (Before Changes)'!AE17-'IS 3Q2022'!AE17</f>
        <v>88.680237110308326</v>
      </c>
      <c r="AF17" s="50">
        <f>'IS (Before Changes)'!AF17-'IS 3Q2022'!AF17</f>
        <v>120.69935323013738</v>
      </c>
      <c r="AG17" s="51">
        <f>'IS (Before Changes)'!AG17-'IS 3Q2022'!AG17</f>
        <v>365.96643982206569</v>
      </c>
      <c r="AH17" s="50">
        <f>'IS (Before Changes)'!AH17-'IS 3Q2022'!AH17</f>
        <v>69.886529474629015</v>
      </c>
      <c r="AI17" s="50">
        <f>'IS (Before Changes)'!AI17-'IS 3Q2022'!AI17</f>
        <v>85.484282609663524</v>
      </c>
      <c r="AJ17" s="50">
        <f>'IS (Before Changes)'!AJ17-'IS 3Q2022'!AJ17</f>
        <v>88.791112659887176</v>
      </c>
      <c r="AK17" s="50">
        <f>'IS (Before Changes)'!AK17-'IS 3Q2022'!AK17</f>
        <v>118.49055122863751</v>
      </c>
      <c r="AL17" s="51">
        <f>'IS (Before Changes)'!AL17-'IS 3Q2022'!AL17</f>
        <v>362.65247597281541</v>
      </c>
      <c r="AM17" s="50">
        <f>'IS (Before Changes)'!AM17-'IS 3Q2022'!AM17</f>
        <v>67.94226897378644</v>
      </c>
      <c r="AN17" s="50">
        <f>'IS (Before Changes)'!AN17-'IS 3Q2022'!AN17</f>
        <v>84.965232581924965</v>
      </c>
      <c r="AO17" s="50">
        <f>'IS (Before Changes)'!AO17-'IS 3Q2022'!AO17</f>
        <v>88.626428072943781</v>
      </c>
      <c r="AP17" s="50">
        <f>'IS (Before Changes)'!AP17-'IS 3Q2022'!AP17</f>
        <v>116.24900838333519</v>
      </c>
      <c r="AQ17" s="51">
        <f>'IS (Before Changes)'!AQ17-'IS 3Q2022'!AQ17</f>
        <v>357.7829380119756</v>
      </c>
      <c r="AR17" s="50">
        <f>'IS (Before Changes)'!AR17-'IS 3Q2022'!AR17</f>
        <v>66.339226900811809</v>
      </c>
      <c r="AS17" s="50">
        <f>'IS (Before Changes)'!AS17-'IS 3Q2022'!AS17</f>
        <v>84.615332817759509</v>
      </c>
      <c r="AT17" s="50">
        <f>'IS (Before Changes)'!AT17-'IS 3Q2022'!AT17</f>
        <v>88.576714232828635</v>
      </c>
      <c r="AU17" s="50">
        <f>'IS (Before Changes)'!AU17-'IS 3Q2022'!AU17</f>
        <v>113.67936757303414</v>
      </c>
      <c r="AV17" s="51">
        <f>'IS (Before Changes)'!AV17-'IS 3Q2022'!AV17</f>
        <v>353.21064152442341</v>
      </c>
    </row>
    <row r="18" spans="1:48" ht="16.2" x14ac:dyDescent="0.45">
      <c r="B18" s="123" t="s">
        <v>70</v>
      </c>
      <c r="C18" s="88"/>
      <c r="D18" s="107">
        <f>'IS (Before Changes)'!D18-'IS 3Q2022'!D18</f>
        <v>0</v>
      </c>
      <c r="E18" s="107">
        <f>'IS (Before Changes)'!E18-'IS 3Q2022'!E18</f>
        <v>0</v>
      </c>
      <c r="F18" s="107">
        <f>'IS (Before Changes)'!F18-'IS 3Q2022'!F18</f>
        <v>0</v>
      </c>
      <c r="G18" s="107">
        <f>'IS (Before Changes)'!G18-'IS 3Q2022'!G18</f>
        <v>0</v>
      </c>
      <c r="H18" s="176">
        <f>'IS (Before Changes)'!H18-'IS 3Q2022'!H18</f>
        <v>0</v>
      </c>
      <c r="I18" s="107">
        <f>'IS (Before Changes)'!I18-'IS 3Q2022'!I18</f>
        <v>0</v>
      </c>
      <c r="J18" s="107">
        <f>'IS (Before Changes)'!J18-'IS 3Q2022'!J18</f>
        <v>0</v>
      </c>
      <c r="K18" s="107">
        <f>'IS (Before Changes)'!K18-'IS 3Q2022'!K18</f>
        <v>0</v>
      </c>
      <c r="L18" s="89">
        <f>'IS (Before Changes)'!L18-'IS 3Q2022'!L18</f>
        <v>0</v>
      </c>
      <c r="M18" s="90">
        <f>'IS (Before Changes)'!M18-'IS 3Q2022'!M18</f>
        <v>0</v>
      </c>
      <c r="N18" s="107">
        <f>'IS (Before Changes)'!N18-'IS 3Q2022'!N18</f>
        <v>0</v>
      </c>
      <c r="O18" s="107">
        <f>'IS (Before Changes)'!O18-'IS 3Q2022'!O18</f>
        <v>0</v>
      </c>
      <c r="P18" s="107">
        <f>'IS (Before Changes)'!P18-'IS 3Q2022'!P18</f>
        <v>0</v>
      </c>
      <c r="Q18" s="107">
        <f>'IS (Before Changes)'!Q18-'IS 3Q2022'!Q18</f>
        <v>0</v>
      </c>
      <c r="R18" s="176">
        <f>'IS (Before Changes)'!R18-'IS 3Q2022'!R18</f>
        <v>0</v>
      </c>
      <c r="S18" s="89">
        <f>'IS (Before Changes)'!S18-'IS 3Q2022'!S18</f>
        <v>0</v>
      </c>
      <c r="T18" s="89">
        <f>'IS (Before Changes)'!T18-'IS 3Q2022'!T18</f>
        <v>0</v>
      </c>
      <c r="U18" s="89">
        <f>'IS (Before Changes)'!U18-'IS 3Q2022'!U18</f>
        <v>0</v>
      </c>
      <c r="V18" s="89">
        <f>'IS (Before Changes)'!V18-'IS 3Q2022'!V18</f>
        <v>-36.900000000000006</v>
      </c>
      <c r="W18" s="176">
        <f>'IS (Before Changes)'!W18-'IS 3Q2022'!W18</f>
        <v>-36.900000000000006</v>
      </c>
      <c r="X18" s="89">
        <f>'IS (Before Changes)'!X18-'IS 3Q2022'!X18</f>
        <v>-53.798908368811873</v>
      </c>
      <c r="Y18" s="89">
        <f>'IS (Before Changes)'!Y18-'IS 3Q2022'!Y18</f>
        <v>-53.798908368811873</v>
      </c>
      <c r="Z18" s="89">
        <f>'IS (Before Changes)'!Z18-'IS 3Q2022'!Z18</f>
        <v>-53.798908368811873</v>
      </c>
      <c r="AA18" s="89">
        <f>'IS (Before Changes)'!AA18-'IS 3Q2022'!AA18</f>
        <v>-53.798908368811873</v>
      </c>
      <c r="AB18" s="90">
        <f>'IS (Before Changes)'!AB18-'IS 3Q2022'!AB18</f>
        <v>-215.19563347524749</v>
      </c>
      <c r="AC18" s="89">
        <f>'IS (Before Changes)'!AC18-'IS 3Q2022'!AC18</f>
        <v>-53.798908368811873</v>
      </c>
      <c r="AD18" s="89">
        <f>'IS (Before Changes)'!AD18-'IS 3Q2022'!AD18</f>
        <v>-22</v>
      </c>
      <c r="AE18" s="89">
        <f>'IS (Before Changes)'!AE18-'IS 3Q2022'!AE18</f>
        <v>-22</v>
      </c>
      <c r="AF18" s="89">
        <f>'IS (Before Changes)'!AF18-'IS 3Q2022'!AF18</f>
        <v>-22</v>
      </c>
      <c r="AG18" s="90">
        <f>'IS (Before Changes)'!AG18-'IS 3Q2022'!AG18</f>
        <v>-119.79890836881188</v>
      </c>
      <c r="AH18" s="89">
        <f>'IS (Before Changes)'!AH18-'IS 3Q2022'!AH18</f>
        <v>-22</v>
      </c>
      <c r="AI18" s="89">
        <f>'IS (Before Changes)'!AI18-'IS 3Q2022'!AI18</f>
        <v>-22</v>
      </c>
      <c r="AJ18" s="89">
        <f>'IS (Before Changes)'!AJ18-'IS 3Q2022'!AJ18</f>
        <v>-22</v>
      </c>
      <c r="AK18" s="89">
        <f>'IS (Before Changes)'!AK18-'IS 3Q2022'!AK18</f>
        <v>-22</v>
      </c>
      <c r="AL18" s="90">
        <f>'IS (Before Changes)'!AL18-'IS 3Q2022'!AL18</f>
        <v>-88</v>
      </c>
      <c r="AM18" s="89">
        <f>'IS (Before Changes)'!AM18-'IS 3Q2022'!AM18</f>
        <v>-22</v>
      </c>
      <c r="AN18" s="89">
        <f>'IS (Before Changes)'!AN18-'IS 3Q2022'!AN18</f>
        <v>-22</v>
      </c>
      <c r="AO18" s="89">
        <f>'IS (Before Changes)'!AO18-'IS 3Q2022'!AO18</f>
        <v>-22</v>
      </c>
      <c r="AP18" s="89">
        <f>'IS (Before Changes)'!AP18-'IS 3Q2022'!AP18</f>
        <v>-22</v>
      </c>
      <c r="AQ18" s="90">
        <f>'IS (Before Changes)'!AQ18-'IS 3Q2022'!AQ18</f>
        <v>-88</v>
      </c>
      <c r="AR18" s="89">
        <f>'IS (Before Changes)'!AR18-'IS 3Q2022'!AR18</f>
        <v>-22</v>
      </c>
      <c r="AS18" s="89">
        <f>'IS (Before Changes)'!AS18-'IS 3Q2022'!AS18</f>
        <v>-22</v>
      </c>
      <c r="AT18" s="89">
        <f>'IS (Before Changes)'!AT18-'IS 3Q2022'!AT18</f>
        <v>-22</v>
      </c>
      <c r="AU18" s="89">
        <f>'IS (Before Changes)'!AU18-'IS 3Q2022'!AU18</f>
        <v>-22</v>
      </c>
      <c r="AV18" s="90">
        <f>'IS (Before Changes)'!AV18-'IS 3Q2022'!AV18</f>
        <v>-88</v>
      </c>
    </row>
    <row r="19" spans="1:48" x14ac:dyDescent="0.3">
      <c r="B19" s="124" t="s">
        <v>71</v>
      </c>
      <c r="C19" s="79"/>
      <c r="D19" s="108">
        <f>'IS (Before Changes)'!D19-'IS 3Q2022'!D19</f>
        <v>0</v>
      </c>
      <c r="E19" s="108">
        <f>'IS (Before Changes)'!E19-'IS 3Q2022'!E19</f>
        <v>0</v>
      </c>
      <c r="F19" s="108">
        <f>'IS (Before Changes)'!F19-'IS 3Q2022'!F19</f>
        <v>0</v>
      </c>
      <c r="G19" s="108">
        <f>'IS (Before Changes)'!G19-'IS 3Q2022'!G19</f>
        <v>0</v>
      </c>
      <c r="H19" s="177">
        <f>'IS (Before Changes)'!H19-'IS 3Q2022'!H19</f>
        <v>0</v>
      </c>
      <c r="I19" s="108">
        <f>'IS (Before Changes)'!I19-'IS 3Q2022'!I19</f>
        <v>0</v>
      </c>
      <c r="J19" s="108">
        <f>'IS (Before Changes)'!J19-'IS 3Q2022'!J19</f>
        <v>0</v>
      </c>
      <c r="K19" s="108">
        <f>'IS (Before Changes)'!K19-'IS 3Q2022'!K19</f>
        <v>0</v>
      </c>
      <c r="L19" s="80">
        <f>'IS (Before Changes)'!L19-'IS 3Q2022'!L19</f>
        <v>0</v>
      </c>
      <c r="M19" s="81">
        <f>'IS (Before Changes)'!M19-'IS 3Q2022'!M19</f>
        <v>0</v>
      </c>
      <c r="N19" s="108">
        <f>'IS (Before Changes)'!N19-'IS 3Q2022'!N19</f>
        <v>0</v>
      </c>
      <c r="O19" s="108">
        <f>'IS (Before Changes)'!O19-'IS 3Q2022'!O19</f>
        <v>0</v>
      </c>
      <c r="P19" s="108">
        <f>'IS (Before Changes)'!P19-'IS 3Q2022'!P19</f>
        <v>0</v>
      </c>
      <c r="Q19" s="108">
        <f>'IS (Before Changes)'!Q19-'IS 3Q2022'!Q19</f>
        <v>0</v>
      </c>
      <c r="R19" s="177">
        <f>'IS (Before Changes)'!R19-'IS 3Q2022'!R19</f>
        <v>0</v>
      </c>
      <c r="S19" s="80">
        <f>'IS (Before Changes)'!S19-'IS 3Q2022'!S19</f>
        <v>0</v>
      </c>
      <c r="T19" s="80">
        <f>'IS (Before Changes)'!T19-'IS 3Q2022'!T19</f>
        <v>0</v>
      </c>
      <c r="U19" s="80">
        <f>'IS (Before Changes)'!U19-'IS 3Q2022'!U19</f>
        <v>0</v>
      </c>
      <c r="V19" s="80">
        <f>'IS (Before Changes)'!V19-'IS 3Q2022'!V19</f>
        <v>51.71643905488645</v>
      </c>
      <c r="W19" s="177">
        <f>'IS (Before Changes)'!W19-'IS 3Q2022'!W19</f>
        <v>51.716439054891453</v>
      </c>
      <c r="X19" s="80">
        <f>'IS (Before Changes)'!X19-'IS 3Q2022'!X19</f>
        <v>-1.1484920587565739</v>
      </c>
      <c r="Y19" s="80">
        <f>'IS (Before Changes)'!Y19-'IS 3Q2022'!Y19</f>
        <v>18.799920118007776</v>
      </c>
      <c r="Z19" s="80">
        <f>'IS (Before Changes)'!Z19-'IS 3Q2022'!Z19</f>
        <v>27.81594714416633</v>
      </c>
      <c r="AA19" s="80">
        <f>'IS (Before Changes)'!AA19-'IS 3Q2022'!AA19</f>
        <v>73.506658358586265</v>
      </c>
      <c r="AB19" s="81">
        <f>'IS (Before Changes)'!AB19-'IS 3Q2022'!AB19</f>
        <v>118.97403356199175</v>
      </c>
      <c r="AC19" s="80">
        <f>'IS (Before Changes)'!AC19-'IS 3Q2022'!AC19</f>
        <v>17.144597214594341</v>
      </c>
      <c r="AD19" s="80">
        <f>'IS (Before Changes)'!AD19-'IS 3Q2022'!AD19</f>
        <v>63.643343898209196</v>
      </c>
      <c r="AE19" s="80">
        <f>'IS (Before Changes)'!AE19-'IS 3Q2022'!AE19</f>
        <v>66.680237110308326</v>
      </c>
      <c r="AF19" s="80">
        <f>'IS (Before Changes)'!AF19-'IS 3Q2022'!AF19</f>
        <v>98.699353230137376</v>
      </c>
      <c r="AG19" s="81">
        <f>'IS (Before Changes)'!AG19-'IS 3Q2022'!AG19</f>
        <v>246.16753145325401</v>
      </c>
      <c r="AH19" s="80">
        <f>'IS (Before Changes)'!AH19-'IS 3Q2022'!AH19</f>
        <v>47.886529474629015</v>
      </c>
      <c r="AI19" s="80">
        <f>'IS (Before Changes)'!AI19-'IS 3Q2022'!AI19</f>
        <v>63.484282609663524</v>
      </c>
      <c r="AJ19" s="80">
        <f>'IS (Before Changes)'!AJ19-'IS 3Q2022'!AJ19</f>
        <v>66.791112659887176</v>
      </c>
      <c r="AK19" s="80">
        <f>'IS (Before Changes)'!AK19-'IS 3Q2022'!AK19</f>
        <v>96.490551228637514</v>
      </c>
      <c r="AL19" s="81">
        <f>'IS (Before Changes)'!AL19-'IS 3Q2022'!AL19</f>
        <v>274.65247597281541</v>
      </c>
      <c r="AM19" s="80">
        <f>'IS (Before Changes)'!AM19-'IS 3Q2022'!AM19</f>
        <v>45.942268973786668</v>
      </c>
      <c r="AN19" s="80">
        <f>'IS (Before Changes)'!AN19-'IS 3Q2022'!AN19</f>
        <v>62.965232581924965</v>
      </c>
      <c r="AO19" s="80">
        <f>'IS (Before Changes)'!AO19-'IS 3Q2022'!AO19</f>
        <v>66.626428072943781</v>
      </c>
      <c r="AP19" s="80">
        <f>'IS (Before Changes)'!AP19-'IS 3Q2022'!AP19</f>
        <v>94.249008383335422</v>
      </c>
      <c r="AQ19" s="81">
        <f>'IS (Before Changes)'!AQ19-'IS 3Q2022'!AQ19</f>
        <v>269.7829380119756</v>
      </c>
      <c r="AR19" s="80">
        <f>'IS (Before Changes)'!AR19-'IS 3Q2022'!AR19</f>
        <v>44.339226900811809</v>
      </c>
      <c r="AS19" s="80">
        <f>'IS (Before Changes)'!AS19-'IS 3Q2022'!AS19</f>
        <v>62.615332817759509</v>
      </c>
      <c r="AT19" s="80">
        <f>'IS (Before Changes)'!AT19-'IS 3Q2022'!AT19</f>
        <v>66.576714232828635</v>
      </c>
      <c r="AU19" s="80">
        <f>'IS (Before Changes)'!AU19-'IS 3Q2022'!AU19</f>
        <v>91.679367573034142</v>
      </c>
      <c r="AV19" s="81">
        <f>'IS (Before Changes)'!AV19-'IS 3Q2022'!AV19</f>
        <v>265.21064152442341</v>
      </c>
    </row>
    <row r="20" spans="1:48" x14ac:dyDescent="0.3">
      <c r="B20" s="38" t="s">
        <v>63</v>
      </c>
      <c r="C20" s="18"/>
      <c r="D20" s="105">
        <f>'IS (Before Changes)'!D20-'IS 3Q2022'!D20</f>
        <v>0</v>
      </c>
      <c r="E20" s="105">
        <f>'IS (Before Changes)'!E20-'IS 3Q2022'!E20</f>
        <v>0</v>
      </c>
      <c r="F20" s="105">
        <f>'IS (Before Changes)'!F20-'IS 3Q2022'!F20</f>
        <v>0</v>
      </c>
      <c r="G20" s="105">
        <f>'IS (Before Changes)'!G20-'IS 3Q2022'!G20</f>
        <v>0</v>
      </c>
      <c r="H20" s="170">
        <f>'IS (Before Changes)'!H20-'IS 3Q2022'!H20</f>
        <v>0</v>
      </c>
      <c r="I20" s="105">
        <f>'IS (Before Changes)'!I20-'IS 3Q2022'!I20</f>
        <v>0</v>
      </c>
      <c r="J20" s="105">
        <f>'IS (Before Changes)'!J20-'IS 3Q2022'!J20</f>
        <v>0</v>
      </c>
      <c r="K20" s="105">
        <f>'IS (Before Changes)'!K20-'IS 3Q2022'!K20</f>
        <v>0</v>
      </c>
      <c r="L20" s="105">
        <f>'IS (Before Changes)'!L20-'IS 3Q2022'!L20</f>
        <v>0</v>
      </c>
      <c r="M20" s="170">
        <f>'IS (Before Changes)'!M20-'IS 3Q2022'!M20</f>
        <v>0</v>
      </c>
      <c r="N20" s="105">
        <f>'IS (Before Changes)'!N20-'IS 3Q2022'!N20</f>
        <v>0</v>
      </c>
      <c r="O20" s="105">
        <f>'IS (Before Changes)'!O20-'IS 3Q2022'!O20</f>
        <v>0</v>
      </c>
      <c r="P20" s="105">
        <f>'IS (Before Changes)'!P20-'IS 3Q2022'!P20</f>
        <v>0</v>
      </c>
      <c r="Q20" s="105">
        <f>'IS (Before Changes)'!Q20-'IS 3Q2022'!Q20</f>
        <v>0</v>
      </c>
      <c r="R20" s="170">
        <f>'IS (Before Changes)'!R20-'IS 3Q2022'!R20</f>
        <v>0</v>
      </c>
      <c r="S20" s="105">
        <f>'IS (Before Changes)'!S20-'IS 3Q2022'!S20</f>
        <v>0</v>
      </c>
      <c r="T20" s="105">
        <f>'IS (Before Changes)'!T20-'IS 3Q2022'!T20</f>
        <v>0</v>
      </c>
      <c r="U20" s="105">
        <f>'IS (Before Changes)'!U20-'IS 3Q2022'!U20</f>
        <v>0</v>
      </c>
      <c r="V20" s="105">
        <f>'IS (Before Changes)'!V20-'IS 3Q2022'!V20</f>
        <v>0</v>
      </c>
      <c r="W20" s="170">
        <f>'IS (Before Changes)'!W20-'IS 3Q2022'!W20</f>
        <v>0</v>
      </c>
      <c r="X20" s="105">
        <f>'IS (Before Changes)'!X20-'IS 3Q2022'!X20</f>
        <v>0</v>
      </c>
      <c r="Y20" s="105">
        <f>'IS (Before Changes)'!Y20-'IS 3Q2022'!Y20</f>
        <v>0</v>
      </c>
      <c r="Z20" s="105">
        <f>'IS (Before Changes)'!Z20-'IS 3Q2022'!Z20</f>
        <v>0</v>
      </c>
      <c r="AA20" s="105">
        <f>'IS (Before Changes)'!AA20-'IS 3Q2022'!AA20</f>
        <v>0</v>
      </c>
      <c r="AB20" s="170">
        <f>'IS (Before Changes)'!AB20-'IS 3Q2022'!AB20</f>
        <v>0</v>
      </c>
      <c r="AC20" s="105">
        <f>'IS (Before Changes)'!AC20-'IS 3Q2022'!AC20</f>
        <v>0</v>
      </c>
      <c r="AD20" s="105">
        <f>'IS (Before Changes)'!AD20-'IS 3Q2022'!AD20</f>
        <v>0</v>
      </c>
      <c r="AE20" s="105">
        <f>'IS (Before Changes)'!AE20-'IS 3Q2022'!AE20</f>
        <v>0</v>
      </c>
      <c r="AF20" s="105">
        <f>'IS (Before Changes)'!AF20-'IS 3Q2022'!AF20</f>
        <v>0</v>
      </c>
      <c r="AG20" s="170">
        <f>'IS (Before Changes)'!AG20-'IS 3Q2022'!AG20</f>
        <v>0</v>
      </c>
      <c r="AH20" s="105">
        <f>'IS (Before Changes)'!AH20-'IS 3Q2022'!AH20</f>
        <v>0</v>
      </c>
      <c r="AI20" s="105">
        <f>'IS (Before Changes)'!AI20-'IS 3Q2022'!AI20</f>
        <v>0</v>
      </c>
      <c r="AJ20" s="105">
        <f>'IS (Before Changes)'!AJ20-'IS 3Q2022'!AJ20</f>
        <v>0</v>
      </c>
      <c r="AK20" s="105">
        <f>'IS (Before Changes)'!AK20-'IS 3Q2022'!AK20</f>
        <v>0</v>
      </c>
      <c r="AL20" s="170">
        <f>'IS (Before Changes)'!AL20-'IS 3Q2022'!AL20</f>
        <v>0</v>
      </c>
      <c r="AM20" s="105">
        <f>'IS (Before Changes)'!AM20-'IS 3Q2022'!AM20</f>
        <v>0</v>
      </c>
      <c r="AN20" s="105">
        <f>'IS (Before Changes)'!AN20-'IS 3Q2022'!AN20</f>
        <v>0</v>
      </c>
      <c r="AO20" s="105">
        <f>'IS (Before Changes)'!AO20-'IS 3Q2022'!AO20</f>
        <v>0</v>
      </c>
      <c r="AP20" s="105">
        <f>'IS (Before Changes)'!AP20-'IS 3Q2022'!AP20</f>
        <v>0</v>
      </c>
      <c r="AQ20" s="170">
        <f>'IS (Before Changes)'!AQ20-'IS 3Q2022'!AQ20</f>
        <v>0</v>
      </c>
      <c r="AR20" s="105">
        <f>'IS (Before Changes)'!AR20-'IS 3Q2022'!AR20</f>
        <v>0</v>
      </c>
      <c r="AS20" s="105">
        <f>'IS (Before Changes)'!AS20-'IS 3Q2022'!AS20</f>
        <v>0</v>
      </c>
      <c r="AT20" s="105">
        <f>'IS (Before Changes)'!AT20-'IS 3Q2022'!AT20</f>
        <v>0</v>
      </c>
      <c r="AU20" s="105">
        <f>'IS (Before Changes)'!AU20-'IS 3Q2022'!AU20</f>
        <v>0</v>
      </c>
      <c r="AV20" s="170">
        <f>'IS (Before Changes)'!AV20-'IS 3Q2022'!AV20</f>
        <v>0</v>
      </c>
    </row>
    <row r="21" spans="1:48" x14ac:dyDescent="0.3">
      <c r="B21" s="38" t="s">
        <v>37</v>
      </c>
      <c r="C21" s="18"/>
      <c r="D21" s="105">
        <f>'IS (Before Changes)'!D21-'IS 3Q2022'!D21</f>
        <v>0</v>
      </c>
      <c r="E21" s="105">
        <f>'IS (Before Changes)'!E21-'IS 3Q2022'!E21</f>
        <v>0</v>
      </c>
      <c r="F21" s="102">
        <f>'IS (Before Changes)'!F21-'IS 3Q2022'!F21</f>
        <v>0</v>
      </c>
      <c r="G21" s="105">
        <f>'IS (Before Changes)'!G21-'IS 3Q2022'!G21</f>
        <v>0</v>
      </c>
      <c r="H21" s="170">
        <f>'IS (Before Changes)'!H21-'IS 3Q2022'!H21</f>
        <v>0</v>
      </c>
      <c r="I21" s="105">
        <f>'IS (Before Changes)'!I21-'IS 3Q2022'!I21</f>
        <v>0</v>
      </c>
      <c r="J21" s="105">
        <f>'IS (Before Changes)'!J21-'IS 3Q2022'!J21</f>
        <v>0</v>
      </c>
      <c r="K21" s="105">
        <f>'IS (Before Changes)'!K21-'IS 3Q2022'!K21</f>
        <v>0</v>
      </c>
      <c r="L21" s="105">
        <f>'IS (Before Changes)'!L21-'IS 3Q2022'!L21</f>
        <v>0</v>
      </c>
      <c r="M21" s="170">
        <f>'IS (Before Changes)'!M21-'IS 3Q2022'!M21</f>
        <v>0</v>
      </c>
      <c r="N21" s="105">
        <f>'IS (Before Changes)'!N21-'IS 3Q2022'!N21</f>
        <v>0</v>
      </c>
      <c r="O21" s="105">
        <f>'IS (Before Changes)'!O21-'IS 3Q2022'!O21</f>
        <v>0</v>
      </c>
      <c r="P21" s="105">
        <f>'IS (Before Changes)'!P21-'IS 3Q2022'!P21</f>
        <v>0</v>
      </c>
      <c r="Q21" s="105">
        <f>'IS (Before Changes)'!Q21-'IS 3Q2022'!Q21</f>
        <v>0</v>
      </c>
      <c r="R21" s="170">
        <f>'IS (Before Changes)'!R21-'IS 3Q2022'!R21</f>
        <v>0</v>
      </c>
      <c r="S21" s="105">
        <f>'IS (Before Changes)'!S21-'IS 3Q2022'!S21</f>
        <v>0</v>
      </c>
      <c r="T21" s="105">
        <f>'IS (Before Changes)'!T21-'IS 3Q2022'!T21</f>
        <v>0</v>
      </c>
      <c r="U21" s="105">
        <f>'IS (Before Changes)'!U21-'IS 3Q2022'!U21</f>
        <v>0</v>
      </c>
      <c r="V21" s="105">
        <f>'IS (Before Changes)'!V21-'IS 3Q2022'!V21</f>
        <v>9.7847522154040725</v>
      </c>
      <c r="W21" s="170">
        <f>'IS (Before Changes)'!W21-'IS 3Q2022'!W21</f>
        <v>9.7847522154040689</v>
      </c>
      <c r="X21" s="105">
        <f>'IS (Before Changes)'!X21-'IS 3Q2022'!X21</f>
        <v>-1.6016368141273318</v>
      </c>
      <c r="Y21" s="105">
        <f>'IS (Before Changes)'!Y21-'IS 3Q2022'!Y21</f>
        <v>2.7429013987997095</v>
      </c>
      <c r="Z21" s="105">
        <f>'IS (Before Changes)'!Z21-'IS 3Q2022'!Z21</f>
        <v>3.8549591377820676</v>
      </c>
      <c r="AA21" s="105">
        <f>'IS (Before Changes)'!AA21-'IS 3Q2022'!AA21</f>
        <v>3.0006740909223346</v>
      </c>
      <c r="AB21" s="170">
        <f>'IS (Before Changes)'!AB21-'IS 3Q2022'!AB21</f>
        <v>7.9968978133767621</v>
      </c>
      <c r="AC21" s="105">
        <f>'IS (Before Changes)'!AC21-'IS 3Q2022'!AC21</f>
        <v>2.8053934604625823</v>
      </c>
      <c r="AD21" s="105">
        <f>'IS (Before Changes)'!AD21-'IS 3Q2022'!AD21</f>
        <v>3.6677208201369922</v>
      </c>
      <c r="AE21" s="105">
        <f>'IS (Before Changes)'!AE21-'IS 3Q2022'!AE21</f>
        <v>3.9029363377553139</v>
      </c>
      <c r="AF21" s="105">
        <f>'IS (Before Changes)'!AF21-'IS 3Q2022'!AF21</f>
        <v>4.0388168012982391</v>
      </c>
      <c r="AG21" s="170">
        <f>'IS (Before Changes)'!AG21-'IS 3Q2022'!AG21</f>
        <v>14.414867419653092</v>
      </c>
      <c r="AH21" s="105">
        <f>'IS (Before Changes)'!AH21-'IS 3Q2022'!AH21</f>
        <v>2.9715355402041723</v>
      </c>
      <c r="AI21" s="105">
        <f>'IS (Before Changes)'!AI21-'IS 3Q2022'!AI21</f>
        <v>4.1225380384968062</v>
      </c>
      <c r="AJ21" s="105">
        <f>'IS (Before Changes)'!AJ21-'IS 3Q2022'!AJ21</f>
        <v>4.3895475297989108</v>
      </c>
      <c r="AK21" s="105">
        <f>'IS (Before Changes)'!AK21-'IS 3Q2022'!AK21</f>
        <v>4.5432487141488664</v>
      </c>
      <c r="AL21" s="170">
        <f>'IS (Before Changes)'!AL21-'IS 3Q2022'!AL21</f>
        <v>16.026869822648763</v>
      </c>
      <c r="AM21" s="105">
        <f>'IS (Before Changes)'!AM21-'IS 3Q2022'!AM21</f>
        <v>0.81886126750329957</v>
      </c>
      <c r="AN21" s="105">
        <f>'IS (Before Changes)'!AN21-'IS 3Q2022'!AN21</f>
        <v>2.613919232281539</v>
      </c>
      <c r="AO21" s="105">
        <f>'IS (Before Changes)'!AO21-'IS 3Q2022'!AO21</f>
        <v>2.859877271777183</v>
      </c>
      <c r="AP21" s="105">
        <f>'IS (Before Changes)'!AP21-'IS 3Q2022'!AP21</f>
        <v>2.9991285462281496</v>
      </c>
      <c r="AQ21" s="170">
        <f>'IS (Before Changes)'!AQ21-'IS 3Q2022'!AQ21</f>
        <v>9.2917863177901694</v>
      </c>
      <c r="AR21" s="105">
        <f>'IS (Before Changes)'!AR21-'IS 3Q2022'!AR21</f>
        <v>1.5313964644168152</v>
      </c>
      <c r="AS21" s="105">
        <f>'IS (Before Changes)'!AS21-'IS 3Q2022'!AS21</f>
        <v>2.9825705405156597</v>
      </c>
      <c r="AT21" s="105">
        <f>'IS (Before Changes)'!AT21-'IS 3Q2022'!AT21</f>
        <v>3.2690201901869216</v>
      </c>
      <c r="AU21" s="105">
        <f>'IS (Before Changes)'!AU21-'IS 3Q2022'!AU21</f>
        <v>3.4267710496938548</v>
      </c>
      <c r="AV21" s="170">
        <f>'IS (Before Changes)'!AV21-'IS 3Q2022'!AV21</f>
        <v>11.209758244813258</v>
      </c>
    </row>
    <row r="22" spans="1:48" ht="16.2" x14ac:dyDescent="0.45">
      <c r="B22" s="38" t="s">
        <v>38</v>
      </c>
      <c r="C22" s="356"/>
      <c r="D22" s="104">
        <f>'IS (Before Changes)'!D22-'IS 3Q2022'!D22</f>
        <v>0</v>
      </c>
      <c r="E22" s="104">
        <f>'IS (Before Changes)'!E22-'IS 3Q2022'!E22</f>
        <v>0</v>
      </c>
      <c r="F22" s="104">
        <f>'IS (Before Changes)'!F22-'IS 3Q2022'!F22</f>
        <v>0</v>
      </c>
      <c r="G22" s="104">
        <f>'IS (Before Changes)'!G22-'IS 3Q2022'!G22</f>
        <v>0</v>
      </c>
      <c r="H22" s="173">
        <f>'IS (Before Changes)'!H22-'IS 3Q2022'!H22</f>
        <v>0</v>
      </c>
      <c r="I22" s="104">
        <f>'IS (Before Changes)'!I22-'IS 3Q2022'!I22</f>
        <v>0</v>
      </c>
      <c r="J22" s="104">
        <f>'IS (Before Changes)'!J22-'IS 3Q2022'!J22</f>
        <v>0</v>
      </c>
      <c r="K22" s="104">
        <f>'IS (Before Changes)'!K22-'IS 3Q2022'!K22</f>
        <v>0</v>
      </c>
      <c r="L22" s="104">
        <f>'IS (Before Changes)'!L22-'IS 3Q2022'!L22</f>
        <v>0</v>
      </c>
      <c r="M22" s="173">
        <f>'IS (Before Changes)'!M22-'IS 3Q2022'!M22</f>
        <v>0</v>
      </c>
      <c r="N22" s="104">
        <f>'IS (Before Changes)'!N22-'IS 3Q2022'!N22</f>
        <v>0</v>
      </c>
      <c r="O22" s="104">
        <f>'IS (Before Changes)'!O22-'IS 3Q2022'!O22</f>
        <v>0</v>
      </c>
      <c r="P22" s="104">
        <f>'IS (Before Changes)'!P22-'IS 3Q2022'!P22</f>
        <v>0</v>
      </c>
      <c r="Q22" s="104">
        <f>'IS (Before Changes)'!Q22-'IS 3Q2022'!Q22</f>
        <v>0</v>
      </c>
      <c r="R22" s="173">
        <f>'IS (Before Changes)'!R22-'IS 3Q2022'!R22</f>
        <v>0</v>
      </c>
      <c r="S22" s="104">
        <f>'IS (Before Changes)'!S22-'IS 3Q2022'!S22</f>
        <v>0</v>
      </c>
      <c r="T22" s="104">
        <f>'IS (Before Changes)'!T22-'IS 3Q2022'!T22</f>
        <v>0</v>
      </c>
      <c r="U22" s="104">
        <f>'IS (Before Changes)'!U22-'IS 3Q2022'!U22</f>
        <v>0</v>
      </c>
      <c r="V22" s="104">
        <f>'IS (Before Changes)'!V22-'IS 3Q2022'!V22</f>
        <v>-5.6906707467833826</v>
      </c>
      <c r="W22" s="173">
        <f>'IS (Before Changes)'!W22-'IS 3Q2022'!W22</f>
        <v>-5.6906707467833826</v>
      </c>
      <c r="X22" s="104">
        <f>'IS (Before Changes)'!X22-'IS 3Q2022'!X22</f>
        <v>-17.970773994682474</v>
      </c>
      <c r="Y22" s="104">
        <f>'IS (Before Changes)'!Y22-'IS 3Q2022'!Y22</f>
        <v>-16.477683994682494</v>
      </c>
      <c r="Z22" s="104">
        <f>'IS (Before Changes)'!Z22-'IS 3Q2022'!Z22</f>
        <v>-14.984593994682498</v>
      </c>
      <c r="AA22" s="104">
        <f>'IS (Before Changes)'!AA22-'IS 3Q2022'!AA22</f>
        <v>-13.491503994682532</v>
      </c>
      <c r="AB22" s="173">
        <f>'IS (Before Changes)'!AB22-'IS 3Q2022'!AB22</f>
        <v>-62.924555978729927</v>
      </c>
      <c r="AC22" s="104">
        <f>'IS (Before Changes)'!AC22-'IS 3Q2022'!AC22</f>
        <v>-13.502803994682509</v>
      </c>
      <c r="AD22" s="104">
        <f>'IS (Before Changes)'!AD22-'IS 3Q2022'!AD22</f>
        <v>-13.514103994682529</v>
      </c>
      <c r="AE22" s="104">
        <f>'IS (Before Changes)'!AE22-'IS 3Q2022'!AE22</f>
        <v>-13.525153667642201</v>
      </c>
      <c r="AF22" s="104">
        <f>'IS (Before Changes)'!AF22-'IS 3Q2022'!AF22</f>
        <v>-13.536453667642206</v>
      </c>
      <c r="AG22" s="173">
        <f>'IS (Before Changes)'!AG22-'IS 3Q2022'!AG22</f>
        <v>-54.078515324649402</v>
      </c>
      <c r="AH22" s="104">
        <f>'IS (Before Changes)'!AH22-'IS 3Q2022'!AH22</f>
        <v>-13.631196014411842</v>
      </c>
      <c r="AI22" s="104">
        <f>'IS (Before Changes)'!AI22-'IS 3Q2022'!AI22</f>
        <v>-13.642496014411819</v>
      </c>
      <c r="AJ22" s="104">
        <f>'IS (Before Changes)'!AJ22-'IS 3Q2022'!AJ22</f>
        <v>-13.653796014411824</v>
      </c>
      <c r="AK22" s="104">
        <f>'IS (Before Changes)'!AK22-'IS 3Q2022'!AK22</f>
        <v>-20.578419818393826</v>
      </c>
      <c r="AL22" s="173">
        <f>'IS (Before Changes)'!AL22-'IS 3Q2022'!AL22</f>
        <v>-61.505907861629225</v>
      </c>
      <c r="AM22" s="104">
        <f>'IS (Before Changes)'!AM22-'IS 3Q2022'!AM22</f>
        <v>-20.578419818393826</v>
      </c>
      <c r="AN22" s="104">
        <f>'IS (Before Changes)'!AN22-'IS 3Q2022'!AN22</f>
        <v>-20.578419818393826</v>
      </c>
      <c r="AO22" s="104">
        <f>'IS (Before Changes)'!AO22-'IS 3Q2022'!AO22</f>
        <v>-20.578419818393826</v>
      </c>
      <c r="AP22" s="104">
        <f>'IS (Before Changes)'!AP22-'IS 3Q2022'!AP22</f>
        <v>-20.578419818393826</v>
      </c>
      <c r="AQ22" s="173">
        <f>'IS (Before Changes)'!AQ22-'IS 3Q2022'!AQ22</f>
        <v>-82.313679273575303</v>
      </c>
      <c r="AR22" s="104">
        <f>'IS (Before Changes)'!AR22-'IS 3Q2022'!AR22</f>
        <v>-20.578419818393826</v>
      </c>
      <c r="AS22" s="104">
        <f>'IS (Before Changes)'!AS22-'IS 3Q2022'!AS22</f>
        <v>-20.578419818393826</v>
      </c>
      <c r="AT22" s="104">
        <f>'IS (Before Changes)'!AT22-'IS 3Q2022'!AT22</f>
        <v>-20.578419818393826</v>
      </c>
      <c r="AU22" s="104">
        <f>'IS (Before Changes)'!AU22-'IS 3Q2022'!AU22</f>
        <v>-20.578419818393826</v>
      </c>
      <c r="AV22" s="173">
        <f>'IS (Before Changes)'!AV22-'IS 3Q2022'!AV22</f>
        <v>-82.313679273575303</v>
      </c>
    </row>
    <row r="23" spans="1:48" x14ac:dyDescent="0.3">
      <c r="B23" s="518" t="s">
        <v>11</v>
      </c>
      <c r="C23" s="519"/>
      <c r="D23" s="103">
        <f>'IS (Before Changes)'!D23-'IS 3Q2022'!D23</f>
        <v>0</v>
      </c>
      <c r="E23" s="103">
        <f>'IS (Before Changes)'!E23-'IS 3Q2022'!E23</f>
        <v>0</v>
      </c>
      <c r="F23" s="103">
        <f>'IS (Before Changes)'!F23-'IS 3Q2022'!F23</f>
        <v>0</v>
      </c>
      <c r="G23" s="103">
        <f>'IS (Before Changes)'!G23-'IS 3Q2022'!G23</f>
        <v>0</v>
      </c>
      <c r="H23" s="171">
        <f>'IS (Before Changes)'!H23-'IS 3Q2022'!H23</f>
        <v>0</v>
      </c>
      <c r="I23" s="103">
        <f>'IS (Before Changes)'!I23-'IS 3Q2022'!I23</f>
        <v>0</v>
      </c>
      <c r="J23" s="103">
        <f>'IS (Before Changes)'!J23-'IS 3Q2022'!J23</f>
        <v>0</v>
      </c>
      <c r="K23" s="103">
        <f>'IS (Before Changes)'!K23-'IS 3Q2022'!K23</f>
        <v>0</v>
      </c>
      <c r="L23" s="50">
        <f>'IS (Before Changes)'!L23-'IS 3Q2022'!L23</f>
        <v>0</v>
      </c>
      <c r="M23" s="51">
        <f>'IS (Before Changes)'!M23-'IS 3Q2022'!M23</f>
        <v>0</v>
      </c>
      <c r="N23" s="50">
        <f>'IS (Before Changes)'!N23-'IS 3Q2022'!N23</f>
        <v>0</v>
      </c>
      <c r="O23" s="103">
        <f>'IS (Before Changes)'!O23-'IS 3Q2022'!O23</f>
        <v>0</v>
      </c>
      <c r="P23" s="103">
        <f>'IS (Before Changes)'!P23-'IS 3Q2022'!P23</f>
        <v>0</v>
      </c>
      <c r="Q23" s="103">
        <f>'IS (Before Changes)'!Q23-'IS 3Q2022'!Q23</f>
        <v>0</v>
      </c>
      <c r="R23" s="171">
        <f>'IS (Before Changes)'!R23-'IS 3Q2022'!R23</f>
        <v>0</v>
      </c>
      <c r="S23" s="50">
        <f>'IS (Before Changes)'!S23-'IS 3Q2022'!S23</f>
        <v>0</v>
      </c>
      <c r="T23" s="50">
        <f>'IS (Before Changes)'!T23-'IS 3Q2022'!T23</f>
        <v>0</v>
      </c>
      <c r="U23" s="50">
        <f>'IS (Before Changes)'!U23-'IS 3Q2022'!U23</f>
        <v>0</v>
      </c>
      <c r="V23" s="50">
        <f>'IS (Before Changes)'!V23-'IS 3Q2022'!V23</f>
        <v>92.710520523507284</v>
      </c>
      <c r="W23" s="171">
        <f>'IS (Before Changes)'!W23-'IS 3Q2022'!W23</f>
        <v>92.710520523512059</v>
      </c>
      <c r="X23" s="50">
        <f>'IS (Before Changes)'!X23-'IS 3Q2022'!X23</f>
        <v>33.078005501245343</v>
      </c>
      <c r="Y23" s="50">
        <f>'IS (Before Changes)'!Y23-'IS 3Q2022'!Y23</f>
        <v>58.86404589093695</v>
      </c>
      <c r="Z23" s="50">
        <f>'IS (Before Changes)'!Z23-'IS 3Q2022'!Z23</f>
        <v>70.485220656077672</v>
      </c>
      <c r="AA23" s="50">
        <f>'IS (Before Changes)'!AA23-'IS 3Q2022'!AA23</f>
        <v>116.81473682363799</v>
      </c>
      <c r="AB23" s="51">
        <f>'IS (Before Changes)'!AB23-'IS 3Q2022'!AB23</f>
        <v>279.24200887188545</v>
      </c>
      <c r="AC23" s="50">
        <f>'IS (Before Changes)'!AC23-'IS 3Q2022'!AC23</f>
        <v>60.246095049186579</v>
      </c>
      <c r="AD23" s="50">
        <f>'IS (Before Changes)'!AD23-'IS 3Q2022'!AD23</f>
        <v>75.796960723663688</v>
      </c>
      <c r="AE23" s="50">
        <f>'IS (Before Changes)'!AE23-'IS 3Q2022'!AE23</f>
        <v>79.058019780421319</v>
      </c>
      <c r="AF23" s="50">
        <f>'IS (Before Changes)'!AF23-'IS 3Q2022'!AF23</f>
        <v>111.20171636379337</v>
      </c>
      <c r="AG23" s="51">
        <f>'IS (Before Changes)'!AG23-'IS 3Q2022'!AG23</f>
        <v>326.30279191706904</v>
      </c>
      <c r="AH23" s="50">
        <f>'IS (Before Changes)'!AH23-'IS 3Q2022'!AH23</f>
        <v>59.226869000421402</v>
      </c>
      <c r="AI23" s="50">
        <f>'IS (Before Changes)'!AI23-'IS 3Q2022'!AI23</f>
        <v>75.964324633748447</v>
      </c>
      <c r="AJ23" s="50">
        <f>'IS (Before Changes)'!AJ23-'IS 3Q2022'!AJ23</f>
        <v>79.526864175274341</v>
      </c>
      <c r="AK23" s="50">
        <f>'IS (Before Changes)'!AK23-'IS 3Q2022'!AK23</f>
        <v>102.4553801243926</v>
      </c>
      <c r="AL23" s="51">
        <f>'IS (Before Changes)'!AL23-'IS 3Q2022'!AL23</f>
        <v>317.17343793383498</v>
      </c>
      <c r="AM23" s="50">
        <f>'IS (Before Changes)'!AM23-'IS 3Q2022'!AM23</f>
        <v>48.182710422895752</v>
      </c>
      <c r="AN23" s="50">
        <f>'IS (Before Changes)'!AN23-'IS 3Q2022'!AN23</f>
        <v>67.00073199581243</v>
      </c>
      <c r="AO23" s="50">
        <f>'IS (Before Changes)'!AO23-'IS 3Q2022'!AO23</f>
        <v>70.907885526327163</v>
      </c>
      <c r="AP23" s="50">
        <f>'IS (Before Changes)'!AP23-'IS 3Q2022'!AP23</f>
        <v>98.669717111169348</v>
      </c>
      <c r="AQ23" s="51">
        <f>'IS (Before Changes)'!AQ23-'IS 3Q2022'!AQ23</f>
        <v>284.7610450561906</v>
      </c>
      <c r="AR23" s="50">
        <f>'IS (Before Changes)'!AR23-'IS 3Q2022'!AR23</f>
        <v>47.292203546835026</v>
      </c>
      <c r="AS23" s="50">
        <f>'IS (Before Changes)'!AS23-'IS 3Q2022'!AS23</f>
        <v>67.019483539881321</v>
      </c>
      <c r="AT23" s="50">
        <f>'IS (Before Changes)'!AT23-'IS 3Q2022'!AT23</f>
        <v>71.267314604622243</v>
      </c>
      <c r="AU23" s="50">
        <f>'IS (Before Changes)'!AU23-'IS 3Q2022'!AU23</f>
        <v>96.527718804334199</v>
      </c>
      <c r="AV23" s="51">
        <f>'IS (Before Changes)'!AV23-'IS 3Q2022'!AV23</f>
        <v>282.10672049566074</v>
      </c>
    </row>
    <row r="24" spans="1:48" ht="16.2" x14ac:dyDescent="0.45">
      <c r="B24" s="520" t="s">
        <v>5</v>
      </c>
      <c r="C24" s="521"/>
      <c r="D24" s="104">
        <f>'IS (Before Changes)'!D24-'IS 3Q2022'!D24</f>
        <v>0</v>
      </c>
      <c r="E24" s="104">
        <f>'IS (Before Changes)'!E24-'IS 3Q2022'!E24</f>
        <v>0</v>
      </c>
      <c r="F24" s="104">
        <f>'IS (Before Changes)'!F24-'IS 3Q2022'!F24</f>
        <v>0</v>
      </c>
      <c r="G24" s="104">
        <f>'IS (Before Changes)'!G24-'IS 3Q2022'!G24</f>
        <v>0</v>
      </c>
      <c r="H24" s="173">
        <f>'IS (Before Changes)'!H24-'IS 3Q2022'!H24</f>
        <v>0</v>
      </c>
      <c r="I24" s="104">
        <f>'IS (Before Changes)'!I24-'IS 3Q2022'!I24</f>
        <v>0</v>
      </c>
      <c r="J24" s="104">
        <f>'IS (Before Changes)'!J24-'IS 3Q2022'!J24</f>
        <v>0</v>
      </c>
      <c r="K24" s="104">
        <f>'IS (Before Changes)'!K24-'IS 3Q2022'!K24</f>
        <v>0</v>
      </c>
      <c r="L24" s="52">
        <f>'IS (Before Changes)'!L24-'IS 3Q2022'!L24</f>
        <v>0</v>
      </c>
      <c r="M24" s="53">
        <f>'IS (Before Changes)'!M24-'IS 3Q2022'!M24</f>
        <v>0</v>
      </c>
      <c r="N24" s="52">
        <f>'IS (Before Changes)'!N24-'IS 3Q2022'!N24</f>
        <v>0</v>
      </c>
      <c r="O24" s="104">
        <f>'IS (Before Changes)'!O24-'IS 3Q2022'!O24</f>
        <v>0</v>
      </c>
      <c r="P24" s="104">
        <f>'IS (Before Changes)'!P24-'IS 3Q2022'!P24</f>
        <v>0</v>
      </c>
      <c r="Q24" s="104">
        <f>'IS (Before Changes)'!Q24-'IS 3Q2022'!Q24</f>
        <v>0</v>
      </c>
      <c r="R24" s="173">
        <f>'IS (Before Changes)'!R24-'IS 3Q2022'!R24</f>
        <v>0</v>
      </c>
      <c r="S24" s="52">
        <f>'IS (Before Changes)'!S24-'IS 3Q2022'!S24</f>
        <v>0</v>
      </c>
      <c r="T24" s="52">
        <f>'IS (Before Changes)'!T24-'IS 3Q2022'!T24</f>
        <v>0</v>
      </c>
      <c r="U24" s="52">
        <f>'IS (Before Changes)'!U24-'IS 3Q2022'!U24</f>
        <v>0</v>
      </c>
      <c r="V24" s="52">
        <f>'IS (Before Changes)'!V24-'IS 3Q2022'!V24</f>
        <v>-19.33747507435794</v>
      </c>
      <c r="W24" s="173">
        <f>'IS (Before Changes)'!W24-'IS 3Q2022'!W24</f>
        <v>-19.337475074358053</v>
      </c>
      <c r="X24" s="52">
        <f>'IS (Before Changes)'!X24-'IS 3Q2022'!X24</f>
        <v>8.1041113478050875</v>
      </c>
      <c r="Y24" s="52">
        <f>'IS (Before Changes)'!Y24-'IS 3Q2022'!Y24</f>
        <v>14.421691243279554</v>
      </c>
      <c r="Z24" s="52">
        <f>'IS (Before Changes)'!Z24-'IS 3Q2022'!Z24</f>
        <v>17.268879060739039</v>
      </c>
      <c r="AA24" s="52">
        <f>'IS (Before Changes)'!AA24-'IS 3Q2022'!AA24</f>
        <v>28.619610521791287</v>
      </c>
      <c r="AB24" s="53">
        <f>'IS (Before Changes)'!AB24-'IS 3Q2022'!AB24</f>
        <v>68.414292173614967</v>
      </c>
      <c r="AC24" s="52">
        <f>'IS (Before Changes)'!AC24-'IS 3Q2022'!AC24</f>
        <v>14.760293287050729</v>
      </c>
      <c r="AD24" s="52">
        <f>'IS (Before Changes)'!AD24-'IS 3Q2022'!AD24</f>
        <v>18.570255377297599</v>
      </c>
      <c r="AE24" s="52">
        <f>'IS (Before Changes)'!AE24-'IS 3Q2022'!AE24</f>
        <v>19.369214846203192</v>
      </c>
      <c r="AF24" s="52">
        <f>'IS (Before Changes)'!AF24-'IS 3Q2022'!AF24</f>
        <v>27.244420509129384</v>
      </c>
      <c r="AG24" s="53">
        <f>'IS (Before Changes)'!AG24-'IS 3Q2022'!AG24</f>
        <v>79.944184019680961</v>
      </c>
      <c r="AH24" s="52">
        <f>'IS (Before Changes)'!AH24-'IS 3Q2022'!AH24</f>
        <v>14.510582905103206</v>
      </c>
      <c r="AI24" s="52">
        <f>'IS (Before Changes)'!AI24-'IS 3Q2022'!AI24</f>
        <v>18.611259535268402</v>
      </c>
      <c r="AJ24" s="52">
        <f>'IS (Before Changes)'!AJ24-'IS 3Q2022'!AJ24</f>
        <v>19.484081722942165</v>
      </c>
      <c r="AK24" s="52">
        <f>'IS (Before Changes)'!AK24-'IS 3Q2022'!AK24</f>
        <v>25.101568130476153</v>
      </c>
      <c r="AL24" s="53">
        <f>'IS (Before Changes)'!AL24-'IS 3Q2022'!AL24</f>
        <v>77.707492293789983</v>
      </c>
      <c r="AM24" s="52">
        <f>'IS (Before Changes)'!AM24-'IS 3Q2022'!AM24</f>
        <v>11.80476405360946</v>
      </c>
      <c r="AN24" s="52">
        <f>'IS (Before Changes)'!AN24-'IS 3Q2022'!AN24</f>
        <v>16.415179338974042</v>
      </c>
      <c r="AO24" s="52">
        <f>'IS (Before Changes)'!AO24-'IS 3Q2022'!AO24</f>
        <v>17.372431953950127</v>
      </c>
      <c r="AP24" s="52">
        <f>'IS (Before Changes)'!AP24-'IS 3Q2022'!AP24</f>
        <v>24.174080692236487</v>
      </c>
      <c r="AQ24" s="53">
        <f>'IS (Before Changes)'!AQ24-'IS 3Q2022'!AQ24</f>
        <v>69.766456038770229</v>
      </c>
      <c r="AR24" s="52">
        <f>'IS (Before Changes)'!AR24-'IS 3Q2022'!AR24</f>
        <v>11.586589868974556</v>
      </c>
      <c r="AS24" s="52">
        <f>'IS (Before Changes)'!AS24-'IS 3Q2022'!AS24</f>
        <v>16.419773467270943</v>
      </c>
      <c r="AT24" s="52">
        <f>'IS (Before Changes)'!AT24-'IS 3Q2022'!AT24</f>
        <v>17.460492078132461</v>
      </c>
      <c r="AU24" s="52">
        <f>'IS (Before Changes)'!AU24-'IS 3Q2022'!AU24</f>
        <v>23.649291107061856</v>
      </c>
      <c r="AV24" s="53">
        <f>'IS (Before Changes)'!AV24-'IS 3Q2022'!AV24</f>
        <v>69.116146521439987</v>
      </c>
    </row>
    <row r="25" spans="1:48" x14ac:dyDescent="0.3">
      <c r="A25" s="23"/>
      <c r="B25" s="518" t="s">
        <v>39</v>
      </c>
      <c r="C25" s="519"/>
      <c r="D25" s="103">
        <f>'IS (Before Changes)'!D25-'IS 3Q2022'!D25</f>
        <v>0</v>
      </c>
      <c r="E25" s="103">
        <f>'IS (Before Changes)'!E25-'IS 3Q2022'!E25</f>
        <v>0</v>
      </c>
      <c r="F25" s="103">
        <f>'IS (Before Changes)'!F25-'IS 3Q2022'!F25</f>
        <v>0</v>
      </c>
      <c r="G25" s="103">
        <f>'IS (Before Changes)'!G25-'IS 3Q2022'!G25</f>
        <v>0</v>
      </c>
      <c r="H25" s="171">
        <f>'IS (Before Changes)'!H25-'IS 3Q2022'!H25</f>
        <v>0</v>
      </c>
      <c r="I25" s="103">
        <f>'IS (Before Changes)'!I25-'IS 3Q2022'!I25</f>
        <v>0</v>
      </c>
      <c r="J25" s="103">
        <f>'IS (Before Changes)'!J25-'IS 3Q2022'!J25</f>
        <v>0</v>
      </c>
      <c r="K25" s="103">
        <f>'IS (Before Changes)'!K25-'IS 3Q2022'!K25</f>
        <v>0</v>
      </c>
      <c r="L25" s="50">
        <f>'IS (Before Changes)'!L25-'IS 3Q2022'!L25</f>
        <v>0</v>
      </c>
      <c r="M25" s="51">
        <f>'IS (Before Changes)'!M25-'IS 3Q2022'!M25</f>
        <v>0</v>
      </c>
      <c r="N25" s="50">
        <f>'IS (Before Changes)'!N25-'IS 3Q2022'!N25</f>
        <v>0</v>
      </c>
      <c r="O25" s="103">
        <f>'IS (Before Changes)'!O25-'IS 3Q2022'!O25</f>
        <v>0</v>
      </c>
      <c r="P25" s="103">
        <f>'IS (Before Changes)'!P25-'IS 3Q2022'!P25</f>
        <v>0</v>
      </c>
      <c r="Q25" s="103">
        <f>'IS (Before Changes)'!Q25-'IS 3Q2022'!Q25</f>
        <v>0</v>
      </c>
      <c r="R25" s="171">
        <f>'IS (Before Changes)'!R25-'IS 3Q2022'!R25</f>
        <v>0</v>
      </c>
      <c r="S25" s="50">
        <f>'IS (Before Changes)'!S25-'IS 3Q2022'!S25</f>
        <v>0</v>
      </c>
      <c r="T25" s="50">
        <f>'IS (Before Changes)'!T25-'IS 3Q2022'!T25</f>
        <v>0</v>
      </c>
      <c r="U25" s="50">
        <f>'IS (Before Changes)'!U25-'IS 3Q2022'!U25</f>
        <v>0</v>
      </c>
      <c r="V25" s="50">
        <f>'IS (Before Changes)'!V25-'IS 3Q2022'!V25</f>
        <v>112.04799559786511</v>
      </c>
      <c r="W25" s="171">
        <f>'IS (Before Changes)'!W25-'IS 3Q2022'!W25</f>
        <v>112.04799559787034</v>
      </c>
      <c r="X25" s="50">
        <f>'IS (Before Changes)'!X25-'IS 3Q2022'!X25</f>
        <v>24.973894153440369</v>
      </c>
      <c r="Y25" s="50">
        <f>'IS (Before Changes)'!Y25-'IS 3Q2022'!Y25</f>
        <v>44.442354647657453</v>
      </c>
      <c r="Z25" s="50">
        <f>'IS (Before Changes)'!Z25-'IS 3Q2022'!Z25</f>
        <v>53.21634159533869</v>
      </c>
      <c r="AA25" s="50">
        <f>'IS (Before Changes)'!AA25-'IS 3Q2022'!AA25</f>
        <v>88.195126301846585</v>
      </c>
      <c r="AB25" s="51">
        <f>'IS (Before Changes)'!AB25-'IS 3Q2022'!AB25</f>
        <v>210.82771669827071</v>
      </c>
      <c r="AC25" s="50">
        <f>'IS (Before Changes)'!AC25-'IS 3Q2022'!AC25</f>
        <v>45.485801762135907</v>
      </c>
      <c r="AD25" s="50">
        <f>'IS (Before Changes)'!AD25-'IS 3Q2022'!AD25</f>
        <v>57.226705346366089</v>
      </c>
      <c r="AE25" s="50">
        <f>'IS (Before Changes)'!AE25-'IS 3Q2022'!AE25</f>
        <v>59.688804934218069</v>
      </c>
      <c r="AF25" s="103">
        <f>'IS (Before Changes)'!AF25-'IS 3Q2022'!AF25</f>
        <v>83.957295854664153</v>
      </c>
      <c r="AG25" s="171">
        <f>'IS (Before Changes)'!AG25-'IS 3Q2022'!AG25</f>
        <v>246.35860789738763</v>
      </c>
      <c r="AH25" s="103">
        <f>'IS (Before Changes)'!AH25-'IS 3Q2022'!AH25</f>
        <v>44.71628609531831</v>
      </c>
      <c r="AI25" s="103">
        <f>'IS (Before Changes)'!AI25-'IS 3Q2022'!AI25</f>
        <v>57.353065098479874</v>
      </c>
      <c r="AJ25" s="103">
        <f>'IS (Before Changes)'!AJ25-'IS 3Q2022'!AJ25</f>
        <v>60.042782452332176</v>
      </c>
      <c r="AK25" s="103">
        <f>'IS (Before Changes)'!AK25-'IS 3Q2022'!AK25</f>
        <v>77.353811993916679</v>
      </c>
      <c r="AL25" s="51">
        <f>'IS (Before Changes)'!AL25-'IS 3Q2022'!AL25</f>
        <v>239.46594564004499</v>
      </c>
      <c r="AM25" s="103">
        <f>'IS (Before Changes)'!AM25-'IS 3Q2022'!AM25</f>
        <v>36.377946369286292</v>
      </c>
      <c r="AN25" s="103">
        <f>'IS (Before Changes)'!AN25-'IS 3Q2022'!AN25</f>
        <v>50.585552656838445</v>
      </c>
      <c r="AO25" s="103">
        <f>'IS (Before Changes)'!AO25-'IS 3Q2022'!AO25</f>
        <v>53.535453572377037</v>
      </c>
      <c r="AP25" s="103">
        <f>'IS (Before Changes)'!AP25-'IS 3Q2022'!AP25</f>
        <v>74.495636418932691</v>
      </c>
      <c r="AQ25" s="51">
        <f>'IS (Before Changes)'!AQ25-'IS 3Q2022'!AQ25</f>
        <v>214.99458901742037</v>
      </c>
      <c r="AR25" s="103">
        <f>'IS (Before Changes)'!AR25-'IS 3Q2022'!AR25</f>
        <v>35.705613677860356</v>
      </c>
      <c r="AS25" s="103">
        <f>'IS (Before Changes)'!AS25-'IS 3Q2022'!AS25</f>
        <v>50.599710072610378</v>
      </c>
      <c r="AT25" s="103">
        <f>'IS (Before Changes)'!AT25-'IS 3Q2022'!AT25</f>
        <v>53.806822526489896</v>
      </c>
      <c r="AU25" s="103">
        <f>'IS (Before Changes)'!AU25-'IS 3Q2022'!AU25</f>
        <v>72.8784276972724</v>
      </c>
      <c r="AV25" s="51">
        <f>'IS (Before Changes)'!AV25-'IS 3Q2022'!AV25</f>
        <v>212.99057397422075</v>
      </c>
    </row>
    <row r="26" spans="1:48" ht="16.2" x14ac:dyDescent="0.45">
      <c r="A26" s="23"/>
      <c r="B26" s="210" t="s">
        <v>40</v>
      </c>
      <c r="C26" s="201"/>
      <c r="D26" s="104">
        <f>'IS (Before Changes)'!D26-'IS 3Q2022'!D26</f>
        <v>0</v>
      </c>
      <c r="E26" s="104">
        <f>'IS (Before Changes)'!E26-'IS 3Q2022'!E26</f>
        <v>0</v>
      </c>
      <c r="F26" s="104">
        <f>'IS (Before Changes)'!F26-'IS 3Q2022'!F26</f>
        <v>0</v>
      </c>
      <c r="G26" s="104">
        <f>'IS (Before Changes)'!G26-'IS 3Q2022'!G26</f>
        <v>0</v>
      </c>
      <c r="H26" s="173">
        <f>'IS (Before Changes)'!H26-'IS 3Q2022'!H26</f>
        <v>0</v>
      </c>
      <c r="I26" s="104">
        <f>'IS (Before Changes)'!I26-'IS 3Q2022'!I26</f>
        <v>0</v>
      </c>
      <c r="J26" s="104">
        <f>'IS (Before Changes)'!J26-'IS 3Q2022'!J26</f>
        <v>0</v>
      </c>
      <c r="K26" s="104">
        <f>'IS (Before Changes)'!K26-'IS 3Q2022'!K26</f>
        <v>0</v>
      </c>
      <c r="L26" s="104">
        <f>'IS (Before Changes)'!L26-'IS 3Q2022'!L26</f>
        <v>0</v>
      </c>
      <c r="M26" s="173">
        <f>'IS (Before Changes)'!M26-'IS 3Q2022'!M26</f>
        <v>0</v>
      </c>
      <c r="N26" s="104">
        <f>'IS (Before Changes)'!N26-'IS 3Q2022'!N26</f>
        <v>0</v>
      </c>
      <c r="O26" s="104">
        <f>'IS (Before Changes)'!O26-'IS 3Q2022'!O26</f>
        <v>0</v>
      </c>
      <c r="P26" s="104">
        <f>'IS (Before Changes)'!P26-'IS 3Q2022'!P26</f>
        <v>0</v>
      </c>
      <c r="Q26" s="104">
        <f>'IS (Before Changes)'!Q26-'IS 3Q2022'!Q26</f>
        <v>0</v>
      </c>
      <c r="R26" s="173">
        <f>'IS (Before Changes)'!R26-'IS 3Q2022'!R26</f>
        <v>0</v>
      </c>
      <c r="S26" s="104">
        <f>'IS (Before Changes)'!S26-'IS 3Q2022'!S26</f>
        <v>0</v>
      </c>
      <c r="T26" s="104">
        <f>'IS (Before Changes)'!T26-'IS 3Q2022'!T26</f>
        <v>0</v>
      </c>
      <c r="U26" s="104">
        <f>'IS (Before Changes)'!U26-'IS 3Q2022'!U26</f>
        <v>0</v>
      </c>
      <c r="V26" s="104">
        <f>'IS (Before Changes)'!V26-'IS 3Q2022'!V26</f>
        <v>0.12499999999999983</v>
      </c>
      <c r="W26" s="173">
        <f>'IS (Before Changes)'!W26-'IS 3Q2022'!W26</f>
        <v>0.12499999999999978</v>
      </c>
      <c r="X26" s="104">
        <f>'IS (Before Changes)'!X26-'IS 3Q2022'!X26</f>
        <v>3.1249999999999944E-2</v>
      </c>
      <c r="Y26" s="104">
        <f>'IS (Before Changes)'!Y26-'IS 3Q2022'!Y26</f>
        <v>3.9062499999999944E-2</v>
      </c>
      <c r="Z26" s="104">
        <f>'IS (Before Changes)'!Z26-'IS 3Q2022'!Z26</f>
        <v>4.8828124999999889E-2</v>
      </c>
      <c r="AA26" s="104">
        <f>'IS (Before Changes)'!AA26-'IS 3Q2022'!AA26</f>
        <v>6.1035156249999944E-2</v>
      </c>
      <c r="AB26" s="173">
        <f>'IS (Before Changes)'!AB26-'IS 3Q2022'!AB26</f>
        <v>0.18017578124999933</v>
      </c>
      <c r="AC26" s="104">
        <f>'IS (Before Changes)'!AC26-'IS 3Q2022'!AC26</f>
        <v>4.50439453125E-2</v>
      </c>
      <c r="AD26" s="104">
        <f>'IS (Before Changes)'!AD26-'IS 3Q2022'!AD26</f>
        <v>4.8492431640624944E-2</v>
      </c>
      <c r="AE26" s="104">
        <f>'IS (Before Changes)'!AE26-'IS 3Q2022'!AE26</f>
        <v>5.0849914550781194E-2</v>
      </c>
      <c r="AF26" s="104">
        <f>'IS (Before Changes)'!AF26-'IS 3Q2022'!AF26</f>
        <v>5.1355361938476507E-2</v>
      </c>
      <c r="AG26" s="173">
        <f>'IS (Before Changes)'!AG26-'IS 3Q2022'!AG26</f>
        <v>0.19574165344238259</v>
      </c>
      <c r="AH26" s="104">
        <f>'IS (Before Changes)'!AH26-'IS 3Q2022'!AH26</f>
        <v>4.8935413360595759E-2</v>
      </c>
      <c r="AI26" s="104">
        <f>'IS (Before Changes)'!AI26-'IS 3Q2022'!AI26</f>
        <v>4.9908280372619629E-2</v>
      </c>
      <c r="AJ26" s="104">
        <f>'IS (Before Changes)'!AJ26-'IS 3Q2022'!AJ26</f>
        <v>5.0262242555618231E-2</v>
      </c>
      <c r="AK26" s="104">
        <f>'IS (Before Changes)'!AK26-'IS 3Q2022'!AK26</f>
        <v>5.011532455682749E-2</v>
      </c>
      <c r="AL26" s="53">
        <f>'IS (Before Changes)'!AL26-'IS 3Q2022'!AL26</f>
        <v>0.19922126084566139</v>
      </c>
      <c r="AM26" s="104">
        <f>'IS (Before Changes)'!AM26-'IS 3Q2022'!AM26</f>
        <v>4.9805315211415346E-2</v>
      </c>
      <c r="AN26" s="104">
        <f>'IS (Before Changes)'!AN26-'IS 3Q2022'!AN26</f>
        <v>5.0022790674120243E-2</v>
      </c>
      <c r="AO26" s="104">
        <f>'IS (Before Changes)'!AO26-'IS 3Q2022'!AO26</f>
        <v>5.0051418249495327E-2</v>
      </c>
      <c r="AP26" s="104">
        <f>'IS (Before Changes)'!AP26-'IS 3Q2022'!AP26</f>
        <v>4.9998712172964532E-2</v>
      </c>
      <c r="AQ26" s="53">
        <f>'IS (Before Changes)'!AQ26-'IS 3Q2022'!AQ26</f>
        <v>0.19987823630799517</v>
      </c>
      <c r="AR26" s="104">
        <f>'IS (Before Changes)'!AR26-'IS 3Q2022'!AR26</f>
        <v>4.9969559076998793E-2</v>
      </c>
      <c r="AS26" s="104">
        <f>'IS (Before Changes)'!AS26-'IS 3Q2022'!AS26</f>
        <v>5.0010620043394793E-2</v>
      </c>
      <c r="AT26" s="104">
        <f>'IS (Before Changes)'!AT26-'IS 3Q2022'!AT26</f>
        <v>5.0007577385713431E-2</v>
      </c>
      <c r="AU26" s="104">
        <f>'IS (Before Changes)'!AU26-'IS 3Q2022'!AU26</f>
        <v>4.9996617169767887E-2</v>
      </c>
      <c r="AV26" s="53">
        <f>'IS (Before Changes)'!AV26-'IS 3Q2022'!AV26</f>
        <v>0.19998437367587463</v>
      </c>
    </row>
    <row r="27" spans="1:48" s="8" customFormat="1" x14ac:dyDescent="0.3">
      <c r="A27" s="20"/>
      <c r="B27" s="209" t="s">
        <v>16</v>
      </c>
      <c r="C27" s="202"/>
      <c r="D27" s="103">
        <f>'IS (Before Changes)'!D27-'IS 3Q2022'!D27</f>
        <v>0</v>
      </c>
      <c r="E27" s="103">
        <f>'IS (Before Changes)'!E27-'IS 3Q2022'!E27</f>
        <v>0</v>
      </c>
      <c r="F27" s="103">
        <f>'IS (Before Changes)'!F27-'IS 3Q2022'!F27</f>
        <v>0</v>
      </c>
      <c r="G27" s="103">
        <f>'IS (Before Changes)'!G27-'IS 3Q2022'!G27</f>
        <v>0</v>
      </c>
      <c r="H27" s="171">
        <f>'IS (Before Changes)'!H27-'IS 3Q2022'!H27</f>
        <v>0</v>
      </c>
      <c r="I27" s="103">
        <f>'IS (Before Changes)'!I27-'IS 3Q2022'!I27</f>
        <v>0</v>
      </c>
      <c r="J27" s="103">
        <f>'IS (Before Changes)'!J27-'IS 3Q2022'!J27</f>
        <v>0</v>
      </c>
      <c r="K27" s="103">
        <f>'IS (Before Changes)'!K27-'IS 3Q2022'!K27</f>
        <v>0</v>
      </c>
      <c r="L27" s="50">
        <f>'IS (Before Changes)'!L27-'IS 3Q2022'!L27</f>
        <v>0</v>
      </c>
      <c r="M27" s="51">
        <f>'IS (Before Changes)'!M27-'IS 3Q2022'!M27</f>
        <v>0</v>
      </c>
      <c r="N27" s="50">
        <f>'IS (Before Changes)'!N27-'IS 3Q2022'!N27</f>
        <v>0</v>
      </c>
      <c r="O27" s="103">
        <f>'IS (Before Changes)'!O27-'IS 3Q2022'!O27</f>
        <v>0</v>
      </c>
      <c r="P27" s="103">
        <f>'IS (Before Changes)'!P27-'IS 3Q2022'!P27</f>
        <v>0</v>
      </c>
      <c r="Q27" s="103">
        <f>'IS (Before Changes)'!Q27-'IS 3Q2022'!Q27</f>
        <v>0</v>
      </c>
      <c r="R27" s="171">
        <f>'IS (Before Changes)'!R27-'IS 3Q2022'!R27</f>
        <v>0</v>
      </c>
      <c r="S27" s="50">
        <f>'IS (Before Changes)'!S27-'IS 3Q2022'!S27</f>
        <v>0</v>
      </c>
      <c r="T27" s="50">
        <f>'IS (Before Changes)'!T27-'IS 3Q2022'!T27</f>
        <v>0</v>
      </c>
      <c r="U27" s="50">
        <f>'IS (Before Changes)'!U27-'IS 3Q2022'!U27</f>
        <v>0</v>
      </c>
      <c r="V27" s="50">
        <f>'IS (Before Changes)'!V27-'IS 3Q2022'!V27</f>
        <v>111.92299559786511</v>
      </c>
      <c r="W27" s="171">
        <f>'IS (Before Changes)'!W27-'IS 3Q2022'!W27</f>
        <v>111.92299559787034</v>
      </c>
      <c r="X27" s="50">
        <f>'IS (Before Changes)'!X27-'IS 3Q2022'!X27</f>
        <v>24.942644153440369</v>
      </c>
      <c r="Y27" s="50">
        <f>'IS (Before Changes)'!Y27-'IS 3Q2022'!Y27</f>
        <v>44.403292147657453</v>
      </c>
      <c r="Z27" s="50">
        <f>'IS (Before Changes)'!Z27-'IS 3Q2022'!Z27</f>
        <v>53.16751347033869</v>
      </c>
      <c r="AA27" s="50">
        <f>'IS (Before Changes)'!AA27-'IS 3Q2022'!AA27</f>
        <v>88.134091145596585</v>
      </c>
      <c r="AB27" s="51">
        <f>'IS (Before Changes)'!AB27-'IS 3Q2022'!AB27</f>
        <v>210.64754091702071</v>
      </c>
      <c r="AC27" s="50">
        <f>'IS (Before Changes)'!AC27-'IS 3Q2022'!AC27</f>
        <v>45.440757816823407</v>
      </c>
      <c r="AD27" s="50">
        <f>'IS (Before Changes)'!AD27-'IS 3Q2022'!AD27</f>
        <v>57.178212914725464</v>
      </c>
      <c r="AE27" s="50">
        <f>'IS (Before Changes)'!AE27-'IS 3Q2022'!AE27</f>
        <v>59.637955019667288</v>
      </c>
      <c r="AF27" s="50">
        <f>'IS (Before Changes)'!AF27-'IS 3Q2022'!AF27</f>
        <v>83.905940492725676</v>
      </c>
      <c r="AG27" s="51">
        <f>'IS (Before Changes)'!AG27-'IS 3Q2022'!AG27</f>
        <v>246.16286624394525</v>
      </c>
      <c r="AH27" s="50">
        <f>'IS (Before Changes)'!AH27-'IS 3Q2022'!AH27</f>
        <v>44.667350681957714</v>
      </c>
      <c r="AI27" s="50">
        <f>'IS (Before Changes)'!AI27-'IS 3Q2022'!AI27</f>
        <v>57.303156818107254</v>
      </c>
      <c r="AJ27" s="50">
        <f>'IS (Before Changes)'!AJ27-'IS 3Q2022'!AJ27</f>
        <v>59.992520209776558</v>
      </c>
      <c r="AK27" s="50">
        <f>'IS (Before Changes)'!AK27-'IS 3Q2022'!AK27</f>
        <v>77.303696669359852</v>
      </c>
      <c r="AL27" s="51">
        <f>'IS (Before Changes)'!AL27-'IS 3Q2022'!AL27</f>
        <v>239.26672437919933</v>
      </c>
      <c r="AM27" s="50">
        <f>'IS (Before Changes)'!AM27-'IS 3Q2022'!AM27</f>
        <v>36.328141054074877</v>
      </c>
      <c r="AN27" s="50">
        <f>'IS (Before Changes)'!AN27-'IS 3Q2022'!AN27</f>
        <v>50.535529866164325</v>
      </c>
      <c r="AO27" s="50">
        <f>'IS (Before Changes)'!AO27-'IS 3Q2022'!AO27</f>
        <v>53.485402154127542</v>
      </c>
      <c r="AP27" s="50">
        <f>'IS (Before Changes)'!AP27-'IS 3Q2022'!AP27</f>
        <v>74.445637706759726</v>
      </c>
      <c r="AQ27" s="51">
        <f>'IS (Before Changes)'!AQ27-'IS 3Q2022'!AQ27</f>
        <v>214.79471078111237</v>
      </c>
      <c r="AR27" s="50">
        <f>'IS (Before Changes)'!AR27-'IS 3Q2022'!AR27</f>
        <v>35.655644118783357</v>
      </c>
      <c r="AS27" s="50">
        <f>'IS (Before Changes)'!AS27-'IS 3Q2022'!AS27</f>
        <v>50.549699452566983</v>
      </c>
      <c r="AT27" s="50">
        <f>'IS (Before Changes)'!AT27-'IS 3Q2022'!AT27</f>
        <v>53.756814949104182</v>
      </c>
      <c r="AU27" s="50">
        <f>'IS (Before Changes)'!AU27-'IS 3Q2022'!AU27</f>
        <v>72.828431080102746</v>
      </c>
      <c r="AV27" s="51">
        <f>'IS (Before Changes)'!AV27-'IS 3Q2022'!AV27</f>
        <v>212.79058960054499</v>
      </c>
    </row>
    <row r="28" spans="1:48" s="8" customFormat="1" ht="16.2" x14ac:dyDescent="0.45">
      <c r="A28" s="20"/>
      <c r="B28" s="87" t="s">
        <v>72</v>
      </c>
      <c r="C28" s="84"/>
      <c r="D28" s="109">
        <f>'IS (Before Changes)'!D28-'IS 3Q2022'!D28</f>
        <v>0</v>
      </c>
      <c r="E28" s="109">
        <f>'IS (Before Changes)'!E28-'IS 3Q2022'!E28</f>
        <v>0</v>
      </c>
      <c r="F28" s="109">
        <f>'IS (Before Changes)'!F28-'IS 3Q2022'!F28</f>
        <v>0</v>
      </c>
      <c r="G28" s="109">
        <f>'IS (Before Changes)'!G28-'IS 3Q2022'!G28</f>
        <v>0</v>
      </c>
      <c r="H28" s="178">
        <f>'IS (Before Changes)'!H28-'IS 3Q2022'!H28</f>
        <v>0</v>
      </c>
      <c r="I28" s="109">
        <f>'IS (Before Changes)'!I28-'IS 3Q2022'!I28</f>
        <v>0</v>
      </c>
      <c r="J28" s="109">
        <f>'IS (Before Changes)'!J28-'IS 3Q2022'!J28</f>
        <v>0</v>
      </c>
      <c r="K28" s="109">
        <f>'IS (Before Changes)'!K28-'IS 3Q2022'!K28</f>
        <v>0</v>
      </c>
      <c r="L28" s="91">
        <f>'IS (Before Changes)'!L28-'IS 3Q2022'!L28</f>
        <v>0</v>
      </c>
      <c r="M28" s="92">
        <f>'IS (Before Changes)'!M28-'IS 3Q2022'!M28</f>
        <v>0</v>
      </c>
      <c r="N28" s="109">
        <f>'IS (Before Changes)'!N28-'IS 3Q2022'!N28</f>
        <v>0</v>
      </c>
      <c r="O28" s="109">
        <f>'IS (Before Changes)'!O28-'IS 3Q2022'!O28</f>
        <v>0</v>
      </c>
      <c r="P28" s="109">
        <f>'IS (Before Changes)'!P28-'IS 3Q2022'!P28</f>
        <v>0</v>
      </c>
      <c r="Q28" s="109">
        <f>'IS (Before Changes)'!Q28-'IS 3Q2022'!Q28</f>
        <v>0</v>
      </c>
      <c r="R28" s="178">
        <f>'IS (Before Changes)'!R28-'IS 3Q2022'!R28</f>
        <v>0</v>
      </c>
      <c r="S28" s="91">
        <f>'IS (Before Changes)'!S28-'IS 3Q2022'!S28</f>
        <v>0</v>
      </c>
      <c r="T28" s="91">
        <f>'IS (Before Changes)'!T28-'IS 3Q2022'!T28</f>
        <v>0</v>
      </c>
      <c r="U28" s="91">
        <f>'IS (Before Changes)'!U28-'IS 3Q2022'!U28</f>
        <v>0</v>
      </c>
      <c r="V28" s="91">
        <f>'IS (Before Changes)'!V28-'IS 3Q2022'!V28</f>
        <v>10.811677419354833</v>
      </c>
      <c r="W28" s="178">
        <f>'IS (Before Changes)'!W28-'IS 3Q2022'!W28</f>
        <v>10.811677419354837</v>
      </c>
      <c r="X28" s="91">
        <f>'IS (Before Changes)'!X28-'IS 3Q2022'!X28</f>
        <v>15.863815394725954</v>
      </c>
      <c r="Y28" s="91">
        <f>'IS (Before Changes)'!Y28-'IS 3Q2022'!Y28</f>
        <v>15.960321817051387</v>
      </c>
      <c r="Z28" s="91">
        <f>'IS (Before Changes)'!Z28-'IS 3Q2022'!Z28</f>
        <v>15.960321817051387</v>
      </c>
      <c r="AA28" s="91">
        <f>'IS (Before Changes)'!AA28-'IS 3Q2022'!AA28</f>
        <v>15.960321817051387</v>
      </c>
      <c r="AB28" s="92">
        <f>'IS (Before Changes)'!AB28-'IS 3Q2022'!AB28</f>
        <v>63.744780845880129</v>
      </c>
      <c r="AC28" s="91">
        <f>'IS (Before Changes)'!AC28-'IS 3Q2022'!AC28</f>
        <v>15.960321817051387</v>
      </c>
      <c r="AD28" s="91">
        <f>'IS (Before Changes)'!AD28-'IS 3Q2022'!AD28</f>
        <v>6.4536442826659943</v>
      </c>
      <c r="AE28" s="91">
        <f>'IS (Before Changes)'!AE28-'IS 3Q2022'!AE28</f>
        <v>6.4536442826659943</v>
      </c>
      <c r="AF28" s="91">
        <f>'IS (Before Changes)'!AF28-'IS 3Q2022'!AF28</f>
        <v>6.4536442826659943</v>
      </c>
      <c r="AG28" s="92">
        <f>'IS (Before Changes)'!AG28-'IS 3Q2022'!AG28</f>
        <v>35.321254665049366</v>
      </c>
      <c r="AH28" s="91">
        <f>'IS (Before Changes)'!AH28-'IS 3Q2022'!AH28</f>
        <v>6.4536442826659943</v>
      </c>
      <c r="AI28" s="91">
        <f>'IS (Before Changes)'!AI28-'IS 3Q2022'!AI28</f>
        <v>6.4536442826659943</v>
      </c>
      <c r="AJ28" s="91">
        <f>'IS (Before Changes)'!AJ28-'IS 3Q2022'!AJ28</f>
        <v>6.4536442826659943</v>
      </c>
      <c r="AK28" s="91">
        <f>'IS (Before Changes)'!AK28-'IS 3Q2022'!AK28</f>
        <v>6.4536442826659943</v>
      </c>
      <c r="AL28" s="92">
        <f>'IS (Before Changes)'!AL28-'IS 3Q2022'!AL28</f>
        <v>25.814577130663977</v>
      </c>
      <c r="AM28" s="91">
        <f>'IS (Before Changes)'!AM28-'IS 3Q2022'!AM28</f>
        <v>6.4536442826659943</v>
      </c>
      <c r="AN28" s="91">
        <f>'IS (Before Changes)'!AN28-'IS 3Q2022'!AN28</f>
        <v>6.4536442826659943</v>
      </c>
      <c r="AO28" s="91">
        <f>'IS (Before Changes)'!AO28-'IS 3Q2022'!AO28</f>
        <v>6.4536442826659943</v>
      </c>
      <c r="AP28" s="91">
        <f>'IS (Before Changes)'!AP28-'IS 3Q2022'!AP28</f>
        <v>6.4536442826659943</v>
      </c>
      <c r="AQ28" s="92">
        <f>'IS (Before Changes)'!AQ28-'IS 3Q2022'!AQ28</f>
        <v>25.814577130663977</v>
      </c>
      <c r="AR28" s="91">
        <f>'IS (Before Changes)'!AR28-'IS 3Q2022'!AR28</f>
        <v>6.4536442826659943</v>
      </c>
      <c r="AS28" s="91">
        <f>'IS (Before Changes)'!AS28-'IS 3Q2022'!AS28</f>
        <v>6.4536442826659943</v>
      </c>
      <c r="AT28" s="91">
        <f>'IS (Before Changes)'!AT28-'IS 3Q2022'!AT28</f>
        <v>6.4536442826659943</v>
      </c>
      <c r="AU28" s="91">
        <f>'IS (Before Changes)'!AU28-'IS 3Q2022'!AU28</f>
        <v>6.4536442826659943</v>
      </c>
      <c r="AV28" s="92">
        <f>'IS (Before Changes)'!AV28-'IS 3Q2022'!AV28</f>
        <v>25.814577130663977</v>
      </c>
    </row>
    <row r="29" spans="1:48" s="8" customFormat="1" x14ac:dyDescent="0.3">
      <c r="A29" s="20"/>
      <c r="B29" s="85" t="s">
        <v>73</v>
      </c>
      <c r="C29" s="86"/>
      <c r="D29" s="108">
        <f>'IS (Before Changes)'!D29-'IS 3Q2022'!D29</f>
        <v>0</v>
      </c>
      <c r="E29" s="108">
        <f>'IS (Before Changes)'!E29-'IS 3Q2022'!E29</f>
        <v>0</v>
      </c>
      <c r="F29" s="108">
        <f>'IS (Before Changes)'!F29-'IS 3Q2022'!F29</f>
        <v>0</v>
      </c>
      <c r="G29" s="108">
        <f>'IS (Before Changes)'!G29-'IS 3Q2022'!G29</f>
        <v>0</v>
      </c>
      <c r="H29" s="177">
        <f>'IS (Before Changes)'!H29-'IS 3Q2022'!H29</f>
        <v>0</v>
      </c>
      <c r="I29" s="108">
        <f>'IS (Before Changes)'!I29-'IS 3Q2022'!I29</f>
        <v>0</v>
      </c>
      <c r="J29" s="108">
        <f>'IS (Before Changes)'!J29-'IS 3Q2022'!J29</f>
        <v>0</v>
      </c>
      <c r="K29" s="108">
        <f>'IS (Before Changes)'!K29-'IS 3Q2022'!K29</f>
        <v>0</v>
      </c>
      <c r="L29" s="80">
        <f>'IS (Before Changes)'!L29-'IS 3Q2022'!L29</f>
        <v>0</v>
      </c>
      <c r="M29" s="81">
        <f>'IS (Before Changes)'!M29-'IS 3Q2022'!M29</f>
        <v>0</v>
      </c>
      <c r="N29" s="108">
        <f>'IS (Before Changes)'!N29-'IS 3Q2022'!N29</f>
        <v>0</v>
      </c>
      <c r="O29" s="108">
        <f>'IS (Before Changes)'!O29-'IS 3Q2022'!O29</f>
        <v>0</v>
      </c>
      <c r="P29" s="108">
        <f>'IS (Before Changes)'!P29-'IS 3Q2022'!P29</f>
        <v>0</v>
      </c>
      <c r="Q29" s="108">
        <f>'IS (Before Changes)'!Q29-'IS 3Q2022'!Q29</f>
        <v>0</v>
      </c>
      <c r="R29" s="177">
        <f>'IS (Before Changes)'!R29-'IS 3Q2022'!R29</f>
        <v>0</v>
      </c>
      <c r="S29" s="80">
        <f>'IS (Before Changes)'!S29-'IS 3Q2022'!S29</f>
        <v>0</v>
      </c>
      <c r="T29" s="80">
        <f>'IS (Before Changes)'!T29-'IS 3Q2022'!T29</f>
        <v>0</v>
      </c>
      <c r="U29" s="80">
        <f>'IS (Before Changes)'!U29-'IS 3Q2022'!U29</f>
        <v>0</v>
      </c>
      <c r="V29" s="80">
        <f>'IS (Before Changes)'!V29-'IS 3Q2022'!V29</f>
        <v>85.83467301721987</v>
      </c>
      <c r="W29" s="177">
        <f>'IS (Before Changes)'!W29-'IS 3Q2022'!W29</f>
        <v>85.834673017225214</v>
      </c>
      <c r="X29" s="80">
        <f>'IS (Before Changes)'!X29-'IS 3Q2022'!X29</f>
        <v>-12.992448820645336</v>
      </c>
      <c r="Y29" s="80">
        <f>'IS (Before Changes)'!Y29-'IS 3Q2022'!Y29</f>
        <v>6.5647055958970668</v>
      </c>
      <c r="Z29" s="80">
        <f>'IS (Before Changes)'!Z29-'IS 3Q2022'!Z29</f>
        <v>15.328926918578418</v>
      </c>
      <c r="AA29" s="80">
        <f>'IS (Before Changes)'!AA29-'IS 3Q2022'!AA29</f>
        <v>50.295504593836313</v>
      </c>
      <c r="AB29" s="81">
        <f>'IS (Before Changes)'!AB29-'IS 3Q2022'!AB29</f>
        <v>59.196688287654069</v>
      </c>
      <c r="AC29" s="80">
        <f>'IS (Before Changes)'!AC29-'IS 3Q2022'!AC29</f>
        <v>7.602171265062907</v>
      </c>
      <c r="AD29" s="80">
        <f>'IS (Before Changes)'!AD29-'IS 3Q2022'!AD29</f>
        <v>41.631857197391355</v>
      </c>
      <c r="AE29" s="80">
        <f>'IS (Before Changes)'!AE29-'IS 3Q2022'!AE29</f>
        <v>44.091599302333179</v>
      </c>
      <c r="AF29" s="80">
        <f>'IS (Before Changes)'!AF29-'IS 3Q2022'!AF29</f>
        <v>68.359584775391568</v>
      </c>
      <c r="AG29" s="81">
        <f>'IS (Before Changes)'!AG29-'IS 3Q2022'!AG29</f>
        <v>161.68521254018287</v>
      </c>
      <c r="AH29" s="80">
        <f>'IS (Before Changes)'!AH29-'IS 3Q2022'!AH29</f>
        <v>29.120994964623605</v>
      </c>
      <c r="AI29" s="80">
        <f>'IS (Before Changes)'!AI29-'IS 3Q2022'!AI29</f>
        <v>41.756801100773146</v>
      </c>
      <c r="AJ29" s="80">
        <f>'IS (Before Changes)'!AJ29-'IS 3Q2022'!AJ29</f>
        <v>44.446164492442449</v>
      </c>
      <c r="AK29" s="80">
        <f>'IS (Before Changes)'!AK29-'IS 3Q2022'!AK29</f>
        <v>61.757340952025743</v>
      </c>
      <c r="AL29" s="81">
        <f>'IS (Before Changes)'!AL29-'IS 3Q2022'!AL29</f>
        <v>177.0813015098629</v>
      </c>
      <c r="AM29" s="80">
        <f>'IS (Before Changes)'!AM29-'IS 3Q2022'!AM29</f>
        <v>20.781785336740768</v>
      </c>
      <c r="AN29" s="80">
        <f>'IS (Before Changes)'!AN29-'IS 3Q2022'!AN29</f>
        <v>34.989174148830216</v>
      </c>
      <c r="AO29" s="80">
        <f>'IS (Before Changes)'!AO29-'IS 3Q2022'!AO29</f>
        <v>37.93904643679366</v>
      </c>
      <c r="AP29" s="80">
        <f>'IS (Before Changes)'!AP29-'IS 3Q2022'!AP29</f>
        <v>58.899281989426072</v>
      </c>
      <c r="AQ29" s="81">
        <f>'IS (Before Changes)'!AQ29-'IS 3Q2022'!AQ29</f>
        <v>152.60928791177594</v>
      </c>
      <c r="AR29" s="80">
        <f>'IS (Before Changes)'!AR29-'IS 3Q2022'!AR29</f>
        <v>20.109288401449248</v>
      </c>
      <c r="AS29" s="80">
        <f>'IS (Before Changes)'!AS29-'IS 3Q2022'!AS29</f>
        <v>35.003343735232875</v>
      </c>
      <c r="AT29" s="80">
        <f>'IS (Before Changes)'!AT29-'IS 3Q2022'!AT29</f>
        <v>38.210459231770074</v>
      </c>
      <c r="AU29" s="80">
        <f>'IS (Before Changes)'!AU29-'IS 3Q2022'!AU29</f>
        <v>57.282075362768637</v>
      </c>
      <c r="AV29" s="81">
        <f>'IS (Before Changes)'!AV29-'IS 3Q2022'!AV29</f>
        <v>150.60516673121037</v>
      </c>
    </row>
    <row r="30" spans="1:48" x14ac:dyDescent="0.3">
      <c r="B30" s="486" t="s">
        <v>0</v>
      </c>
      <c r="C30" s="487"/>
      <c r="D30" s="101">
        <f>'IS (Before Changes)'!D30-'IS 3Q2022'!D30</f>
        <v>0</v>
      </c>
      <c r="E30" s="101">
        <f>'IS (Before Changes)'!E30-'IS 3Q2022'!E30</f>
        <v>0</v>
      </c>
      <c r="F30" s="101">
        <f>'IS (Before Changes)'!F30-'IS 3Q2022'!F30</f>
        <v>0</v>
      </c>
      <c r="G30" s="101">
        <f>'IS (Before Changes)'!G30-'IS 3Q2022'!G30</f>
        <v>0</v>
      </c>
      <c r="H30" s="169">
        <f>'IS (Before Changes)'!H30-'IS 3Q2022'!H30</f>
        <v>0</v>
      </c>
      <c r="I30" s="101">
        <f>'IS (Before Changes)'!I30-'IS 3Q2022'!I30</f>
        <v>0</v>
      </c>
      <c r="J30" s="101">
        <f>'IS (Before Changes)'!J30-'IS 3Q2022'!J30</f>
        <v>0</v>
      </c>
      <c r="K30" s="101">
        <f>'IS (Before Changes)'!K30-'IS 3Q2022'!K30</f>
        <v>0</v>
      </c>
      <c r="L30" s="101">
        <f>'IS (Before Changes)'!L30-'IS 3Q2022'!L30</f>
        <v>0</v>
      </c>
      <c r="M30" s="17">
        <f>'IS (Before Changes)'!M30-'IS 3Q2022'!M30</f>
        <v>0</v>
      </c>
      <c r="N30" s="101">
        <f>'IS (Before Changes)'!N30-'IS 3Q2022'!N30</f>
        <v>0</v>
      </c>
      <c r="O30" s="101">
        <f>'IS (Before Changes)'!O30-'IS 3Q2022'!O30</f>
        <v>0</v>
      </c>
      <c r="P30" s="101">
        <f>'IS (Before Changes)'!P30-'IS 3Q2022'!P30</f>
        <v>0</v>
      </c>
      <c r="Q30" s="101">
        <f>'IS (Before Changes)'!Q30-'IS 3Q2022'!Q30</f>
        <v>0</v>
      </c>
      <c r="R30" s="169">
        <f>'IS (Before Changes)'!R30-'IS 3Q2022'!R30</f>
        <v>0</v>
      </c>
      <c r="S30" s="16">
        <f>'IS (Before Changes)'!S30-'IS 3Q2022'!S30</f>
        <v>0</v>
      </c>
      <c r="T30" s="16">
        <f>'IS (Before Changes)'!T30-'IS 3Q2022'!T30</f>
        <v>0</v>
      </c>
      <c r="U30" s="16">
        <f>'IS (Before Changes)'!U30-'IS 3Q2022'!U30</f>
        <v>0</v>
      </c>
      <c r="V30" s="16">
        <f>'IS (Before Changes)'!V30-'IS 3Q2022'!V30</f>
        <v>-1.4381876352085783</v>
      </c>
      <c r="W30" s="169">
        <f>'IS (Before Changes)'!W30-'IS 3Q2022'!W30</f>
        <v>-0.53986635049909637</v>
      </c>
      <c r="X30" s="16">
        <f>'IS (Before Changes)'!X30-'IS 3Q2022'!X30</f>
        <v>-1.4410640104790673</v>
      </c>
      <c r="Y30" s="16">
        <f>'IS (Before Changes)'!Y30-'IS 3Q2022'!Y30</f>
        <v>-1.4439461384999959</v>
      </c>
      <c r="Z30" s="16">
        <f>'IS (Before Changes)'!Z30-'IS 3Q2022'!Z30</f>
        <v>-1.4468340307771541</v>
      </c>
      <c r="AA30" s="16">
        <f>'IS (Before Changes)'!AA30-'IS 3Q2022'!AA30</f>
        <v>-1.4497276988386147</v>
      </c>
      <c r="AB30" s="17">
        <f>'IS (Before Changes)'!AB30-'IS 3Q2022'!AB30</f>
        <v>-1.4049631644006695</v>
      </c>
      <c r="AC30" s="16">
        <f>'IS (Before Changes)'!AC30-'IS 3Q2022'!AC30</f>
        <v>-1.4526271542363247</v>
      </c>
      <c r="AD30" s="16">
        <f>'IS (Before Changes)'!AD30-'IS 3Q2022'!AD30</f>
        <v>-1.455532408544741</v>
      </c>
      <c r="AE30" s="16">
        <f>'IS (Before Changes)'!AE30-'IS 3Q2022'!AE30</f>
        <v>-1.4317099547888574</v>
      </c>
      <c r="AF30" s="16">
        <f>'IS (Before Changes)'!AF30-'IS 3Q2022'!AF30</f>
        <v>-1.4078398561252925</v>
      </c>
      <c r="AG30" s="17">
        <f>'IS (Before Changes)'!AG30-'IS 3Q2022'!AG30</f>
        <v>-1.4161982421890116</v>
      </c>
      <c r="AH30" s="16">
        <f>'IS (Before Changes)'!AH30-'IS 3Q2022'!AH30</f>
        <v>-1.3851950419584682</v>
      </c>
      <c r="AI30" s="16">
        <f>'IS (Before Changes)'!AI30-'IS 3Q2022'!AI30</f>
        <v>-1.3625049381632834</v>
      </c>
      <c r="AJ30" s="16">
        <f>'IS (Before Changes)'!AJ30-'IS 3Q2022'!AJ30</f>
        <v>-2.1681748021044314</v>
      </c>
      <c r="AK30" s="16">
        <f>'IS (Before Changes)'!AK30-'IS 3Q2022'!AK30</f>
        <v>-2.9754560057735944</v>
      </c>
      <c r="AL30" s="17">
        <f>'IS (Before Changes)'!AL30-'IS 3Q2022'!AL30</f>
        <v>-2.2142881146558011</v>
      </c>
      <c r="AM30" s="16">
        <f>'IS (Before Changes)'!AM30-'IS 3Q2022'!AM30</f>
        <v>-2.920334304536027</v>
      </c>
      <c r="AN30" s="16">
        <f>'IS (Before Changes)'!AN30-'IS 3Q2022'!AN30</f>
        <v>-2.8651023598959</v>
      </c>
      <c r="AO30" s="16">
        <f>'IS (Before Changes)'!AO30-'IS 3Q2022'!AO30</f>
        <v>-2.8097599513666864</v>
      </c>
      <c r="AP30" s="16">
        <f>'IS (Before Changes)'!AP30-'IS 3Q2022'!AP30</f>
        <v>-2.7543068580202998</v>
      </c>
      <c r="AQ30" s="17">
        <f>'IS (Before Changes)'!AQ30-'IS 3Q2022'!AQ30</f>
        <v>-2.8344500777152462</v>
      </c>
      <c r="AR30" s="16">
        <f>'IS (Before Changes)'!AR30-'IS 3Q2022'!AR30</f>
        <v>-2.699940360707842</v>
      </c>
      <c r="AS30" s="16">
        <f>'IS (Before Changes)'!AS30-'IS 3Q2022'!AS30</f>
        <v>-2.6454651304006802</v>
      </c>
      <c r="AT30" s="16">
        <f>'IS (Before Changes)'!AT30-'IS 3Q2022'!AT30</f>
        <v>-2.5908809496329468</v>
      </c>
      <c r="AU30" s="16">
        <f>'IS (Before Changes)'!AU30-'IS 3Q2022'!AU30</f>
        <v>-2.5361876005035811</v>
      </c>
      <c r="AV30" s="17">
        <f>'IS (Before Changes)'!AV30-'IS 3Q2022'!AV30</f>
        <v>-2.6149769806547738</v>
      </c>
    </row>
    <row r="31" spans="1:48" ht="15.75" customHeight="1" x14ac:dyDescent="0.3">
      <c r="B31" s="486" t="s">
        <v>1</v>
      </c>
      <c r="C31" s="487"/>
      <c r="D31" s="101">
        <f>'IS (Before Changes)'!D31-'IS 3Q2022'!D31</f>
        <v>0</v>
      </c>
      <c r="E31" s="101">
        <f>'IS (Before Changes)'!E31-'IS 3Q2022'!E31</f>
        <v>0</v>
      </c>
      <c r="F31" s="101">
        <f>'IS (Before Changes)'!F31-'IS 3Q2022'!F31</f>
        <v>0</v>
      </c>
      <c r="G31" s="101">
        <f>'IS (Before Changes)'!G31-'IS 3Q2022'!G31</f>
        <v>0</v>
      </c>
      <c r="H31" s="169">
        <f>'IS (Before Changes)'!H31-'IS 3Q2022'!H31</f>
        <v>0</v>
      </c>
      <c r="I31" s="101">
        <f>'IS (Before Changes)'!I31-'IS 3Q2022'!I31</f>
        <v>0</v>
      </c>
      <c r="J31" s="101">
        <f>'IS (Before Changes)'!J31-'IS 3Q2022'!J31</f>
        <v>0</v>
      </c>
      <c r="K31" s="101">
        <f>'IS (Before Changes)'!K31-'IS 3Q2022'!K31</f>
        <v>0</v>
      </c>
      <c r="L31" s="101">
        <f>'IS (Before Changes)'!L31-'IS 3Q2022'!L31</f>
        <v>0</v>
      </c>
      <c r="M31" s="17">
        <f>'IS (Before Changes)'!M31-'IS 3Q2022'!M31</f>
        <v>0</v>
      </c>
      <c r="N31" s="101">
        <f>'IS (Before Changes)'!N31-'IS 3Q2022'!N31</f>
        <v>0</v>
      </c>
      <c r="O31" s="101">
        <f>'IS (Before Changes)'!O31-'IS 3Q2022'!O31</f>
        <v>0</v>
      </c>
      <c r="P31" s="101">
        <f>'IS (Before Changes)'!P31-'IS 3Q2022'!P31</f>
        <v>0</v>
      </c>
      <c r="Q31" s="101">
        <f>'IS (Before Changes)'!Q31-'IS 3Q2022'!Q31</f>
        <v>0</v>
      </c>
      <c r="R31" s="169">
        <f>'IS (Before Changes)'!R31-'IS 3Q2022'!R31</f>
        <v>0</v>
      </c>
      <c r="S31" s="16">
        <f>'IS (Before Changes)'!S31-'IS 3Q2022'!S31</f>
        <v>0</v>
      </c>
      <c r="T31" s="16">
        <f>'IS (Before Changes)'!T31-'IS 3Q2022'!T31</f>
        <v>0</v>
      </c>
      <c r="U31" s="16">
        <f>'IS (Before Changes)'!U31-'IS 3Q2022'!U31</f>
        <v>0</v>
      </c>
      <c r="V31" s="16">
        <f>'IS (Before Changes)'!V31-'IS 3Q2022'!V31</f>
        <v>0.34900000000016007</v>
      </c>
      <c r="W31" s="169">
        <f>'IS (Before Changes)'!W31-'IS 3Q2022'!W31</f>
        <v>-0.122669064767706</v>
      </c>
      <c r="X31" s="16">
        <f>'IS (Before Changes)'!X31-'IS 3Q2022'!X31</f>
        <v>0.34934900000030211</v>
      </c>
      <c r="Y31" s="16">
        <f>'IS (Before Changes)'!Y31-'IS 3Q2022'!Y31</f>
        <v>0.34969834900039132</v>
      </c>
      <c r="Z31" s="16">
        <f>'IS (Before Changes)'!Z31-'IS 3Q2022'!Z31</f>
        <v>0.3500480473492189</v>
      </c>
      <c r="AA31" s="16">
        <f>'IS (Before Changes)'!AA31-'IS 3Q2022'!AA31</f>
        <v>0.35039809539671296</v>
      </c>
      <c r="AB31" s="17">
        <f>'IS (Before Changes)'!AB31-'IS 3Q2022'!AB31</f>
        <v>0.370384993371772</v>
      </c>
      <c r="AC31" s="16">
        <f>'IS (Before Changes)'!AC31-'IS 3Q2022'!AC31</f>
        <v>0.35074849349211945</v>
      </c>
      <c r="AD31" s="16">
        <f>'IS (Before Changes)'!AD31-'IS 3Q2022'!AD31</f>
        <v>0.35109924198559384</v>
      </c>
      <c r="AE31" s="16">
        <f>'IS (Before Changes)'!AE31-'IS 3Q2022'!AE31</f>
        <v>0.37818385980062885</v>
      </c>
      <c r="AF31" s="16">
        <f>'IS (Before Changes)'!AF31-'IS 3Q2022'!AF31</f>
        <v>0.40529556223350482</v>
      </c>
      <c r="AG31" s="17">
        <f>'IS (Before Changes)'!AG31-'IS 3Q2022'!AG31</f>
        <v>0.37906154894403699</v>
      </c>
      <c r="AH31" s="16">
        <f>'IS (Before Changes)'!AH31-'IS 3Q2022'!AH31</f>
        <v>0.43116135167474567</v>
      </c>
      <c r="AI31" s="16">
        <f>'IS (Before Changes)'!AI31-'IS 3Q2022'!AI31</f>
        <v>0.45705300690565309</v>
      </c>
      <c r="AJ31" s="16">
        <f>'IS (Before Changes)'!AJ31-'IS 3Q2022'!AJ31</f>
        <v>-0.34543479415242473</v>
      </c>
      <c r="AK31" s="16">
        <f>'IS (Before Changes)'!AK31-'IS 3Q2022'!AK31</f>
        <v>-1.1487250830114135</v>
      </c>
      <c r="AL31" s="17">
        <f>'IS (Before Changes)'!AL31-'IS 3Q2022'!AL31</f>
        <v>-0.40217840440595864</v>
      </c>
      <c r="AM31" s="16">
        <f>'IS (Before Changes)'!AM31-'IS 3Q2022'!AM31</f>
        <v>-1.0888011948454732</v>
      </c>
      <c r="AN31" s="16">
        <f>'IS (Before Changes)'!AN31-'IS 3Q2022'!AN31</f>
        <v>-1.0288173827912033</v>
      </c>
      <c r="AO31" s="16">
        <f>'IS (Before Changes)'!AO31-'IS 3Q2022'!AO31</f>
        <v>-0.96877358692495363</v>
      </c>
      <c r="AP31" s="16">
        <f>'IS (Before Changes)'!AP31-'IS 3Q2022'!AP31</f>
        <v>-0.90866974726282024</v>
      </c>
      <c r="AQ31" s="17">
        <f>'IS (Before Changes)'!AQ31-'IS 3Q2022'!AQ31</f>
        <v>-1.0056737481427263</v>
      </c>
      <c r="AR31" s="16">
        <f>'IS (Before Changes)'!AR31-'IS 3Q2022'!AR31</f>
        <v>-0.84970330598162036</v>
      </c>
      <c r="AS31" s="16">
        <f>'IS (Before Changes)'!AS31-'IS 3Q2022'!AS31</f>
        <v>-0.79067789825899126</v>
      </c>
      <c r="AT31" s="16">
        <f>'IS (Before Changes)'!AT31-'IS 3Q2022'!AT31</f>
        <v>-0.73159346512875345</v>
      </c>
      <c r="AU31" s="16">
        <f>'IS (Before Changes)'!AU31-'IS 3Q2022'!AU31</f>
        <v>-0.6724499475653829</v>
      </c>
      <c r="AV31" s="17">
        <f>'IS (Before Changes)'!AV31-'IS 3Q2022'!AV31</f>
        <v>-0.7669467438618085</v>
      </c>
    </row>
    <row r="32" spans="1:48" ht="15.75" customHeight="1" x14ac:dyDescent="0.3">
      <c r="B32" s="500" t="s">
        <v>6</v>
      </c>
      <c r="C32" s="501"/>
      <c r="D32" s="110">
        <f>'IS (Before Changes)'!D32-'IS 3Q2022'!D32</f>
        <v>0</v>
      </c>
      <c r="E32" s="110">
        <f>'IS (Before Changes)'!E32-'IS 3Q2022'!E32</f>
        <v>0</v>
      </c>
      <c r="F32" s="110">
        <f>'IS (Before Changes)'!F32-'IS 3Q2022'!F32</f>
        <v>0</v>
      </c>
      <c r="G32" s="110">
        <f>'IS (Before Changes)'!G32-'IS 3Q2022'!G32</f>
        <v>0</v>
      </c>
      <c r="H32" s="174">
        <f>'IS (Before Changes)'!H32-'IS 3Q2022'!H32</f>
        <v>0</v>
      </c>
      <c r="I32" s="110">
        <f>'IS (Before Changes)'!I32-'IS 3Q2022'!I32</f>
        <v>0</v>
      </c>
      <c r="J32" s="110">
        <f>'IS (Before Changes)'!J32-'IS 3Q2022'!J32</f>
        <v>0</v>
      </c>
      <c r="K32" s="110">
        <f>'IS (Before Changes)'!K32-'IS 3Q2022'!K32</f>
        <v>0</v>
      </c>
      <c r="L32" s="110">
        <f>'IS (Before Changes)'!L32-'IS 3Q2022'!L32</f>
        <v>0</v>
      </c>
      <c r="M32" s="25">
        <f>'IS (Before Changes)'!M32-'IS 3Q2022'!M32</f>
        <v>0</v>
      </c>
      <c r="N32" s="110">
        <f>'IS (Before Changes)'!N32-'IS 3Q2022'!N32</f>
        <v>0</v>
      </c>
      <c r="O32" s="110">
        <f>'IS (Before Changes)'!O32-'IS 3Q2022'!O32</f>
        <v>0</v>
      </c>
      <c r="P32" s="110">
        <f>'IS (Before Changes)'!P32-'IS 3Q2022'!P32</f>
        <v>0</v>
      </c>
      <c r="Q32" s="110">
        <f>'IS (Before Changes)'!Q32-'IS 3Q2022'!Q32</f>
        <v>0</v>
      </c>
      <c r="R32" s="174">
        <f>'IS (Before Changes)'!R32-'IS 3Q2022'!R32</f>
        <v>0</v>
      </c>
      <c r="S32" s="24">
        <f>'IS (Before Changes)'!S32-'IS 3Q2022'!S32</f>
        <v>0</v>
      </c>
      <c r="T32" s="24">
        <f>'IS (Before Changes)'!T32-'IS 3Q2022'!T32</f>
        <v>0</v>
      </c>
      <c r="U32" s="24">
        <f>'IS (Before Changes)'!U32-'IS 3Q2022'!U32</f>
        <v>0</v>
      </c>
      <c r="V32" s="24">
        <f>'IS (Before Changes)'!V32-'IS 3Q2022'!V32</f>
        <v>9.8341304919690287E-2</v>
      </c>
      <c r="W32" s="174">
        <f>'IS (Before Changes)'!W32-'IS 3Q2022'!W32</f>
        <v>9.8331699475697754E-2</v>
      </c>
      <c r="X32" s="24">
        <f>'IS (Before Changes)'!X32-'IS 3Q2022'!X32</f>
        <v>2.2563443824363705E-2</v>
      </c>
      <c r="Y32" s="24">
        <f>'IS (Before Changes)'!Y32-'IS 3Q2022'!Y32</f>
        <v>3.9382238646210932E-2</v>
      </c>
      <c r="Z32" s="24">
        <f>'IS (Before Changes)'!Z32-'IS 3Q2022'!Z32</f>
        <v>4.7140024500622046E-2</v>
      </c>
      <c r="AA32" s="24">
        <f>'IS (Before Changes)'!AA32-'IS 3Q2022'!AA32</f>
        <v>7.7340144350944828E-2</v>
      </c>
      <c r="AB32" s="25">
        <f>'IS (Before Changes)'!AB32-'IS 3Q2022'!AB32</f>
        <v>0.18642495481126531</v>
      </c>
      <c r="AC32" s="24">
        <f>'IS (Before Changes)'!AC32-'IS 3Q2022'!AC32</f>
        <v>4.039136105565222E-2</v>
      </c>
      <c r="AD32" s="24">
        <f>'IS (Before Changes)'!AD32-'IS 3Q2022'!AD32</f>
        <v>5.0203645849370759E-2</v>
      </c>
      <c r="AE32" s="24">
        <f>'IS (Before Changes)'!AE32-'IS 3Q2022'!AE32</f>
        <v>5.2477859103396085E-2</v>
      </c>
      <c r="AF32" s="24">
        <f>'IS (Before Changes)'!AF32-'IS 3Q2022'!AF32</f>
        <v>7.3215511829786806E-2</v>
      </c>
      <c r="AG32" s="25">
        <f>'IS (Before Changes)'!AG32-'IS 3Q2022'!AG32</f>
        <v>0.21628759329872072</v>
      </c>
      <c r="AH32" s="24">
        <f>'IS (Before Changes)'!AH32-'IS 3Q2022'!AH32</f>
        <v>3.9635687060353142E-2</v>
      </c>
      <c r="AI32" s="24">
        <f>'IS (Before Changes)'!AI32-'IS 3Q2022'!AI32</f>
        <v>5.0168825821784613E-2</v>
      </c>
      <c r="AJ32" s="24">
        <f>'IS (Before Changes)'!AJ32-'IS 3Q2022'!AJ32</f>
        <v>5.577736918516818E-2</v>
      </c>
      <c r="AK32" s="24">
        <f>'IS (Before Changes)'!AK32-'IS 3Q2022'!AK32</f>
        <v>7.4889354695198529E-2</v>
      </c>
      <c r="AL32" s="25">
        <f>'IS (Before Changes)'!AL32-'IS 3Q2022'!AL32</f>
        <v>0.22004364977771118</v>
      </c>
      <c r="AM32" s="24">
        <f>'IS (Before Changes)'!AM32-'IS 3Q2022'!AM32</f>
        <v>3.7150060326382572E-2</v>
      </c>
      <c r="AN32" s="24">
        <f>'IS (Before Changes)'!AN32-'IS 3Q2022'!AN32</f>
        <v>4.9627171591216657E-2</v>
      </c>
      <c r="AO32" s="24">
        <f>'IS (Before Changes)'!AO32-'IS 3Q2022'!AO32</f>
        <v>5.3068190901927714E-2</v>
      </c>
      <c r="AP32" s="24">
        <f>'IS (Before Changes)'!AP32-'IS 3Q2022'!AP32</f>
        <v>7.2219336973871284E-2</v>
      </c>
      <c r="AQ32" s="25">
        <f>'IS (Before Changes)'!AQ32-'IS 3Q2022'!AQ32</f>
        <v>0.21206469043896004</v>
      </c>
      <c r="AR32" s="24">
        <f>'IS (Before Changes)'!AR32-'IS 3Q2022'!AR32</f>
        <v>3.6485020723147965E-2</v>
      </c>
      <c r="AS32" s="24">
        <f>'IS (Before Changes)'!AS32-'IS 3Q2022'!AS32</f>
        <v>4.959653537612585E-2</v>
      </c>
      <c r="AT32" s="24">
        <f>'IS (Before Changes)'!AT32-'IS 3Q2022'!AT32</f>
        <v>5.3250895267293208E-2</v>
      </c>
      <c r="AU32" s="24">
        <f>'IS (Before Changes)'!AU32-'IS 3Q2022'!AU32</f>
        <v>7.0646404762465975E-2</v>
      </c>
      <c r="AV32" s="25">
        <f>'IS (Before Changes)'!AV32-'IS 3Q2022'!AV32</f>
        <v>0.20997875300470881</v>
      </c>
    </row>
    <row r="33" spans="2:48" x14ac:dyDescent="0.3">
      <c r="B33" s="500" t="s">
        <v>7</v>
      </c>
      <c r="C33" s="501"/>
      <c r="D33" s="110">
        <f>'IS (Before Changes)'!D33-'IS 3Q2022'!D33</f>
        <v>0</v>
      </c>
      <c r="E33" s="110">
        <f>'IS (Before Changes)'!E33-'IS 3Q2022'!E33</f>
        <v>0</v>
      </c>
      <c r="F33" s="110">
        <f>'IS (Before Changes)'!F33-'IS 3Q2022'!F33</f>
        <v>0</v>
      </c>
      <c r="G33" s="110">
        <f>'IS (Before Changes)'!G33-'IS 3Q2022'!G33</f>
        <v>0</v>
      </c>
      <c r="H33" s="174">
        <f>'IS (Before Changes)'!H33-'IS 3Q2022'!H33</f>
        <v>0</v>
      </c>
      <c r="I33" s="110">
        <f>'IS (Before Changes)'!I33-'IS 3Q2022'!I33</f>
        <v>0</v>
      </c>
      <c r="J33" s="110">
        <f>'IS (Before Changes)'!J33-'IS 3Q2022'!J33</f>
        <v>0</v>
      </c>
      <c r="K33" s="110">
        <f>'IS (Before Changes)'!K33-'IS 3Q2022'!K33</f>
        <v>0</v>
      </c>
      <c r="L33" s="110">
        <f>'IS (Before Changes)'!L33-'IS 3Q2022'!L33</f>
        <v>0</v>
      </c>
      <c r="M33" s="174">
        <f>'IS (Before Changes)'!M33-'IS 3Q2022'!M33</f>
        <v>0</v>
      </c>
      <c r="N33" s="110">
        <f>'IS (Before Changes)'!N33-'IS 3Q2022'!N33</f>
        <v>0</v>
      </c>
      <c r="O33" s="110">
        <f>'IS (Before Changes)'!O33-'IS 3Q2022'!O33</f>
        <v>0</v>
      </c>
      <c r="P33" s="110">
        <f>'IS (Before Changes)'!P33-'IS 3Q2022'!P33</f>
        <v>0</v>
      </c>
      <c r="Q33" s="110">
        <f>'IS (Before Changes)'!Q33-'IS 3Q2022'!Q33</f>
        <v>0</v>
      </c>
      <c r="R33" s="174">
        <f>'IS (Before Changes)'!R33-'IS 3Q2022'!R33</f>
        <v>0</v>
      </c>
      <c r="S33" s="24">
        <f>'IS (Before Changes)'!S33-'IS 3Q2022'!S33</f>
        <v>0</v>
      </c>
      <c r="T33" s="24">
        <f>'IS (Before Changes)'!T33-'IS 3Q2022'!T33</f>
        <v>0</v>
      </c>
      <c r="U33" s="24">
        <f>'IS (Before Changes)'!U33-'IS 3Q2022'!U33</f>
        <v>0</v>
      </c>
      <c r="V33" s="24">
        <f>'IS (Before Changes)'!V33-'IS 3Q2022'!V33</f>
        <v>9.6911880192749211E-2</v>
      </c>
      <c r="W33" s="174">
        <f>'IS (Before Changes)'!W33-'IS 3Q2022'!W33</f>
        <v>9.6911455214538478E-2</v>
      </c>
      <c r="X33" s="24">
        <f>'IS (Before Changes)'!X33-'IS 3Q2022'!X33</f>
        <v>2.1408929375513641E-2</v>
      </c>
      <c r="Y33" s="24">
        <f>'IS (Before Changes)'!Y33-'IS 3Q2022'!Y33</f>
        <v>3.8244843882157542E-2</v>
      </c>
      <c r="Z33" s="24">
        <f>'IS (Before Changes)'!Z33-'IS 3Q2022'!Z33</f>
        <v>4.5728738625045229E-2</v>
      </c>
      <c r="AA33" s="24">
        <f>'IS (Before Changes)'!AA33-'IS 3Q2022'!AA33</f>
        <v>7.5883807244220614E-2</v>
      </c>
      <c r="AB33" s="25">
        <f>'IS (Before Changes)'!AB33-'IS 3Q2022'!AB33</f>
        <v>0.18126610122449938</v>
      </c>
      <c r="AC33" s="24">
        <f>'IS (Before Changes)'!AC33-'IS 3Q2022'!AC33</f>
        <v>3.8941324430953439E-2</v>
      </c>
      <c r="AD33" s="24">
        <f>'IS (Before Changes)'!AD33-'IS 3Q2022'!AD33</f>
        <v>4.9076996637370751E-2</v>
      </c>
      <c r="AE33" s="24">
        <f>'IS (Before Changes)'!AE33-'IS 3Q2022'!AE33</f>
        <v>5.1104610744913681E-2</v>
      </c>
      <c r="AF33" s="24">
        <f>'IS (Before Changes)'!AF33-'IS 3Q2022'!AF33</f>
        <v>7.1995031790213271E-2</v>
      </c>
      <c r="AG33" s="25">
        <f>'IS (Before Changes)'!AG33-'IS 3Q2022'!AG33</f>
        <v>0.21111784226390196</v>
      </c>
      <c r="AH33" s="24">
        <f>'IS (Before Changes)'!AH33-'IS 3Q2022'!AH33</f>
        <v>3.8078090738722148E-2</v>
      </c>
      <c r="AI33" s="24">
        <f>'IS (Before Changes)'!AI33-'IS 3Q2022'!AI33</f>
        <v>4.9003258398857774E-2</v>
      </c>
      <c r="AJ33" s="24">
        <f>'IS (Before Changes)'!AJ33-'IS 3Q2022'!AJ33</f>
        <v>5.4155786089010061E-2</v>
      </c>
      <c r="AK33" s="24">
        <f>'IS (Before Changes)'!AK33-'IS 3Q2022'!AK33</f>
        <v>7.3492455852723682E-2</v>
      </c>
      <c r="AL33" s="25">
        <f>'IS (Before Changes)'!AL33-'IS 3Q2022'!AL33</f>
        <v>0.21429321705432613</v>
      </c>
      <c r="AM33" s="24">
        <f>'IS (Before Changes)'!AM33-'IS 3Q2022'!AM33</f>
        <v>3.5294011674174897E-2</v>
      </c>
      <c r="AN33" s="24">
        <f>'IS (Before Changes)'!AN33-'IS 3Q2022'!AN33</f>
        <v>4.8322435336128899E-2</v>
      </c>
      <c r="AO33" s="24">
        <f>'IS (Before Changes)'!AO33-'IS 3Q2022'!AO33</f>
        <v>5.1340560854883366E-2</v>
      </c>
      <c r="AP33" s="24">
        <f>'IS (Before Changes)'!AP33-'IS 3Q2022'!AP33</f>
        <v>7.0895678608538404E-2</v>
      </c>
      <c r="AQ33" s="25">
        <f>'IS (Before Changes)'!AQ33-'IS 3Q2022'!AQ33</f>
        <v>0.20585314824631951</v>
      </c>
      <c r="AR33" s="24">
        <f>'IS (Before Changes)'!AR33-'IS 3Q2022'!AR33</f>
        <v>3.457630717970539E-2</v>
      </c>
      <c r="AS33" s="24">
        <f>'IS (Before Changes)'!AS33-'IS 3Q2022'!AS33</f>
        <v>4.8328732579043576E-2</v>
      </c>
      <c r="AT33" s="24">
        <f>'IS (Before Changes)'!AT33-'IS 3Q2022'!AT33</f>
        <v>5.1539672244785839E-2</v>
      </c>
      <c r="AU33" s="24">
        <f>'IS (Before Changes)'!AU33-'IS 3Q2022'!AU33</f>
        <v>6.9393525929944522E-2</v>
      </c>
      <c r="AV33" s="25">
        <f>'IS (Before Changes)'!AV33-'IS 3Q2022'!AV33</f>
        <v>0.20383874067524577</v>
      </c>
    </row>
    <row r="34" spans="2:48" x14ac:dyDescent="0.3">
      <c r="B34" s="93" t="s">
        <v>74</v>
      </c>
      <c r="C34" s="100"/>
      <c r="D34" s="111">
        <f>'IS (Before Changes)'!D34-'IS 3Q2022'!D34</f>
        <v>0</v>
      </c>
      <c r="E34" s="111">
        <f>'IS (Before Changes)'!E34-'IS 3Q2022'!E34</f>
        <v>0</v>
      </c>
      <c r="F34" s="111">
        <f>'IS (Before Changes)'!F34-'IS 3Q2022'!F34</f>
        <v>0</v>
      </c>
      <c r="G34" s="111">
        <f>'IS (Before Changes)'!G34-'IS 3Q2022'!G34</f>
        <v>0</v>
      </c>
      <c r="H34" s="172">
        <f>'IS (Before Changes)'!H34-'IS 3Q2022'!H34</f>
        <v>0</v>
      </c>
      <c r="I34" s="111">
        <f>'IS (Before Changes)'!I34-'IS 3Q2022'!I34</f>
        <v>0</v>
      </c>
      <c r="J34" s="111">
        <f>'IS (Before Changes)'!J34-'IS 3Q2022'!J34</f>
        <v>0</v>
      </c>
      <c r="K34" s="111">
        <f>'IS (Before Changes)'!K34-'IS 3Q2022'!K34</f>
        <v>0</v>
      </c>
      <c r="L34" s="111">
        <f>'IS (Before Changes)'!L34-'IS 3Q2022'!L34</f>
        <v>0</v>
      </c>
      <c r="M34" s="172">
        <f>'IS (Before Changes)'!M34-'IS 3Q2022'!M34</f>
        <v>0</v>
      </c>
      <c r="N34" s="111">
        <f>'IS (Before Changes)'!N34-'IS 3Q2022'!N34</f>
        <v>0</v>
      </c>
      <c r="O34" s="111">
        <f>'IS (Before Changes)'!O34-'IS 3Q2022'!O34</f>
        <v>0</v>
      </c>
      <c r="P34" s="111">
        <f>'IS (Before Changes)'!P34-'IS 3Q2022'!P34</f>
        <v>0</v>
      </c>
      <c r="Q34" s="111">
        <f>'IS (Before Changes)'!Q34-'IS 3Q2022'!Q34</f>
        <v>0</v>
      </c>
      <c r="R34" s="172">
        <f>'IS (Before Changes)'!R34-'IS 3Q2022'!R34</f>
        <v>0</v>
      </c>
      <c r="S34" s="111">
        <f>'IS (Before Changes)'!S34-'IS 3Q2022'!S34</f>
        <v>0</v>
      </c>
      <c r="T34" s="111">
        <f>'IS (Before Changes)'!T34-'IS 3Q2022'!T34</f>
        <v>0</v>
      </c>
      <c r="U34" s="111">
        <f>'IS (Before Changes)'!U34-'IS 3Q2022'!U34</f>
        <v>0</v>
      </c>
      <c r="V34" s="419">
        <f>'IS (Before Changes)'!V34-'IS 3Q2022'!V34</f>
        <v>7.4254528856595781E-2</v>
      </c>
      <c r="W34" s="172">
        <f>'IS (Before Changes)'!W34-'IS 3Q2022'!W34</f>
        <v>7.4405018424122282E-2</v>
      </c>
      <c r="X34" s="82">
        <f>'IS (Before Changes)'!X34-'IS 3Q2022'!X34</f>
        <v>-1.1494711719493012E-2</v>
      </c>
      <c r="Y34" s="82">
        <f>'IS (Before Changes)'!Y34-'IS 3Q2022'!Y34</f>
        <v>5.466862532690242E-3</v>
      </c>
      <c r="Z34" s="82">
        <f>'IS (Before Changes)'!Z34-'IS 3Q2022'!Z34</f>
        <v>1.2983502511691336E-2</v>
      </c>
      <c r="AA34" s="82">
        <f>'IS (Before Changes)'!AA34-'IS 3Q2022'!AA34</f>
        <v>4.3171283654456438E-2</v>
      </c>
      <c r="AB34" s="83">
        <f>'IS (Before Changes)'!AB34-'IS 3Q2022'!AB34</f>
        <v>5.014479101108904E-2</v>
      </c>
      <c r="AC34" s="82">
        <f>'IS (Before Changes)'!AC34-'IS 3Q2022'!AC34</f>
        <v>6.261480684934928E-3</v>
      </c>
      <c r="AD34" s="82">
        <f>'IS (Before Changes)'!AD34-'IS 3Q2022'!AD34</f>
        <v>3.5656649841225629E-2</v>
      </c>
      <c r="AE34" s="82">
        <f>'IS (Before Changes)'!AE34-'IS 3Q2022'!AE34</f>
        <v>3.7686508347878567E-2</v>
      </c>
      <c r="AF34" s="82">
        <f>'IS (Before Changes)'!AF34-'IS 3Q2022'!AF34</f>
        <v>5.8579175364709135E-2</v>
      </c>
      <c r="AG34" s="83">
        <f>'IS (Before Changes)'!AG34-'IS 3Q2022'!AG34</f>
        <v>0.13820096049090358</v>
      </c>
      <c r="AH34" s="82">
        <f>'IS (Before Changes)'!AH34-'IS 3Q2022'!AH34</f>
        <v>2.466501346302663E-2</v>
      </c>
      <c r="AI34" s="82">
        <f>'IS (Before Changes)'!AI34-'IS 3Q2022'!AI34</f>
        <v>3.5592961971619097E-2</v>
      </c>
      <c r="AJ34" s="82">
        <f>'IS (Before Changes)'!AJ34-'IS 3Q2022'!AJ34</f>
        <v>4.0235040280514944E-2</v>
      </c>
      <c r="AK34" s="82">
        <f>'IS (Before Changes)'!AK34-'IS 3Q2022'!AK34</f>
        <v>5.9020379493089692E-2</v>
      </c>
      <c r="AL34" s="415">
        <f>'IS (Before Changes)'!AL34-'IS 3Q2022'!AL34</f>
        <v>0.15907680910656463</v>
      </c>
      <c r="AM34" s="82">
        <f>'IS (Before Changes)'!AM34-'IS 3Q2022'!AM34</f>
        <v>2.0806690292278551E-2</v>
      </c>
      <c r="AN34" s="82">
        <f>'IS (Before Changes)'!AN34-'IS 3Q2022'!AN34</f>
        <v>3.3819821971502684E-2</v>
      </c>
      <c r="AO34" s="82">
        <f>'IS (Before Changes)'!AO34-'IS 3Q2022'!AO34</f>
        <v>3.6822608338595852E-2</v>
      </c>
      <c r="AP34" s="82">
        <f>'IS (Before Changes)'!AP34-'IS 3Q2022'!AP34</f>
        <v>5.6362339561963681E-2</v>
      </c>
      <c r="AQ34" s="83">
        <f>'IS (Before Changes)'!AQ34-'IS 3Q2022'!AQ34</f>
        <v>0.1478110160234527</v>
      </c>
      <c r="AR34" s="82">
        <f>'IS (Before Changes)'!AR34-'IS 3Q2022'!AR34</f>
        <v>2.0028122508914281E-2</v>
      </c>
      <c r="AS34" s="82">
        <f>'IS (Before Changes)'!AS34-'IS 3Q2022'!AS34</f>
        <v>3.3765657511088953E-2</v>
      </c>
      <c r="AT34" s="82">
        <f>'IS (Before Changes)'!AT34-'IS 3Q2022'!AT34</f>
        <v>3.6961661812459301E-2</v>
      </c>
      <c r="AU34" s="82">
        <f>'IS (Before Changes)'!AU34-'IS 3Q2022'!AU34</f>
        <v>5.4800534970661285E-2</v>
      </c>
      <c r="AV34" s="83">
        <f>'IS (Before Changes)'!AV34-'IS 3Q2022'!AV34</f>
        <v>0.14555550301076536</v>
      </c>
    </row>
    <row r="35" spans="2:48" x14ac:dyDescent="0.3">
      <c r="B35" s="38" t="s">
        <v>41</v>
      </c>
      <c r="C35" s="207"/>
      <c r="D35" s="239">
        <f>'IS (Before Changes)'!D35-'IS 3Q2022'!D35</f>
        <v>0</v>
      </c>
      <c r="E35" s="239">
        <f>'IS (Before Changes)'!E35-'IS 3Q2022'!E35</f>
        <v>0</v>
      </c>
      <c r="F35" s="239">
        <f>'IS (Before Changes)'!F35-'IS 3Q2022'!F35</f>
        <v>0</v>
      </c>
      <c r="G35" s="239">
        <f>'IS (Before Changes)'!G35-'IS 3Q2022'!G35</f>
        <v>0</v>
      </c>
      <c r="H35" s="174">
        <f>'IS (Before Changes)'!H35-'IS 3Q2022'!H35</f>
        <v>0</v>
      </c>
      <c r="I35" s="239">
        <f>'IS (Before Changes)'!I35-'IS 3Q2022'!I35</f>
        <v>0</v>
      </c>
      <c r="J35" s="239">
        <f>'IS (Before Changes)'!J35-'IS 3Q2022'!J35</f>
        <v>0</v>
      </c>
      <c r="K35" s="239">
        <f>'IS (Before Changes)'!K35-'IS 3Q2022'!K35</f>
        <v>0</v>
      </c>
      <c r="L35" s="239">
        <f>'IS (Before Changes)'!L35-'IS 3Q2022'!L35</f>
        <v>0</v>
      </c>
      <c r="M35" s="25">
        <f>'IS (Before Changes)'!M35-'IS 3Q2022'!M35</f>
        <v>0</v>
      </c>
      <c r="N35" s="239">
        <f>'IS (Before Changes)'!N35-'IS 3Q2022'!N35</f>
        <v>0</v>
      </c>
      <c r="O35" s="239">
        <f>'IS (Before Changes)'!O35-'IS 3Q2022'!O35</f>
        <v>0</v>
      </c>
      <c r="P35" s="239">
        <f>'IS (Before Changes)'!P35-'IS 3Q2022'!P35</f>
        <v>0</v>
      </c>
      <c r="Q35" s="239">
        <f>'IS (Before Changes)'!Q35-'IS 3Q2022'!Q35</f>
        <v>0</v>
      </c>
      <c r="R35" s="25">
        <f>'IS (Before Changes)'!R35-'IS 3Q2022'!R35</f>
        <v>0</v>
      </c>
      <c r="S35" s="239">
        <f>'IS (Before Changes)'!S35-'IS 3Q2022'!S35</f>
        <v>0</v>
      </c>
      <c r="T35" s="239">
        <f>'IS (Before Changes)'!T35-'IS 3Q2022'!T35</f>
        <v>0</v>
      </c>
      <c r="U35" s="239">
        <f>'IS (Before Changes)'!U35-'IS 3Q2022'!U35</f>
        <v>0</v>
      </c>
      <c r="V35" s="240">
        <f>'IS (Before Changes)'!V35-'IS 3Q2022'!V35</f>
        <v>1.5500000000000069E-2</v>
      </c>
      <c r="W35" s="25">
        <f>'IS (Before Changes)'!W35-'IS 3Q2022'!W35</f>
        <v>1.5500000000000069E-2</v>
      </c>
      <c r="X35" s="240">
        <f>'IS (Before Changes)'!X35-'IS 3Q2022'!X35</f>
        <v>1.5500000000000069E-2</v>
      </c>
      <c r="Y35" s="240">
        <f>'IS (Before Changes)'!Y35-'IS 3Q2022'!Y35</f>
        <v>1.5500000000000069E-2</v>
      </c>
      <c r="Z35" s="240">
        <f>'IS (Before Changes)'!Z35-'IS 3Q2022'!Z35</f>
        <v>1.5500000000000069E-2</v>
      </c>
      <c r="AA35" s="240">
        <f>'IS (Before Changes)'!AA35-'IS 3Q2022'!AA35</f>
        <v>1.627500000000015E-2</v>
      </c>
      <c r="AB35" s="25">
        <f>'IS (Before Changes)'!AB35-'IS 3Q2022'!AB35</f>
        <v>6.2775000000000247E-2</v>
      </c>
      <c r="AC35" s="240">
        <f>'IS (Before Changes)'!AC35-'IS 3Q2022'!AC35</f>
        <v>1.627500000000015E-2</v>
      </c>
      <c r="AD35" s="240">
        <f>'IS (Before Changes)'!AD35-'IS 3Q2022'!AD35</f>
        <v>1.627500000000015E-2</v>
      </c>
      <c r="AE35" s="240">
        <f>'IS (Before Changes)'!AE35-'IS 3Q2022'!AE35</f>
        <v>1.627500000000015E-2</v>
      </c>
      <c r="AF35" s="240">
        <f>'IS (Before Changes)'!AF35-'IS 3Q2022'!AF35</f>
        <v>1.7088750000000097E-2</v>
      </c>
      <c r="AG35" s="25">
        <f>'IS (Before Changes)'!AG35-'IS 3Q2022'!AG35</f>
        <v>6.5913750000000437E-2</v>
      </c>
      <c r="AH35" s="240">
        <f>'IS (Before Changes)'!AH35-'IS 3Q2022'!AH35</f>
        <v>1.7088750000000097E-2</v>
      </c>
      <c r="AI35" s="240">
        <f>'IS (Before Changes)'!AI35-'IS 3Q2022'!AI35</f>
        <v>1.7088750000000097E-2</v>
      </c>
      <c r="AJ35" s="240">
        <f>'IS (Before Changes)'!AJ35-'IS 3Q2022'!AJ35</f>
        <v>1.7088750000000097E-2</v>
      </c>
      <c r="AK35" s="240">
        <f>'IS (Before Changes)'!AK35-'IS 3Q2022'!AK35</f>
        <v>1.7943187500000124E-2</v>
      </c>
      <c r="AL35" s="25">
        <f>'IS (Before Changes)'!AL35-'IS 3Q2022'!AL35</f>
        <v>6.9209437500000082E-2</v>
      </c>
      <c r="AM35" s="240">
        <f>'IS (Before Changes)'!AM35-'IS 3Q2022'!AM35</f>
        <v>1.7943187500000124E-2</v>
      </c>
      <c r="AN35" s="240">
        <f>'IS (Before Changes)'!AN35-'IS 3Q2022'!AN35</f>
        <v>1.7943187500000124E-2</v>
      </c>
      <c r="AO35" s="240">
        <f>'IS (Before Changes)'!AO35-'IS 3Q2022'!AO35</f>
        <v>1.7943187500000124E-2</v>
      </c>
      <c r="AP35" s="240">
        <f>'IS (Before Changes)'!AP35-'IS 3Q2022'!AP35</f>
        <v>1.8302051250000062E-2</v>
      </c>
      <c r="AQ35" s="25">
        <f>'IS (Before Changes)'!AQ35-'IS 3Q2022'!AQ35</f>
        <v>7.2131613750000323E-2</v>
      </c>
      <c r="AR35" s="240">
        <f>'IS (Before Changes)'!AR35-'IS 3Q2022'!AR35</f>
        <v>1.8302051250000062E-2</v>
      </c>
      <c r="AS35" s="240">
        <f>'IS (Before Changes)'!AS35-'IS 3Q2022'!AS35</f>
        <v>1.8302051250000062E-2</v>
      </c>
      <c r="AT35" s="240">
        <f>'IS (Before Changes)'!AT35-'IS 3Q2022'!AT35</f>
        <v>1.8302051250000062E-2</v>
      </c>
      <c r="AU35" s="240">
        <f>'IS (Before Changes)'!AU35-'IS 3Q2022'!AU35</f>
        <v>1.8668092274999992E-2</v>
      </c>
      <c r="AV35" s="25">
        <f>'IS (Before Changes)'!AV35-'IS 3Q2022'!AV35</f>
        <v>7.3574246025000178E-2</v>
      </c>
    </row>
    <row r="36" spans="2:48" s="241" customFormat="1" x14ac:dyDescent="0.3">
      <c r="B36" s="242" t="s">
        <v>170</v>
      </c>
      <c r="C36" s="243"/>
      <c r="D36" s="211">
        <f>'IS (Before Changes)'!D36-'IS 3Q2022'!D36</f>
        <v>0</v>
      </c>
      <c r="E36" s="211">
        <f>'IS (Before Changes)'!E36-'IS 3Q2022'!E36</f>
        <v>0</v>
      </c>
      <c r="F36" s="211">
        <f>'IS (Before Changes)'!F36-'IS 3Q2022'!F36</f>
        <v>0</v>
      </c>
      <c r="G36" s="211">
        <f>'IS (Before Changes)'!G36-'IS 3Q2022'!G36</f>
        <v>0</v>
      </c>
      <c r="H36" s="244">
        <f>'IS (Before Changes)'!H36-'IS 3Q2022'!H36</f>
        <v>0</v>
      </c>
      <c r="I36" s="211">
        <f>'IS (Before Changes)'!I36-'IS 3Q2022'!I36</f>
        <v>0</v>
      </c>
      <c r="J36" s="211">
        <f>'IS (Before Changes)'!J36-'IS 3Q2022'!J36</f>
        <v>0</v>
      </c>
      <c r="K36" s="211">
        <f>'IS (Before Changes)'!K36-'IS 3Q2022'!K36</f>
        <v>0</v>
      </c>
      <c r="L36" s="211">
        <f>'IS (Before Changes)'!L36-'IS 3Q2022'!L36</f>
        <v>0</v>
      </c>
      <c r="M36" s="244">
        <f>'IS (Before Changes)'!M36-'IS 3Q2022'!M36</f>
        <v>0</v>
      </c>
      <c r="N36" s="211">
        <f>'IS (Before Changes)'!N36-'IS 3Q2022'!N36</f>
        <v>0</v>
      </c>
      <c r="O36" s="211">
        <f>'IS (Before Changes)'!O36-'IS 3Q2022'!O36</f>
        <v>0</v>
      </c>
      <c r="P36" s="211">
        <f>'IS (Before Changes)'!P36-'IS 3Q2022'!P36</f>
        <v>0</v>
      </c>
      <c r="Q36" s="211">
        <f>'IS (Before Changes)'!Q36-'IS 3Q2022'!Q36</f>
        <v>0</v>
      </c>
      <c r="R36" s="244">
        <f>'IS (Before Changes)'!R36-'IS 3Q2022'!R36</f>
        <v>0</v>
      </c>
      <c r="S36" s="211">
        <f>'IS (Before Changes)'!S36-'IS 3Q2022'!S36</f>
        <v>0</v>
      </c>
      <c r="T36" s="211">
        <f>'IS (Before Changes)'!T36-'IS 3Q2022'!T36</f>
        <v>0</v>
      </c>
      <c r="U36" s="211">
        <f>'IS (Before Changes)'!U36-'IS 3Q2022'!U36</f>
        <v>0</v>
      </c>
      <c r="V36" s="211">
        <f>'IS (Before Changes)'!V36-'IS 3Q2022'!V36</f>
        <v>0</v>
      </c>
      <c r="W36" s="244">
        <f>'IS (Before Changes)'!W36-'IS 3Q2022'!W36</f>
        <v>-1.9342008531241794E-2</v>
      </c>
      <c r="X36" s="211">
        <f>'IS (Before Changes)'!X36-'IS 3Q2022'!X36</f>
        <v>0</v>
      </c>
      <c r="Y36" s="211">
        <f>'IS (Before Changes)'!Y36-'IS 3Q2022'!Y36</f>
        <v>0</v>
      </c>
      <c r="Z36" s="211">
        <f>'IS (Before Changes)'!Z36-'IS 3Q2022'!Z36</f>
        <v>0</v>
      </c>
      <c r="AA36" s="211">
        <f>'IS (Before Changes)'!AA36-'IS 3Q2022'!AA36</f>
        <v>0</v>
      </c>
      <c r="AB36" s="244">
        <f>'IS (Before Changes)'!AB36-'IS 3Q2022'!AB36</f>
        <v>-1.6484310865716667E-2</v>
      </c>
      <c r="AC36" s="211">
        <f>'IS (Before Changes)'!AC36-'IS 3Q2022'!AC36</f>
        <v>0</v>
      </c>
      <c r="AD36" s="211">
        <f>'IS (Before Changes)'!AD36-'IS 3Q2022'!AD36</f>
        <v>0</v>
      </c>
      <c r="AE36" s="211">
        <f>'IS (Before Changes)'!AE36-'IS 3Q2022'!AE36</f>
        <v>0</v>
      </c>
      <c r="AF36" s="211">
        <f>'IS (Before Changes)'!AF36-'IS 3Q2022'!AF36</f>
        <v>0</v>
      </c>
      <c r="AG36" s="244">
        <f>'IS (Before Changes)'!AG36-'IS 3Q2022'!AG36</f>
        <v>-1.5068735046586124E-2</v>
      </c>
      <c r="AH36" s="211">
        <f>'IS (Before Changes)'!AH36-'IS 3Q2022'!AH36</f>
        <v>0</v>
      </c>
      <c r="AI36" s="211">
        <f>'IS (Before Changes)'!AI36-'IS 3Q2022'!AI36</f>
        <v>0</v>
      </c>
      <c r="AJ36" s="211">
        <f>'IS (Before Changes)'!AJ36-'IS 3Q2022'!AJ36</f>
        <v>0</v>
      </c>
      <c r="AK36" s="211">
        <f>'IS (Before Changes)'!AK36-'IS 3Q2022'!AK36</f>
        <v>0</v>
      </c>
      <c r="AL36" s="428">
        <f>'IS (Before Changes)'!AL36-'IS 3Q2022'!AL36</f>
        <v>-8.2917527519666412E-3</v>
      </c>
      <c r="AM36" s="211">
        <f>'IS (Before Changes)'!AM36-'IS 3Q2022'!AM36</f>
        <v>0</v>
      </c>
      <c r="AN36" s="211">
        <f>'IS (Before Changes)'!AN36-'IS 3Q2022'!AN36</f>
        <v>0</v>
      </c>
      <c r="AO36" s="211">
        <f>'IS (Before Changes)'!AO36-'IS 3Q2022'!AO36</f>
        <v>0</v>
      </c>
      <c r="AP36" s="211">
        <f>'IS (Before Changes)'!AP36-'IS 3Q2022'!AP36</f>
        <v>0</v>
      </c>
      <c r="AQ36" s="244">
        <f>'IS (Before Changes)'!AQ36-'IS 3Q2022'!AQ36</f>
        <v>-4.5144405670358712E-3</v>
      </c>
      <c r="AR36" s="211">
        <f>'IS (Before Changes)'!AR36-'IS 3Q2022'!AR36</f>
        <v>0</v>
      </c>
      <c r="AS36" s="211">
        <f>'IS (Before Changes)'!AS36-'IS 3Q2022'!AS36</f>
        <v>0</v>
      </c>
      <c r="AT36" s="211">
        <f>'IS (Before Changes)'!AT36-'IS 3Q2022'!AT36</f>
        <v>0</v>
      </c>
      <c r="AU36" s="211">
        <f>'IS (Before Changes)'!AU36-'IS 3Q2022'!AU36</f>
        <v>0</v>
      </c>
      <c r="AV36" s="244">
        <f>'IS (Before Changes)'!AV36-'IS 3Q2022'!AV36</f>
        <v>-2.8624690044707357E-3</v>
      </c>
    </row>
    <row r="37" spans="2:48" s="63" customFormat="1" x14ac:dyDescent="0.3">
      <c r="B37" s="198"/>
      <c r="C37" s="371"/>
      <c r="D37" s="372">
        <f>'IS (Before Changes)'!D37-'IS 3Q2022'!D37</f>
        <v>0</v>
      </c>
      <c r="E37" s="196">
        <f>'IS (Before Changes)'!E37-'IS 3Q2022'!E37</f>
        <v>0</v>
      </c>
      <c r="F37" s="196">
        <f>'IS (Before Changes)'!F37-'IS 3Q2022'!F37</f>
        <v>0</v>
      </c>
      <c r="G37" s="196">
        <f>'IS (Before Changes)'!G37-'IS 3Q2022'!G37</f>
        <v>0</v>
      </c>
      <c r="H37" s="196">
        <f>'IS (Before Changes)'!H37-'IS 3Q2022'!H37</f>
        <v>0</v>
      </c>
      <c r="I37" s="196">
        <f>'IS (Before Changes)'!I37-'IS 3Q2022'!I37</f>
        <v>0</v>
      </c>
      <c r="J37" s="196">
        <f>'IS (Before Changes)'!J37-'IS 3Q2022'!J37</f>
        <v>0</v>
      </c>
      <c r="K37" s="196">
        <f>'IS (Before Changes)'!K37-'IS 3Q2022'!K37</f>
        <v>0</v>
      </c>
      <c r="L37" s="196">
        <f>'IS (Before Changes)'!L37-'IS 3Q2022'!L37</f>
        <v>0</v>
      </c>
      <c r="M37" s="196">
        <f>'IS (Before Changes)'!M37-'IS 3Q2022'!M37</f>
        <v>0</v>
      </c>
      <c r="N37" s="196">
        <f>'IS (Before Changes)'!N37-'IS 3Q2022'!N37</f>
        <v>0</v>
      </c>
      <c r="O37" s="196">
        <f>'IS (Before Changes)'!O37-'IS 3Q2022'!O37</f>
        <v>0</v>
      </c>
      <c r="P37" s="196">
        <f>'IS (Before Changes)'!P37-'IS 3Q2022'!P37</f>
        <v>0</v>
      </c>
      <c r="Q37" s="196">
        <f>'IS (Before Changes)'!Q37-'IS 3Q2022'!Q37</f>
        <v>0</v>
      </c>
      <c r="R37" s="196">
        <f>'IS (Before Changes)'!R37-'IS 3Q2022'!R37</f>
        <v>0</v>
      </c>
      <c r="S37" s="196">
        <f>'IS (Before Changes)'!S37-'IS 3Q2022'!S37</f>
        <v>0</v>
      </c>
      <c r="T37" s="196">
        <f>'IS (Before Changes)'!T37-'IS 3Q2022'!T37</f>
        <v>0</v>
      </c>
      <c r="U37" s="196">
        <f>'IS (Before Changes)'!U37-'IS 3Q2022'!U37</f>
        <v>0</v>
      </c>
      <c r="V37" s="196">
        <f>'IS (Before Changes)'!V37-'IS 3Q2022'!V37</f>
        <v>0</v>
      </c>
      <c r="W37" s="392">
        <f>'IS (Before Changes)'!W37-'IS 3Q2022'!W37</f>
        <v>0</v>
      </c>
      <c r="X37" s="196">
        <f>'IS (Before Changes)'!X37-'IS 3Q2022'!X37</f>
        <v>0</v>
      </c>
      <c r="Y37" s="196">
        <f>'IS (Before Changes)'!Y37-'IS 3Q2022'!Y37</f>
        <v>0</v>
      </c>
      <c r="Z37" s="196">
        <f>'IS (Before Changes)'!Z37-'IS 3Q2022'!Z37</f>
        <v>0</v>
      </c>
      <c r="AA37" s="196">
        <f>'IS (Before Changes)'!AA37-'IS 3Q2022'!AA37</f>
        <v>0</v>
      </c>
      <c r="AB37" s="392">
        <f>'IS (Before Changes)'!AB37-'IS 3Q2022'!AB37</f>
        <v>0</v>
      </c>
      <c r="AC37" s="196">
        <f>'IS (Before Changes)'!AC37-'IS 3Q2022'!AC37</f>
        <v>0</v>
      </c>
      <c r="AD37" s="196">
        <f>'IS (Before Changes)'!AD37-'IS 3Q2022'!AD37</f>
        <v>0</v>
      </c>
      <c r="AE37" s="196">
        <f>'IS (Before Changes)'!AE37-'IS 3Q2022'!AE37</f>
        <v>0</v>
      </c>
      <c r="AF37" s="392">
        <f>'IS (Before Changes)'!AF37-'IS 3Q2022'!AF37</f>
        <v>0</v>
      </c>
      <c r="AG37" s="392">
        <f>'IS (Before Changes)'!AG37-'IS 3Q2022'!AG37</f>
        <v>0</v>
      </c>
      <c r="AH37" s="196">
        <f>'IS (Before Changes)'!AH37-'IS 3Q2022'!AH37</f>
        <v>0</v>
      </c>
      <c r="AI37" s="196">
        <f>'IS (Before Changes)'!AI37-'IS 3Q2022'!AI37</f>
        <v>0</v>
      </c>
      <c r="AJ37" s="196">
        <f>'IS (Before Changes)'!AJ37-'IS 3Q2022'!AJ37</f>
        <v>0</v>
      </c>
      <c r="AK37" s="196">
        <f>'IS (Before Changes)'!AK37-'IS 3Q2022'!AK37</f>
        <v>0</v>
      </c>
      <c r="AL37" s="372">
        <f>'IS (Before Changes)'!AL37-'IS 3Q2022'!AL37</f>
        <v>0</v>
      </c>
      <c r="AM37" s="196">
        <f>'IS (Before Changes)'!AM37-'IS 3Q2022'!AM37</f>
        <v>0</v>
      </c>
      <c r="AN37" s="196">
        <f>'IS (Before Changes)'!AN37-'IS 3Q2022'!AN37</f>
        <v>0</v>
      </c>
      <c r="AO37" s="196">
        <f>'IS (Before Changes)'!AO37-'IS 3Q2022'!AO37</f>
        <v>0</v>
      </c>
      <c r="AP37" s="196">
        <f>'IS (Before Changes)'!AP37-'IS 3Q2022'!AP37</f>
        <v>0</v>
      </c>
      <c r="AQ37" s="196">
        <f>'IS (Before Changes)'!AQ37-'IS 3Q2022'!AQ37</f>
        <v>0</v>
      </c>
      <c r="AR37" s="196">
        <f>'IS (Before Changes)'!AR37-'IS 3Q2022'!AR37</f>
        <v>0</v>
      </c>
      <c r="AS37" s="196">
        <f>'IS (Before Changes)'!AS37-'IS 3Q2022'!AS37</f>
        <v>0</v>
      </c>
      <c r="AT37" s="196">
        <f>'IS (Before Changes)'!AT37-'IS 3Q2022'!AT37</f>
        <v>0</v>
      </c>
      <c r="AU37" s="196">
        <f>'IS (Before Changes)'!AU37-'IS 3Q2022'!AU37</f>
        <v>0</v>
      </c>
      <c r="AV37" s="196">
        <f>'IS (Before Changes)'!AV37-'IS 3Q2022'!AV37</f>
        <v>0</v>
      </c>
    </row>
    <row r="38" spans="2:48" ht="15.6" x14ac:dyDescent="0.3">
      <c r="B38" s="494" t="s">
        <v>13</v>
      </c>
      <c r="C38" s="495"/>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5" t="s">
        <v>20</v>
      </c>
      <c r="W38" s="41" t="s">
        <v>20</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12"/>
      <c r="C39" s="513"/>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2" t="s">
        <v>25</v>
      </c>
      <c r="W39" s="42" t="s">
        <v>26</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08" t="s">
        <v>174</v>
      </c>
      <c r="C40" s="509"/>
      <c r="D40" s="14"/>
      <c r="E40" s="14"/>
      <c r="F40" s="14"/>
      <c r="G40" s="14"/>
      <c r="H40" s="40"/>
      <c r="I40" s="14"/>
      <c r="J40" s="14"/>
      <c r="K40" s="14"/>
      <c r="L40" s="14"/>
      <c r="M40" s="40"/>
      <c r="N40" s="14"/>
      <c r="O40" s="14"/>
      <c r="P40" s="14"/>
      <c r="Q40" s="14"/>
      <c r="R40" s="40"/>
      <c r="S40" s="14"/>
      <c r="T40" s="14"/>
      <c r="U40" s="14"/>
      <c r="V40" s="12"/>
      <c r="W40" s="42"/>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510" t="s">
        <v>175</v>
      </c>
      <c r="C41" s="511"/>
      <c r="D41" s="101">
        <f>'IS (Before Changes)'!D41-'IS 3Q2022'!D41</f>
        <v>0</v>
      </c>
      <c r="E41" s="21">
        <f>'IS (Before Changes)'!E41-'IS 3Q2022'!E41</f>
        <v>0</v>
      </c>
      <c r="F41" s="116">
        <f>'IS (Before Changes)'!F41-'IS 3Q2022'!F41</f>
        <v>0</v>
      </c>
      <c r="G41" s="21">
        <f>'IS (Before Changes)'!G41-'IS 3Q2022'!G41</f>
        <v>0</v>
      </c>
      <c r="H41" s="57">
        <f>'IS (Before Changes)'!H41-'IS 3Q2022'!H41</f>
        <v>0</v>
      </c>
      <c r="I41" s="21">
        <f>'IS (Before Changes)'!I41-'IS 3Q2022'!I41</f>
        <v>0</v>
      </c>
      <c r="J41" s="21">
        <f>'IS (Before Changes)'!J41-'IS 3Q2022'!J41</f>
        <v>0</v>
      </c>
      <c r="K41" s="21">
        <f>'IS (Before Changes)'!K41-'IS 3Q2022'!K41</f>
        <v>0</v>
      </c>
      <c r="L41" s="21">
        <f>'IS (Before Changes)'!L41-'IS 3Q2022'!L41</f>
        <v>0</v>
      </c>
      <c r="M41" s="57">
        <f>'IS (Before Changes)'!M41-'IS 3Q2022'!M41</f>
        <v>0</v>
      </c>
      <c r="N41" s="21">
        <f>'IS (Before Changes)'!N41-'IS 3Q2022'!N41</f>
        <v>0</v>
      </c>
      <c r="O41" s="21">
        <f>'IS (Before Changes)'!O41-'IS 3Q2022'!O41</f>
        <v>0</v>
      </c>
      <c r="P41" s="21">
        <f>'IS (Before Changes)'!P41-'IS 3Q2022'!P41</f>
        <v>0</v>
      </c>
      <c r="Q41" s="21">
        <f>'IS (Before Changes)'!Q41-'IS 3Q2022'!Q41</f>
        <v>0</v>
      </c>
      <c r="R41" s="191">
        <f>'IS (Before Changes)'!R41-'IS 3Q2022'!R41</f>
        <v>0</v>
      </c>
      <c r="S41" s="21">
        <f>'IS (Before Changes)'!S41-'IS 3Q2022'!S41</f>
        <v>0</v>
      </c>
      <c r="T41" s="21">
        <f>'IS (Before Changes)'!T41-'IS 3Q2022'!T41</f>
        <v>0</v>
      </c>
      <c r="U41" s="21">
        <f>'IS (Before Changes)'!U41-'IS 3Q2022'!U41</f>
        <v>0</v>
      </c>
      <c r="V41" s="21">
        <f>'IS (Before Changes)'!V41-'IS 3Q2022'!V41</f>
        <v>70</v>
      </c>
      <c r="W41" s="191">
        <f>'IS (Before Changes)'!W41-'IS 3Q2022'!W41</f>
        <v>70</v>
      </c>
      <c r="X41" s="21">
        <f>'IS (Before Changes)'!X41-'IS 3Q2022'!X41</f>
        <v>70</v>
      </c>
      <c r="Y41" s="21">
        <f>'IS (Before Changes)'!Y41-'IS 3Q2022'!Y41</f>
        <v>70</v>
      </c>
      <c r="Z41" s="21">
        <f>'IS (Before Changes)'!Z41-'IS 3Q2022'!Z41</f>
        <v>70</v>
      </c>
      <c r="AA41" s="21">
        <f>'IS (Before Changes)'!AA41-'IS 3Q2022'!AA41</f>
        <v>70</v>
      </c>
      <c r="AB41" s="191">
        <f>'IS (Before Changes)'!AB41-'IS 3Q2022'!AB41</f>
        <v>70</v>
      </c>
      <c r="AC41" s="21">
        <f>'IS (Before Changes)'!AC41-'IS 3Q2022'!AC41</f>
        <v>70</v>
      </c>
      <c r="AD41" s="21">
        <f>'IS (Before Changes)'!AD41-'IS 3Q2022'!AD41</f>
        <v>70</v>
      </c>
      <c r="AE41" s="21">
        <f>'IS (Before Changes)'!AE41-'IS 3Q2022'!AE41</f>
        <v>70</v>
      </c>
      <c r="AF41" s="21">
        <f>'IS (Before Changes)'!AF41-'IS 3Q2022'!AF41</f>
        <v>70</v>
      </c>
      <c r="AG41" s="191">
        <f>'IS (Before Changes)'!AG41-'IS 3Q2022'!AG41</f>
        <v>70</v>
      </c>
      <c r="AH41" s="21">
        <f>'IS (Before Changes)'!AH41-'IS 3Q2022'!AH41</f>
        <v>70</v>
      </c>
      <c r="AI41" s="21">
        <f>'IS (Before Changes)'!AI41-'IS 3Q2022'!AI41</f>
        <v>70</v>
      </c>
      <c r="AJ41" s="21">
        <f>'IS (Before Changes)'!AJ41-'IS 3Q2022'!AJ41</f>
        <v>70</v>
      </c>
      <c r="AK41" s="21">
        <f>'IS (Before Changes)'!AK41-'IS 3Q2022'!AK41</f>
        <v>70</v>
      </c>
      <c r="AL41" s="191">
        <f>'IS (Before Changes)'!AL41-'IS 3Q2022'!AL41</f>
        <v>70</v>
      </c>
      <c r="AM41" s="21">
        <f>'IS (Before Changes)'!AM41-'IS 3Q2022'!AM41</f>
        <v>70</v>
      </c>
      <c r="AN41" s="21">
        <f>'IS (Before Changes)'!AN41-'IS 3Q2022'!AN41</f>
        <v>70</v>
      </c>
      <c r="AO41" s="21">
        <f>'IS (Before Changes)'!AO41-'IS 3Q2022'!AO41</f>
        <v>70</v>
      </c>
      <c r="AP41" s="21">
        <f>'IS (Before Changes)'!AP41-'IS 3Q2022'!AP41</f>
        <v>70</v>
      </c>
      <c r="AQ41" s="191">
        <f>'IS (Before Changes)'!AQ41-'IS 3Q2022'!AQ41</f>
        <v>70</v>
      </c>
      <c r="AR41" s="21">
        <f>'IS (Before Changes)'!AR41-'IS 3Q2022'!AR41</f>
        <v>70</v>
      </c>
      <c r="AS41" s="21">
        <f>'IS (Before Changes)'!AS41-'IS 3Q2022'!AS41</f>
        <v>70</v>
      </c>
      <c r="AT41" s="21">
        <f>'IS (Before Changes)'!AT41-'IS 3Q2022'!AT41</f>
        <v>70</v>
      </c>
      <c r="AU41" s="21">
        <f>'IS (Before Changes)'!AU41-'IS 3Q2022'!AU41</f>
        <v>70</v>
      </c>
      <c r="AV41" s="191">
        <f>'IS (Before Changes)'!AV41-'IS 3Q2022'!AV41</f>
        <v>70</v>
      </c>
    </row>
    <row r="42" spans="2:48" outlineLevel="1" x14ac:dyDescent="0.3">
      <c r="B42" s="180" t="s">
        <v>46</v>
      </c>
      <c r="C42" s="201"/>
      <c r="D42" s="101">
        <f>'IS (Before Changes)'!D42-'IS 3Q2022'!D42</f>
        <v>0</v>
      </c>
      <c r="E42" s="101">
        <f>'IS (Before Changes)'!E42-'IS 3Q2022'!E42</f>
        <v>0</v>
      </c>
      <c r="F42" s="101">
        <f>'IS (Before Changes)'!F42-'IS 3Q2022'!F42</f>
        <v>0</v>
      </c>
      <c r="G42" s="101">
        <f>'IS (Before Changes)'!G42-'IS 3Q2022'!G42</f>
        <v>0</v>
      </c>
      <c r="H42" s="122">
        <f>'IS (Before Changes)'!H42-'IS 3Q2022'!H42</f>
        <v>0</v>
      </c>
      <c r="I42" s="101">
        <f>'IS (Before Changes)'!I42-'IS 3Q2022'!I42</f>
        <v>0</v>
      </c>
      <c r="J42" s="101">
        <f>'IS (Before Changes)'!J42-'IS 3Q2022'!J42</f>
        <v>0</v>
      </c>
      <c r="K42" s="101">
        <f>'IS (Before Changes)'!K42-'IS 3Q2022'!K42</f>
        <v>0</v>
      </c>
      <c r="L42" s="101">
        <f>'IS (Before Changes)'!L42-'IS 3Q2022'!L42</f>
        <v>0</v>
      </c>
      <c r="M42" s="122">
        <f>'IS (Before Changes)'!M42-'IS 3Q2022'!M42</f>
        <v>0</v>
      </c>
      <c r="N42" s="101">
        <f>'IS (Before Changes)'!N42-'IS 3Q2022'!N42</f>
        <v>0</v>
      </c>
      <c r="O42" s="101">
        <f>'IS (Before Changes)'!O42-'IS 3Q2022'!O42</f>
        <v>0</v>
      </c>
      <c r="P42" s="101">
        <f>'IS (Before Changes)'!P42-'IS 3Q2022'!P42</f>
        <v>0</v>
      </c>
      <c r="Q42" s="101">
        <f>'IS (Before Changes)'!Q42-'IS 3Q2022'!Q42</f>
        <v>0</v>
      </c>
      <c r="R42" s="26">
        <f>'IS (Before Changes)'!R42-'IS 3Q2022'!R42</f>
        <v>0</v>
      </c>
      <c r="S42" s="101">
        <f>'IS (Before Changes)'!S42-'IS 3Q2022'!S42</f>
        <v>0</v>
      </c>
      <c r="T42" s="101">
        <f>'IS (Before Changes)'!T42-'IS 3Q2022'!T42</f>
        <v>0</v>
      </c>
      <c r="U42" s="101">
        <f>'IS (Before Changes)'!U42-'IS 3Q2022'!U42</f>
        <v>0</v>
      </c>
      <c r="V42" s="33">
        <f>'IS (Before Changes)'!V42-'IS 3Q2022'!V42</f>
        <v>70</v>
      </c>
      <c r="W42" s="122">
        <f>'IS (Before Changes)'!W42-'IS 3Q2022'!W42</f>
        <v>70</v>
      </c>
      <c r="X42" s="33">
        <f>'IS (Before Changes)'!X42-'IS 3Q2022'!X42</f>
        <v>0</v>
      </c>
      <c r="Y42" s="33">
        <f>'IS (Before Changes)'!Y42-'IS 3Q2022'!Y42</f>
        <v>0</v>
      </c>
      <c r="Z42" s="33">
        <f>'IS (Before Changes)'!Z42-'IS 3Q2022'!Z42</f>
        <v>0</v>
      </c>
      <c r="AA42" s="33">
        <f>'IS (Before Changes)'!AA42-'IS 3Q2022'!AA42</f>
        <v>0</v>
      </c>
      <c r="AB42" s="26">
        <f>'IS (Before Changes)'!AB42-'IS 3Q2022'!AB42</f>
        <v>0</v>
      </c>
      <c r="AC42" s="33">
        <f>'IS (Before Changes)'!AC42-'IS 3Q2022'!AC42</f>
        <v>0</v>
      </c>
      <c r="AD42" s="33">
        <f>'IS (Before Changes)'!AD42-'IS 3Q2022'!AD42</f>
        <v>0</v>
      </c>
      <c r="AE42" s="33">
        <f>'IS (Before Changes)'!AE42-'IS 3Q2022'!AE42</f>
        <v>0</v>
      </c>
      <c r="AF42" s="33">
        <f>'IS (Before Changes)'!AF42-'IS 3Q2022'!AF42</f>
        <v>0</v>
      </c>
      <c r="AG42" s="26">
        <f>'IS (Before Changes)'!AG42-'IS 3Q2022'!AG42</f>
        <v>0</v>
      </c>
      <c r="AH42" s="33">
        <f>'IS (Before Changes)'!AH42-'IS 3Q2022'!AH42</f>
        <v>0</v>
      </c>
      <c r="AI42" s="33">
        <f>'IS (Before Changes)'!AI42-'IS 3Q2022'!AI42</f>
        <v>0</v>
      </c>
      <c r="AJ42" s="33">
        <f>'IS (Before Changes)'!AJ42-'IS 3Q2022'!AJ42</f>
        <v>0</v>
      </c>
      <c r="AK42" s="33">
        <f>'IS (Before Changes)'!AK42-'IS 3Q2022'!AK42</f>
        <v>0</v>
      </c>
      <c r="AL42" s="26">
        <f>'IS (Before Changes)'!AL42-'IS 3Q2022'!AL42</f>
        <v>0</v>
      </c>
      <c r="AM42" s="33">
        <f>'IS (Before Changes)'!AM42-'IS 3Q2022'!AM42</f>
        <v>0</v>
      </c>
      <c r="AN42" s="33">
        <f>'IS (Before Changes)'!AN42-'IS 3Q2022'!AN42</f>
        <v>0</v>
      </c>
      <c r="AO42" s="33">
        <f>'IS (Before Changes)'!AO42-'IS 3Q2022'!AO42</f>
        <v>0</v>
      </c>
      <c r="AP42" s="33">
        <f>'IS (Before Changes)'!AP42-'IS 3Q2022'!AP42</f>
        <v>0</v>
      </c>
      <c r="AQ42" s="26">
        <f>'IS (Before Changes)'!AQ42-'IS 3Q2022'!AQ42</f>
        <v>0</v>
      </c>
      <c r="AR42" s="33">
        <f>'IS (Before Changes)'!AR42-'IS 3Q2022'!AR42</f>
        <v>0</v>
      </c>
      <c r="AS42" s="33">
        <f>'IS (Before Changes)'!AS42-'IS 3Q2022'!AS42</f>
        <v>0</v>
      </c>
      <c r="AT42" s="33">
        <f>'IS (Before Changes)'!AT42-'IS 3Q2022'!AT42</f>
        <v>0</v>
      </c>
      <c r="AU42" s="33">
        <f>'IS (Before Changes)'!AU42-'IS 3Q2022'!AU42</f>
        <v>0</v>
      </c>
      <c r="AV42" s="26">
        <f>'IS (Before Changes)'!AV42-'IS 3Q2022'!AV42</f>
        <v>0</v>
      </c>
    </row>
    <row r="43" spans="2:48" outlineLevel="1" x14ac:dyDescent="0.3">
      <c r="B43" s="180" t="s">
        <v>201</v>
      </c>
      <c r="C43" s="201"/>
      <c r="D43" s="101">
        <f>'IS (Before Changes)'!D43-'IS 3Q2022'!D43</f>
        <v>9777</v>
      </c>
      <c r="E43" s="101">
        <f>'IS (Before Changes)'!E43-'IS 3Q2022'!E43</f>
        <v>0</v>
      </c>
      <c r="F43" s="101">
        <f>'IS (Before Changes)'!F43-'IS 3Q2022'!F43</f>
        <v>0</v>
      </c>
      <c r="G43" s="101">
        <f>'IS (Before Changes)'!G43-'IS 3Q2022'!G43</f>
        <v>0</v>
      </c>
      <c r="H43" s="122">
        <f>'IS (Before Changes)'!H43-'IS 3Q2022'!H43</f>
        <v>0</v>
      </c>
      <c r="I43" s="101">
        <f>'IS (Before Changes)'!I43-'IS 3Q2022'!I43</f>
        <v>0</v>
      </c>
      <c r="J43" s="101">
        <f>'IS (Before Changes)'!J43-'IS 3Q2022'!J43</f>
        <v>0</v>
      </c>
      <c r="K43" s="101">
        <f>'IS (Before Changes)'!K43-'IS 3Q2022'!K43</f>
        <v>0</v>
      </c>
      <c r="L43" s="101">
        <f>'IS (Before Changes)'!L43-'IS 3Q2022'!L43</f>
        <v>0</v>
      </c>
      <c r="M43" s="122">
        <f>'IS (Before Changes)'!M43-'IS 3Q2022'!M43</f>
        <v>0</v>
      </c>
      <c r="N43" s="101">
        <f>'IS (Before Changes)'!N43-'IS 3Q2022'!N43</f>
        <v>0</v>
      </c>
      <c r="O43" s="101">
        <f>'IS (Before Changes)'!O43-'IS 3Q2022'!O43</f>
        <v>0</v>
      </c>
      <c r="P43" s="101">
        <f>'IS (Before Changes)'!P43-'IS 3Q2022'!P43</f>
        <v>0</v>
      </c>
      <c r="Q43" s="101">
        <f>'IS (Before Changes)'!Q43-'IS 3Q2022'!Q43</f>
        <v>0</v>
      </c>
      <c r="R43" s="122">
        <f>'IS (Before Changes)'!R43-'IS 3Q2022'!R43</f>
        <v>0</v>
      </c>
      <c r="S43" s="101">
        <f>'IS (Before Changes)'!S43-'IS 3Q2022'!S43</f>
        <v>0</v>
      </c>
      <c r="T43" s="101">
        <f>'IS (Before Changes)'!T43-'IS 3Q2022'!T43</f>
        <v>0</v>
      </c>
      <c r="U43" s="101">
        <f>'IS (Before Changes)'!U43-'IS 3Q2022'!U43</f>
        <v>0</v>
      </c>
      <c r="V43" s="101">
        <f>'IS (Before Changes)'!V43-'IS 3Q2022'!V43</f>
        <v>35</v>
      </c>
      <c r="W43" s="122">
        <f>'IS (Before Changes)'!W43-'IS 3Q2022'!W43</f>
        <v>0</v>
      </c>
      <c r="X43" s="101">
        <f>'IS (Before Changes)'!X43-'IS 3Q2022'!X43</f>
        <v>70</v>
      </c>
      <c r="Y43" s="101">
        <f>'IS (Before Changes)'!Y43-'IS 3Q2022'!Y43</f>
        <v>70</v>
      </c>
      <c r="Z43" s="101">
        <f>'IS (Before Changes)'!Z43-'IS 3Q2022'!Z43</f>
        <v>70</v>
      </c>
      <c r="AA43" s="101">
        <f>'IS (Before Changes)'!AA43-'IS 3Q2022'!AA43</f>
        <v>70</v>
      </c>
      <c r="AB43" s="122">
        <f>'IS (Before Changes)'!AB43-'IS 3Q2022'!AB43</f>
        <v>0</v>
      </c>
      <c r="AC43" s="101">
        <f>'IS (Before Changes)'!AC43-'IS 3Q2022'!AC43</f>
        <v>70</v>
      </c>
      <c r="AD43" s="101">
        <f>'IS (Before Changes)'!AD43-'IS 3Q2022'!AD43</f>
        <v>70</v>
      </c>
      <c r="AE43" s="101">
        <f>'IS (Before Changes)'!AE43-'IS 3Q2022'!AE43</f>
        <v>70</v>
      </c>
      <c r="AF43" s="101">
        <f>'IS (Before Changes)'!AF43-'IS 3Q2022'!AF43</f>
        <v>70</v>
      </c>
      <c r="AG43" s="122">
        <f>'IS (Before Changes)'!AG43-'IS 3Q2022'!AG43</f>
        <v>0</v>
      </c>
      <c r="AH43" s="101">
        <f>'IS (Before Changes)'!AH43-'IS 3Q2022'!AH43</f>
        <v>70</v>
      </c>
      <c r="AI43" s="101">
        <f>'IS (Before Changes)'!AI43-'IS 3Q2022'!AI43</f>
        <v>70</v>
      </c>
      <c r="AJ43" s="101">
        <f>'IS (Before Changes)'!AJ43-'IS 3Q2022'!AJ43</f>
        <v>70</v>
      </c>
      <c r="AK43" s="101">
        <f>'IS (Before Changes)'!AK43-'IS 3Q2022'!AK43</f>
        <v>70</v>
      </c>
      <c r="AL43" s="122">
        <f>'IS (Before Changes)'!AL43-'IS 3Q2022'!AL43</f>
        <v>0</v>
      </c>
      <c r="AM43" s="101">
        <f>'IS (Before Changes)'!AM43-'IS 3Q2022'!AM43</f>
        <v>70</v>
      </c>
      <c r="AN43" s="101">
        <f>'IS (Before Changes)'!AN43-'IS 3Q2022'!AN43</f>
        <v>70</v>
      </c>
      <c r="AO43" s="101">
        <f>'IS (Before Changes)'!AO43-'IS 3Q2022'!AO43</f>
        <v>70</v>
      </c>
      <c r="AP43" s="101">
        <f>'IS (Before Changes)'!AP43-'IS 3Q2022'!AP43</f>
        <v>70</v>
      </c>
      <c r="AQ43" s="122">
        <f>'IS (Before Changes)'!AQ43-'IS 3Q2022'!AQ43</f>
        <v>0</v>
      </c>
      <c r="AR43" s="101">
        <f>'IS (Before Changes)'!AR43-'IS 3Q2022'!AR43</f>
        <v>70</v>
      </c>
      <c r="AS43" s="101">
        <f>'IS (Before Changes)'!AS43-'IS 3Q2022'!AS43</f>
        <v>70</v>
      </c>
      <c r="AT43" s="101">
        <f>'IS (Before Changes)'!AT43-'IS 3Q2022'!AT43</f>
        <v>70</v>
      </c>
      <c r="AU43" s="101">
        <f>'IS (Before Changes)'!AU43-'IS 3Q2022'!AU43</f>
        <v>70</v>
      </c>
      <c r="AV43" s="122">
        <f>'IS (Before Changes)'!AV43-'IS 3Q2022'!AV43</f>
        <v>0</v>
      </c>
    </row>
    <row r="44" spans="2:48" s="8" customFormat="1" outlineLevel="1" x14ac:dyDescent="0.3">
      <c r="B44" s="180" t="s">
        <v>205</v>
      </c>
      <c r="C44" s="206"/>
      <c r="D44" s="43">
        <f>'IS (Before Changes)'!D44-'IS 3Q2022'!D44</f>
        <v>0</v>
      </c>
      <c r="E44" s="43">
        <f>'IS (Before Changes)'!E44-'IS 3Q2022'!E44</f>
        <v>0</v>
      </c>
      <c r="F44" s="43">
        <f>'IS (Before Changes)'!F44-'IS 3Q2022'!F44</f>
        <v>0</v>
      </c>
      <c r="G44" s="43">
        <f>'IS (Before Changes)'!G44-'IS 3Q2022'!G44</f>
        <v>0</v>
      </c>
      <c r="H44" s="97">
        <f>'IS (Before Changes)'!H44-'IS 3Q2022'!H44</f>
        <v>0</v>
      </c>
      <c r="I44" s="43">
        <f>'IS (Before Changes)'!I44-'IS 3Q2022'!I44</f>
        <v>0</v>
      </c>
      <c r="J44" s="43">
        <f>'IS (Before Changes)'!J44-'IS 3Q2022'!J44</f>
        <v>0</v>
      </c>
      <c r="K44" s="43">
        <f>'IS (Before Changes)'!K44-'IS 3Q2022'!K44</f>
        <v>0</v>
      </c>
      <c r="L44" s="43">
        <f>'IS (Before Changes)'!L44-'IS 3Q2022'!L44</f>
        <v>0</v>
      </c>
      <c r="M44" s="97">
        <f>'IS (Before Changes)'!M44-'IS 3Q2022'!M44</f>
        <v>0</v>
      </c>
      <c r="N44" s="43">
        <f>'IS (Before Changes)'!N44-'IS 3Q2022'!N44</f>
        <v>0</v>
      </c>
      <c r="O44" s="43">
        <f>'IS (Before Changes)'!O44-'IS 3Q2022'!O44</f>
        <v>0</v>
      </c>
      <c r="P44" s="43">
        <f>'IS (Before Changes)'!P44-'IS 3Q2022'!P44</f>
        <v>0</v>
      </c>
      <c r="Q44" s="43">
        <f>'IS (Before Changes)'!Q44-'IS 3Q2022'!Q44</f>
        <v>0</v>
      </c>
      <c r="R44" s="97">
        <f>'IS (Before Changes)'!R44-'IS 3Q2022'!R44</f>
        <v>0</v>
      </c>
      <c r="S44" s="43">
        <f>'IS (Before Changes)'!S44-'IS 3Q2022'!S44</f>
        <v>0</v>
      </c>
      <c r="T44" s="43">
        <f>'IS (Before Changes)'!T44-'IS 3Q2022'!T44</f>
        <v>0</v>
      </c>
      <c r="U44" s="43">
        <f>'IS (Before Changes)'!U44-'IS 3Q2022'!U44</f>
        <v>0</v>
      </c>
      <c r="V44" s="219">
        <f>'IS (Before Changes)'!V44-'IS 3Q2022'!V44</f>
        <v>9.5726495937784595E-3</v>
      </c>
      <c r="W44" s="132">
        <f>'IS (Before Changes)'!W44-'IS 3Q2022'!W44</f>
        <v>0</v>
      </c>
      <c r="X44" s="219">
        <f>'IS (Before Changes)'!X44-'IS 3Q2022'!X44</f>
        <v>0</v>
      </c>
      <c r="Y44" s="219">
        <f>'IS (Before Changes)'!Y44-'IS 3Q2022'!Y44</f>
        <v>0</v>
      </c>
      <c r="Z44" s="219">
        <f>'IS (Before Changes)'!Z44-'IS 3Q2022'!Z44</f>
        <v>0</v>
      </c>
      <c r="AA44" s="219">
        <f>'IS (Before Changes)'!AA44-'IS 3Q2022'!AA44</f>
        <v>1.0051282073467394E-2</v>
      </c>
      <c r="AB44" s="97">
        <f>'IS (Before Changes)'!AB44-'IS 3Q2022'!AB44</f>
        <v>0</v>
      </c>
      <c r="AC44" s="219">
        <f>'IS (Before Changes)'!AC44-'IS 3Q2022'!AC44</f>
        <v>0</v>
      </c>
      <c r="AD44" s="219">
        <f>'IS (Before Changes)'!AD44-'IS 3Q2022'!AD44</f>
        <v>0</v>
      </c>
      <c r="AE44" s="219">
        <f>'IS (Before Changes)'!AE44-'IS 3Q2022'!AE44</f>
        <v>0</v>
      </c>
      <c r="AF44" s="219">
        <f>'IS (Before Changes)'!AF44-'IS 3Q2022'!AF44</f>
        <v>1.0553846177140835E-2</v>
      </c>
      <c r="AG44" s="97">
        <f>'IS (Before Changes)'!AG44-'IS 3Q2022'!AG44</f>
        <v>0</v>
      </c>
      <c r="AH44" s="219">
        <f>'IS (Before Changes)'!AH44-'IS 3Q2022'!AH44</f>
        <v>0</v>
      </c>
      <c r="AI44" s="219">
        <f>'IS (Before Changes)'!AI44-'IS 3Q2022'!AI44</f>
        <v>0</v>
      </c>
      <c r="AJ44" s="219">
        <f>'IS (Before Changes)'!AJ44-'IS 3Q2022'!AJ44</f>
        <v>0</v>
      </c>
      <c r="AK44" s="219">
        <f>'IS (Before Changes)'!AK44-'IS 3Q2022'!AK44</f>
        <v>1.1292615409540629E-2</v>
      </c>
      <c r="AL44" s="97">
        <f>'IS (Before Changes)'!AL44-'IS 3Q2022'!AL44</f>
        <v>0</v>
      </c>
      <c r="AM44" s="219">
        <f>'IS (Before Changes)'!AM44-'IS 3Q2022'!AM44</f>
        <v>0</v>
      </c>
      <c r="AN44" s="219">
        <f>'IS (Before Changes)'!AN44-'IS 3Q2022'!AN44</f>
        <v>0</v>
      </c>
      <c r="AO44" s="219">
        <f>'IS (Before Changes)'!AO44-'IS 3Q2022'!AO44</f>
        <v>0</v>
      </c>
      <c r="AP44" s="219">
        <f>'IS (Before Changes)'!AP44-'IS 3Q2022'!AP44</f>
        <v>1.18572461800176E-2</v>
      </c>
      <c r="AQ44" s="97">
        <f>'IS (Before Changes)'!AQ44-'IS 3Q2022'!AQ44</f>
        <v>0</v>
      </c>
      <c r="AR44" s="219">
        <f>'IS (Before Changes)'!AR44-'IS 3Q2022'!AR44</f>
        <v>0</v>
      </c>
      <c r="AS44" s="219">
        <f>'IS (Before Changes)'!AS44-'IS 3Q2022'!AS44</f>
        <v>0</v>
      </c>
      <c r="AT44" s="219">
        <f>'IS (Before Changes)'!AT44-'IS 3Q2022'!AT44</f>
        <v>0</v>
      </c>
      <c r="AU44" s="219">
        <f>'IS (Before Changes)'!AU44-'IS 3Q2022'!AU44</f>
        <v>1.2212963565418122E-2</v>
      </c>
      <c r="AV44" s="97">
        <f>'IS (Before Changes)'!AV44-'IS 3Q2022'!AV44</f>
        <v>0</v>
      </c>
    </row>
    <row r="45" spans="2:48" s="8" customFormat="1" outlineLevel="1" x14ac:dyDescent="0.3">
      <c r="B45" s="500" t="s">
        <v>176</v>
      </c>
      <c r="C45" s="501"/>
      <c r="D45" s="50">
        <f>'IS (Before Changes)'!D45-'IS 3Q2022'!D45</f>
        <v>0</v>
      </c>
      <c r="E45" s="50">
        <f>'IS (Before Changes)'!E45-'IS 3Q2022'!E45</f>
        <v>0</v>
      </c>
      <c r="F45" s="50">
        <f>'IS (Before Changes)'!F45-'IS 3Q2022'!F45</f>
        <v>0</v>
      </c>
      <c r="G45" s="50">
        <f>'IS (Before Changes)'!G45-'IS 3Q2022'!G45</f>
        <v>0</v>
      </c>
      <c r="H45" s="97">
        <f>'IS (Before Changes)'!H45-'IS 3Q2022'!H45</f>
        <v>0</v>
      </c>
      <c r="I45" s="50">
        <f>'IS (Before Changes)'!I45-'IS 3Q2022'!I45</f>
        <v>0</v>
      </c>
      <c r="J45" s="50">
        <f>'IS (Before Changes)'!J45-'IS 3Q2022'!J45</f>
        <v>0</v>
      </c>
      <c r="K45" s="103">
        <f>'IS (Before Changes)'!K45-'IS 3Q2022'!K45</f>
        <v>0</v>
      </c>
      <c r="L45" s="50">
        <f>'IS (Before Changes)'!L45-'IS 3Q2022'!L45</f>
        <v>0</v>
      </c>
      <c r="M45" s="97">
        <f>'IS (Before Changes)'!M45-'IS 3Q2022'!M45</f>
        <v>14778.8</v>
      </c>
      <c r="N45" s="50">
        <f>'IS (Before Changes)'!N45-'IS 3Q2022'!N45</f>
        <v>0</v>
      </c>
      <c r="O45" s="50">
        <f>'IS (Before Changes)'!O45-'IS 3Q2022'!O45</f>
        <v>0</v>
      </c>
      <c r="P45" s="50">
        <f>'IS (Before Changes)'!P45-'IS 3Q2022'!P45</f>
        <v>0</v>
      </c>
      <c r="Q45" s="103">
        <f>'IS (Before Changes)'!Q45-'IS 3Q2022'!Q45</f>
        <v>0</v>
      </c>
      <c r="R45" s="132">
        <f>'IS (Before Changes)'!R45-'IS 3Q2022'!R45</f>
        <v>0</v>
      </c>
      <c r="S45" s="50">
        <f>'IS (Before Changes)'!S45-'IS 3Q2022'!S45</f>
        <v>0</v>
      </c>
      <c r="T45" s="50">
        <f>'IS (Before Changes)'!T45-'IS 3Q2022'!T45</f>
        <v>0</v>
      </c>
      <c r="U45" s="50">
        <f>'IS (Before Changes)'!U45-'IS 3Q2022'!U45</f>
        <v>0</v>
      </c>
      <c r="V45" s="50">
        <f>'IS (Before Changes)'!V45-'IS 3Q2022'!V45</f>
        <v>115.83638111657729</v>
      </c>
      <c r="W45" s="132">
        <f>'IS (Before Changes)'!W45-'IS 3Q2022'!W45</f>
        <v>115.83638111657638</v>
      </c>
      <c r="X45" s="50">
        <f>'IS (Before Changes)'!X45-'IS 3Q2022'!X45</f>
        <v>39.525944031172912</v>
      </c>
      <c r="Y45" s="50">
        <f>'IS (Before Changes)'!Y45-'IS 3Q2022'!Y45</f>
        <v>37.244773849098237</v>
      </c>
      <c r="Z45" s="50">
        <f>'IS (Before Changes)'!Z45-'IS 3Q2022'!Z45</f>
        <v>40.513917216556365</v>
      </c>
      <c r="AA45" s="50">
        <f>'IS (Before Changes)'!AA45-'IS 3Q2022'!AA45</f>
        <v>144.3693744855218</v>
      </c>
      <c r="AB45" s="97">
        <f>'IS (Before Changes)'!AB45-'IS 3Q2022'!AB45</f>
        <v>261.6540095823475</v>
      </c>
      <c r="AC45" s="50">
        <f>'IS (Before Changes)'!AC45-'IS 3Q2022'!AC45</f>
        <v>41.502241232730739</v>
      </c>
      <c r="AD45" s="50">
        <f>'IS (Before Changes)'!AD45-'IS 3Q2022'!AD45</f>
        <v>39.107012541553559</v>
      </c>
      <c r="AE45" s="50">
        <f>'IS (Before Changes)'!AE45-'IS 3Q2022'!AE45</f>
        <v>42.539613077384274</v>
      </c>
      <c r="AF45" s="50">
        <f>'IS (Before Changes)'!AF45-'IS 3Q2022'!AF45</f>
        <v>154.58249706256356</v>
      </c>
      <c r="AG45" s="97">
        <f>'IS (Before Changes)'!AG45-'IS 3Q2022'!AG45</f>
        <v>277.73136391423395</v>
      </c>
      <c r="AH45" s="50">
        <f>'IS (Before Changes)'!AH45-'IS 3Q2022'!AH45</f>
        <v>44.407398119022218</v>
      </c>
      <c r="AI45" s="50">
        <f>'IS (Before Changes)'!AI45-'IS 3Q2022'!AI45</f>
        <v>41.844503419461944</v>
      </c>
      <c r="AJ45" s="50">
        <f>'IS (Before Changes)'!AJ45-'IS 3Q2022'!AJ45</f>
        <v>45.517385992801792</v>
      </c>
      <c r="AK45" s="50">
        <f>'IS (Before Changes)'!AK45-'IS 3Q2022'!AK45</f>
        <v>169.21452955766199</v>
      </c>
      <c r="AL45" s="97">
        <f>'IS (Before Changes)'!AL45-'IS 3Q2022'!AL45</f>
        <v>300.98381708894522</v>
      </c>
      <c r="AM45" s="50">
        <f>'IS (Before Changes)'!AM45-'IS 3Q2022'!AM45</f>
        <v>46.627768024973193</v>
      </c>
      <c r="AN45" s="50">
        <f>'IS (Before Changes)'!AN45-'IS 3Q2022'!AN45</f>
        <v>43.936728590434541</v>
      </c>
      <c r="AO45" s="50">
        <f>'IS (Before Changes)'!AO45-'IS 3Q2022'!AO45</f>
        <v>47.793255292441245</v>
      </c>
      <c r="AP45" s="50">
        <f>'IS (Before Changes)'!AP45-'IS 3Q2022'!AP45</f>
        <v>182.16915233777127</v>
      </c>
      <c r="AQ45" s="97">
        <f>'IS (Before Changes)'!AQ45-'IS 3Q2022'!AQ45</f>
        <v>320.52690424561661</v>
      </c>
      <c r="AR45" s="50">
        <f>'IS (Before Changes)'!AR45-'IS 3Q2022'!AR45</f>
        <v>48.026601065722389</v>
      </c>
      <c r="AS45" s="50">
        <f>'IS (Before Changes)'!AS45-'IS 3Q2022'!AS45</f>
        <v>45.254830448147914</v>
      </c>
      <c r="AT45" s="50">
        <f>'IS (Before Changes)'!AT45-'IS 3Q2022'!AT45</f>
        <v>49.227052951214318</v>
      </c>
      <c r="AU45" s="50">
        <f>'IS (Before Changes)'!AU45-'IS 3Q2022'!AU45</f>
        <v>192.32400491702447</v>
      </c>
      <c r="AV45" s="97">
        <f>'IS (Before Changes)'!AV45-'IS 3Q2022'!AV45</f>
        <v>334.83248938211182</v>
      </c>
    </row>
    <row r="46" spans="2:48" s="8" customFormat="1" outlineLevel="1" x14ac:dyDescent="0.3">
      <c r="B46" s="38" t="s">
        <v>200</v>
      </c>
      <c r="C46" s="206"/>
      <c r="D46" s="43">
        <f>'IS (Before Changes)'!D46-'IS 3Q2022'!D46</f>
        <v>0</v>
      </c>
      <c r="E46" s="43">
        <f>'IS (Before Changes)'!E46-'IS 3Q2022'!E46</f>
        <v>0</v>
      </c>
      <c r="F46" s="43">
        <f>'IS (Before Changes)'!F46-'IS 3Q2022'!F46</f>
        <v>0</v>
      </c>
      <c r="G46" s="43">
        <f>'IS (Before Changes)'!G46-'IS 3Q2022'!G46</f>
        <v>0</v>
      </c>
      <c r="H46" s="97">
        <f>'IS (Before Changes)'!H46-'IS 3Q2022'!H46</f>
        <v>0</v>
      </c>
      <c r="I46" s="27">
        <f>'IS (Before Changes)'!I46-'IS 3Q2022'!I46</f>
        <v>0</v>
      </c>
      <c r="J46" s="27">
        <f>'IS (Before Changes)'!J46-'IS 3Q2022'!J46</f>
        <v>0</v>
      </c>
      <c r="K46" s="27">
        <f>'IS (Before Changes)'!K46-'IS 3Q2022'!K46</f>
        <v>0</v>
      </c>
      <c r="L46" s="27">
        <f>'IS (Before Changes)'!L46-'IS 3Q2022'!L46</f>
        <v>0</v>
      </c>
      <c r="M46" s="97">
        <f>'IS (Before Changes)'!M46-'IS 3Q2022'!M46</f>
        <v>0</v>
      </c>
      <c r="N46" s="27">
        <f>'IS (Before Changes)'!N46-'IS 3Q2022'!N46</f>
        <v>0</v>
      </c>
      <c r="O46" s="27">
        <f>'IS (Before Changes)'!O46-'IS 3Q2022'!O46</f>
        <v>0</v>
      </c>
      <c r="P46" s="27">
        <f>'IS (Before Changes)'!P46-'IS 3Q2022'!P46</f>
        <v>0</v>
      </c>
      <c r="Q46" s="27">
        <f>'IS (Before Changes)'!Q46-'IS 3Q2022'!Q46</f>
        <v>0</v>
      </c>
      <c r="R46" s="97">
        <f>'IS (Before Changes)'!R46-'IS 3Q2022'!R46</f>
        <v>0</v>
      </c>
      <c r="S46" s="27">
        <f>'IS (Before Changes)'!S46-'IS 3Q2022'!S46</f>
        <v>0</v>
      </c>
      <c r="T46" s="27">
        <f>'IS (Before Changes)'!T46-'IS 3Q2022'!T46</f>
        <v>0</v>
      </c>
      <c r="U46" s="27">
        <f>'IS (Before Changes)'!U46-'IS 3Q2022'!U46</f>
        <v>0</v>
      </c>
      <c r="V46" s="27">
        <f>'IS (Before Changes)'!V46-'IS 3Q2022'!V46</f>
        <v>2.2046015856836743E-2</v>
      </c>
      <c r="W46" s="98">
        <f>'IS (Before Changes)'!W46-'IS 3Q2022'!W46</f>
        <v>6.1821276873710307E-3</v>
      </c>
      <c r="X46" s="27">
        <f>'IS (Before Changes)'!X46-'IS 3Q2022'!X46</f>
        <v>7.5805880269217418E-3</v>
      </c>
      <c r="Y46" s="27">
        <f>'IS (Before Changes)'!Y46-'IS 3Q2022'!Y46</f>
        <v>7.5450790772639831E-3</v>
      </c>
      <c r="Z46" s="27">
        <f>'IS (Before Changes)'!Z46-'IS 3Q2022'!Z46</f>
        <v>7.3485302939411135E-3</v>
      </c>
      <c r="AA46" s="27">
        <f>'IS (Before Changes)'!AA46-'IS 3Q2022'!AA46</f>
        <v>3.5334730936535941E-3</v>
      </c>
      <c r="AB46" s="98">
        <f>'IS (Before Changes)'!AB46-'IS 3Q2022'!AB46</f>
        <v>6.379974315370962E-3</v>
      </c>
      <c r="AC46" s="27">
        <f>'IS (Before Changes)'!AC46-'IS 3Q2022'!AC46</f>
        <v>-1.7464183517845733E-4</v>
      </c>
      <c r="AD46" s="27">
        <f>'IS (Before Changes)'!AD46-'IS 3Q2022'!AD46</f>
        <v>-1.8060187924717752E-4</v>
      </c>
      <c r="AE46" s="27">
        <f>'IS (Before Changes)'!AE46-'IS 3Q2022'!AE46</f>
        <v>-1.8675500846576654E-4</v>
      </c>
      <c r="AF46" s="27">
        <f>'IS (Before Changes)'!AF46-'IS 3Q2022'!AF46</f>
        <v>-1.9309328640315648E-4</v>
      </c>
      <c r="AG46" s="98">
        <f>'IS (Before Changes)'!AG46-'IS 3Q2022'!AG46</f>
        <v>-1.7677004482208325E-4</v>
      </c>
      <c r="AH46" s="27">
        <f>'IS (Before Changes)'!AH46-'IS 3Q2022'!AH46</f>
        <v>-2.0335872225185625E-4</v>
      </c>
      <c r="AI46" s="27">
        <f>'IS (Before Changes)'!AI46-'IS 3Q2022'!AI46</f>
        <v>-2.1004278997760473E-4</v>
      </c>
      <c r="AJ46" s="27">
        <f>'IS (Before Changes)'!AJ46-'IS 3Q2022'!AJ46</f>
        <v>-2.1617365681070311E-4</v>
      </c>
      <c r="AK46" s="27">
        <f>'IS (Before Changes)'!AK46-'IS 3Q2022'!AK46</f>
        <v>-2.2176982479304996E-4</v>
      </c>
      <c r="AL46" s="98">
        <f>'IS (Before Changes)'!AL46-'IS 3Q2022'!AL46</f>
        <v>-2.055305170229893E-4</v>
      </c>
      <c r="AM46" s="27">
        <f>'IS (Before Changes)'!AM46-'IS 3Q2022'!AM46</f>
        <v>-2.2172556870381221E-4</v>
      </c>
      <c r="AN46" s="27">
        <f>'IS (Before Changes)'!AN46-'IS 3Q2022'!AN46</f>
        <v>-2.2447475574161047E-4</v>
      </c>
      <c r="AO46" s="27">
        <f>'IS (Before Changes)'!AO46-'IS 3Q2022'!AO46</f>
        <v>-2.2711027726951549E-4</v>
      </c>
      <c r="AP46" s="27">
        <f>'IS (Before Changes)'!AP46-'IS 3Q2022'!AP46</f>
        <v>-2.2963643202333905E-4</v>
      </c>
      <c r="AQ46" s="98">
        <f>'IS (Before Changes)'!AQ46-'IS 3Q2022'!AQ46</f>
        <v>-2.212737657920627E-4</v>
      </c>
      <c r="AR46" s="27">
        <f>'IS (Before Changes)'!AR46-'IS 3Q2022'!AR46</f>
        <v>-2.2450895963177508E-4</v>
      </c>
      <c r="AS46" s="27">
        <f>'IS (Before Changes)'!AS46-'IS 3Q2022'!AS46</f>
        <v>-2.2067703239136982E-4</v>
      </c>
      <c r="AT46" s="27">
        <f>'IS (Before Changes)'!AT46-'IS 3Q2022'!AT46</f>
        <v>-2.1694237994585031E-4</v>
      </c>
      <c r="AU46" s="27">
        <f>'IS (Before Changes)'!AU46-'IS 3Q2022'!AU46</f>
        <v>-2.1330173745881531E-4</v>
      </c>
      <c r="AV46" s="98">
        <f>'IS (Before Changes)'!AV46-'IS 3Q2022'!AV46</f>
        <v>-2.20740622410176E-4</v>
      </c>
    </row>
    <row r="47" spans="2:48" outlineLevel="1" x14ac:dyDescent="0.3">
      <c r="B47" s="220" t="s">
        <v>44</v>
      </c>
      <c r="C47" s="221"/>
      <c r="D47" s="222">
        <f>'IS (Before Changes)'!D47-'IS 3Q2022'!D47</f>
        <v>0</v>
      </c>
      <c r="E47" s="222">
        <f>'IS (Before Changes)'!E47-'IS 3Q2022'!E47</f>
        <v>0</v>
      </c>
      <c r="F47" s="222">
        <f>'IS (Before Changes)'!F47-'IS 3Q2022'!F47</f>
        <v>0</v>
      </c>
      <c r="G47" s="222">
        <f>'IS (Before Changes)'!G47-'IS 3Q2022'!G47</f>
        <v>0</v>
      </c>
      <c r="H47" s="223">
        <f>'IS (Before Changes)'!H47-'IS 3Q2022'!H47</f>
        <v>0</v>
      </c>
      <c r="I47" s="222">
        <f>'IS (Before Changes)'!I47-'IS 3Q2022'!I47</f>
        <v>0</v>
      </c>
      <c r="J47" s="222">
        <f>'IS (Before Changes)'!J47-'IS 3Q2022'!J47</f>
        <v>0</v>
      </c>
      <c r="K47" s="222">
        <f>'IS (Before Changes)'!K47-'IS 3Q2022'!K47</f>
        <v>0</v>
      </c>
      <c r="L47" s="224">
        <f>'IS (Before Changes)'!L47-'IS 3Q2022'!L47</f>
        <v>0</v>
      </c>
      <c r="M47" s="223">
        <f>'IS (Before Changes)'!M47-'IS 3Q2022'!M47</f>
        <v>0</v>
      </c>
      <c r="N47" s="222">
        <f>'IS (Before Changes)'!N47-'IS 3Q2022'!N47</f>
        <v>0</v>
      </c>
      <c r="O47" s="222">
        <f>'IS (Before Changes)'!O47-'IS 3Q2022'!O47</f>
        <v>0</v>
      </c>
      <c r="P47" s="222">
        <f>'IS (Before Changes)'!P47-'IS 3Q2022'!P47</f>
        <v>0</v>
      </c>
      <c r="Q47" s="222">
        <f>'IS (Before Changes)'!Q47-'IS 3Q2022'!Q47</f>
        <v>0</v>
      </c>
      <c r="R47" s="225">
        <f>'IS (Before Changes)'!R47-'IS 3Q2022'!R47</f>
        <v>0</v>
      </c>
      <c r="S47" s="224">
        <f>'IS (Before Changes)'!S47-'IS 3Q2022'!S47</f>
        <v>0</v>
      </c>
      <c r="T47" s="224">
        <f>'IS (Before Changes)'!T47-'IS 3Q2022'!T47</f>
        <v>0</v>
      </c>
      <c r="U47" s="224">
        <f>'IS (Before Changes)'!U47-'IS 3Q2022'!U47</f>
        <v>0</v>
      </c>
      <c r="V47" s="224">
        <f>'IS (Before Changes)'!V47-'IS 3Q2022'!V47</f>
        <v>0.01</v>
      </c>
      <c r="W47" s="223">
        <f>'IS (Before Changes)'!W47-'IS 3Q2022'!W47</f>
        <v>0</v>
      </c>
      <c r="X47" s="224">
        <f>'IS (Before Changes)'!X47-'IS 3Q2022'!X47</f>
        <v>0</v>
      </c>
      <c r="Y47" s="224">
        <f>'IS (Before Changes)'!Y47-'IS 3Q2022'!Y47</f>
        <v>0</v>
      </c>
      <c r="Z47" s="224">
        <f>'IS (Before Changes)'!Z47-'IS 3Q2022'!Z47</f>
        <v>0</v>
      </c>
      <c r="AA47" s="224">
        <f>'IS (Before Changes)'!AA47-'IS 3Q2022'!AA47</f>
        <v>0</v>
      </c>
      <c r="AB47" s="376">
        <f>'IS (Before Changes)'!AB47-'IS 3Q2022'!AB47</f>
        <v>6.4031630335870116E-3</v>
      </c>
      <c r="AC47" s="224">
        <f>'IS (Before Changes)'!AC47-'IS 3Q2022'!AC47</f>
        <v>0</v>
      </c>
      <c r="AD47" s="224">
        <f>'IS (Before Changes)'!AD47-'IS 3Q2022'!AD47</f>
        <v>0</v>
      </c>
      <c r="AE47" s="224">
        <f>'IS (Before Changes)'!AE47-'IS 3Q2022'!AE47</f>
        <v>0</v>
      </c>
      <c r="AF47" s="224">
        <f>'IS (Before Changes)'!AF47-'IS 3Q2022'!AF47</f>
        <v>0</v>
      </c>
      <c r="AG47" s="225">
        <f>'IS (Before Changes)'!AG47-'IS 3Q2022'!AG47</f>
        <v>0</v>
      </c>
      <c r="AH47" s="224">
        <f>'IS (Before Changes)'!AH47-'IS 3Q2022'!AH47</f>
        <v>0</v>
      </c>
      <c r="AI47" s="224">
        <f>'IS (Before Changes)'!AI47-'IS 3Q2022'!AI47</f>
        <v>0</v>
      </c>
      <c r="AJ47" s="224">
        <f>'IS (Before Changes)'!AJ47-'IS 3Q2022'!AJ47</f>
        <v>0</v>
      </c>
      <c r="AK47" s="224">
        <f>'IS (Before Changes)'!AK47-'IS 3Q2022'!AK47</f>
        <v>0</v>
      </c>
      <c r="AL47" s="225">
        <f>'IS (Before Changes)'!AL47-'IS 3Q2022'!AL47</f>
        <v>0</v>
      </c>
      <c r="AM47" s="224">
        <f>'IS (Before Changes)'!AM47-'IS 3Q2022'!AM47</f>
        <v>0</v>
      </c>
      <c r="AN47" s="224">
        <f>'IS (Before Changes)'!AN47-'IS 3Q2022'!AN47</f>
        <v>0</v>
      </c>
      <c r="AO47" s="224">
        <f>'IS (Before Changes)'!AO47-'IS 3Q2022'!AO47</f>
        <v>0</v>
      </c>
      <c r="AP47" s="224">
        <f>'IS (Before Changes)'!AP47-'IS 3Q2022'!AP47</f>
        <v>0</v>
      </c>
      <c r="AQ47" s="225">
        <f>'IS (Before Changes)'!AQ47-'IS 3Q2022'!AQ47</f>
        <v>0</v>
      </c>
      <c r="AR47" s="224">
        <f>'IS (Before Changes)'!AR47-'IS 3Q2022'!AR47</f>
        <v>0</v>
      </c>
      <c r="AS47" s="224">
        <f>'IS (Before Changes)'!AS47-'IS 3Q2022'!AS47</f>
        <v>0</v>
      </c>
      <c r="AT47" s="224">
        <f>'IS (Before Changes)'!AT47-'IS 3Q2022'!AT47</f>
        <v>0</v>
      </c>
      <c r="AU47" s="224">
        <f>'IS (Before Changes)'!AU47-'IS 3Q2022'!AU47</f>
        <v>0</v>
      </c>
      <c r="AV47" s="225">
        <f>'IS (Before Changes)'!AV47-'IS 3Q2022'!AV47</f>
        <v>0</v>
      </c>
    </row>
    <row r="48" spans="2:48" outlineLevel="1" x14ac:dyDescent="0.3">
      <c r="B48" s="38" t="s">
        <v>43</v>
      </c>
      <c r="C48" s="207"/>
      <c r="D48" s="226">
        <f>'IS (Before Changes)'!D48-'IS 3Q2022'!D48</f>
        <v>0</v>
      </c>
      <c r="E48" s="226">
        <f>'IS (Before Changes)'!E48-'IS 3Q2022'!E48</f>
        <v>0</v>
      </c>
      <c r="F48" s="226">
        <f>'IS (Before Changes)'!F48-'IS 3Q2022'!F48</f>
        <v>0</v>
      </c>
      <c r="G48" s="226">
        <f>'IS (Before Changes)'!G48-'IS 3Q2022'!G48</f>
        <v>0</v>
      </c>
      <c r="H48" s="217">
        <f>'IS (Before Changes)'!H48-'IS 3Q2022'!H48</f>
        <v>0</v>
      </c>
      <c r="I48" s="226">
        <f>'IS (Before Changes)'!I48-'IS 3Q2022'!I48</f>
        <v>0</v>
      </c>
      <c r="J48" s="226">
        <f>'IS (Before Changes)'!J48-'IS 3Q2022'!J48</f>
        <v>0</v>
      </c>
      <c r="K48" s="226">
        <f>'IS (Before Changes)'!K48-'IS 3Q2022'!K48</f>
        <v>0</v>
      </c>
      <c r="L48" s="227">
        <f>'IS (Before Changes)'!L48-'IS 3Q2022'!L48</f>
        <v>0</v>
      </c>
      <c r="M48" s="217">
        <f>'IS (Before Changes)'!M48-'IS 3Q2022'!M48</f>
        <v>0</v>
      </c>
      <c r="N48" s="226">
        <f>'IS (Before Changes)'!N48-'IS 3Q2022'!N48</f>
        <v>0</v>
      </c>
      <c r="O48" s="226">
        <f>'IS (Before Changes)'!O48-'IS 3Q2022'!O48</f>
        <v>0</v>
      </c>
      <c r="P48" s="226">
        <f>'IS (Before Changes)'!P48-'IS 3Q2022'!P48</f>
        <v>0</v>
      </c>
      <c r="Q48" s="226">
        <f>'IS (Before Changes)'!Q48-'IS 3Q2022'!Q48</f>
        <v>0</v>
      </c>
      <c r="R48" s="218">
        <f>'IS (Before Changes)'!R48-'IS 3Q2022'!R48</f>
        <v>0</v>
      </c>
      <c r="S48" s="227">
        <f>'IS (Before Changes)'!S48-'IS 3Q2022'!S48</f>
        <v>0</v>
      </c>
      <c r="T48" s="227">
        <f>'IS (Before Changes)'!T48-'IS 3Q2022'!T48</f>
        <v>0</v>
      </c>
      <c r="U48" s="228">
        <f>'IS (Before Changes)'!U48-'IS 3Q2022'!U48</f>
        <v>0</v>
      </c>
      <c r="V48" s="228">
        <f>'IS (Before Changes)'!V48-'IS 3Q2022'!V48</f>
        <v>0.1</v>
      </c>
      <c r="W48" s="148">
        <f>'IS (Before Changes)'!W48-'IS 3Q2022'!W48</f>
        <v>0</v>
      </c>
      <c r="X48" s="228">
        <f>'IS (Before Changes)'!X48-'IS 3Q2022'!X48</f>
        <v>0</v>
      </c>
      <c r="Y48" s="228">
        <f>'IS (Before Changes)'!Y48-'IS 3Q2022'!Y48</f>
        <v>0</v>
      </c>
      <c r="Z48" s="228">
        <f>'IS (Before Changes)'!Z48-'IS 3Q2022'!Z48</f>
        <v>0</v>
      </c>
      <c r="AA48" s="228">
        <f>'IS (Before Changes)'!AA48-'IS 3Q2022'!AA48</f>
        <v>0</v>
      </c>
      <c r="AB48" s="362">
        <f>'IS (Before Changes)'!AB48-'IS 3Q2022'!AB48</f>
        <v>0</v>
      </c>
      <c r="AC48" s="228">
        <f>'IS (Before Changes)'!AC48-'IS 3Q2022'!AC48</f>
        <v>0</v>
      </c>
      <c r="AD48" s="228">
        <f>'IS (Before Changes)'!AD48-'IS 3Q2022'!AD48</f>
        <v>0</v>
      </c>
      <c r="AE48" s="228">
        <f>'IS (Before Changes)'!AE48-'IS 3Q2022'!AE48</f>
        <v>0</v>
      </c>
      <c r="AF48" s="228">
        <f>'IS (Before Changes)'!AF48-'IS 3Q2022'!AF48</f>
        <v>0</v>
      </c>
      <c r="AG48" s="60">
        <f>'IS (Before Changes)'!AG48-'IS 3Q2022'!AG48</f>
        <v>0</v>
      </c>
      <c r="AH48" s="228">
        <f>'IS (Before Changes)'!AH48-'IS 3Q2022'!AH48</f>
        <v>0</v>
      </c>
      <c r="AI48" s="228">
        <f>'IS (Before Changes)'!AI48-'IS 3Q2022'!AI48</f>
        <v>0</v>
      </c>
      <c r="AJ48" s="228">
        <f>'IS (Before Changes)'!AJ48-'IS 3Q2022'!AJ48</f>
        <v>0</v>
      </c>
      <c r="AK48" s="228">
        <f>'IS (Before Changes)'!AK48-'IS 3Q2022'!AK48</f>
        <v>0</v>
      </c>
      <c r="AL48" s="60">
        <f>'IS (Before Changes)'!AL48-'IS 3Q2022'!AL48</f>
        <v>0</v>
      </c>
      <c r="AM48" s="228">
        <f>'IS (Before Changes)'!AM48-'IS 3Q2022'!AM48</f>
        <v>0</v>
      </c>
      <c r="AN48" s="228">
        <f>'IS (Before Changes)'!AN48-'IS 3Q2022'!AN48</f>
        <v>0</v>
      </c>
      <c r="AO48" s="228">
        <f>'IS (Before Changes)'!AO48-'IS 3Q2022'!AO48</f>
        <v>0</v>
      </c>
      <c r="AP48" s="228">
        <f>'IS (Before Changes)'!AP48-'IS 3Q2022'!AP48</f>
        <v>0</v>
      </c>
      <c r="AQ48" s="60">
        <f>'IS (Before Changes)'!AQ48-'IS 3Q2022'!AQ48</f>
        <v>0</v>
      </c>
      <c r="AR48" s="228">
        <f>'IS (Before Changes)'!AR48-'IS 3Q2022'!AR48</f>
        <v>0</v>
      </c>
      <c r="AS48" s="228">
        <f>'IS (Before Changes)'!AS48-'IS 3Q2022'!AS48</f>
        <v>0</v>
      </c>
      <c r="AT48" s="228">
        <f>'IS (Before Changes)'!AT48-'IS 3Q2022'!AT48</f>
        <v>0</v>
      </c>
      <c r="AU48" s="228">
        <f>'IS (Before Changes)'!AU48-'IS 3Q2022'!AU48</f>
        <v>0</v>
      </c>
      <c r="AV48" s="60">
        <f>'IS (Before Changes)'!AV48-'IS 3Q2022'!AV48</f>
        <v>0</v>
      </c>
    </row>
    <row r="49" spans="2:48" s="8" customFormat="1" outlineLevel="1" x14ac:dyDescent="0.3">
      <c r="B49" s="229" t="s">
        <v>45</v>
      </c>
      <c r="C49" s="230"/>
      <c r="D49" s="231">
        <f>'IS (Before Changes)'!D49-'IS 3Q2022'!D49</f>
        <v>0</v>
      </c>
      <c r="E49" s="231">
        <f>'IS (Before Changes)'!E49-'IS 3Q2022'!E49</f>
        <v>0</v>
      </c>
      <c r="F49" s="231">
        <f>'IS (Before Changes)'!F49-'IS 3Q2022'!F49</f>
        <v>0</v>
      </c>
      <c r="G49" s="231">
        <f>'IS (Before Changes)'!G49-'IS 3Q2022'!G49</f>
        <v>0</v>
      </c>
      <c r="H49" s="232">
        <f>'IS (Before Changes)'!H49-'IS 3Q2022'!H49</f>
        <v>0</v>
      </c>
      <c r="I49" s="231">
        <f>'IS (Before Changes)'!I49-'IS 3Q2022'!I49</f>
        <v>0</v>
      </c>
      <c r="J49" s="231">
        <f>'IS (Before Changes)'!J49-'IS 3Q2022'!J49</f>
        <v>0</v>
      </c>
      <c r="K49" s="231">
        <f>'IS (Before Changes)'!K49-'IS 3Q2022'!K49</f>
        <v>0</v>
      </c>
      <c r="L49" s="233">
        <f>'IS (Before Changes)'!L49-'IS 3Q2022'!L49</f>
        <v>0</v>
      </c>
      <c r="M49" s="234">
        <f>'IS (Before Changes)'!M49-'IS 3Q2022'!M49</f>
        <v>0</v>
      </c>
      <c r="N49" s="233">
        <f>'IS (Before Changes)'!N49-'IS 3Q2022'!N49</f>
        <v>0</v>
      </c>
      <c r="O49" s="233">
        <f>'IS (Before Changes)'!O49-'IS 3Q2022'!O49</f>
        <v>0</v>
      </c>
      <c r="P49" s="231">
        <f>'IS (Before Changes)'!P49-'IS 3Q2022'!P49</f>
        <v>0</v>
      </c>
      <c r="Q49" s="231">
        <f>'IS (Before Changes)'!Q49-'IS 3Q2022'!Q49</f>
        <v>0</v>
      </c>
      <c r="R49" s="235">
        <f>'IS (Before Changes)'!R49-'IS 3Q2022'!R49</f>
        <v>0</v>
      </c>
      <c r="S49" s="233">
        <f>'IS (Before Changes)'!S49-'IS 3Q2022'!S49</f>
        <v>0</v>
      </c>
      <c r="T49" s="233">
        <f>'IS (Before Changes)'!T49-'IS 3Q2022'!T49</f>
        <v>0</v>
      </c>
      <c r="U49" s="231">
        <f>'IS (Before Changes)'!U49-'IS 3Q2022'!U49</f>
        <v>0</v>
      </c>
      <c r="V49" s="231">
        <f>'IS (Before Changes)'!V49-'IS 3Q2022'!V49</f>
        <v>0.11</v>
      </c>
      <c r="W49" s="232">
        <f>'IS (Before Changes)'!W49-'IS 3Q2022'!W49</f>
        <v>0</v>
      </c>
      <c r="X49" s="233">
        <f>'IS (Before Changes)'!X49-'IS 3Q2022'!X49</f>
        <v>0</v>
      </c>
      <c r="Y49" s="233">
        <f>'IS (Before Changes)'!Y49-'IS 3Q2022'!Y49</f>
        <v>0</v>
      </c>
      <c r="Z49" s="233">
        <f>'IS (Before Changes)'!Z49-'IS 3Q2022'!Z49</f>
        <v>0</v>
      </c>
      <c r="AA49" s="233">
        <f>'IS (Before Changes)'!AA49-'IS 3Q2022'!AA49</f>
        <v>0</v>
      </c>
      <c r="AB49" s="361">
        <f>'IS (Before Changes)'!AB49-'IS 3Q2022'!AB49</f>
        <v>0</v>
      </c>
      <c r="AC49" s="233">
        <f>'IS (Before Changes)'!AC49-'IS 3Q2022'!AC49</f>
        <v>0</v>
      </c>
      <c r="AD49" s="233">
        <f>'IS (Before Changes)'!AD49-'IS 3Q2022'!AD49</f>
        <v>0</v>
      </c>
      <c r="AE49" s="233">
        <f>'IS (Before Changes)'!AE49-'IS 3Q2022'!AE49</f>
        <v>0</v>
      </c>
      <c r="AF49" s="233">
        <f>'IS (Before Changes)'!AF49-'IS 3Q2022'!AF49</f>
        <v>0</v>
      </c>
      <c r="AG49" s="232">
        <f>'IS (Before Changes)'!AG49-'IS 3Q2022'!AG49</f>
        <v>0</v>
      </c>
      <c r="AH49" s="233">
        <f>'IS (Before Changes)'!AH49-'IS 3Q2022'!AH49</f>
        <v>0</v>
      </c>
      <c r="AI49" s="233">
        <f>'IS (Before Changes)'!AI49-'IS 3Q2022'!AI49</f>
        <v>0</v>
      </c>
      <c r="AJ49" s="233">
        <f>'IS (Before Changes)'!AJ49-'IS 3Q2022'!AJ49</f>
        <v>0</v>
      </c>
      <c r="AK49" s="233">
        <f>'IS (Before Changes)'!AK49-'IS 3Q2022'!AK49</f>
        <v>0</v>
      </c>
      <c r="AL49" s="232">
        <f>'IS (Before Changes)'!AL49-'IS 3Q2022'!AL49</f>
        <v>0</v>
      </c>
      <c r="AM49" s="233">
        <f>'IS (Before Changes)'!AM49-'IS 3Q2022'!AM49</f>
        <v>0</v>
      </c>
      <c r="AN49" s="233">
        <f>'IS (Before Changes)'!AN49-'IS 3Q2022'!AN49</f>
        <v>0</v>
      </c>
      <c r="AO49" s="233">
        <f>'IS (Before Changes)'!AO49-'IS 3Q2022'!AO49</f>
        <v>0</v>
      </c>
      <c r="AP49" s="233">
        <f>'IS (Before Changes)'!AP49-'IS 3Q2022'!AP49</f>
        <v>0</v>
      </c>
      <c r="AQ49" s="232">
        <f>'IS (Before Changes)'!AQ49-'IS 3Q2022'!AQ49</f>
        <v>0</v>
      </c>
      <c r="AR49" s="233">
        <f>'IS (Before Changes)'!AR49-'IS 3Q2022'!AR49</f>
        <v>0</v>
      </c>
      <c r="AS49" s="233">
        <f>'IS (Before Changes)'!AS49-'IS 3Q2022'!AS49</f>
        <v>0</v>
      </c>
      <c r="AT49" s="233">
        <f>'IS (Before Changes)'!AT49-'IS 3Q2022'!AT49</f>
        <v>0</v>
      </c>
      <c r="AU49" s="233">
        <f>'IS (Before Changes)'!AU49-'IS 3Q2022'!AU49</f>
        <v>0</v>
      </c>
      <c r="AV49" s="232">
        <f>'IS (Before Changes)'!AV49-'IS 3Q2022'!AV49</f>
        <v>0</v>
      </c>
    </row>
    <row r="50" spans="2:48" s="8" customFormat="1" outlineLevel="1" x14ac:dyDescent="0.3">
      <c r="B50" s="506" t="s">
        <v>177</v>
      </c>
      <c r="C50" s="507"/>
      <c r="D50" s="67">
        <f>'IS (Before Changes)'!D50-'IS 3Q2022'!D50</f>
        <v>0</v>
      </c>
      <c r="E50" s="67">
        <f>'IS (Before Changes)'!E50-'IS 3Q2022'!E50</f>
        <v>0</v>
      </c>
      <c r="F50" s="117">
        <f>'IS (Before Changes)'!F50-'IS 3Q2022'!F50</f>
        <v>0</v>
      </c>
      <c r="G50" s="67">
        <f>'IS (Before Changes)'!G50-'IS 3Q2022'!G50</f>
        <v>0</v>
      </c>
      <c r="H50" s="68">
        <f>'IS (Before Changes)'!H50-'IS 3Q2022'!H50</f>
        <v>0</v>
      </c>
      <c r="I50" s="67">
        <f>'IS (Before Changes)'!I50-'IS 3Q2022'!I50</f>
        <v>0</v>
      </c>
      <c r="J50" s="67">
        <f>'IS (Before Changes)'!J50-'IS 3Q2022'!J50</f>
        <v>0</v>
      </c>
      <c r="K50" s="67">
        <f>'IS (Before Changes)'!K50-'IS 3Q2022'!K50</f>
        <v>0</v>
      </c>
      <c r="L50" s="67">
        <f>'IS (Before Changes)'!L50-'IS 3Q2022'!L50</f>
        <v>0</v>
      </c>
      <c r="M50" s="68">
        <f>'IS (Before Changes)'!M50-'IS 3Q2022'!M50</f>
        <v>0</v>
      </c>
      <c r="N50" s="67">
        <f>'IS (Before Changes)'!N50-'IS 3Q2022'!N50</f>
        <v>0</v>
      </c>
      <c r="O50" s="67">
        <f>'IS (Before Changes)'!O50-'IS 3Q2022'!O50</f>
        <v>0</v>
      </c>
      <c r="P50" s="67">
        <f>'IS (Before Changes)'!P50-'IS 3Q2022'!P50</f>
        <v>0</v>
      </c>
      <c r="Q50" s="67">
        <f>'IS (Before Changes)'!Q50-'IS 3Q2022'!Q50</f>
        <v>0</v>
      </c>
      <c r="R50" s="192">
        <f>'IS (Before Changes)'!R50-'IS 3Q2022'!R50</f>
        <v>0</v>
      </c>
      <c r="S50" s="67">
        <f>'IS (Before Changes)'!S50-'IS 3Q2022'!S50</f>
        <v>0</v>
      </c>
      <c r="T50" s="67">
        <f>'IS (Before Changes)'!T50-'IS 3Q2022'!T50</f>
        <v>0</v>
      </c>
      <c r="U50" s="67">
        <f>'IS (Before Changes)'!U50-'IS 3Q2022'!U50</f>
        <v>0</v>
      </c>
      <c r="V50" s="67">
        <f>'IS (Before Changes)'!V50-'IS 3Q2022'!V50</f>
        <v>51</v>
      </c>
      <c r="W50" s="253">
        <f>'IS (Before Changes)'!W50-'IS 3Q2022'!W50</f>
        <v>51</v>
      </c>
      <c r="X50" s="67">
        <f>'IS (Before Changes)'!X50-'IS 3Q2022'!X50</f>
        <v>51</v>
      </c>
      <c r="Y50" s="67">
        <f>'IS (Before Changes)'!Y50-'IS 3Q2022'!Y50</f>
        <v>51</v>
      </c>
      <c r="Z50" s="67">
        <f>'IS (Before Changes)'!Z50-'IS 3Q2022'!Z50</f>
        <v>51</v>
      </c>
      <c r="AA50" s="67">
        <f>'IS (Before Changes)'!AA50-'IS 3Q2022'!AA50</f>
        <v>51</v>
      </c>
      <c r="AB50" s="192">
        <f>'IS (Before Changes)'!AB50-'IS 3Q2022'!AB50</f>
        <v>51</v>
      </c>
      <c r="AC50" s="67">
        <f>'IS (Before Changes)'!AC50-'IS 3Q2022'!AC50</f>
        <v>51</v>
      </c>
      <c r="AD50" s="67">
        <f>'IS (Before Changes)'!AD50-'IS 3Q2022'!AD50</f>
        <v>51</v>
      </c>
      <c r="AE50" s="67">
        <f>'IS (Before Changes)'!AE50-'IS 3Q2022'!AE50</f>
        <v>51</v>
      </c>
      <c r="AF50" s="67">
        <f>'IS (Before Changes)'!AF50-'IS 3Q2022'!AF50</f>
        <v>51</v>
      </c>
      <c r="AG50" s="192">
        <f>'IS (Before Changes)'!AG50-'IS 3Q2022'!AG50</f>
        <v>51</v>
      </c>
      <c r="AH50" s="67">
        <f>'IS (Before Changes)'!AH50-'IS 3Q2022'!AH50</f>
        <v>51</v>
      </c>
      <c r="AI50" s="67">
        <f>'IS (Before Changes)'!AI50-'IS 3Q2022'!AI50</f>
        <v>51</v>
      </c>
      <c r="AJ50" s="67">
        <f>'IS (Before Changes)'!AJ50-'IS 3Q2022'!AJ50</f>
        <v>51</v>
      </c>
      <c r="AK50" s="67">
        <f>'IS (Before Changes)'!AK50-'IS 3Q2022'!AK50</f>
        <v>51</v>
      </c>
      <c r="AL50" s="192">
        <f>'IS (Before Changes)'!AL50-'IS 3Q2022'!AL50</f>
        <v>51</v>
      </c>
      <c r="AM50" s="67">
        <f>'IS (Before Changes)'!AM50-'IS 3Q2022'!AM50</f>
        <v>51</v>
      </c>
      <c r="AN50" s="67">
        <f>'IS (Before Changes)'!AN50-'IS 3Q2022'!AN50</f>
        <v>51</v>
      </c>
      <c r="AO50" s="67">
        <f>'IS (Before Changes)'!AO50-'IS 3Q2022'!AO50</f>
        <v>51</v>
      </c>
      <c r="AP50" s="67">
        <f>'IS (Before Changes)'!AP50-'IS 3Q2022'!AP50</f>
        <v>51</v>
      </c>
      <c r="AQ50" s="192">
        <f>'IS (Before Changes)'!AQ50-'IS 3Q2022'!AQ50</f>
        <v>51</v>
      </c>
      <c r="AR50" s="67">
        <f>'IS (Before Changes)'!AR50-'IS 3Q2022'!AR50</f>
        <v>51</v>
      </c>
      <c r="AS50" s="67">
        <f>'IS (Before Changes)'!AS50-'IS 3Q2022'!AS50</f>
        <v>51</v>
      </c>
      <c r="AT50" s="67">
        <f>'IS (Before Changes)'!AT50-'IS 3Q2022'!AT50</f>
        <v>51</v>
      </c>
      <c r="AU50" s="67">
        <f>'IS (Before Changes)'!AU50-'IS 3Q2022'!AU50</f>
        <v>51</v>
      </c>
      <c r="AV50" s="192">
        <f>'IS (Before Changes)'!AV50-'IS 3Q2022'!AV50</f>
        <v>51</v>
      </c>
    </row>
    <row r="51" spans="2:48" outlineLevel="1" x14ac:dyDescent="0.3">
      <c r="B51" s="180" t="s">
        <v>47</v>
      </c>
      <c r="C51" s="201"/>
      <c r="D51" s="101">
        <f>'IS (Before Changes)'!D51-'IS 3Q2022'!D51</f>
        <v>0</v>
      </c>
      <c r="E51" s="101">
        <f>'IS (Before Changes)'!E51-'IS 3Q2022'!E51</f>
        <v>0</v>
      </c>
      <c r="F51" s="101">
        <f>'IS (Before Changes)'!F51-'IS 3Q2022'!F51</f>
        <v>0</v>
      </c>
      <c r="G51" s="101">
        <f>'IS (Before Changes)'!G51-'IS 3Q2022'!G51</f>
        <v>0</v>
      </c>
      <c r="H51" s="122">
        <f>'IS (Before Changes)'!H51-'IS 3Q2022'!H51</f>
        <v>0</v>
      </c>
      <c r="I51" s="101">
        <f>'IS (Before Changes)'!I51-'IS 3Q2022'!I51</f>
        <v>0</v>
      </c>
      <c r="J51" s="101">
        <f>'IS (Before Changes)'!J51-'IS 3Q2022'!J51</f>
        <v>0</v>
      </c>
      <c r="K51" s="101">
        <f>'IS (Before Changes)'!K51-'IS 3Q2022'!K51</f>
        <v>0</v>
      </c>
      <c r="L51" s="101">
        <f>'IS (Before Changes)'!L51-'IS 3Q2022'!L51</f>
        <v>0</v>
      </c>
      <c r="M51" s="122">
        <f>'IS (Before Changes)'!M51-'IS 3Q2022'!M51</f>
        <v>0</v>
      </c>
      <c r="N51" s="101">
        <f>'IS (Before Changes)'!N51-'IS 3Q2022'!N51</f>
        <v>0</v>
      </c>
      <c r="O51" s="101">
        <f>'IS (Before Changes)'!O51-'IS 3Q2022'!O51</f>
        <v>0</v>
      </c>
      <c r="P51" s="101">
        <f>'IS (Before Changes)'!P51-'IS 3Q2022'!P51</f>
        <v>0</v>
      </c>
      <c r="Q51" s="101">
        <f>'IS (Before Changes)'!Q51-'IS 3Q2022'!Q51</f>
        <v>0</v>
      </c>
      <c r="R51" s="26">
        <f>'IS (Before Changes)'!R51-'IS 3Q2022'!R51</f>
        <v>0</v>
      </c>
      <c r="S51" s="101">
        <f>'IS (Before Changes)'!S51-'IS 3Q2022'!S51</f>
        <v>0</v>
      </c>
      <c r="T51" s="101">
        <f>'IS (Before Changes)'!T51-'IS 3Q2022'!T51</f>
        <v>0</v>
      </c>
      <c r="U51" s="101">
        <f>'IS (Before Changes)'!U51-'IS 3Q2022'!U51</f>
        <v>0</v>
      </c>
      <c r="V51" s="33">
        <f>'IS (Before Changes)'!V51-'IS 3Q2022'!V51</f>
        <v>51</v>
      </c>
      <c r="W51" s="122">
        <f>'IS (Before Changes)'!W51-'IS 3Q2022'!W51</f>
        <v>51</v>
      </c>
      <c r="X51" s="33">
        <f>'IS (Before Changes)'!X51-'IS 3Q2022'!X51</f>
        <v>0</v>
      </c>
      <c r="Y51" s="33">
        <f>'IS (Before Changes)'!Y51-'IS 3Q2022'!Y51</f>
        <v>0</v>
      </c>
      <c r="Z51" s="33">
        <f>'IS (Before Changes)'!Z51-'IS 3Q2022'!Z51</f>
        <v>0</v>
      </c>
      <c r="AA51" s="33">
        <f>'IS (Before Changes)'!AA51-'IS 3Q2022'!AA51</f>
        <v>0</v>
      </c>
      <c r="AB51" s="26">
        <f>'IS (Before Changes)'!AB51-'IS 3Q2022'!AB51</f>
        <v>0</v>
      </c>
      <c r="AC51" s="33">
        <f>'IS (Before Changes)'!AC51-'IS 3Q2022'!AC51</f>
        <v>0</v>
      </c>
      <c r="AD51" s="33">
        <f>'IS (Before Changes)'!AD51-'IS 3Q2022'!AD51</f>
        <v>0</v>
      </c>
      <c r="AE51" s="33">
        <f>'IS (Before Changes)'!AE51-'IS 3Q2022'!AE51</f>
        <v>0</v>
      </c>
      <c r="AF51" s="33">
        <f>'IS (Before Changes)'!AF51-'IS 3Q2022'!AF51</f>
        <v>0</v>
      </c>
      <c r="AG51" s="26">
        <f>'IS (Before Changes)'!AG51-'IS 3Q2022'!AG51</f>
        <v>0</v>
      </c>
      <c r="AH51" s="33">
        <f>'IS (Before Changes)'!AH51-'IS 3Q2022'!AH51</f>
        <v>0</v>
      </c>
      <c r="AI51" s="33">
        <f>'IS (Before Changes)'!AI51-'IS 3Q2022'!AI51</f>
        <v>0</v>
      </c>
      <c r="AJ51" s="33">
        <f>'IS (Before Changes)'!AJ51-'IS 3Q2022'!AJ51</f>
        <v>0</v>
      </c>
      <c r="AK51" s="33">
        <f>'IS (Before Changes)'!AK51-'IS 3Q2022'!AK51</f>
        <v>0</v>
      </c>
      <c r="AL51" s="26">
        <f>'IS (Before Changes)'!AL51-'IS 3Q2022'!AL51</f>
        <v>0</v>
      </c>
      <c r="AM51" s="33">
        <f>'IS (Before Changes)'!AM51-'IS 3Q2022'!AM51</f>
        <v>0</v>
      </c>
      <c r="AN51" s="33">
        <f>'IS (Before Changes)'!AN51-'IS 3Q2022'!AN51</f>
        <v>0</v>
      </c>
      <c r="AO51" s="33">
        <f>'IS (Before Changes)'!AO51-'IS 3Q2022'!AO51</f>
        <v>0</v>
      </c>
      <c r="AP51" s="33">
        <f>'IS (Before Changes)'!AP51-'IS 3Q2022'!AP51</f>
        <v>0</v>
      </c>
      <c r="AQ51" s="26">
        <f>'IS (Before Changes)'!AQ51-'IS 3Q2022'!AQ51</f>
        <v>0</v>
      </c>
      <c r="AR51" s="33">
        <f>'IS (Before Changes)'!AR51-'IS 3Q2022'!AR51</f>
        <v>0</v>
      </c>
      <c r="AS51" s="33">
        <f>'IS (Before Changes)'!AS51-'IS 3Q2022'!AS51</f>
        <v>0</v>
      </c>
      <c r="AT51" s="33">
        <f>'IS (Before Changes)'!AT51-'IS 3Q2022'!AT51</f>
        <v>0</v>
      </c>
      <c r="AU51" s="33">
        <f>'IS (Before Changes)'!AU51-'IS 3Q2022'!AU51</f>
        <v>0</v>
      </c>
      <c r="AV51" s="26">
        <f>'IS (Before Changes)'!AV51-'IS 3Q2022'!AV51</f>
        <v>0</v>
      </c>
    </row>
    <row r="52" spans="2:48" outlineLevel="1" x14ac:dyDescent="0.3">
      <c r="B52" s="180" t="s">
        <v>49</v>
      </c>
      <c r="C52" s="201"/>
      <c r="D52" s="16">
        <f>'IS (Before Changes)'!D52-'IS 3Q2022'!D52</f>
        <v>0</v>
      </c>
      <c r="E52" s="16">
        <f>'IS (Before Changes)'!E52-'IS 3Q2022'!E52</f>
        <v>0</v>
      </c>
      <c r="F52" s="16">
        <f>'IS (Before Changes)'!F52-'IS 3Q2022'!F52</f>
        <v>0</v>
      </c>
      <c r="G52" s="16">
        <f>'IS (Before Changes)'!G52-'IS 3Q2022'!G52</f>
        <v>0</v>
      </c>
      <c r="H52" s="26">
        <f>'IS (Before Changes)'!H52-'IS 3Q2022'!H52</f>
        <v>0</v>
      </c>
      <c r="I52" s="16">
        <f>'IS (Before Changes)'!I52-'IS 3Q2022'!I52</f>
        <v>0</v>
      </c>
      <c r="J52" s="16">
        <f>'IS (Before Changes)'!J52-'IS 3Q2022'!J52</f>
        <v>0</v>
      </c>
      <c r="K52" s="16">
        <f>'IS (Before Changes)'!K52-'IS 3Q2022'!K52</f>
        <v>0</v>
      </c>
      <c r="L52" s="16">
        <f>'IS (Before Changes)'!L52-'IS 3Q2022'!L52</f>
        <v>0</v>
      </c>
      <c r="M52" s="6">
        <f>'IS (Before Changes)'!M52-'IS 3Q2022'!M52</f>
        <v>0</v>
      </c>
      <c r="N52" s="16">
        <f>'IS (Before Changes)'!N52-'IS 3Q2022'!N52</f>
        <v>0</v>
      </c>
      <c r="O52" s="16">
        <f>'IS (Before Changes)'!O52-'IS 3Q2022'!O52</f>
        <v>0</v>
      </c>
      <c r="P52" s="16">
        <f>'IS (Before Changes)'!P52-'IS 3Q2022'!P52</f>
        <v>0</v>
      </c>
      <c r="Q52" s="16">
        <f>'IS (Before Changes)'!Q52-'IS 3Q2022'!Q52</f>
        <v>0</v>
      </c>
      <c r="R52" s="6">
        <f>'IS (Before Changes)'!R52-'IS 3Q2022'!R52</f>
        <v>0</v>
      </c>
      <c r="S52" s="16">
        <f>'IS (Before Changes)'!S52-'IS 3Q2022'!S52</f>
        <v>0</v>
      </c>
      <c r="T52" s="16">
        <f>'IS (Before Changes)'!T52-'IS 3Q2022'!T52</f>
        <v>0</v>
      </c>
      <c r="U52" s="16">
        <f>'IS (Before Changes)'!U52-'IS 3Q2022'!U52</f>
        <v>0</v>
      </c>
      <c r="V52" s="16">
        <f>'IS (Before Changes)'!V52-'IS 3Q2022'!V52</f>
        <v>25.5</v>
      </c>
      <c r="W52" s="130">
        <f>'IS (Before Changes)'!W52-'IS 3Q2022'!W52</f>
        <v>0</v>
      </c>
      <c r="X52" s="16">
        <f>'IS (Before Changes)'!X52-'IS 3Q2022'!X52</f>
        <v>51</v>
      </c>
      <c r="Y52" s="16">
        <f>'IS (Before Changes)'!Y52-'IS 3Q2022'!Y52</f>
        <v>51</v>
      </c>
      <c r="Z52" s="16">
        <f>'IS (Before Changes)'!Z52-'IS 3Q2022'!Z52</f>
        <v>51</v>
      </c>
      <c r="AA52" s="16">
        <f>'IS (Before Changes)'!AA52-'IS 3Q2022'!AA52</f>
        <v>51</v>
      </c>
      <c r="AB52" s="6">
        <f>'IS (Before Changes)'!AB52-'IS 3Q2022'!AB52</f>
        <v>0</v>
      </c>
      <c r="AC52" s="16">
        <f>'IS (Before Changes)'!AC52-'IS 3Q2022'!AC52</f>
        <v>51</v>
      </c>
      <c r="AD52" s="16">
        <f>'IS (Before Changes)'!AD52-'IS 3Q2022'!AD52</f>
        <v>51</v>
      </c>
      <c r="AE52" s="16">
        <f>'IS (Before Changes)'!AE52-'IS 3Q2022'!AE52</f>
        <v>51</v>
      </c>
      <c r="AF52" s="16">
        <f>'IS (Before Changes)'!AF52-'IS 3Q2022'!AF52</f>
        <v>51</v>
      </c>
      <c r="AG52" s="6">
        <f>'IS (Before Changes)'!AG52-'IS 3Q2022'!AG52</f>
        <v>0</v>
      </c>
      <c r="AH52" s="16">
        <f>'IS (Before Changes)'!AH52-'IS 3Q2022'!AH52</f>
        <v>51</v>
      </c>
      <c r="AI52" s="16">
        <f>'IS (Before Changes)'!AI52-'IS 3Q2022'!AI52</f>
        <v>51</v>
      </c>
      <c r="AJ52" s="16">
        <f>'IS (Before Changes)'!AJ52-'IS 3Q2022'!AJ52</f>
        <v>51</v>
      </c>
      <c r="AK52" s="16">
        <f>'IS (Before Changes)'!AK52-'IS 3Q2022'!AK52</f>
        <v>51</v>
      </c>
      <c r="AL52" s="6">
        <f>'IS (Before Changes)'!AL52-'IS 3Q2022'!AL52</f>
        <v>0</v>
      </c>
      <c r="AM52" s="16">
        <f>'IS (Before Changes)'!AM52-'IS 3Q2022'!AM52</f>
        <v>51</v>
      </c>
      <c r="AN52" s="16">
        <f>'IS (Before Changes)'!AN52-'IS 3Q2022'!AN52</f>
        <v>51</v>
      </c>
      <c r="AO52" s="16">
        <f>'IS (Before Changes)'!AO52-'IS 3Q2022'!AO52</f>
        <v>51</v>
      </c>
      <c r="AP52" s="16">
        <f>'IS (Before Changes)'!AP52-'IS 3Q2022'!AP52</f>
        <v>51</v>
      </c>
      <c r="AQ52" s="6">
        <f>'IS (Before Changes)'!AQ52-'IS 3Q2022'!AQ52</f>
        <v>0</v>
      </c>
      <c r="AR52" s="16">
        <f>'IS (Before Changes)'!AR52-'IS 3Q2022'!AR52</f>
        <v>51</v>
      </c>
      <c r="AS52" s="16">
        <f>'IS (Before Changes)'!AS52-'IS 3Q2022'!AS52</f>
        <v>51</v>
      </c>
      <c r="AT52" s="16">
        <f>'IS (Before Changes)'!AT52-'IS 3Q2022'!AT52</f>
        <v>51</v>
      </c>
      <c r="AU52" s="16">
        <f>'IS (Before Changes)'!AU52-'IS 3Q2022'!AU52</f>
        <v>51</v>
      </c>
      <c r="AV52" s="6">
        <f>'IS (Before Changes)'!AV52-'IS 3Q2022'!AV52</f>
        <v>0</v>
      </c>
    </row>
    <row r="53" spans="2:48" outlineLevel="1" x14ac:dyDescent="0.3">
      <c r="B53" s="180" t="s">
        <v>202</v>
      </c>
      <c r="C53" s="201"/>
      <c r="D53" s="43">
        <f>'IS (Before Changes)'!D53-'IS 3Q2022'!D53</f>
        <v>0</v>
      </c>
      <c r="E53" s="43">
        <f>'IS (Before Changes)'!E53-'IS 3Q2022'!E53</f>
        <v>0</v>
      </c>
      <c r="F53" s="43">
        <f>'IS (Before Changes)'!F53-'IS 3Q2022'!F53</f>
        <v>0</v>
      </c>
      <c r="G53" s="114">
        <f>'IS (Before Changes)'!G53-'IS 3Q2022'!G53</f>
        <v>0</v>
      </c>
      <c r="H53" s="127">
        <f>'IS (Before Changes)'!H53-'IS 3Q2022'!H53</f>
        <v>0</v>
      </c>
      <c r="I53" s="114">
        <f>'IS (Before Changes)'!I53-'IS 3Q2022'!I53</f>
        <v>0</v>
      </c>
      <c r="J53" s="114">
        <f>'IS (Before Changes)'!J53-'IS 3Q2022'!J53</f>
        <v>0</v>
      </c>
      <c r="K53" s="114">
        <f>'IS (Before Changes)'!K53-'IS 3Q2022'!K53</f>
        <v>0</v>
      </c>
      <c r="L53" s="114">
        <f>'IS (Before Changes)'!L53-'IS 3Q2022'!L53</f>
        <v>0</v>
      </c>
      <c r="M53" s="6">
        <f>'IS (Before Changes)'!M53-'IS 3Q2022'!M53</f>
        <v>0</v>
      </c>
      <c r="N53" s="114">
        <f>'IS (Before Changes)'!N53-'IS 3Q2022'!N53</f>
        <v>0</v>
      </c>
      <c r="O53" s="114">
        <f>'IS (Before Changes)'!O53-'IS 3Q2022'!O53</f>
        <v>0</v>
      </c>
      <c r="P53" s="114">
        <f>'IS (Before Changes)'!P53-'IS 3Q2022'!P53</f>
        <v>0</v>
      </c>
      <c r="Q53" s="114">
        <f>'IS (Before Changes)'!Q53-'IS 3Q2022'!Q53</f>
        <v>0</v>
      </c>
      <c r="R53" s="6">
        <f>'IS (Before Changes)'!R53-'IS 3Q2022'!R53</f>
        <v>0</v>
      </c>
      <c r="S53" s="114">
        <f>'IS (Before Changes)'!S53-'IS 3Q2022'!S53</f>
        <v>0</v>
      </c>
      <c r="T53" s="114">
        <f>'IS (Before Changes)'!T53-'IS 3Q2022'!T53</f>
        <v>0</v>
      </c>
      <c r="U53" s="114">
        <f>'IS (Before Changes)'!U53-'IS 3Q2022'!U53</f>
        <v>0</v>
      </c>
      <c r="V53" s="62">
        <f>'IS (Before Changes)'!V53-'IS 3Q2022'!V53</f>
        <v>9.9498115346870197E-3</v>
      </c>
      <c r="W53" s="130">
        <f>'IS (Before Changes)'!W53-'IS 3Q2022'!W53</f>
        <v>0</v>
      </c>
      <c r="X53" s="62">
        <f>'IS (Before Changes)'!X53-'IS 3Q2022'!X53</f>
        <v>0</v>
      </c>
      <c r="Y53" s="62">
        <f>'IS (Before Changes)'!Y53-'IS 3Q2022'!Y53</f>
        <v>0</v>
      </c>
      <c r="Z53" s="62">
        <f>'IS (Before Changes)'!Z53-'IS 3Q2022'!Z53</f>
        <v>0</v>
      </c>
      <c r="AA53" s="62">
        <f>'IS (Before Changes)'!AA53-'IS 3Q2022'!AA53</f>
        <v>1.0447302111421378E-2</v>
      </c>
      <c r="AB53" s="378">
        <f>'IS (Before Changes)'!AB53-'IS 3Q2022'!AB53</f>
        <v>0</v>
      </c>
      <c r="AC53" s="62">
        <f>'IS (Before Changes)'!AC53-'IS 3Q2022'!AC53</f>
        <v>0</v>
      </c>
      <c r="AD53" s="62">
        <f>'IS (Before Changes)'!AD53-'IS 3Q2022'!AD53</f>
        <v>0</v>
      </c>
      <c r="AE53" s="62">
        <f>'IS (Before Changes)'!AE53-'IS 3Q2022'!AE53</f>
        <v>0</v>
      </c>
      <c r="AF53" s="62">
        <f>'IS (Before Changes)'!AF53-'IS 3Q2022'!AF53</f>
        <v>1.0969667216992454E-2</v>
      </c>
      <c r="AG53" s="378">
        <f>'IS (Before Changes)'!AG53-'IS 3Q2022'!AG53</f>
        <v>0</v>
      </c>
      <c r="AH53" s="62">
        <f>'IS (Before Changes)'!AH53-'IS 3Q2022'!AH53</f>
        <v>0</v>
      </c>
      <c r="AI53" s="62">
        <f>'IS (Before Changes)'!AI53-'IS 3Q2022'!AI53</f>
        <v>0</v>
      </c>
      <c r="AJ53" s="62">
        <f>'IS (Before Changes)'!AJ53-'IS 3Q2022'!AJ53</f>
        <v>0</v>
      </c>
      <c r="AK53" s="62">
        <f>'IS (Before Changes)'!AK53-'IS 3Q2022'!AK53</f>
        <v>1.1737543922181931E-2</v>
      </c>
      <c r="AL53" s="379">
        <f>'IS (Before Changes)'!AL53-'IS 3Q2022'!AL53</f>
        <v>0</v>
      </c>
      <c r="AM53" s="219">
        <f>'IS (Before Changes)'!AM53-'IS 3Q2022'!AM53</f>
        <v>0</v>
      </c>
      <c r="AN53" s="219">
        <f>'IS (Before Changes)'!AN53-'IS 3Q2022'!AN53</f>
        <v>0</v>
      </c>
      <c r="AO53" s="219">
        <f>'IS (Before Changes)'!AO53-'IS 3Q2022'!AO53</f>
        <v>0</v>
      </c>
      <c r="AP53" s="219">
        <f>'IS (Before Changes)'!AP53-'IS 3Q2022'!AP53</f>
        <v>1.2324421118291032E-2</v>
      </c>
      <c r="AQ53" s="97">
        <f>'IS (Before Changes)'!AQ53-'IS 3Q2022'!AQ53</f>
        <v>0</v>
      </c>
      <c r="AR53" s="219">
        <f>'IS (Before Changes)'!AR53-'IS 3Q2022'!AR53</f>
        <v>0</v>
      </c>
      <c r="AS53" s="219">
        <f>'IS (Before Changes)'!AS53-'IS 3Q2022'!AS53</f>
        <v>0</v>
      </c>
      <c r="AT53" s="219">
        <f>'IS (Before Changes)'!AT53-'IS 3Q2022'!AT53</f>
        <v>0</v>
      </c>
      <c r="AU53" s="219">
        <f>'IS (Before Changes)'!AU53-'IS 3Q2022'!AU53</f>
        <v>1.2694153751839771E-2</v>
      </c>
      <c r="AV53" s="6">
        <f>'IS (Before Changes)'!AV53-'IS 3Q2022'!AV53</f>
        <v>0</v>
      </c>
    </row>
    <row r="54" spans="2:48" s="8" customFormat="1" outlineLevel="1" x14ac:dyDescent="0.3">
      <c r="B54" s="498" t="s">
        <v>178</v>
      </c>
      <c r="C54" s="499"/>
      <c r="D54" s="115">
        <f>'IS (Before Changes)'!D54-'IS 3Q2022'!D54</f>
        <v>0</v>
      </c>
      <c r="E54" s="115">
        <f>'IS (Before Changes)'!E54-'IS 3Q2022'!E54</f>
        <v>0</v>
      </c>
      <c r="F54" s="115">
        <f>'IS (Before Changes)'!F54-'IS 3Q2022'!F54</f>
        <v>0</v>
      </c>
      <c r="G54" s="115">
        <f>'IS (Before Changes)'!G54-'IS 3Q2022'!G54</f>
        <v>0</v>
      </c>
      <c r="H54" s="153">
        <f>'IS (Before Changes)'!H54-'IS 3Q2022'!H54</f>
        <v>0</v>
      </c>
      <c r="I54" s="115">
        <f>'IS (Before Changes)'!I54-'IS 3Q2022'!I54</f>
        <v>0</v>
      </c>
      <c r="J54" s="115">
        <f>'IS (Before Changes)'!J54-'IS 3Q2022'!J54</f>
        <v>0</v>
      </c>
      <c r="K54" s="115">
        <f>'IS (Before Changes)'!K54-'IS 3Q2022'!K54</f>
        <v>0</v>
      </c>
      <c r="L54" s="72">
        <f>'IS (Before Changes)'!L54-'IS 3Q2022'!L54</f>
        <v>0</v>
      </c>
      <c r="M54" s="73">
        <f>'IS (Before Changes)'!M54-'IS 3Q2022'!M54</f>
        <v>0</v>
      </c>
      <c r="N54" s="72">
        <f>'IS (Before Changes)'!N54-'IS 3Q2022'!N54</f>
        <v>0</v>
      </c>
      <c r="O54" s="72">
        <f>'IS (Before Changes)'!O54-'IS 3Q2022'!O54</f>
        <v>0</v>
      </c>
      <c r="P54" s="72">
        <f>'IS (Before Changes)'!P54-'IS 3Q2022'!P54</f>
        <v>0</v>
      </c>
      <c r="Q54" s="115">
        <f>'IS (Before Changes)'!Q54-'IS 3Q2022'!Q54</f>
        <v>0</v>
      </c>
      <c r="R54" s="73">
        <f>'IS (Before Changes)'!R54-'IS 3Q2022'!R54</f>
        <v>0</v>
      </c>
      <c r="S54" s="72">
        <f>'IS (Before Changes)'!S54-'IS 3Q2022'!S54</f>
        <v>0</v>
      </c>
      <c r="T54" s="72">
        <f>'IS (Before Changes)'!T54-'IS 3Q2022'!T54</f>
        <v>0</v>
      </c>
      <c r="U54" s="72">
        <f>'IS (Before Changes)'!U54-'IS 3Q2022'!U54</f>
        <v>0</v>
      </c>
      <c r="V54" s="72">
        <f>'IS (Before Changes)'!V54-'IS 3Q2022'!V54</f>
        <v>71.901295811518253</v>
      </c>
      <c r="W54" s="213">
        <f>'IS (Before Changes)'!W54-'IS 3Q2022'!W54</f>
        <v>71.901295811518139</v>
      </c>
      <c r="X54" s="72">
        <f>'IS (Before Changes)'!X54-'IS 3Q2022'!X54</f>
        <v>4.14849709739849</v>
      </c>
      <c r="Y54" s="72">
        <f>'IS (Before Changes)'!Y54-'IS 3Q2022'!Y54</f>
        <v>4.0748853868194601</v>
      </c>
      <c r="Z54" s="72">
        <f>'IS (Before Changes)'!Z54-'IS 3Q2022'!Z54</f>
        <v>4.1714729458917645</v>
      </c>
      <c r="AA54" s="72">
        <f>'IS (Before Changes)'!AA54-'IS 3Q2022'!AA54</f>
        <v>80.353287977812784</v>
      </c>
      <c r="AB54" s="73">
        <f>'IS (Before Changes)'!AB54-'IS 3Q2022'!AB54</f>
        <v>92.748143407922271</v>
      </c>
      <c r="AC54" s="72">
        <f>'IS (Before Changes)'!AC54-'IS 3Q2022'!AC54</f>
        <v>4.3559219522683179</v>
      </c>
      <c r="AD54" s="72">
        <f>'IS (Before Changes)'!AD54-'IS 3Q2022'!AD54</f>
        <v>4.2786296561604331</v>
      </c>
      <c r="AE54" s="72">
        <f>'IS (Before Changes)'!AE54-'IS 3Q2022'!AE54</f>
        <v>4.380046593186421</v>
      </c>
      <c r="AF54" s="72">
        <f>'IS (Before Changes)'!AF54-'IS 3Q2022'!AF54</f>
        <v>87.90318522057521</v>
      </c>
      <c r="AG54" s="73">
        <f>'IS (Before Changes)'!AG54-'IS 3Q2022'!AG54</f>
        <v>100.91778342219004</v>
      </c>
      <c r="AH54" s="72">
        <f>'IS (Before Changes)'!AH54-'IS 3Q2022'!AH54</f>
        <v>4.6608364889270888</v>
      </c>
      <c r="AI54" s="72">
        <f>'IS (Before Changes)'!AI54-'IS 3Q2022'!AI54</f>
        <v>4.5781337320917146</v>
      </c>
      <c r="AJ54" s="72">
        <f>'IS (Before Changes)'!AJ54-'IS 3Q2022'!AJ54</f>
        <v>4.6866498547094579</v>
      </c>
      <c r="AK54" s="72">
        <f>'IS (Before Changes)'!AK54-'IS 3Q2022'!AK54</f>
        <v>98.528412420366749</v>
      </c>
      <c r="AL54" s="73">
        <f>'IS (Before Changes)'!AL54-'IS 3Q2022'!AL54</f>
        <v>112.4540324960949</v>
      </c>
      <c r="AM54" s="72">
        <f>'IS (Before Changes)'!AM54-'IS 3Q2022'!AM54</f>
        <v>4.8938783133734205</v>
      </c>
      <c r="AN54" s="72">
        <f>'IS (Before Changes)'!AN54-'IS 3Q2022'!AN54</f>
        <v>4.8070404186962605</v>
      </c>
      <c r="AO54" s="72">
        <f>'IS (Before Changes)'!AO54-'IS 3Q2022'!AO54</f>
        <v>4.9209823474449195</v>
      </c>
      <c r="AP54" s="72">
        <f>'IS (Before Changes)'!AP54-'IS 3Q2022'!AP54</f>
        <v>105.2603607352147</v>
      </c>
      <c r="AQ54" s="73">
        <f>'IS (Before Changes)'!AQ54-'IS 3Q2022'!AQ54</f>
        <v>119.88226181472919</v>
      </c>
      <c r="AR54" s="72">
        <f>'IS (Before Changes)'!AR54-'IS 3Q2022'!AR54</f>
        <v>5.0406946627747402</v>
      </c>
      <c r="AS54" s="72">
        <f>'IS (Before Changes)'!AS54-'IS 3Q2022'!AS54</f>
        <v>4.9512516312571506</v>
      </c>
      <c r="AT54" s="72">
        <f>'IS (Before Changes)'!AT54-'IS 3Q2022'!AT54</f>
        <v>5.0686118178681454</v>
      </c>
      <c r="AU54" s="72">
        <f>'IS (Before Changes)'!AU54-'IS 3Q2022'!AU54</f>
        <v>109.83991677747736</v>
      </c>
      <c r="AV54" s="73">
        <f>'IS (Before Changes)'!AV54-'IS 3Q2022'!AV54</f>
        <v>124.90047488937762</v>
      </c>
    </row>
    <row r="55" spans="2:48" s="8" customFormat="1" outlineLevel="1" x14ac:dyDescent="0.3">
      <c r="B55" s="500" t="s">
        <v>179</v>
      </c>
      <c r="C55" s="501"/>
      <c r="D55" s="103">
        <f>'IS (Before Changes)'!D55-'IS 3Q2022'!D55</f>
        <v>0</v>
      </c>
      <c r="E55" s="103">
        <f>'IS (Before Changes)'!E55-'IS 3Q2022'!E55</f>
        <v>0</v>
      </c>
      <c r="F55" s="103">
        <f>'IS (Before Changes)'!F55-'IS 3Q2022'!F55</f>
        <v>0</v>
      </c>
      <c r="G55" s="103">
        <f>'IS (Before Changes)'!G55-'IS 3Q2022'!G55</f>
        <v>0</v>
      </c>
      <c r="H55" s="154">
        <f>'IS (Before Changes)'!H55-'IS 3Q2022'!H55</f>
        <v>0</v>
      </c>
      <c r="I55" s="103">
        <f>'IS (Before Changes)'!I55-'IS 3Q2022'!I55</f>
        <v>0</v>
      </c>
      <c r="J55" s="103">
        <f>'IS (Before Changes)'!J55-'IS 3Q2022'!J55</f>
        <v>0</v>
      </c>
      <c r="K55" s="103">
        <f>'IS (Before Changes)'!K55-'IS 3Q2022'!K55</f>
        <v>0</v>
      </c>
      <c r="L55" s="50">
        <f>'IS (Before Changes)'!L55-'IS 3Q2022'!L55</f>
        <v>0</v>
      </c>
      <c r="M55" s="97">
        <f>'IS (Before Changes)'!M55-'IS 3Q2022'!M55</f>
        <v>0</v>
      </c>
      <c r="N55" s="50">
        <f>'IS (Before Changes)'!N55-'IS 3Q2022'!N55</f>
        <v>0</v>
      </c>
      <c r="O55" s="50">
        <f>'IS (Before Changes)'!O55-'IS 3Q2022'!O55</f>
        <v>0</v>
      </c>
      <c r="P55" s="50">
        <f>'IS (Before Changes)'!P55-'IS 3Q2022'!P55</f>
        <v>0</v>
      </c>
      <c r="Q55" s="103">
        <f>'IS (Before Changes)'!Q55-'IS 3Q2022'!Q55</f>
        <v>0</v>
      </c>
      <c r="R55" s="191">
        <f>'IS (Before Changes)'!R55-'IS 3Q2022'!R55</f>
        <v>0</v>
      </c>
      <c r="S55" s="50">
        <f>'IS (Before Changes)'!S55-'IS 3Q2022'!S55</f>
        <v>0</v>
      </c>
      <c r="T55" s="50">
        <f>'IS (Before Changes)'!T55-'IS 3Q2022'!T55</f>
        <v>0</v>
      </c>
      <c r="U55" s="50">
        <f>'IS (Before Changes)'!U55-'IS 3Q2022'!U55</f>
        <v>0</v>
      </c>
      <c r="V55" s="50">
        <f>'IS (Before Changes)'!V55-'IS 3Q2022'!V55</f>
        <v>-1.4800000000000002</v>
      </c>
      <c r="W55" s="166">
        <f>'IS (Before Changes)'!W55-'IS 3Q2022'!W55</f>
        <v>-1.4800000000000004</v>
      </c>
      <c r="X55" s="50">
        <f>'IS (Before Changes)'!X55-'IS 3Q2022'!X55</f>
        <v>0</v>
      </c>
      <c r="Y55" s="50">
        <f>'IS (Before Changes)'!Y55-'IS 3Q2022'!Y55</f>
        <v>0</v>
      </c>
      <c r="Z55" s="50">
        <f>'IS (Before Changes)'!Z55-'IS 3Q2022'!Z55</f>
        <v>0</v>
      </c>
      <c r="AA55" s="50">
        <f>'IS (Before Changes)'!AA55-'IS 3Q2022'!AA55</f>
        <v>-1.4800000000000002</v>
      </c>
      <c r="AB55" s="191">
        <f>'IS (Before Changes)'!AB55-'IS 3Q2022'!AB55</f>
        <v>-1.4800000000000004</v>
      </c>
      <c r="AC55" s="50">
        <f>'IS (Before Changes)'!AC55-'IS 3Q2022'!AC55</f>
        <v>0</v>
      </c>
      <c r="AD55" s="50">
        <f>'IS (Before Changes)'!AD55-'IS 3Q2022'!AD55</f>
        <v>0</v>
      </c>
      <c r="AE55" s="50">
        <f>'IS (Before Changes)'!AE55-'IS 3Q2022'!AE55</f>
        <v>0</v>
      </c>
      <c r="AF55" s="50">
        <f>'IS (Before Changes)'!AF55-'IS 3Q2022'!AF55</f>
        <v>-1.4800000000000002</v>
      </c>
      <c r="AG55" s="191">
        <f>'IS (Before Changes)'!AG55-'IS 3Q2022'!AG55</f>
        <v>-1.4800000000000004</v>
      </c>
      <c r="AH55" s="50">
        <f>'IS (Before Changes)'!AH55-'IS 3Q2022'!AH55</f>
        <v>0</v>
      </c>
      <c r="AI55" s="50">
        <f>'IS (Before Changes)'!AI55-'IS 3Q2022'!AI55</f>
        <v>0</v>
      </c>
      <c r="AJ55" s="50">
        <f>'IS (Before Changes)'!AJ55-'IS 3Q2022'!AJ55</f>
        <v>0</v>
      </c>
      <c r="AK55" s="50">
        <f>'IS (Before Changes)'!AK55-'IS 3Q2022'!AK55</f>
        <v>-1.4800000000000002</v>
      </c>
      <c r="AL55" s="191">
        <f>'IS (Before Changes)'!AL55-'IS 3Q2022'!AL55</f>
        <v>-1.4800000000000004</v>
      </c>
      <c r="AM55" s="50">
        <f>'IS (Before Changes)'!AM55-'IS 3Q2022'!AM55</f>
        <v>0</v>
      </c>
      <c r="AN55" s="50">
        <f>'IS (Before Changes)'!AN55-'IS 3Q2022'!AN55</f>
        <v>0</v>
      </c>
      <c r="AO55" s="50">
        <f>'IS (Before Changes)'!AO55-'IS 3Q2022'!AO55</f>
        <v>0</v>
      </c>
      <c r="AP55" s="50">
        <f>'IS (Before Changes)'!AP55-'IS 3Q2022'!AP55</f>
        <v>-1.4800000000000002</v>
      </c>
      <c r="AQ55" s="191">
        <f>'IS (Before Changes)'!AQ55-'IS 3Q2022'!AQ55</f>
        <v>-1.4800000000000004</v>
      </c>
      <c r="AR55" s="50">
        <f>'IS (Before Changes)'!AR55-'IS 3Q2022'!AR55</f>
        <v>0</v>
      </c>
      <c r="AS55" s="50">
        <f>'IS (Before Changes)'!AS55-'IS 3Q2022'!AS55</f>
        <v>0</v>
      </c>
      <c r="AT55" s="50">
        <f>'IS (Before Changes)'!AT55-'IS 3Q2022'!AT55</f>
        <v>0</v>
      </c>
      <c r="AU55" s="50">
        <f>'IS (Before Changes)'!AU55-'IS 3Q2022'!AU55</f>
        <v>-1.4800000000000002</v>
      </c>
      <c r="AV55" s="191">
        <f>'IS (Before Changes)'!AV55-'IS 3Q2022'!AV55</f>
        <v>-1.4800000000000004</v>
      </c>
    </row>
    <row r="56" spans="2:48" outlineLevel="1" x14ac:dyDescent="0.3">
      <c r="B56" s="69" t="s">
        <v>50</v>
      </c>
      <c r="C56" s="70"/>
      <c r="D56" s="120">
        <f>'IS (Before Changes)'!D56-'IS 3Q2022'!D56</f>
        <v>0</v>
      </c>
      <c r="E56" s="120">
        <f>'IS (Before Changes)'!E56-'IS 3Q2022'!E56</f>
        <v>0</v>
      </c>
      <c r="F56" s="120">
        <f>'IS (Before Changes)'!F56-'IS 3Q2022'!F56</f>
        <v>0</v>
      </c>
      <c r="G56" s="120">
        <f>'IS (Before Changes)'!G56-'IS 3Q2022'!G56</f>
        <v>0</v>
      </c>
      <c r="H56" s="155">
        <f>'IS (Before Changes)'!H56-'IS 3Q2022'!H56</f>
        <v>0</v>
      </c>
      <c r="I56" s="120">
        <f>'IS (Before Changes)'!I56-'IS 3Q2022'!I56</f>
        <v>0</v>
      </c>
      <c r="J56" s="120">
        <f>'IS (Before Changes)'!J56-'IS 3Q2022'!J56</f>
        <v>0</v>
      </c>
      <c r="K56" s="120">
        <f>'IS (Before Changes)'!K56-'IS 3Q2022'!K56</f>
        <v>0</v>
      </c>
      <c r="L56" s="120">
        <f>'IS (Before Changes)'!L56-'IS 3Q2022'!L56</f>
        <v>0</v>
      </c>
      <c r="M56" s="58">
        <f>'IS (Before Changes)'!M56-'IS 3Q2022'!M56</f>
        <v>0</v>
      </c>
      <c r="N56" s="120">
        <f>'IS (Before Changes)'!N56-'IS 3Q2022'!N56</f>
        <v>0</v>
      </c>
      <c r="O56" s="120">
        <f>'IS (Before Changes)'!O56-'IS 3Q2022'!O56</f>
        <v>0</v>
      </c>
      <c r="P56" s="120">
        <f>'IS (Before Changes)'!P56-'IS 3Q2022'!P56</f>
        <v>0</v>
      </c>
      <c r="Q56" s="120">
        <f>'IS (Before Changes)'!Q56-'IS 3Q2022'!Q56</f>
        <v>0</v>
      </c>
      <c r="R56" s="58">
        <f>'IS (Before Changes)'!R56-'IS 3Q2022'!R56</f>
        <v>0</v>
      </c>
      <c r="S56" s="120">
        <f>'IS (Before Changes)'!S56-'IS 3Q2022'!S56</f>
        <v>0</v>
      </c>
      <c r="T56" s="120">
        <f>'IS (Before Changes)'!T56-'IS 3Q2022'!T56</f>
        <v>0</v>
      </c>
      <c r="U56" s="120">
        <f>'IS (Before Changes)'!U56-'IS 3Q2022'!U56</f>
        <v>0</v>
      </c>
      <c r="V56" s="71">
        <f>'IS (Before Changes)'!V56-'IS 3Q2022'!V56</f>
        <v>-0.67272727272727273</v>
      </c>
      <c r="W56" s="155">
        <f>'IS (Before Changes)'!W56-'IS 3Q2022'!W56</f>
        <v>0</v>
      </c>
      <c r="X56" s="71">
        <f>'IS (Before Changes)'!X56-'IS 3Q2022'!X56</f>
        <v>0</v>
      </c>
      <c r="Y56" s="71">
        <f>'IS (Before Changes)'!Y56-'IS 3Q2022'!Y56</f>
        <v>0</v>
      </c>
      <c r="Z56" s="71">
        <f>'IS (Before Changes)'!Z56-'IS 3Q2022'!Z56</f>
        <v>0</v>
      </c>
      <c r="AA56" s="71">
        <f>'IS (Before Changes)'!AA56-'IS 3Q2022'!AA56</f>
        <v>0</v>
      </c>
      <c r="AB56" s="374">
        <f>'IS (Before Changes)'!AB56-'IS 3Q2022'!AB56</f>
        <v>0</v>
      </c>
      <c r="AC56" s="71">
        <f>'IS (Before Changes)'!AC56-'IS 3Q2022'!AC56</f>
        <v>0</v>
      </c>
      <c r="AD56" s="71">
        <f>'IS (Before Changes)'!AD56-'IS 3Q2022'!AD56</f>
        <v>0</v>
      </c>
      <c r="AE56" s="71">
        <f>'IS (Before Changes)'!AE56-'IS 3Q2022'!AE56</f>
        <v>0</v>
      </c>
      <c r="AF56" s="71">
        <f>'IS (Before Changes)'!AF56-'IS 3Q2022'!AF56</f>
        <v>0</v>
      </c>
      <c r="AG56" s="58">
        <f>'IS (Before Changes)'!AG56-'IS 3Q2022'!AG56</f>
        <v>0</v>
      </c>
      <c r="AH56" s="71">
        <f>'IS (Before Changes)'!AH56-'IS 3Q2022'!AH56</f>
        <v>0</v>
      </c>
      <c r="AI56" s="71">
        <f>'IS (Before Changes)'!AI56-'IS 3Q2022'!AI56</f>
        <v>0</v>
      </c>
      <c r="AJ56" s="71">
        <f>'IS (Before Changes)'!AJ56-'IS 3Q2022'!AJ56</f>
        <v>0</v>
      </c>
      <c r="AK56" s="71">
        <f>'IS (Before Changes)'!AK56-'IS 3Q2022'!AK56</f>
        <v>0</v>
      </c>
      <c r="AL56" s="58">
        <f>'IS (Before Changes)'!AL56-'IS 3Q2022'!AL56</f>
        <v>0</v>
      </c>
      <c r="AM56" s="71">
        <f>'IS (Before Changes)'!AM56-'IS 3Q2022'!AM56</f>
        <v>0</v>
      </c>
      <c r="AN56" s="71">
        <f>'IS (Before Changes)'!AN56-'IS 3Q2022'!AN56</f>
        <v>0</v>
      </c>
      <c r="AO56" s="71">
        <f>'IS (Before Changes)'!AO56-'IS 3Q2022'!AO56</f>
        <v>0</v>
      </c>
      <c r="AP56" s="71">
        <f>'IS (Before Changes)'!AP56-'IS 3Q2022'!AP56</f>
        <v>0</v>
      </c>
      <c r="AQ56" s="58">
        <f>'IS (Before Changes)'!AQ56-'IS 3Q2022'!AQ56</f>
        <v>0</v>
      </c>
      <c r="AR56" s="71">
        <f>'IS (Before Changes)'!AR56-'IS 3Q2022'!AR56</f>
        <v>0</v>
      </c>
      <c r="AS56" s="71">
        <f>'IS (Before Changes)'!AS56-'IS 3Q2022'!AS56</f>
        <v>0</v>
      </c>
      <c r="AT56" s="71">
        <f>'IS (Before Changes)'!AT56-'IS 3Q2022'!AT56</f>
        <v>0</v>
      </c>
      <c r="AU56" s="71">
        <f>'IS (Before Changes)'!AU56-'IS 3Q2022'!AU56</f>
        <v>0</v>
      </c>
      <c r="AV56" s="58">
        <f>'IS (Before Changes)'!AV56-'IS 3Q2022'!AV56</f>
        <v>0</v>
      </c>
    </row>
    <row r="57" spans="2:48" outlineLevel="1" x14ac:dyDescent="0.3">
      <c r="B57" s="180" t="s">
        <v>180</v>
      </c>
      <c r="C57" s="207"/>
      <c r="D57" s="101">
        <f>'IS (Before Changes)'!D57-'IS 3Q2022'!D57</f>
        <v>0</v>
      </c>
      <c r="E57" s="101">
        <f>'IS (Before Changes)'!E57-'IS 3Q2022'!E57</f>
        <v>0</v>
      </c>
      <c r="F57" s="101">
        <f>'IS (Before Changes)'!F57-'IS 3Q2022'!F57</f>
        <v>0</v>
      </c>
      <c r="G57" s="101">
        <f>'IS (Before Changes)'!G57-'IS 3Q2022'!G57</f>
        <v>0</v>
      </c>
      <c r="H57" s="122">
        <f>'IS (Before Changes)'!H57-'IS 3Q2022'!H57</f>
        <v>0</v>
      </c>
      <c r="I57" s="101">
        <f>'IS (Before Changes)'!I57-'IS 3Q2022'!I57</f>
        <v>0</v>
      </c>
      <c r="J57" s="101">
        <f>'IS (Before Changes)'!J57-'IS 3Q2022'!J57</f>
        <v>0</v>
      </c>
      <c r="K57" s="101">
        <f>'IS (Before Changes)'!K57-'IS 3Q2022'!K57</f>
        <v>0</v>
      </c>
      <c r="L57" s="16">
        <f>'IS (Before Changes)'!L57-'IS 3Q2022'!L57</f>
        <v>0</v>
      </c>
      <c r="M57" s="6">
        <f>'IS (Before Changes)'!M57-'IS 3Q2022'!M57</f>
        <v>0</v>
      </c>
      <c r="N57" s="16">
        <f>'IS (Before Changes)'!N57-'IS 3Q2022'!N57</f>
        <v>0</v>
      </c>
      <c r="O57" s="16">
        <f>'IS (Before Changes)'!O57-'IS 3Q2022'!O57</f>
        <v>0</v>
      </c>
      <c r="P57" s="16">
        <f>'IS (Before Changes)'!P57-'IS 3Q2022'!P57</f>
        <v>0</v>
      </c>
      <c r="Q57" s="101">
        <f>'IS (Before Changes)'!Q57-'IS 3Q2022'!Q57</f>
        <v>0</v>
      </c>
      <c r="R57" s="6">
        <f>'IS (Before Changes)'!R57-'IS 3Q2022'!R57</f>
        <v>0</v>
      </c>
      <c r="S57" s="16">
        <f>'IS (Before Changes)'!S57-'IS 3Q2022'!S57</f>
        <v>0</v>
      </c>
      <c r="T57" s="16">
        <f>'IS (Before Changes)'!T57-'IS 3Q2022'!T57</f>
        <v>0</v>
      </c>
      <c r="U57" s="16">
        <f>'IS (Before Changes)'!U57-'IS 3Q2022'!U57</f>
        <v>0</v>
      </c>
      <c r="V57" s="16">
        <f>'IS (Before Changes)'!V57-'IS 3Q2022'!V57</f>
        <v>121</v>
      </c>
      <c r="W57" s="254">
        <f>'IS (Before Changes)'!W57-'IS 3Q2022'!W57</f>
        <v>7.1912516343753743E-3</v>
      </c>
      <c r="X57" s="16">
        <f>'IS (Before Changes)'!X57-'IS 3Q2022'!X57</f>
        <v>121</v>
      </c>
      <c r="Y57" s="16">
        <f>'IS (Before Changes)'!Y57-'IS 3Q2022'!Y57</f>
        <v>121</v>
      </c>
      <c r="Z57" s="16">
        <f>'IS (Before Changes)'!Z57-'IS 3Q2022'!Z57</f>
        <v>121</v>
      </c>
      <c r="AA57" s="16">
        <f>'IS (Before Changes)'!AA57-'IS 3Q2022'!AA57</f>
        <v>121</v>
      </c>
      <c r="AB57" s="254">
        <f>'IS (Before Changes)'!AB57-'IS 3Q2022'!AB57</f>
        <v>-2.0979762836263044E-4</v>
      </c>
      <c r="AC57" s="16">
        <f>'IS (Before Changes)'!AC57-'IS 3Q2022'!AC57</f>
        <v>121</v>
      </c>
      <c r="AD57" s="16">
        <f>'IS (Before Changes)'!AD57-'IS 3Q2022'!AD57</f>
        <v>121</v>
      </c>
      <c r="AE57" s="16">
        <f>'IS (Before Changes)'!AE57-'IS 3Q2022'!AE57</f>
        <v>121</v>
      </c>
      <c r="AF57" s="16">
        <f>'IS (Before Changes)'!AF57-'IS 3Q2022'!AF57</f>
        <v>121</v>
      </c>
      <c r="AG57" s="254">
        <f>'IS (Before Changes)'!AG57-'IS 3Q2022'!AG57</f>
        <v>-2.3774359084396957E-4</v>
      </c>
      <c r="AH57" s="16">
        <f>'IS (Before Changes)'!AH57-'IS 3Q2022'!AH57</f>
        <v>121</v>
      </c>
      <c r="AI57" s="16">
        <f>'IS (Before Changes)'!AI57-'IS 3Q2022'!AI57</f>
        <v>121</v>
      </c>
      <c r="AJ57" s="16">
        <f>'IS (Before Changes)'!AJ57-'IS 3Q2022'!AJ57</f>
        <v>121</v>
      </c>
      <c r="AK57" s="16">
        <f>'IS (Before Changes)'!AK57-'IS 3Q2022'!AK57</f>
        <v>121</v>
      </c>
      <c r="AL57" s="254">
        <f>'IS (Before Changes)'!AL57-'IS 3Q2022'!AL57</f>
        <v>-2.6251479068651468E-4</v>
      </c>
      <c r="AM57" s="16">
        <f>'IS (Before Changes)'!AM57-'IS 3Q2022'!AM57</f>
        <v>121</v>
      </c>
      <c r="AN57" s="16">
        <f>'IS (Before Changes)'!AN57-'IS 3Q2022'!AN57</f>
        <v>121</v>
      </c>
      <c r="AO57" s="16">
        <f>'IS (Before Changes)'!AO57-'IS 3Q2022'!AO57</f>
        <v>121</v>
      </c>
      <c r="AP57" s="16">
        <f>'IS (Before Changes)'!AP57-'IS 3Q2022'!AP57</f>
        <v>121</v>
      </c>
      <c r="AQ57" s="254">
        <f>'IS (Before Changes)'!AQ57-'IS 3Q2022'!AQ57</f>
        <v>-1.6450607172570006E-4</v>
      </c>
      <c r="AR57" s="16">
        <f>'IS (Before Changes)'!AR57-'IS 3Q2022'!AR57</f>
        <v>121</v>
      </c>
      <c r="AS57" s="16">
        <f>'IS (Before Changes)'!AS57-'IS 3Q2022'!AS57</f>
        <v>121</v>
      </c>
      <c r="AT57" s="16">
        <f>'IS (Before Changes)'!AT57-'IS 3Q2022'!AT57</f>
        <v>121</v>
      </c>
      <c r="AU57" s="16">
        <f>'IS (Before Changes)'!AU57-'IS 3Q2022'!AU57</f>
        <v>121</v>
      </c>
      <c r="AV57" s="254">
        <f>'IS (Before Changes)'!AV57-'IS 3Q2022'!AV57</f>
        <v>-1.5628387200854882E-4</v>
      </c>
    </row>
    <row r="58" spans="2:48" outlineLevel="1" x14ac:dyDescent="0.3">
      <c r="B58" s="180" t="s">
        <v>181</v>
      </c>
      <c r="C58" s="207"/>
      <c r="D58" s="101">
        <f>'IS (Before Changes)'!D58-'IS 3Q2022'!D58</f>
        <v>0</v>
      </c>
      <c r="E58" s="101">
        <f>'IS (Before Changes)'!E58-'IS 3Q2022'!E58</f>
        <v>0</v>
      </c>
      <c r="F58" s="101">
        <f>'IS (Before Changes)'!F58-'IS 3Q2022'!F58</f>
        <v>0</v>
      </c>
      <c r="G58" s="101">
        <f>'IS (Before Changes)'!G58-'IS 3Q2022'!G58</f>
        <v>0</v>
      </c>
      <c r="H58" s="122">
        <f>'IS (Before Changes)'!H58-'IS 3Q2022'!H58</f>
        <v>0</v>
      </c>
      <c r="I58" s="101">
        <f>'IS (Before Changes)'!I58-'IS 3Q2022'!I58</f>
        <v>0</v>
      </c>
      <c r="J58" s="101">
        <f>'IS (Before Changes)'!J58-'IS 3Q2022'!J58</f>
        <v>0</v>
      </c>
      <c r="K58" s="101">
        <f>'IS (Before Changes)'!K58-'IS 3Q2022'!K58</f>
        <v>0</v>
      </c>
      <c r="L58" s="16">
        <f>'IS (Before Changes)'!L58-'IS 3Q2022'!L58</f>
        <v>0</v>
      </c>
      <c r="M58" s="122">
        <f>'IS (Before Changes)'!M58-'IS 3Q2022'!M58</f>
        <v>0</v>
      </c>
      <c r="N58" s="16">
        <f>'IS (Before Changes)'!N58-'IS 3Q2022'!N58</f>
        <v>0</v>
      </c>
      <c r="O58" s="16">
        <f>'IS (Before Changes)'!O58-'IS 3Q2022'!O58</f>
        <v>0</v>
      </c>
      <c r="P58" s="16">
        <f>'IS (Before Changes)'!P58-'IS 3Q2022'!P58</f>
        <v>0</v>
      </c>
      <c r="Q58" s="101">
        <f>'IS (Before Changes)'!Q58-'IS 3Q2022'!Q58</f>
        <v>0</v>
      </c>
      <c r="R58" s="122">
        <f>'IS (Before Changes)'!R58-'IS 3Q2022'!R58</f>
        <v>0</v>
      </c>
      <c r="S58" s="16">
        <f>'IS (Before Changes)'!S58-'IS 3Q2022'!S58</f>
        <v>0</v>
      </c>
      <c r="T58" s="16">
        <f>'IS (Before Changes)'!T58-'IS 3Q2022'!T58</f>
        <v>0</v>
      </c>
      <c r="U58" s="16">
        <f>'IS (Before Changes)'!U58-'IS 3Q2022'!U58</f>
        <v>0</v>
      </c>
      <c r="V58" s="16">
        <f>'IS (Before Changes)'!V58-'IS 3Q2022'!V58</f>
        <v>121</v>
      </c>
      <c r="W58" s="122">
        <f>'IS (Before Changes)'!W58-'IS 3Q2022'!W58</f>
        <v>121</v>
      </c>
      <c r="X58" s="16">
        <f>'IS (Before Changes)'!X58-'IS 3Q2022'!X58</f>
        <v>0</v>
      </c>
      <c r="Y58" s="16">
        <f>'IS (Before Changes)'!Y58-'IS 3Q2022'!Y58</f>
        <v>0</v>
      </c>
      <c r="Z58" s="16">
        <f>'IS (Before Changes)'!Z58-'IS 3Q2022'!Z58</f>
        <v>0</v>
      </c>
      <c r="AA58" s="16">
        <f>'IS (Before Changes)'!AA58-'IS 3Q2022'!AA58</f>
        <v>0</v>
      </c>
      <c r="AB58" s="122">
        <f>'IS (Before Changes)'!AB58-'IS 3Q2022'!AB58</f>
        <v>0</v>
      </c>
      <c r="AC58" s="16">
        <f>'IS (Before Changes)'!AC58-'IS 3Q2022'!AC58</f>
        <v>0</v>
      </c>
      <c r="AD58" s="16">
        <f>'IS (Before Changes)'!AD58-'IS 3Q2022'!AD58</f>
        <v>0</v>
      </c>
      <c r="AE58" s="16">
        <f>'IS (Before Changes)'!AE58-'IS 3Q2022'!AE58</f>
        <v>0</v>
      </c>
      <c r="AF58" s="16">
        <f>'IS (Before Changes)'!AF58-'IS 3Q2022'!AF58</f>
        <v>0</v>
      </c>
      <c r="AG58" s="122">
        <f>'IS (Before Changes)'!AG58-'IS 3Q2022'!AG58</f>
        <v>0</v>
      </c>
      <c r="AH58" s="16">
        <f>'IS (Before Changes)'!AH58-'IS 3Q2022'!AH58</f>
        <v>0</v>
      </c>
      <c r="AI58" s="16">
        <f>'IS (Before Changes)'!AI58-'IS 3Q2022'!AI58</f>
        <v>0</v>
      </c>
      <c r="AJ58" s="16">
        <f>'IS (Before Changes)'!AJ58-'IS 3Q2022'!AJ58</f>
        <v>0</v>
      </c>
      <c r="AK58" s="16">
        <f>'IS (Before Changes)'!AK58-'IS 3Q2022'!AK58</f>
        <v>0</v>
      </c>
      <c r="AL58" s="122">
        <f>'IS (Before Changes)'!AL58-'IS 3Q2022'!AL58</f>
        <v>0</v>
      </c>
      <c r="AM58" s="16">
        <f>'IS (Before Changes)'!AM58-'IS 3Q2022'!AM58</f>
        <v>0</v>
      </c>
      <c r="AN58" s="16">
        <f>'IS (Before Changes)'!AN58-'IS 3Q2022'!AN58</f>
        <v>0</v>
      </c>
      <c r="AO58" s="16">
        <f>'IS (Before Changes)'!AO58-'IS 3Q2022'!AO58</f>
        <v>0</v>
      </c>
      <c r="AP58" s="16">
        <f>'IS (Before Changes)'!AP58-'IS 3Q2022'!AP58</f>
        <v>0</v>
      </c>
      <c r="AQ58" s="122">
        <f>'IS (Before Changes)'!AQ58-'IS 3Q2022'!AQ58</f>
        <v>0</v>
      </c>
      <c r="AR58" s="16">
        <f>'IS (Before Changes)'!AR58-'IS 3Q2022'!AR58</f>
        <v>0</v>
      </c>
      <c r="AS58" s="16">
        <f>'IS (Before Changes)'!AS58-'IS 3Q2022'!AS58</f>
        <v>0</v>
      </c>
      <c r="AT58" s="16">
        <f>'IS (Before Changes)'!AT58-'IS 3Q2022'!AT58</f>
        <v>0</v>
      </c>
      <c r="AU58" s="16">
        <f>'IS (Before Changes)'!AU58-'IS 3Q2022'!AU58</f>
        <v>0</v>
      </c>
      <c r="AV58" s="122">
        <f>'IS (Before Changes)'!AV58-'IS 3Q2022'!AV58</f>
        <v>0</v>
      </c>
    </row>
    <row r="59" spans="2:48" outlineLevel="1" x14ac:dyDescent="0.3">
      <c r="B59" s="502" t="s">
        <v>182</v>
      </c>
      <c r="C59" s="503"/>
      <c r="D59" s="115">
        <f>'IS (Before Changes)'!D59-'IS 3Q2022'!D59</f>
        <v>0</v>
      </c>
      <c r="E59" s="115">
        <f>'IS (Before Changes)'!E59-'IS 3Q2022'!E59</f>
        <v>0</v>
      </c>
      <c r="F59" s="115">
        <f>'IS (Before Changes)'!F59-'IS 3Q2022'!F59</f>
        <v>0</v>
      </c>
      <c r="G59" s="115">
        <f>'IS (Before Changes)'!G59-'IS 3Q2022'!G59</f>
        <v>0</v>
      </c>
      <c r="H59" s="132">
        <f>'IS (Before Changes)'!H59-'IS 3Q2022'!H59</f>
        <v>0</v>
      </c>
      <c r="I59" s="115">
        <f>'IS (Before Changes)'!I59-'IS 3Q2022'!I59</f>
        <v>0</v>
      </c>
      <c r="J59" s="115">
        <f>'IS (Before Changes)'!J59-'IS 3Q2022'!J59</f>
        <v>0</v>
      </c>
      <c r="K59" s="115">
        <f>'IS (Before Changes)'!K59-'IS 3Q2022'!K59</f>
        <v>0</v>
      </c>
      <c r="L59" s="72">
        <f>'IS (Before Changes)'!L59-'IS 3Q2022'!L59</f>
        <v>0</v>
      </c>
      <c r="M59" s="97">
        <f>'IS (Before Changes)'!M59-'IS 3Q2022'!M59</f>
        <v>0</v>
      </c>
      <c r="N59" s="72">
        <f>'IS (Before Changes)'!N59-'IS 3Q2022'!N59</f>
        <v>0</v>
      </c>
      <c r="O59" s="72">
        <f>'IS (Before Changes)'!O59-'IS 3Q2022'!O59</f>
        <v>0</v>
      </c>
      <c r="P59" s="72">
        <f>'IS (Before Changes)'!P59-'IS 3Q2022'!P59</f>
        <v>0</v>
      </c>
      <c r="Q59" s="115">
        <f>'IS (Before Changes)'!Q59-'IS 3Q2022'!Q59</f>
        <v>0</v>
      </c>
      <c r="R59" s="97">
        <f>'IS (Before Changes)'!R59-'IS 3Q2022'!R59</f>
        <v>0</v>
      </c>
      <c r="S59" s="72">
        <f>'IS (Before Changes)'!S59-'IS 3Q2022'!S59</f>
        <v>0</v>
      </c>
      <c r="T59" s="72">
        <f>'IS (Before Changes)'!T59-'IS 3Q2022'!T59</f>
        <v>0</v>
      </c>
      <c r="U59" s="72">
        <f>'IS (Before Changes)'!U59-'IS 3Q2022'!U59</f>
        <v>0</v>
      </c>
      <c r="V59" s="72">
        <f>'IS (Before Changes)'!V59-'IS 3Q2022'!V59</f>
        <v>186.25767692809495</v>
      </c>
      <c r="W59" s="97">
        <f>'IS (Before Changes)'!W59-'IS 3Q2022'!W59</f>
        <v>186.25767692809677</v>
      </c>
      <c r="X59" s="72">
        <f>'IS (Before Changes)'!X59-'IS 3Q2022'!X59</f>
        <v>43.674441128571743</v>
      </c>
      <c r="Y59" s="72">
        <f>'IS (Before Changes)'!Y59-'IS 3Q2022'!Y59</f>
        <v>41.319659235917243</v>
      </c>
      <c r="Z59" s="72">
        <f>'IS (Before Changes)'!Z59-'IS 3Q2022'!Z59</f>
        <v>44.68539016244813</v>
      </c>
      <c r="AA59" s="72">
        <f>'IS (Before Changes)'!AA59-'IS 3Q2022'!AA59</f>
        <v>223.24266246333445</v>
      </c>
      <c r="AB59" s="97">
        <f>'IS (Before Changes)'!AB59-'IS 3Q2022'!AB59</f>
        <v>352.92215299027157</v>
      </c>
      <c r="AC59" s="72">
        <f>'IS (Before Changes)'!AC59-'IS 3Q2022'!AC59</f>
        <v>45.858163184999285</v>
      </c>
      <c r="AD59" s="72">
        <f>'IS (Before Changes)'!AD59-'IS 3Q2022'!AD59</f>
        <v>43.385642197714333</v>
      </c>
      <c r="AE59" s="72">
        <f>'IS (Before Changes)'!AE59-'IS 3Q2022'!AE59</f>
        <v>46.919659670571491</v>
      </c>
      <c r="AF59" s="72">
        <f>'IS (Before Changes)'!AF59-'IS 3Q2022'!AF59</f>
        <v>241.00568228313841</v>
      </c>
      <c r="AG59" s="97">
        <f>'IS (Before Changes)'!AG59-'IS 3Q2022'!AG59</f>
        <v>377.16914733642625</v>
      </c>
      <c r="AH59" s="72">
        <f>'IS (Before Changes)'!AH59-'IS 3Q2022'!AH59</f>
        <v>49.068234607950217</v>
      </c>
      <c r="AI59" s="72">
        <f>'IS (Before Changes)'!AI59-'IS 3Q2022'!AI59</f>
        <v>46.422637151553317</v>
      </c>
      <c r="AJ59" s="72">
        <f>'IS (Before Changes)'!AJ59-'IS 3Q2022'!AJ59</f>
        <v>50.204035847511477</v>
      </c>
      <c r="AK59" s="72">
        <f>'IS (Before Changes)'!AK59-'IS 3Q2022'!AK59</f>
        <v>266.26294197802872</v>
      </c>
      <c r="AL59" s="97">
        <f>'IS (Before Changes)'!AL59-'IS 3Q2022'!AL59</f>
        <v>411.95784958504373</v>
      </c>
      <c r="AM59" s="72">
        <f>'IS (Before Changes)'!AM59-'IS 3Q2022'!AM59</f>
        <v>51.521646338345818</v>
      </c>
      <c r="AN59" s="72">
        <f>'IS (Before Changes)'!AN59-'IS 3Q2022'!AN59</f>
        <v>48.743769009131029</v>
      </c>
      <c r="AO59" s="72">
        <f>'IS (Before Changes)'!AO59-'IS 3Q2022'!AO59</f>
        <v>52.714237639886051</v>
      </c>
      <c r="AP59" s="72">
        <f>'IS (Before Changes)'!AP59-'IS 3Q2022'!AP59</f>
        <v>285.9495130729847</v>
      </c>
      <c r="AQ59" s="97">
        <f>'IS (Before Changes)'!AQ59-'IS 3Q2022'!AQ59</f>
        <v>438.92916606034851</v>
      </c>
      <c r="AR59" s="72">
        <f>'IS (Before Changes)'!AR59-'IS 3Q2022'!AR59</f>
        <v>53.067295728498721</v>
      </c>
      <c r="AS59" s="72">
        <f>'IS (Before Changes)'!AS59-'IS 3Q2022'!AS59</f>
        <v>50.20608207940495</v>
      </c>
      <c r="AT59" s="72">
        <f>'IS (Before Changes)'!AT59-'IS 3Q2022'!AT59</f>
        <v>54.295664769082578</v>
      </c>
      <c r="AU59" s="72">
        <f>'IS (Before Changes)'!AU59-'IS 3Q2022'!AU59</f>
        <v>300.6839216945009</v>
      </c>
      <c r="AV59" s="97">
        <f>'IS (Before Changes)'!AV59-'IS 3Q2022'!AV59</f>
        <v>458.25296427148714</v>
      </c>
    </row>
    <row r="60" spans="2:48" outlineLevel="1" x14ac:dyDescent="0.3">
      <c r="B60" s="504" t="s">
        <v>100</v>
      </c>
      <c r="C60" s="505"/>
      <c r="D60" s="105">
        <f>'IS (Before Changes)'!D60-'IS 3Q2022'!D60</f>
        <v>0</v>
      </c>
      <c r="E60" s="105">
        <f>'IS (Before Changes)'!E60-'IS 3Q2022'!E60</f>
        <v>0</v>
      </c>
      <c r="F60" s="105">
        <f>'IS (Before Changes)'!F60-'IS 3Q2022'!F60</f>
        <v>0</v>
      </c>
      <c r="G60" s="105">
        <f>'IS (Before Changes)'!G60-'IS 3Q2022'!G60</f>
        <v>0</v>
      </c>
      <c r="H60" s="129">
        <f>'IS (Before Changes)'!H60-'IS 3Q2022'!H60</f>
        <v>0</v>
      </c>
      <c r="I60" s="105">
        <f>'IS (Before Changes)'!I60-'IS 3Q2022'!I60</f>
        <v>0</v>
      </c>
      <c r="J60" s="105">
        <f>'IS (Before Changes)'!J60-'IS 3Q2022'!J60</f>
        <v>0</v>
      </c>
      <c r="K60" s="105">
        <f>'IS (Before Changes)'!K60-'IS 3Q2022'!K60</f>
        <v>0</v>
      </c>
      <c r="L60" s="48">
        <f>'IS (Before Changes)'!L60-'IS 3Q2022'!L60</f>
        <v>0</v>
      </c>
      <c r="M60" s="76">
        <f>'IS (Before Changes)'!M60-'IS 3Q2022'!M60</f>
        <v>0</v>
      </c>
      <c r="N60" s="48">
        <f>'IS (Before Changes)'!N60-'IS 3Q2022'!N60</f>
        <v>0</v>
      </c>
      <c r="O60" s="48">
        <f>'IS (Before Changes)'!O60-'IS 3Q2022'!O60</f>
        <v>0</v>
      </c>
      <c r="P60" s="48">
        <f>'IS (Before Changes)'!P60-'IS 3Q2022'!P60</f>
        <v>0</v>
      </c>
      <c r="Q60" s="105">
        <f>'IS (Before Changes)'!Q60-'IS 3Q2022'!Q60</f>
        <v>0</v>
      </c>
      <c r="R60" s="76">
        <f>'IS (Before Changes)'!R60-'IS 3Q2022'!R60</f>
        <v>0</v>
      </c>
      <c r="S60" s="48">
        <f>'IS (Before Changes)'!S60-'IS 3Q2022'!S60</f>
        <v>0</v>
      </c>
      <c r="T60" s="48">
        <f>'IS (Before Changes)'!T60-'IS 3Q2022'!T60</f>
        <v>0</v>
      </c>
      <c r="U60" s="48">
        <f>'IS (Before Changes)'!U60-'IS 3Q2022'!U60</f>
        <v>0</v>
      </c>
      <c r="V60" s="48">
        <f>'IS (Before Changes)'!V60-'IS 3Q2022'!V60</f>
        <v>65.179452412142382</v>
      </c>
      <c r="W60" s="76">
        <f>'IS (Before Changes)'!W60-'IS 3Q2022'!W60</f>
        <v>65.179452412143291</v>
      </c>
      <c r="X60" s="48">
        <f>'IS (Before Changes)'!X60-'IS 3Q2022'!X60</f>
        <v>12.632784287162622</v>
      </c>
      <c r="Y60" s="48">
        <f>'IS (Before Changes)'!Y60-'IS 3Q2022'!Y60</f>
        <v>-3.1787873120802033</v>
      </c>
      <c r="Z60" s="48">
        <f>'IS (Before Changes)'!Z60-'IS 3Q2022'!Z60</f>
        <v>-3.7399291004853694</v>
      </c>
      <c r="AA60" s="48">
        <f>'IS (Before Changes)'!AA60-'IS 3Q2022'!AA60</f>
        <v>57.924813108785884</v>
      </c>
      <c r="AB60" s="76">
        <f>'IS (Before Changes)'!AB60-'IS 3Q2022'!AB60</f>
        <v>63.638880983382478</v>
      </c>
      <c r="AC60" s="48">
        <f>'IS (Before Changes)'!AC60-'IS 3Q2022'!AC60</f>
        <v>12.805841869670303</v>
      </c>
      <c r="AD60" s="48">
        <f>'IS (Before Changes)'!AD60-'IS 3Q2022'!AD60</f>
        <v>-3.8046179595141894</v>
      </c>
      <c r="AE60" s="48">
        <f>'IS (Before Changes)'!AE60-'IS 3Q2022'!AE60</f>
        <v>-4.4518340820973208</v>
      </c>
      <c r="AF60" s="48">
        <f>'IS (Before Changes)'!AF60-'IS 3Q2022'!AF60</f>
        <v>64.941188565586572</v>
      </c>
      <c r="AG60" s="76">
        <f>'IS (Before Changes)'!AG60-'IS 3Q2022'!AG60</f>
        <v>69.490578393645592</v>
      </c>
      <c r="AH60" s="48">
        <f>'IS (Before Changes)'!AH60-'IS 3Q2022'!AH60</f>
        <v>13.65318256593946</v>
      </c>
      <c r="AI60" s="48">
        <f>'IS (Before Changes)'!AI60-'IS 3Q2022'!AI60</f>
        <v>-4.6606753706487325</v>
      </c>
      <c r="AJ60" s="48">
        <f>'IS (Before Changes)'!AJ60-'IS 3Q2022'!AJ60</f>
        <v>-5.4250381258980269</v>
      </c>
      <c r="AK60" s="48">
        <f>'IS (Before Changes)'!AK60-'IS 3Q2022'!AK60</f>
        <v>71.477312263879412</v>
      </c>
      <c r="AL60" s="76">
        <f>'IS (Before Changes)'!AL60-'IS 3Q2022'!AL60</f>
        <v>75.044781333272113</v>
      </c>
      <c r="AM60" s="48">
        <f>'IS (Before Changes)'!AM60-'IS 3Q2022'!AM60</f>
        <v>14.335841694236024</v>
      </c>
      <c r="AN60" s="48">
        <f>'IS (Before Changes)'!AN60-'IS 3Q2022'!AN60</f>
        <v>-5.523834129167426</v>
      </c>
      <c r="AO60" s="48">
        <f>'IS (Before Changes)'!AO60-'IS 3Q2022'!AO60</f>
        <v>-6.3778770175294994</v>
      </c>
      <c r="AP60" s="48">
        <f>'IS (Before Changes)'!AP60-'IS 3Q2022'!AP60</f>
        <v>76.71424156449757</v>
      </c>
      <c r="AQ60" s="76">
        <f>'IS (Before Changes)'!AQ60-'IS 3Q2022'!AQ60</f>
        <v>79.148372112036668</v>
      </c>
      <c r="AR60" s="48">
        <f>'IS (Before Changes)'!AR60-'IS 3Q2022'!AR60</f>
        <v>14.765916945063964</v>
      </c>
      <c r="AS60" s="48">
        <f>'IS (Before Changes)'!AS60-'IS 3Q2022'!AS60</f>
        <v>-6.3372225700491072</v>
      </c>
      <c r="AT60" s="48">
        <f>'IS (Before Changes)'!AT60-'IS 3Q2022'!AT60</f>
        <v>-7.2720086198260105</v>
      </c>
      <c r="AU60" s="48">
        <f>'IS (Before Changes)'!AU60-'IS 3Q2022'!AU60</f>
        <v>80.611934636669048</v>
      </c>
      <c r="AV60" s="76">
        <f>'IS (Before Changes)'!AV60-'IS 3Q2022'!AV60</f>
        <v>81.768620391858349</v>
      </c>
    </row>
    <row r="61" spans="2:48" s="184" customFormat="1" outlineLevel="1" x14ac:dyDescent="0.3">
      <c r="B61" s="181" t="s">
        <v>151</v>
      </c>
      <c r="C61" s="185"/>
      <c r="D61" s="167">
        <f>'IS (Before Changes)'!D61-'IS 3Q2022'!D61</f>
        <v>0</v>
      </c>
      <c r="E61" s="167">
        <f>'IS (Before Changes)'!E61-'IS 3Q2022'!E61</f>
        <v>0</v>
      </c>
      <c r="F61" s="167">
        <f>'IS (Before Changes)'!F61-'IS 3Q2022'!F61</f>
        <v>0</v>
      </c>
      <c r="G61" s="167">
        <f>'IS (Before Changes)'!G61-'IS 3Q2022'!G61</f>
        <v>0</v>
      </c>
      <c r="H61" s="186">
        <f>'IS (Before Changes)'!H61-'IS 3Q2022'!H61</f>
        <v>0</v>
      </c>
      <c r="I61" s="167">
        <f>'IS (Before Changes)'!I61-'IS 3Q2022'!I61</f>
        <v>0</v>
      </c>
      <c r="J61" s="167">
        <f>'IS (Before Changes)'!J61-'IS 3Q2022'!J61</f>
        <v>0</v>
      </c>
      <c r="K61" s="167">
        <f>'IS (Before Changes)'!K61-'IS 3Q2022'!K61</f>
        <v>0</v>
      </c>
      <c r="L61" s="187">
        <f>'IS (Before Changes)'!L61-'IS 3Q2022'!L61</f>
        <v>0</v>
      </c>
      <c r="M61" s="188">
        <f>'IS (Before Changes)'!M61-'IS 3Q2022'!M61</f>
        <v>0</v>
      </c>
      <c r="N61" s="187">
        <f>'IS (Before Changes)'!N61-'IS 3Q2022'!N61</f>
        <v>0</v>
      </c>
      <c r="O61" s="167">
        <f>'IS (Before Changes)'!O61-'IS 3Q2022'!O61</f>
        <v>0</v>
      </c>
      <c r="P61" s="167">
        <f>'IS (Before Changes)'!P61-'IS 3Q2022'!P61</f>
        <v>0</v>
      </c>
      <c r="Q61" s="167">
        <f>'IS (Before Changes)'!Q61-'IS 3Q2022'!Q61</f>
        <v>0</v>
      </c>
      <c r="R61" s="188">
        <f>'IS (Before Changes)'!R61-'IS 3Q2022'!R61</f>
        <v>0</v>
      </c>
      <c r="S61" s="187">
        <f>'IS (Before Changes)'!S61-'IS 3Q2022'!S61</f>
        <v>0</v>
      </c>
      <c r="T61" s="167">
        <f>'IS (Before Changes)'!T61-'IS 3Q2022'!T61</f>
        <v>0</v>
      </c>
      <c r="U61" s="167">
        <f>'IS (Before Changes)'!U61-'IS 3Q2022'!U61</f>
        <v>0</v>
      </c>
      <c r="V61" s="189">
        <f>'IS (Before Changes)'!V61-'IS 3Q2022'!V61</f>
        <v>1.9197666186837048E-3</v>
      </c>
      <c r="W61" s="188">
        <f>'IS (Before Changes)'!W61-'IS 3Q2022'!W61</f>
        <v>5.1604812176508918E-4</v>
      </c>
      <c r="X61" s="189">
        <f>'IS (Before Changes)'!X61-'IS 3Q2022'!X61</f>
        <v>0</v>
      </c>
      <c r="Y61" s="189">
        <f>'IS (Before Changes)'!Y61-'IS 3Q2022'!Y61</f>
        <v>-2.5000000000000022E-3</v>
      </c>
      <c r="Z61" s="189">
        <f>'IS (Before Changes)'!Z61-'IS 3Q2022'!Z61</f>
        <v>-2.5000000000000022E-3</v>
      </c>
      <c r="AA61" s="189">
        <f>'IS (Before Changes)'!AA61-'IS 3Q2022'!AA61</f>
        <v>-5.8023338131629743E-4</v>
      </c>
      <c r="AB61" s="188">
        <f>'IS (Before Changes)'!AB61-'IS 3Q2022'!AB61</f>
        <v>-1.4420884416798119E-3</v>
      </c>
      <c r="AC61" s="189">
        <f>'IS (Before Changes)'!AC61-'IS 3Q2022'!AC61</f>
        <v>0</v>
      </c>
      <c r="AD61" s="189">
        <f>'IS (Before Changes)'!AD61-'IS 3Q2022'!AD61</f>
        <v>-2.5000000000000022E-3</v>
      </c>
      <c r="AE61" s="189">
        <f>'IS (Before Changes)'!AE61-'IS 3Q2022'!AE61</f>
        <v>-2.5000000000000022E-3</v>
      </c>
      <c r="AF61" s="189">
        <f>'IS (Before Changes)'!AF61-'IS 3Q2022'!AF61</f>
        <v>-5.8023338131629743E-4</v>
      </c>
      <c r="AG61" s="188">
        <f>'IS (Before Changes)'!AG61-'IS 3Q2022'!AG61</f>
        <v>-1.3692178745436934E-3</v>
      </c>
      <c r="AH61" s="189">
        <f>'IS (Before Changes)'!AH61-'IS 3Q2022'!AH61</f>
        <v>0</v>
      </c>
      <c r="AI61" s="189">
        <f>'IS (Before Changes)'!AI61-'IS 3Q2022'!AI61</f>
        <v>-2.5000000000000022E-3</v>
      </c>
      <c r="AJ61" s="189">
        <f>'IS (Before Changes)'!AJ61-'IS 3Q2022'!AJ61</f>
        <v>-2.5000000000000022E-3</v>
      </c>
      <c r="AK61" s="189">
        <f>'IS (Before Changes)'!AK61-'IS 3Q2022'!AK61</f>
        <v>-5.8023338131629743E-4</v>
      </c>
      <c r="AL61" s="188">
        <f>'IS (Before Changes)'!AL61-'IS 3Q2022'!AL61</f>
        <v>-1.3693828496869065E-3</v>
      </c>
      <c r="AM61" s="189">
        <f>'IS (Before Changes)'!AM61-'IS 3Q2022'!AM61</f>
        <v>0</v>
      </c>
      <c r="AN61" s="189">
        <f>'IS (Before Changes)'!AN61-'IS 3Q2022'!AN61</f>
        <v>-2.5000000000000022E-3</v>
      </c>
      <c r="AO61" s="189">
        <f>'IS (Before Changes)'!AO61-'IS 3Q2022'!AO61</f>
        <v>-2.5000000000000022E-3</v>
      </c>
      <c r="AP61" s="189">
        <f>'IS (Before Changes)'!AP61-'IS 3Q2022'!AP61</f>
        <v>-5.8023338131629743E-4</v>
      </c>
      <c r="AQ61" s="188">
        <f>'IS (Before Changes)'!AQ61-'IS 3Q2022'!AQ61</f>
        <v>-1.3694030136374713E-3</v>
      </c>
      <c r="AR61" s="189">
        <f>'IS (Before Changes)'!AR61-'IS 3Q2022'!AR61</f>
        <v>0</v>
      </c>
      <c r="AS61" s="189">
        <f>'IS (Before Changes)'!AS61-'IS 3Q2022'!AS61</f>
        <v>-2.5000000000000022E-3</v>
      </c>
      <c r="AT61" s="189">
        <f>'IS (Before Changes)'!AT61-'IS 3Q2022'!AT61</f>
        <v>-2.5000000000000022E-3</v>
      </c>
      <c r="AU61" s="189">
        <f>'IS (Before Changes)'!AU61-'IS 3Q2022'!AU61</f>
        <v>-5.8023338131629743E-4</v>
      </c>
      <c r="AV61" s="188">
        <f>'IS (Before Changes)'!AV61-'IS 3Q2022'!AV61</f>
        <v>-1.3694328970870195E-3</v>
      </c>
    </row>
    <row r="62" spans="2:48" outlineLevel="1" x14ac:dyDescent="0.3">
      <c r="B62" s="180" t="s">
        <v>32</v>
      </c>
      <c r="C62" s="18"/>
      <c r="D62" s="48">
        <f>'IS (Before Changes)'!D62-'IS 3Q2022'!D62</f>
        <v>0</v>
      </c>
      <c r="E62" s="48">
        <f>'IS (Before Changes)'!E62-'IS 3Q2022'!E62</f>
        <v>0</v>
      </c>
      <c r="F62" s="48">
        <f>'IS (Before Changes)'!F62-'IS 3Q2022'!F62</f>
        <v>0</v>
      </c>
      <c r="G62" s="48">
        <f>'IS (Before Changes)'!G62-'IS 3Q2022'!G62</f>
        <v>0</v>
      </c>
      <c r="H62" s="49">
        <f>'IS (Before Changes)'!H62-'IS 3Q2022'!H62</f>
        <v>0</v>
      </c>
      <c r="I62" s="48">
        <f>'IS (Before Changes)'!I62-'IS 3Q2022'!I62</f>
        <v>0</v>
      </c>
      <c r="J62" s="48">
        <f>'IS (Before Changes)'!J62-'IS 3Q2022'!J62</f>
        <v>0</v>
      </c>
      <c r="K62" s="48">
        <f>'IS (Before Changes)'!K62-'IS 3Q2022'!K62</f>
        <v>0</v>
      </c>
      <c r="L62" s="48">
        <f>'IS (Before Changes)'!L62-'IS 3Q2022'!L62</f>
        <v>0</v>
      </c>
      <c r="M62" s="165">
        <f>'IS (Before Changes)'!M62-'IS 3Q2022'!M62</f>
        <v>0</v>
      </c>
      <c r="N62" s="48">
        <f>'IS (Before Changes)'!N62-'IS 3Q2022'!N62</f>
        <v>0</v>
      </c>
      <c r="O62" s="48">
        <f>'IS (Before Changes)'!O62-'IS 3Q2022'!O62</f>
        <v>0</v>
      </c>
      <c r="P62" s="48">
        <f>'IS (Before Changes)'!P62-'IS 3Q2022'!P62</f>
        <v>0</v>
      </c>
      <c r="Q62" s="105">
        <f>'IS (Before Changes)'!Q62-'IS 3Q2022'!Q62</f>
        <v>0</v>
      </c>
      <c r="R62" s="49">
        <f>'IS (Before Changes)'!R62-'IS 3Q2022'!R62</f>
        <v>0</v>
      </c>
      <c r="S62" s="48">
        <f>'IS (Before Changes)'!S62-'IS 3Q2022'!S62</f>
        <v>0</v>
      </c>
      <c r="T62" s="48">
        <f>'IS (Before Changes)'!T62-'IS 3Q2022'!T62</f>
        <v>0</v>
      </c>
      <c r="U62" s="48">
        <f>'IS (Before Changes)'!U62-'IS 3Q2022'!U62</f>
        <v>0</v>
      </c>
      <c r="V62" s="48">
        <f>'IS (Before Changes)'!V62-'IS 3Q2022'!V62</f>
        <v>135.21921386593021</v>
      </c>
      <c r="W62" s="49">
        <f>'IS (Before Changes)'!W62-'IS 3Q2022'!W62</f>
        <v>135.21921386593021</v>
      </c>
      <c r="X62" s="48">
        <f>'IS (Before Changes)'!X62-'IS 3Q2022'!X62</f>
        <v>20.683410804108917</v>
      </c>
      <c r="Y62" s="48">
        <f>'IS (Before Changes)'!Y62-'IS 3Q2022'!Y62</f>
        <v>19.901962544071466</v>
      </c>
      <c r="Z62" s="48">
        <f>'IS (Before Changes)'!Z62-'IS 3Q2022'!Z62</f>
        <v>20.025715056988702</v>
      </c>
      <c r="AA62" s="48">
        <f>'IS (Before Changes)'!AA62-'IS 3Q2022'!AA62</f>
        <v>155.74582527063467</v>
      </c>
      <c r="AB62" s="49">
        <f>'IS (Before Changes)'!AB62-'IS 3Q2022'!AB62</f>
        <v>216.35691367580512</v>
      </c>
      <c r="AC62" s="48">
        <f>'IS (Before Changes)'!AC62-'IS 3Q2022'!AC62</f>
        <v>21.302558931987278</v>
      </c>
      <c r="AD62" s="48">
        <f>'IS (Before Changes)'!AD62-'IS 3Q2022'!AD62</f>
        <v>20.857953658734004</v>
      </c>
      <c r="AE62" s="48">
        <f>'IS (Before Changes)'!AE62-'IS 3Q2022'!AE62</f>
        <v>20.984461196760549</v>
      </c>
      <c r="AF62" s="48">
        <f>'IS (Before Changes)'!AF62-'IS 3Q2022'!AF62</f>
        <v>168.96173719497256</v>
      </c>
      <c r="AG62" s="49">
        <f>'IS (Before Changes)'!AG62-'IS 3Q2022'!AG62</f>
        <v>232.10671098245621</v>
      </c>
      <c r="AH62" s="48">
        <f>'IS (Before Changes)'!AH62-'IS 3Q2022'!AH62</f>
        <v>22.749330659107272</v>
      </c>
      <c r="AI62" s="48">
        <f>'IS (Before Changes)'!AI62-'IS 3Q2022'!AI62</f>
        <v>22.276165911425778</v>
      </c>
      <c r="AJ62" s="48">
        <f>'IS (Before Changes)'!AJ62-'IS 3Q2022'!AJ62</f>
        <v>22.40785609454133</v>
      </c>
      <c r="AK62" s="48">
        <f>'IS (Before Changes)'!AK62-'IS 3Q2022'!AK62</f>
        <v>185.5995413169635</v>
      </c>
      <c r="AL62" s="49">
        <f>'IS (Before Changes)'!AL62-'IS 3Q2022'!AL62</f>
        <v>253.03289398203924</v>
      </c>
      <c r="AM62" s="48">
        <f>'IS (Before Changes)'!AM62-'IS 3Q2022'!AM62</f>
        <v>23.886797192062659</v>
      </c>
      <c r="AN62" s="48">
        <f>'IS (Before Changes)'!AN62-'IS 3Q2022'!AN62</f>
        <v>23.389974206996612</v>
      </c>
      <c r="AO62" s="48">
        <f>'IS (Before Changes)'!AO62-'IS 3Q2022'!AO62</f>
        <v>23.528248899267965</v>
      </c>
      <c r="AP62" s="48">
        <f>'IS (Before Changes)'!AP62-'IS 3Q2022'!AP62</f>
        <v>200.74664060565647</v>
      </c>
      <c r="AQ62" s="49">
        <f>'IS (Before Changes)'!AQ62-'IS 3Q2022'!AQ62</f>
        <v>271.55166090398234</v>
      </c>
      <c r="AR62" s="48">
        <f>'IS (Before Changes)'!AR62-'IS 3Q2022'!AR62</f>
        <v>24.603401107824538</v>
      </c>
      <c r="AS62" s="48">
        <f>'IS (Before Changes)'!AS62-'IS 3Q2022'!AS62</f>
        <v>24.091673433206779</v>
      </c>
      <c r="AT62" s="48">
        <f>'IS (Before Changes)'!AT62-'IS 3Q2022'!AT62</f>
        <v>24.234096366245922</v>
      </c>
      <c r="AU62" s="48">
        <f>'IS (Before Changes)'!AU62-'IS 3Q2022'!AU62</f>
        <v>212.89190046123895</v>
      </c>
      <c r="AV62" s="49">
        <f>'IS (Before Changes)'!AV62-'IS 3Q2022'!AV62</f>
        <v>285.82107136851482</v>
      </c>
    </row>
    <row r="63" spans="2:48" s="184" customFormat="1" outlineLevel="1" x14ac:dyDescent="0.3">
      <c r="B63" s="181" t="s">
        <v>150</v>
      </c>
      <c r="C63" s="190"/>
      <c r="D63" s="187">
        <f>'IS (Before Changes)'!D63-'IS 3Q2022'!D63</f>
        <v>0</v>
      </c>
      <c r="E63" s="187">
        <f>'IS (Before Changes)'!E63-'IS 3Q2022'!E63</f>
        <v>0</v>
      </c>
      <c r="F63" s="187">
        <f>'IS (Before Changes)'!F63-'IS 3Q2022'!F63</f>
        <v>0</v>
      </c>
      <c r="G63" s="187">
        <f>'IS (Before Changes)'!G63-'IS 3Q2022'!G63</f>
        <v>0</v>
      </c>
      <c r="H63" s="188">
        <f>'IS (Before Changes)'!H63-'IS 3Q2022'!H63</f>
        <v>0</v>
      </c>
      <c r="I63" s="187">
        <f>'IS (Before Changes)'!I63-'IS 3Q2022'!I63</f>
        <v>0</v>
      </c>
      <c r="J63" s="187">
        <f>'IS (Before Changes)'!J63-'IS 3Q2022'!J63</f>
        <v>0</v>
      </c>
      <c r="K63" s="187">
        <f>'IS (Before Changes)'!K63-'IS 3Q2022'!K63</f>
        <v>0</v>
      </c>
      <c r="L63" s="187">
        <f>'IS (Before Changes)'!L63-'IS 3Q2022'!L63</f>
        <v>0</v>
      </c>
      <c r="M63" s="188">
        <f>'IS (Before Changes)'!M63-'IS 3Q2022'!M63</f>
        <v>0</v>
      </c>
      <c r="N63" s="187">
        <f>'IS (Before Changes)'!N63-'IS 3Q2022'!N63</f>
        <v>0</v>
      </c>
      <c r="O63" s="187">
        <f>'IS (Before Changes)'!O63-'IS 3Q2022'!O63</f>
        <v>0</v>
      </c>
      <c r="P63" s="187">
        <f>'IS (Before Changes)'!P63-'IS 3Q2022'!P63</f>
        <v>0</v>
      </c>
      <c r="Q63" s="167">
        <f>'IS (Before Changes)'!Q63-'IS 3Q2022'!Q63</f>
        <v>0</v>
      </c>
      <c r="R63" s="188">
        <f>'IS (Before Changes)'!R63-'IS 3Q2022'!R63</f>
        <v>0</v>
      </c>
      <c r="S63" s="187">
        <f>'IS (Before Changes)'!S63-'IS 3Q2022'!S63</f>
        <v>0</v>
      </c>
      <c r="T63" s="187">
        <f>'IS (Before Changes)'!T63-'IS 3Q2022'!T63</f>
        <v>0</v>
      </c>
      <c r="U63" s="187">
        <f>'IS (Before Changes)'!U63-'IS 3Q2022'!U63</f>
        <v>0</v>
      </c>
      <c r="V63" s="189">
        <f>'IS (Before Changes)'!V63-'IS 3Q2022'!V63</f>
        <v>1.3889804799066208E-2</v>
      </c>
      <c r="W63" s="188">
        <f>'IS (Before Changes)'!W63-'IS 3Q2022'!W63</f>
        <v>3.5983922422286874E-3</v>
      </c>
      <c r="X63" s="189">
        <f>'IS (Before Changes)'!X63-'IS 3Q2022'!X63</f>
        <v>0</v>
      </c>
      <c r="Y63" s="189">
        <f>'IS (Before Changes)'!Y63-'IS 3Q2022'!Y63</f>
        <v>0</v>
      </c>
      <c r="Z63" s="189">
        <f>'IS (Before Changes)'!Z63-'IS 3Q2022'!Z63</f>
        <v>0</v>
      </c>
      <c r="AA63" s="189">
        <f>'IS (Before Changes)'!AA63-'IS 3Q2022'!AA63</f>
        <v>1.3889804799066208E-2</v>
      </c>
      <c r="AB63" s="188">
        <f>'IS (Before Changes)'!AB63-'IS 3Q2022'!AB63</f>
        <v>3.5306393283204285E-3</v>
      </c>
      <c r="AC63" s="189">
        <f>'IS (Before Changes)'!AC63-'IS 3Q2022'!AC63</f>
        <v>0</v>
      </c>
      <c r="AD63" s="189">
        <f>'IS (Before Changes)'!AD63-'IS 3Q2022'!AD63</f>
        <v>0</v>
      </c>
      <c r="AE63" s="189">
        <f>'IS (Before Changes)'!AE63-'IS 3Q2022'!AE63</f>
        <v>0</v>
      </c>
      <c r="AF63" s="189">
        <f>'IS (Before Changes)'!AF63-'IS 3Q2022'!AF63</f>
        <v>1.3889804799066208E-2</v>
      </c>
      <c r="AG63" s="188">
        <f>'IS (Before Changes)'!AG63-'IS 3Q2022'!AG63</f>
        <v>3.582726919075907E-3</v>
      </c>
      <c r="AH63" s="189">
        <f>'IS (Before Changes)'!AH63-'IS 3Q2022'!AH63</f>
        <v>0</v>
      </c>
      <c r="AI63" s="189">
        <f>'IS (Before Changes)'!AI63-'IS 3Q2022'!AI63</f>
        <v>0</v>
      </c>
      <c r="AJ63" s="189">
        <f>'IS (Before Changes)'!AJ63-'IS 3Q2022'!AJ63</f>
        <v>0</v>
      </c>
      <c r="AK63" s="189">
        <f>'IS (Before Changes)'!AK63-'IS 3Q2022'!AK63</f>
        <v>1.3889804799066208E-2</v>
      </c>
      <c r="AL63" s="188">
        <f>'IS (Before Changes)'!AL63-'IS 3Q2022'!AL63</f>
        <v>3.5881535212286542E-3</v>
      </c>
      <c r="AM63" s="189">
        <f>'IS (Before Changes)'!AM63-'IS 3Q2022'!AM63</f>
        <v>0</v>
      </c>
      <c r="AN63" s="189">
        <f>'IS (Before Changes)'!AN63-'IS 3Q2022'!AN63</f>
        <v>0</v>
      </c>
      <c r="AO63" s="189">
        <f>'IS (Before Changes)'!AO63-'IS 3Q2022'!AO63</f>
        <v>0</v>
      </c>
      <c r="AP63" s="189">
        <f>'IS (Before Changes)'!AP63-'IS 3Q2022'!AP63</f>
        <v>1.3889804799066208E-2</v>
      </c>
      <c r="AQ63" s="188">
        <f>'IS (Before Changes)'!AQ63-'IS 3Q2022'!AQ63</f>
        <v>3.5915050480102018E-3</v>
      </c>
      <c r="AR63" s="189">
        <f>'IS (Before Changes)'!AR63-'IS 3Q2022'!AR63</f>
        <v>0</v>
      </c>
      <c r="AS63" s="189">
        <f>'IS (Before Changes)'!AS63-'IS 3Q2022'!AS63</f>
        <v>0</v>
      </c>
      <c r="AT63" s="189">
        <f>'IS (Before Changes)'!AT63-'IS 3Q2022'!AT63</f>
        <v>0</v>
      </c>
      <c r="AU63" s="189">
        <f>'IS (Before Changes)'!AU63-'IS 3Q2022'!AU63</f>
        <v>1.3889804799066208E-2</v>
      </c>
      <c r="AV63" s="188">
        <f>'IS (Before Changes)'!AV63-'IS 3Q2022'!AV63</f>
        <v>3.5900071980540238E-3</v>
      </c>
    </row>
    <row r="64" spans="2:48" outlineLevel="1" x14ac:dyDescent="0.3">
      <c r="B64" s="180" t="s">
        <v>33</v>
      </c>
      <c r="C64" s="18"/>
      <c r="D64" s="48">
        <f>'IS (Before Changes)'!D64-'IS 3Q2022'!D64</f>
        <v>0</v>
      </c>
      <c r="E64" s="48">
        <f>'IS (Before Changes)'!E64-'IS 3Q2022'!E64</f>
        <v>0</v>
      </c>
      <c r="F64" s="48">
        <f>'IS (Before Changes)'!F64-'IS 3Q2022'!F64</f>
        <v>0</v>
      </c>
      <c r="G64" s="48">
        <f>'IS (Before Changes)'!G64-'IS 3Q2022'!G64</f>
        <v>0</v>
      </c>
      <c r="H64" s="49">
        <f>'IS (Before Changes)'!H64-'IS 3Q2022'!H64</f>
        <v>0</v>
      </c>
      <c r="I64" s="48">
        <f>'IS (Before Changes)'!I64-'IS 3Q2022'!I64</f>
        <v>0</v>
      </c>
      <c r="J64" s="48">
        <f>'IS (Before Changes)'!J64-'IS 3Q2022'!J64</f>
        <v>0</v>
      </c>
      <c r="K64" s="48">
        <f>'IS (Before Changes)'!K64-'IS 3Q2022'!K64</f>
        <v>0</v>
      </c>
      <c r="L64" s="48">
        <f>'IS (Before Changes)'!L64-'IS 3Q2022'!L64</f>
        <v>0</v>
      </c>
      <c r="M64" s="49">
        <f>'IS (Before Changes)'!M64-'IS 3Q2022'!M64</f>
        <v>0</v>
      </c>
      <c r="N64" s="48">
        <f>'IS (Before Changes)'!N64-'IS 3Q2022'!N64</f>
        <v>0</v>
      </c>
      <c r="O64" s="48">
        <f>'IS (Before Changes)'!O64-'IS 3Q2022'!O64</f>
        <v>0</v>
      </c>
      <c r="P64" s="48">
        <f>'IS (Before Changes)'!P64-'IS 3Q2022'!P64</f>
        <v>0</v>
      </c>
      <c r="Q64" s="105">
        <f>'IS (Before Changes)'!Q64-'IS 3Q2022'!Q64</f>
        <v>0</v>
      </c>
      <c r="R64" s="49">
        <f>'IS (Before Changes)'!R64-'IS 3Q2022'!R64</f>
        <v>0</v>
      </c>
      <c r="S64" s="48">
        <f>'IS (Before Changes)'!S64-'IS 3Q2022'!S64</f>
        <v>0</v>
      </c>
      <c r="T64" s="48">
        <f>'IS (Before Changes)'!T64-'IS 3Q2022'!T64</f>
        <v>0</v>
      </c>
      <c r="U64" s="48">
        <f>'IS (Before Changes)'!U64-'IS 3Q2022'!U64</f>
        <v>0</v>
      </c>
      <c r="V64" s="48">
        <f>'IS (Before Changes)'!V64-'IS 3Q2022'!V64</f>
        <v>-2.1332809076471406</v>
      </c>
      <c r="W64" s="49">
        <f>'IS (Before Changes)'!W64-'IS 3Q2022'!W64</f>
        <v>-2.1332809076471335</v>
      </c>
      <c r="X64" s="48">
        <f>'IS (Before Changes)'!X64-'IS 3Q2022'!X64</f>
        <v>0.3672361988027788</v>
      </c>
      <c r="Y64" s="48">
        <f>'IS (Before Changes)'!Y64-'IS 3Q2022'!Y64</f>
        <v>0.3573748003033046</v>
      </c>
      <c r="Z64" s="48">
        <f>'IS (Before Changes)'!Z64-'IS 3Q2022'!Z64</f>
        <v>0.40861788838630986</v>
      </c>
      <c r="AA64" s="48">
        <f>'IS (Before Changes)'!AA64-'IS 3Q2022'!AA64</f>
        <v>-2.111183492532156</v>
      </c>
      <c r="AB64" s="49">
        <f>'IS (Before Changes)'!AB64-'IS 3Q2022'!AB64</f>
        <v>-0.97795460503976983</v>
      </c>
      <c r="AC64" s="48">
        <f>'IS (Before Changes)'!AC64-'IS 3Q2022'!AC64</f>
        <v>0.38559800874291028</v>
      </c>
      <c r="AD64" s="48">
        <f>'IS (Before Changes)'!AD64-'IS 3Q2022'!AD64</f>
        <v>0.37524354031847906</v>
      </c>
      <c r="AE64" s="48">
        <f>'IS (Before Changes)'!AE64-'IS 3Q2022'!AE64</f>
        <v>0.42904878280563707</v>
      </c>
      <c r="AF64" s="48">
        <f>'IS (Before Changes)'!AF64-'IS 3Q2022'!AF64</f>
        <v>-2.282008509863708</v>
      </c>
      <c r="AG64" s="49">
        <f>'IS (Before Changes)'!AG64-'IS 3Q2022'!AG64</f>
        <v>-1.0921181779966389</v>
      </c>
      <c r="AH64" s="48">
        <f>'IS (Before Changes)'!AH64-'IS 3Q2022'!AH64</f>
        <v>0.41258986935491748</v>
      </c>
      <c r="AI64" s="48">
        <f>'IS (Before Changes)'!AI64-'IS 3Q2022'!AI64</f>
        <v>0.40151058814076634</v>
      </c>
      <c r="AJ64" s="48">
        <f>'IS (Before Changes)'!AJ64-'IS 3Q2022'!AJ64</f>
        <v>0.4590821976020294</v>
      </c>
      <c r="AK64" s="48">
        <f>'IS (Before Changes)'!AK64-'IS 3Q2022'!AK64</f>
        <v>-2.5248149912351465</v>
      </c>
      <c r="AL64" s="49">
        <f>'IS (Before Changes)'!AL64-'IS 3Q2022'!AL64</f>
        <v>-1.2516323361374475</v>
      </c>
      <c r="AM64" s="48">
        <f>'IS (Before Changes)'!AM64-'IS 3Q2022'!AM64</f>
        <v>0.43321936282265483</v>
      </c>
      <c r="AN64" s="48">
        <f>'IS (Before Changes)'!AN64-'IS 3Q2022'!AN64</f>
        <v>0.42158611754780395</v>
      </c>
      <c r="AO64" s="48">
        <f>'IS (Before Changes)'!AO64-'IS 3Q2022'!AO64</f>
        <v>0.48203630748211879</v>
      </c>
      <c r="AP64" s="48">
        <f>'IS (Before Changes)'!AP64-'IS 3Q2022'!AP64</f>
        <v>-2.7627141843625225</v>
      </c>
      <c r="AQ64" s="49">
        <f>'IS (Before Changes)'!AQ64-'IS 3Q2022'!AQ64</f>
        <v>-1.4258723965099307</v>
      </c>
      <c r="AR64" s="48">
        <f>'IS (Before Changes)'!AR64-'IS 3Q2022'!AR64</f>
        <v>0.44621594370735806</v>
      </c>
      <c r="AS64" s="48">
        <f>'IS (Before Changes)'!AS64-'IS 3Q2022'!AS64</f>
        <v>0.4342337010742483</v>
      </c>
      <c r="AT64" s="48">
        <f>'IS (Before Changes)'!AT64-'IS 3Q2022'!AT64</f>
        <v>0.49649739670658732</v>
      </c>
      <c r="AU64" s="48">
        <f>'IS (Before Changes)'!AU64-'IS 3Q2022'!AU64</f>
        <v>-2.9641934428387913</v>
      </c>
      <c r="AV64" s="49">
        <f>'IS (Before Changes)'!AV64-'IS 3Q2022'!AV64</f>
        <v>-1.5872464013505692</v>
      </c>
    </row>
    <row r="65" spans="2:48" s="184" customFormat="1" outlineLevel="1" x14ac:dyDescent="0.3">
      <c r="B65" s="181" t="s">
        <v>152</v>
      </c>
      <c r="C65" s="190"/>
      <c r="D65" s="187">
        <f>'IS (Before Changes)'!D65-'IS 3Q2022'!D65</f>
        <v>0</v>
      </c>
      <c r="E65" s="187">
        <f>'IS (Before Changes)'!E65-'IS 3Q2022'!E65</f>
        <v>0</v>
      </c>
      <c r="F65" s="187">
        <f>'IS (Before Changes)'!F65-'IS 3Q2022'!F65</f>
        <v>0</v>
      </c>
      <c r="G65" s="187">
        <f>'IS (Before Changes)'!G65-'IS 3Q2022'!G65</f>
        <v>0</v>
      </c>
      <c r="H65" s="188">
        <f>'IS (Before Changes)'!H65-'IS 3Q2022'!H65</f>
        <v>0</v>
      </c>
      <c r="I65" s="187">
        <f>'IS (Before Changes)'!I65-'IS 3Q2022'!I65</f>
        <v>0</v>
      </c>
      <c r="J65" s="187">
        <f>'IS (Before Changes)'!J65-'IS 3Q2022'!J65</f>
        <v>0</v>
      </c>
      <c r="K65" s="187">
        <f>'IS (Before Changes)'!K65-'IS 3Q2022'!K65</f>
        <v>0</v>
      </c>
      <c r="L65" s="187">
        <f>'IS (Before Changes)'!L65-'IS 3Q2022'!L65</f>
        <v>0</v>
      </c>
      <c r="M65" s="188">
        <f>'IS (Before Changes)'!M65-'IS 3Q2022'!M65</f>
        <v>0</v>
      </c>
      <c r="N65" s="187">
        <f>'IS (Before Changes)'!N65-'IS 3Q2022'!N65</f>
        <v>0</v>
      </c>
      <c r="O65" s="187">
        <f>'IS (Before Changes)'!O65-'IS 3Q2022'!O65</f>
        <v>0</v>
      </c>
      <c r="P65" s="187">
        <f>'IS (Before Changes)'!P65-'IS 3Q2022'!P65</f>
        <v>0</v>
      </c>
      <c r="Q65" s="167">
        <f>'IS (Before Changes)'!Q65-'IS 3Q2022'!Q65</f>
        <v>0</v>
      </c>
      <c r="R65" s="188">
        <f>'IS (Before Changes)'!R65-'IS 3Q2022'!R65</f>
        <v>0</v>
      </c>
      <c r="S65" s="187">
        <f>'IS (Before Changes)'!S65-'IS 3Q2022'!S65</f>
        <v>0</v>
      </c>
      <c r="T65" s="187">
        <f>'IS (Before Changes)'!T65-'IS 3Q2022'!T65</f>
        <v>0</v>
      </c>
      <c r="U65" s="187">
        <f>'IS (Before Changes)'!U65-'IS 3Q2022'!U65</f>
        <v>0</v>
      </c>
      <c r="V65" s="189">
        <f>'IS (Before Changes)'!V65-'IS 3Q2022'!V65</f>
        <v>-6.2102243088158447E-4</v>
      </c>
      <c r="W65" s="188">
        <f>'IS (Before Changes)'!W65-'IS 3Q2022'!W65</f>
        <v>-1.6148484374520732E-4</v>
      </c>
      <c r="X65" s="189">
        <f>'IS (Before Changes)'!X65-'IS 3Q2022'!X65</f>
        <v>0</v>
      </c>
      <c r="Y65" s="189">
        <f>'IS (Before Changes)'!Y65-'IS 3Q2022'!Y65</f>
        <v>0</v>
      </c>
      <c r="Z65" s="189">
        <f>'IS (Before Changes)'!Z65-'IS 3Q2022'!Z65</f>
        <v>0</v>
      </c>
      <c r="AA65" s="189">
        <f>'IS (Before Changes)'!AA65-'IS 3Q2022'!AA65</f>
        <v>-6.2102243088158447E-4</v>
      </c>
      <c r="AB65" s="188">
        <f>'IS (Before Changes)'!AB65-'IS 3Q2022'!AB65</f>
        <v>-1.5925556613473162E-4</v>
      </c>
      <c r="AC65" s="189">
        <f>'IS (Before Changes)'!AC65-'IS 3Q2022'!AC65</f>
        <v>0</v>
      </c>
      <c r="AD65" s="189">
        <f>'IS (Before Changes)'!AD65-'IS 3Q2022'!AD65</f>
        <v>0</v>
      </c>
      <c r="AE65" s="189">
        <f>'IS (Before Changes)'!AE65-'IS 3Q2022'!AE65</f>
        <v>0</v>
      </c>
      <c r="AF65" s="189">
        <f>'IS (Before Changes)'!AF65-'IS 3Q2022'!AF65</f>
        <v>-6.2102243088158447E-4</v>
      </c>
      <c r="AG65" s="188">
        <f>'IS (Before Changes)'!AG65-'IS 3Q2022'!AG65</f>
        <v>-1.595055695730041E-4</v>
      </c>
      <c r="AH65" s="189">
        <f>'IS (Before Changes)'!AH65-'IS 3Q2022'!AH65</f>
        <v>0</v>
      </c>
      <c r="AI65" s="189">
        <f>'IS (Before Changes)'!AI65-'IS 3Q2022'!AI65</f>
        <v>0</v>
      </c>
      <c r="AJ65" s="189">
        <f>'IS (Before Changes)'!AJ65-'IS 3Q2022'!AJ65</f>
        <v>0</v>
      </c>
      <c r="AK65" s="189">
        <f>'IS (Before Changes)'!AK65-'IS 3Q2022'!AK65</f>
        <v>-6.2102243088158447E-4</v>
      </c>
      <c r="AL65" s="188">
        <f>'IS (Before Changes)'!AL65-'IS 3Q2022'!AL65</f>
        <v>-1.5975827508415107E-4</v>
      </c>
      <c r="AM65" s="189">
        <f>'IS (Before Changes)'!AM65-'IS 3Q2022'!AM65</f>
        <v>0</v>
      </c>
      <c r="AN65" s="189">
        <f>'IS (Before Changes)'!AN65-'IS 3Q2022'!AN65</f>
        <v>0</v>
      </c>
      <c r="AO65" s="189">
        <f>'IS (Before Changes)'!AO65-'IS 3Q2022'!AO65</f>
        <v>0</v>
      </c>
      <c r="AP65" s="189">
        <f>'IS (Before Changes)'!AP65-'IS 3Q2022'!AP65</f>
        <v>-6.2102243088158447E-4</v>
      </c>
      <c r="AQ65" s="188">
        <f>'IS (Before Changes)'!AQ65-'IS 3Q2022'!AQ65</f>
        <v>-1.5969519219589598E-4</v>
      </c>
      <c r="AR65" s="189">
        <f>'IS (Before Changes)'!AR65-'IS 3Q2022'!AR65</f>
        <v>0</v>
      </c>
      <c r="AS65" s="189">
        <f>'IS (Before Changes)'!AS65-'IS 3Q2022'!AS65</f>
        <v>0</v>
      </c>
      <c r="AT65" s="189">
        <f>'IS (Before Changes)'!AT65-'IS 3Q2022'!AT65</f>
        <v>0</v>
      </c>
      <c r="AU65" s="189">
        <f>'IS (Before Changes)'!AU65-'IS 3Q2022'!AU65</f>
        <v>-6.2102243088158447E-4</v>
      </c>
      <c r="AV65" s="188">
        <f>'IS (Before Changes)'!AV65-'IS 3Q2022'!AV65</f>
        <v>-1.5963673336974113E-4</v>
      </c>
    </row>
    <row r="66" spans="2:48" outlineLevel="1" x14ac:dyDescent="0.3">
      <c r="B66" s="180" t="s">
        <v>34</v>
      </c>
      <c r="C66" s="18"/>
      <c r="D66" s="358">
        <f>'IS (Before Changes)'!D66-'IS 3Q2022'!D66</f>
        <v>0</v>
      </c>
      <c r="E66" s="358">
        <f>'IS (Before Changes)'!E66-'IS 3Q2022'!E66</f>
        <v>0</v>
      </c>
      <c r="F66" s="358">
        <f>'IS (Before Changes)'!F66-'IS 3Q2022'!F66</f>
        <v>0</v>
      </c>
      <c r="G66" s="358">
        <f>'IS (Before Changes)'!G66-'IS 3Q2022'!G66</f>
        <v>0</v>
      </c>
      <c r="H66" s="130">
        <f>'IS (Before Changes)'!H66-'IS 3Q2022'!H66</f>
        <v>0</v>
      </c>
      <c r="I66" s="358">
        <f>'IS (Before Changes)'!I66-'IS 3Q2022'!I66</f>
        <v>0</v>
      </c>
      <c r="J66" s="358">
        <f>'IS (Before Changes)'!J66-'IS 3Q2022'!J66</f>
        <v>0</v>
      </c>
      <c r="K66" s="358">
        <f>'IS (Before Changes)'!K66-'IS 3Q2022'!K66</f>
        <v>0</v>
      </c>
      <c r="L66" s="358">
        <f>'IS (Before Changes)'!L66-'IS 3Q2022'!L66</f>
        <v>0</v>
      </c>
      <c r="M66" s="359">
        <f>'IS (Before Changes)'!M66-'IS 3Q2022'!M66</f>
        <v>0</v>
      </c>
      <c r="N66" s="358">
        <f>'IS (Before Changes)'!N66-'IS 3Q2022'!N66</f>
        <v>0</v>
      </c>
      <c r="O66" s="358">
        <f>'IS (Before Changes)'!O66-'IS 3Q2022'!O66</f>
        <v>0</v>
      </c>
      <c r="P66" s="358">
        <f>'IS (Before Changes)'!P66-'IS 3Q2022'!P66</f>
        <v>0</v>
      </c>
      <c r="Q66" s="358">
        <f>'IS (Before Changes)'!Q66-'IS 3Q2022'!Q66</f>
        <v>0</v>
      </c>
      <c r="R66" s="170">
        <f>'IS (Before Changes)'!R66-'IS 3Q2022'!R66</f>
        <v>0</v>
      </c>
      <c r="S66" s="358">
        <f>'IS (Before Changes)'!S66-'IS 3Q2022'!S66</f>
        <v>0</v>
      </c>
      <c r="T66" s="358">
        <f>'IS (Before Changes)'!T66-'IS 3Q2022'!T66</f>
        <v>0</v>
      </c>
      <c r="U66" s="358">
        <f>'IS (Before Changes)'!U66-'IS 3Q2022'!U66</f>
        <v>0</v>
      </c>
      <c r="V66" s="358">
        <f>'IS (Before Changes)'!V66-'IS 3Q2022'!V66</f>
        <v>-2.9766568725702598</v>
      </c>
      <c r="W66" s="170">
        <f>'IS (Before Changes)'!W66-'IS 3Q2022'!W66</f>
        <v>-2.9766568725701745</v>
      </c>
      <c r="X66" s="358">
        <f>'IS (Before Changes)'!X66-'IS 3Q2022'!X66</f>
        <v>1.084163757512755</v>
      </c>
      <c r="Y66" s="358">
        <f>'IS (Before Changes)'!Y66-'IS 3Q2022'!Y66</f>
        <v>-1.963955341942949</v>
      </c>
      <c r="Z66" s="358">
        <f>'IS (Before Changes)'!Z66-'IS 3Q2022'!Z66</f>
        <v>-5.1247054891424</v>
      </c>
      <c r="AA66" s="358">
        <f>'IS (Before Changes)'!AA66-'IS 3Q2022'!AA66</f>
        <v>-8.77709050398866</v>
      </c>
      <c r="AB66" s="170">
        <f>'IS (Before Changes)'!AB66-'IS 3Q2022'!AB66</f>
        <v>-14.781587577561368</v>
      </c>
      <c r="AC66" s="358">
        <f>'IS (Before Changes)'!AC66-'IS 3Q2022'!AC66</f>
        <v>-7.5468824923628119</v>
      </c>
      <c r="AD66" s="358">
        <f>'IS (Before Changes)'!AD66-'IS 3Q2022'!AD66</f>
        <v>-7.5593653463161843</v>
      </c>
      <c r="AE66" s="358">
        <f>'IS (Before Changes)'!AE66-'IS 3Q2022'!AE66</f>
        <v>-7.3826576047982542</v>
      </c>
      <c r="AF66" s="358">
        <f>'IS (Before Changes)'!AF66-'IS 3Q2022'!AF66</f>
        <v>-6.9344607399539768</v>
      </c>
      <c r="AG66" s="170">
        <f>'IS (Before Changes)'!AG66-'IS 3Q2022'!AG66</f>
        <v>-29.423366183431312</v>
      </c>
      <c r="AH66" s="358">
        <f>'IS (Before Changes)'!AH66-'IS 3Q2022'!AH66</f>
        <v>-5.7715429525273407</v>
      </c>
      <c r="AI66" s="358">
        <f>'IS (Before Changes)'!AI66-'IS 3Q2022'!AI66</f>
        <v>-5.4512265818304968</v>
      </c>
      <c r="AJ66" s="358">
        <f>'IS (Before Changes)'!AJ66-'IS 3Q2022'!AJ66</f>
        <v>-5.0077414184091253</v>
      </c>
      <c r="AK66" s="358">
        <f>'IS (Before Changes)'!AK66-'IS 3Q2022'!AK66</f>
        <v>-4.5245455395342447</v>
      </c>
      <c r="AL66" s="170">
        <f>'IS (Before Changes)'!AL66-'IS 3Q2022'!AL66</f>
        <v>-20.755056492301037</v>
      </c>
      <c r="AM66" s="358">
        <f>'IS (Before Changes)'!AM66-'IS 3Q2022'!AM66</f>
        <v>-3.8443576924736931</v>
      </c>
      <c r="AN66" s="358">
        <f>'IS (Before Changes)'!AN66-'IS 3Q2022'!AN66</f>
        <v>-3.5048403219323632</v>
      </c>
      <c r="AO66" s="358">
        <f>'IS (Before Changes)'!AO66-'IS 3Q2022'!AO66</f>
        <v>-3.1101096629448648</v>
      </c>
      <c r="AP66" s="358">
        <f>'IS (Before Changes)'!AP66-'IS 3Q2022'!AP66</f>
        <v>-2.7516999189450644</v>
      </c>
      <c r="AQ66" s="170">
        <f>'IS (Before Changes)'!AQ66-'IS 3Q2022'!AQ66</f>
        <v>-13.211007596295758</v>
      </c>
      <c r="AR66" s="358">
        <f>'IS (Before Changes)'!AR66-'IS 3Q2022'!AR66</f>
        <v>-2.2184062484311653</v>
      </c>
      <c r="AS66" s="358">
        <f>'IS (Before Changes)'!AS66-'IS 3Q2022'!AS66</f>
        <v>-1.9243767457156196</v>
      </c>
      <c r="AT66" s="358">
        <f>'IS (Before Changes)'!AT66-'IS 3Q2022'!AT66</f>
        <v>-1.5978699792822795</v>
      </c>
      <c r="AU66" s="358">
        <f>'IS (Before Changes)'!AU66-'IS 3Q2022'!AU66</f>
        <v>-1.3217019401953962</v>
      </c>
      <c r="AV66" s="170">
        <f>'IS (Before Changes)'!AV66-'IS 3Q2022'!AV66</f>
        <v>-7.0623549136246311</v>
      </c>
    </row>
    <row r="67" spans="2:48" outlineLevel="1" x14ac:dyDescent="0.3">
      <c r="B67" s="180" t="s">
        <v>35</v>
      </c>
      <c r="C67" s="18"/>
      <c r="D67" s="48">
        <f>'IS (Before Changes)'!D67-'IS 3Q2022'!D67</f>
        <v>0</v>
      </c>
      <c r="E67" s="48">
        <f>'IS (Before Changes)'!E67-'IS 3Q2022'!E67</f>
        <v>0</v>
      </c>
      <c r="F67" s="48">
        <f>'IS (Before Changes)'!F67-'IS 3Q2022'!F67</f>
        <v>0</v>
      </c>
      <c r="G67" s="48">
        <f>'IS (Before Changes)'!G67-'IS 3Q2022'!G67</f>
        <v>0</v>
      </c>
      <c r="H67" s="49">
        <f>'IS (Before Changes)'!H67-'IS 3Q2022'!H67</f>
        <v>0</v>
      </c>
      <c r="I67" s="48">
        <f>'IS (Before Changes)'!I67-'IS 3Q2022'!I67</f>
        <v>0</v>
      </c>
      <c r="J67" s="48">
        <f>'IS (Before Changes)'!J67-'IS 3Q2022'!J67</f>
        <v>0</v>
      </c>
      <c r="K67" s="48">
        <f>'IS (Before Changes)'!K67-'IS 3Q2022'!K67</f>
        <v>0</v>
      </c>
      <c r="L67" s="48">
        <f>'IS (Before Changes)'!L67-'IS 3Q2022'!L67</f>
        <v>0</v>
      </c>
      <c r="M67" s="165">
        <f>'IS (Before Changes)'!M67-'IS 3Q2022'!M67</f>
        <v>0</v>
      </c>
      <c r="N67" s="48">
        <f>'IS (Before Changes)'!N67-'IS 3Q2022'!N67</f>
        <v>0</v>
      </c>
      <c r="O67" s="48">
        <f>'IS (Before Changes)'!O67-'IS 3Q2022'!O67</f>
        <v>0</v>
      </c>
      <c r="P67" s="48">
        <f>'IS (Before Changes)'!P67-'IS 3Q2022'!P67</f>
        <v>0</v>
      </c>
      <c r="Q67" s="105">
        <f>'IS (Before Changes)'!Q67-'IS 3Q2022'!Q67</f>
        <v>0</v>
      </c>
      <c r="R67" s="49">
        <f>'IS (Before Changes)'!R67-'IS 3Q2022'!R67</f>
        <v>0</v>
      </c>
      <c r="S67" s="48">
        <f>'IS (Before Changes)'!S67-'IS 3Q2022'!S67</f>
        <v>0</v>
      </c>
      <c r="T67" s="48">
        <f>'IS (Before Changes)'!T67-'IS 3Q2022'!T67</f>
        <v>0</v>
      </c>
      <c r="U67" s="48">
        <f>'IS (Before Changes)'!U67-'IS 3Q2022'!U67</f>
        <v>0</v>
      </c>
      <c r="V67" s="48">
        <f>'IS (Before Changes)'!V67-'IS 3Q2022'!V67</f>
        <v>-76.470459956121786</v>
      </c>
      <c r="W67" s="49">
        <f>'IS (Before Changes)'!W67-'IS 3Q2022'!W67</f>
        <v>-76.470459956121772</v>
      </c>
      <c r="X67" s="48">
        <f>'IS (Before Changes)'!X67-'IS 3Q2022'!X67</f>
        <v>0.80275014025225744</v>
      </c>
      <c r="Y67" s="48">
        <f>'IS (Before Changes)'!Y67-'IS 3Q2022'!Y67</f>
        <v>0.64429327254043756</v>
      </c>
      <c r="Z67" s="48">
        <f>'IS (Before Changes)'!Z67-'IS 3Q2022'!Z67</f>
        <v>0.6759601985388457</v>
      </c>
      <c r="AA67" s="48">
        <f>'IS (Before Changes)'!AA67-'IS 3Q2022'!AA67</f>
        <v>-84.37211691872227</v>
      </c>
      <c r="AB67" s="49">
        <f>'IS (Before Changes)'!AB67-'IS 3Q2022'!AB67</f>
        <v>-82.249113307390701</v>
      </c>
      <c r="AC67" s="48">
        <f>'IS (Before Changes)'!AC67-'IS 3Q2022'!AC67</f>
        <v>0.70531315770985259</v>
      </c>
      <c r="AD67" s="48">
        <f>'IS (Before Changes)'!AD67-'IS 3Q2022'!AD67</f>
        <v>0.76327922056290731</v>
      </c>
      <c r="AE67" s="48">
        <f>'IS (Before Changes)'!AE67-'IS 3Q2022'!AE67</f>
        <v>0.66283854879522153</v>
      </c>
      <c r="AF67" s="48">
        <f>'IS (Before Changes)'!AF67-'IS 3Q2022'!AF67</f>
        <v>-91.387134361991855</v>
      </c>
      <c r="AG67" s="49">
        <f>'IS (Before Changes)'!AG67-'IS 3Q2022'!AG67</f>
        <v>-89.25570343492393</v>
      </c>
      <c r="AH67" s="48">
        <f>'IS (Before Changes)'!AH67-'IS 3Q2022'!AH67</f>
        <v>0.70561684414160197</v>
      </c>
      <c r="AI67" s="48">
        <f>'IS (Before Changes)'!AI67-'IS 3Q2022'!AI67</f>
        <v>0.7702861288507421</v>
      </c>
      <c r="AJ67" s="48">
        <f>'IS (Before Changes)'!AJ67-'IS 3Q2022'!AJ67</f>
        <v>0.65903321136337922</v>
      </c>
      <c r="AK67" s="48">
        <f>'IS (Before Changes)'!AK67-'IS 3Q2022'!AK67</f>
        <v>-101.30871259364685</v>
      </c>
      <c r="AL67" s="49">
        <f>'IS (Before Changes)'!AL67-'IS 3Q2022'!AL67</f>
        <v>-99.173776409291122</v>
      </c>
      <c r="AM67" s="48">
        <f>'IS (Before Changes)'!AM67-'IS 3Q2022'!AM67</f>
        <v>0.74089768634866005</v>
      </c>
      <c r="AN67" s="48">
        <f>'IS (Before Changes)'!AN67-'IS 3Q2022'!AN67</f>
        <v>0.8088004352932785</v>
      </c>
      <c r="AO67" s="48">
        <f>'IS (Before Changes)'!AO67-'IS 3Q2022'!AO67</f>
        <v>0.69198487193153824</v>
      </c>
      <c r="AP67" s="48">
        <f>'IS (Before Changes)'!AP67-'IS 3Q2022'!AP67</f>
        <v>-109.89271089553003</v>
      </c>
      <c r="AQ67" s="49">
        <f>'IS (Before Changes)'!AQ67-'IS 3Q2022'!AQ67</f>
        <v>-107.65102790195658</v>
      </c>
      <c r="AR67" s="48">
        <f>'IS (Before Changes)'!AR67-'IS 3Q2022'!AR67</f>
        <v>0.76312461693915168</v>
      </c>
      <c r="AS67" s="48">
        <f>'IS (Before Changes)'!AS67-'IS 3Q2022'!AS67</f>
        <v>0.83306444835207571</v>
      </c>
      <c r="AT67" s="48">
        <f>'IS (Before Changes)'!AT67-'IS 3Q2022'!AT67</f>
        <v>0.71274441808948552</v>
      </c>
      <c r="AU67" s="48">
        <f>'IS (Before Changes)'!AU67-'IS 3Q2022'!AU67</f>
        <v>-116.817482550892</v>
      </c>
      <c r="AV67" s="49">
        <f>'IS (Before Changes)'!AV67-'IS 3Q2022'!AV67</f>
        <v>-114.5085490675113</v>
      </c>
    </row>
    <row r="68" spans="2:48" s="184" customFormat="1" outlineLevel="1" x14ac:dyDescent="0.3">
      <c r="B68" s="181" t="s">
        <v>153</v>
      </c>
      <c r="C68" s="190"/>
      <c r="D68" s="187">
        <f>'IS (Before Changes)'!D68-'IS 3Q2022'!D68</f>
        <v>0</v>
      </c>
      <c r="E68" s="187">
        <f>'IS (Before Changes)'!E68-'IS 3Q2022'!E68</f>
        <v>0</v>
      </c>
      <c r="F68" s="187">
        <f>'IS (Before Changes)'!F68-'IS 3Q2022'!F68</f>
        <v>0</v>
      </c>
      <c r="G68" s="187">
        <f>'IS (Before Changes)'!G68-'IS 3Q2022'!G68</f>
        <v>0</v>
      </c>
      <c r="H68" s="188">
        <f>'IS (Before Changes)'!H68-'IS 3Q2022'!H68</f>
        <v>0</v>
      </c>
      <c r="I68" s="187">
        <f>'IS (Before Changes)'!I68-'IS 3Q2022'!I68</f>
        <v>0</v>
      </c>
      <c r="J68" s="187">
        <f>'IS (Before Changes)'!J68-'IS 3Q2022'!J68</f>
        <v>0</v>
      </c>
      <c r="K68" s="187">
        <f>'IS (Before Changes)'!K68-'IS 3Q2022'!K68</f>
        <v>0</v>
      </c>
      <c r="L68" s="187">
        <f>'IS (Before Changes)'!L68-'IS 3Q2022'!L68</f>
        <v>0</v>
      </c>
      <c r="M68" s="188">
        <f>'IS (Before Changes)'!M68-'IS 3Q2022'!M68</f>
        <v>0</v>
      </c>
      <c r="N68" s="187">
        <f>'IS (Before Changes)'!N68-'IS 3Q2022'!N68</f>
        <v>0</v>
      </c>
      <c r="O68" s="187">
        <f>'IS (Before Changes)'!O68-'IS 3Q2022'!O68</f>
        <v>0</v>
      </c>
      <c r="P68" s="187">
        <f>'IS (Before Changes)'!P68-'IS 3Q2022'!P68</f>
        <v>0</v>
      </c>
      <c r="Q68" s="167">
        <f>'IS (Before Changes)'!Q68-'IS 3Q2022'!Q68</f>
        <v>0</v>
      </c>
      <c r="R68" s="188">
        <f>'IS (Before Changes)'!R68-'IS 3Q2022'!R68</f>
        <v>0</v>
      </c>
      <c r="S68" s="187">
        <f>'IS (Before Changes)'!S68-'IS 3Q2022'!S68</f>
        <v>0</v>
      </c>
      <c r="T68" s="187">
        <f>'IS (Before Changes)'!T68-'IS 3Q2022'!T68</f>
        <v>0</v>
      </c>
      <c r="U68" s="187">
        <f>'IS (Before Changes)'!U68-'IS 3Q2022'!U68</f>
        <v>0</v>
      </c>
      <c r="V68" s="189">
        <f>'IS (Before Changes)'!V68-'IS 3Q2022'!V68</f>
        <v>-1.3258433610124708E-2</v>
      </c>
      <c r="W68" s="188">
        <f>'IS (Before Changes)'!W68-'IS 3Q2022'!W68</f>
        <v>-3.4025973529307908E-3</v>
      </c>
      <c r="X68" s="189">
        <f>'IS (Before Changes)'!X68-'IS 3Q2022'!X68</f>
        <v>0</v>
      </c>
      <c r="Y68" s="189">
        <f>'IS (Before Changes)'!Y68-'IS 3Q2022'!Y68</f>
        <v>0</v>
      </c>
      <c r="Z68" s="189">
        <f>'IS (Before Changes)'!Z68-'IS 3Q2022'!Z68</f>
        <v>0</v>
      </c>
      <c r="AA68" s="189">
        <f>'IS (Before Changes)'!AA68-'IS 3Q2022'!AA68</f>
        <v>-1.3258433610124706E-2</v>
      </c>
      <c r="AB68" s="188">
        <f>'IS (Before Changes)'!AB68-'IS 3Q2022'!AB68</f>
        <v>-3.4300792696482941E-3</v>
      </c>
      <c r="AC68" s="189">
        <f>'IS (Before Changes)'!AC68-'IS 3Q2022'!AC68</f>
        <v>0</v>
      </c>
      <c r="AD68" s="189">
        <f>'IS (Before Changes)'!AD68-'IS 3Q2022'!AD68</f>
        <v>0</v>
      </c>
      <c r="AE68" s="189">
        <f>'IS (Before Changes)'!AE68-'IS 3Q2022'!AE68</f>
        <v>0</v>
      </c>
      <c r="AF68" s="189">
        <f>'IS (Before Changes)'!AF68-'IS 3Q2022'!AF68</f>
        <v>-1.3258433610124704E-2</v>
      </c>
      <c r="AG68" s="188">
        <f>'IS (Before Changes)'!AG68-'IS 3Q2022'!AG68</f>
        <v>-3.4370894571030645E-3</v>
      </c>
      <c r="AH68" s="189">
        <f>'IS (Before Changes)'!AH68-'IS 3Q2022'!AH68</f>
        <v>0</v>
      </c>
      <c r="AI68" s="189">
        <f>'IS (Before Changes)'!AI68-'IS 3Q2022'!AI68</f>
        <v>0</v>
      </c>
      <c r="AJ68" s="189">
        <f>'IS (Before Changes)'!AJ68-'IS 3Q2022'!AJ68</f>
        <v>0</v>
      </c>
      <c r="AK68" s="189">
        <f>'IS (Before Changes)'!AK68-'IS 3Q2022'!AK68</f>
        <v>-1.3258433610124704E-2</v>
      </c>
      <c r="AL68" s="188">
        <f>'IS (Before Changes)'!AL68-'IS 3Q2022'!AL68</f>
        <v>-3.4426643684762198E-3</v>
      </c>
      <c r="AM68" s="189">
        <f>'IS (Before Changes)'!AM68-'IS 3Q2022'!AM68</f>
        <v>0</v>
      </c>
      <c r="AN68" s="189">
        <f>'IS (Before Changes)'!AN68-'IS 3Q2022'!AN68</f>
        <v>0</v>
      </c>
      <c r="AO68" s="189">
        <f>'IS (Before Changes)'!AO68-'IS 3Q2022'!AO68</f>
        <v>0</v>
      </c>
      <c r="AP68" s="189">
        <f>'IS (Before Changes)'!AP68-'IS 3Q2022'!AP68</f>
        <v>-1.3258433610124704E-2</v>
      </c>
      <c r="AQ68" s="188">
        <f>'IS (Before Changes)'!AQ68-'IS 3Q2022'!AQ68</f>
        <v>-3.4411873038768387E-3</v>
      </c>
      <c r="AR68" s="189">
        <f>'IS (Before Changes)'!AR68-'IS 3Q2022'!AR68</f>
        <v>0</v>
      </c>
      <c r="AS68" s="189">
        <f>'IS (Before Changes)'!AS68-'IS 3Q2022'!AS68</f>
        <v>0</v>
      </c>
      <c r="AT68" s="189">
        <f>'IS (Before Changes)'!AT68-'IS 3Q2022'!AT68</f>
        <v>0</v>
      </c>
      <c r="AU68" s="189">
        <f>'IS (Before Changes)'!AU68-'IS 3Q2022'!AU68</f>
        <v>-1.3258433610124704E-2</v>
      </c>
      <c r="AV68" s="188">
        <f>'IS (Before Changes)'!AV68-'IS 3Q2022'!AV68</f>
        <v>-3.4397618993762379E-3</v>
      </c>
    </row>
    <row r="69" spans="2:48" ht="16.2" outlineLevel="1" x14ac:dyDescent="0.45">
      <c r="B69" s="180" t="s">
        <v>42</v>
      </c>
      <c r="C69" s="18"/>
      <c r="D69" s="119">
        <f>'IS (Before Changes)'!D69-'IS 3Q2022'!D69</f>
        <v>0</v>
      </c>
      <c r="E69" s="119">
        <f>'IS (Before Changes)'!E69-'IS 3Q2022'!E69</f>
        <v>0</v>
      </c>
      <c r="F69" s="119">
        <f>'IS (Before Changes)'!F69-'IS 3Q2022'!F69</f>
        <v>0</v>
      </c>
      <c r="G69" s="119">
        <f>'IS (Before Changes)'!G69-'IS 3Q2022'!G69</f>
        <v>0</v>
      </c>
      <c r="H69" s="131">
        <f>'IS (Before Changes)'!H69-'IS 3Q2022'!H69</f>
        <v>0</v>
      </c>
      <c r="I69" s="119">
        <f>'IS (Before Changes)'!I69-'IS 3Q2022'!I69</f>
        <v>0</v>
      </c>
      <c r="J69" s="119">
        <f>'IS (Before Changes)'!J69-'IS 3Q2022'!J69</f>
        <v>0</v>
      </c>
      <c r="K69" s="119">
        <f>'IS (Before Changes)'!K69-'IS 3Q2022'!K69</f>
        <v>0</v>
      </c>
      <c r="L69" s="119">
        <f>'IS (Before Changes)'!L69-'IS 3Q2022'!L69</f>
        <v>0</v>
      </c>
      <c r="M69" s="357">
        <f>'IS (Before Changes)'!M69-'IS 3Q2022'!M69</f>
        <v>0</v>
      </c>
      <c r="N69" s="119">
        <f>'IS (Before Changes)'!N69-'IS 3Q2022'!N69</f>
        <v>0</v>
      </c>
      <c r="O69" s="119">
        <f>'IS (Before Changes)'!O69-'IS 3Q2022'!O69</f>
        <v>0</v>
      </c>
      <c r="P69" s="119">
        <f>'IS (Before Changes)'!P69-'IS 3Q2022'!P69</f>
        <v>0</v>
      </c>
      <c r="Q69" s="119">
        <f>'IS (Before Changes)'!Q69-'IS 3Q2022'!Q69</f>
        <v>0</v>
      </c>
      <c r="R69" s="173">
        <f>'IS (Before Changes)'!R69-'IS 3Q2022'!R69</f>
        <v>0</v>
      </c>
      <c r="S69" s="119">
        <f>'IS (Before Changes)'!S69-'IS 3Q2022'!S69</f>
        <v>0</v>
      </c>
      <c r="T69" s="119">
        <f>'IS (Before Changes)'!T69-'IS 3Q2022'!T69</f>
        <v>0</v>
      </c>
      <c r="U69" s="119">
        <f>'IS (Before Changes)'!U69-'IS 3Q2022'!U69</f>
        <v>0</v>
      </c>
      <c r="V69" s="119">
        <f>'IS (Before Changes)'!V69-'IS 3Q2022'!V69</f>
        <v>-18.457142857142856</v>
      </c>
      <c r="W69" s="173">
        <f>'IS (Before Changes)'!W69-'IS 3Q2022'!W69</f>
        <v>-18.457142857142856</v>
      </c>
      <c r="X69" s="119">
        <f>'IS (Before Changes)'!X69-'IS 3Q2022'!X69</f>
        <v>-8.0993080993080966</v>
      </c>
      <c r="Y69" s="119">
        <f>'IS (Before Changes)'!Y69-'IS 3Q2022'!Y69</f>
        <v>0</v>
      </c>
      <c r="Z69" s="119">
        <f>'IS (Before Changes)'!Z69-'IS 3Q2022'!Z69</f>
        <v>0</v>
      </c>
      <c r="AA69" s="119">
        <f>'IS (Before Changes)'!AA69-'IS 3Q2022'!AA69</f>
        <v>0</v>
      </c>
      <c r="AB69" s="173">
        <f>'IS (Before Changes)'!AB69-'IS 3Q2022'!AB69</f>
        <v>-8.0993080993080966</v>
      </c>
      <c r="AC69" s="119">
        <f>'IS (Before Changes)'!AC69-'IS 3Q2022'!AC69</f>
        <v>0</v>
      </c>
      <c r="AD69" s="119">
        <f>'IS (Before Changes)'!AD69-'IS 3Q2022'!AD69</f>
        <v>0</v>
      </c>
      <c r="AE69" s="119">
        <f>'IS (Before Changes)'!AE69-'IS 3Q2022'!AE69</f>
        <v>0</v>
      </c>
      <c r="AF69" s="119">
        <f>'IS (Before Changes)'!AF69-'IS 3Q2022'!AF69</f>
        <v>0</v>
      </c>
      <c r="AG69" s="173">
        <f>'IS (Before Changes)'!AG69-'IS 3Q2022'!AG69</f>
        <v>0</v>
      </c>
      <c r="AH69" s="119">
        <f>'IS (Before Changes)'!AH69-'IS 3Q2022'!AH69</f>
        <v>0</v>
      </c>
      <c r="AI69" s="119">
        <f>'IS (Before Changes)'!AI69-'IS 3Q2022'!AI69</f>
        <v>0</v>
      </c>
      <c r="AJ69" s="119">
        <f>'IS (Before Changes)'!AJ69-'IS 3Q2022'!AJ69</f>
        <v>0</v>
      </c>
      <c r="AK69" s="119">
        <f>'IS (Before Changes)'!AK69-'IS 3Q2022'!AK69</f>
        <v>0</v>
      </c>
      <c r="AL69" s="173">
        <f>'IS (Before Changes)'!AL69-'IS 3Q2022'!AL69</f>
        <v>0</v>
      </c>
      <c r="AM69" s="119">
        <f>'IS (Before Changes)'!AM69-'IS 3Q2022'!AM69</f>
        <v>0</v>
      </c>
      <c r="AN69" s="119">
        <f>'IS (Before Changes)'!AN69-'IS 3Q2022'!AN69</f>
        <v>0</v>
      </c>
      <c r="AO69" s="119">
        <f>'IS (Before Changes)'!AO69-'IS 3Q2022'!AO69</f>
        <v>0</v>
      </c>
      <c r="AP69" s="119">
        <f>'IS (Before Changes)'!AP69-'IS 3Q2022'!AP69</f>
        <v>0</v>
      </c>
      <c r="AQ69" s="173">
        <f>'IS (Before Changes)'!AQ69-'IS 3Q2022'!AQ69</f>
        <v>0</v>
      </c>
      <c r="AR69" s="119">
        <f>'IS (Before Changes)'!AR69-'IS 3Q2022'!AR69</f>
        <v>0</v>
      </c>
      <c r="AS69" s="119">
        <f>'IS (Before Changes)'!AS69-'IS 3Q2022'!AS69</f>
        <v>0</v>
      </c>
      <c r="AT69" s="119">
        <f>'IS (Before Changes)'!AT69-'IS 3Q2022'!AT69</f>
        <v>0</v>
      </c>
      <c r="AU69" s="119">
        <f>'IS (Before Changes)'!AU69-'IS 3Q2022'!AU69</f>
        <v>0</v>
      </c>
      <c r="AV69" s="173">
        <f>'IS (Before Changes)'!AV69-'IS 3Q2022'!AV69</f>
        <v>0</v>
      </c>
    </row>
    <row r="70" spans="2:48" outlineLevel="1" x14ac:dyDescent="0.3">
      <c r="B70" s="46" t="s">
        <v>183</v>
      </c>
      <c r="C70" s="19"/>
      <c r="D70" s="103">
        <f>'IS (Before Changes)'!D70-'IS 3Q2022'!D70</f>
        <v>0</v>
      </c>
      <c r="E70" s="103">
        <f>'IS (Before Changes)'!E70-'IS 3Q2022'!E70</f>
        <v>0</v>
      </c>
      <c r="F70" s="103">
        <f>'IS (Before Changes)'!F70-'IS 3Q2022'!F70</f>
        <v>0</v>
      </c>
      <c r="G70" s="103">
        <f>'IS (Before Changes)'!G70-'IS 3Q2022'!G70</f>
        <v>0</v>
      </c>
      <c r="H70" s="166">
        <f>'IS (Before Changes)'!H70-'IS 3Q2022'!H70</f>
        <v>0</v>
      </c>
      <c r="I70" s="103">
        <f>'IS (Before Changes)'!I70-'IS 3Q2022'!I70</f>
        <v>0</v>
      </c>
      <c r="J70" s="103">
        <f>'IS (Before Changes)'!J70-'IS 3Q2022'!J70</f>
        <v>0</v>
      </c>
      <c r="K70" s="103">
        <f>'IS (Before Changes)'!K70-'IS 3Q2022'!K70</f>
        <v>0</v>
      </c>
      <c r="L70" s="50">
        <f>'IS (Before Changes)'!L70-'IS 3Q2022'!L70</f>
        <v>0</v>
      </c>
      <c r="M70" s="191">
        <f>'IS (Before Changes)'!M70-'IS 3Q2022'!M70</f>
        <v>0</v>
      </c>
      <c r="N70" s="50">
        <f>'IS (Before Changes)'!N70-'IS 3Q2022'!N70</f>
        <v>0</v>
      </c>
      <c r="O70" s="50">
        <f>'IS (Before Changes)'!O70-'IS 3Q2022'!O70</f>
        <v>0</v>
      </c>
      <c r="P70" s="50">
        <f>'IS (Before Changes)'!P70-'IS 3Q2022'!P70</f>
        <v>0</v>
      </c>
      <c r="Q70" s="103">
        <f>'IS (Before Changes)'!Q70-'IS 3Q2022'!Q70</f>
        <v>0</v>
      </c>
      <c r="R70" s="191">
        <f>'IS (Before Changes)'!R70-'IS 3Q2022'!R70</f>
        <v>0</v>
      </c>
      <c r="S70" s="50">
        <f>'IS (Before Changes)'!S70-'IS 3Q2022'!S70</f>
        <v>0</v>
      </c>
      <c r="T70" s="50">
        <f>'IS (Before Changes)'!T70-'IS 3Q2022'!T70</f>
        <v>0</v>
      </c>
      <c r="U70" s="50">
        <f>'IS (Before Changes)'!U70-'IS 3Q2022'!U70</f>
        <v>0</v>
      </c>
      <c r="V70" s="50">
        <f>'IS (Before Changes)'!V70-'IS 3Q2022'!V70</f>
        <v>100.36112568458793</v>
      </c>
      <c r="W70" s="191">
        <f>'IS (Before Changes)'!W70-'IS 3Q2022'!W70</f>
        <v>100.36112568459066</v>
      </c>
      <c r="X70" s="50">
        <f>'IS (Before Changes)'!X70-'IS 3Q2022'!X70</f>
        <v>27.471037088530466</v>
      </c>
      <c r="Y70" s="50">
        <f>'IS (Before Changes)'!Y70-'IS 3Q2022'!Y70</f>
        <v>15.760887962891502</v>
      </c>
      <c r="Z70" s="50">
        <f>'IS (Before Changes)'!Z70-'IS 3Q2022'!Z70</f>
        <v>12.245658554285001</v>
      </c>
      <c r="AA70" s="50">
        <f>'IS (Before Changes)'!AA70-'IS 3Q2022'!AA70</f>
        <v>118.41024746417679</v>
      </c>
      <c r="AB70" s="191">
        <f>'IS (Before Changes)'!AB70-'IS 3Q2022'!AB70</f>
        <v>173.88783106989285</v>
      </c>
      <c r="AC70" s="50">
        <f>'IS (Before Changes)'!AC70-'IS 3Q2022'!AC70</f>
        <v>27.652429475748249</v>
      </c>
      <c r="AD70" s="50">
        <f>'IS (Before Changes)'!AD70-'IS 3Q2022'!AD70</f>
        <v>10.63249311378604</v>
      </c>
      <c r="AE70" s="50">
        <f>'IS (Before Changes)'!AE70-'IS 3Q2022'!AE70</f>
        <v>10.24185684146596</v>
      </c>
      <c r="AF70" s="50">
        <f>'IS (Before Changes)'!AF70-'IS 3Q2022'!AF70</f>
        <v>133.29932214874952</v>
      </c>
      <c r="AG70" s="191">
        <f>'IS (Before Changes)'!AG70-'IS 3Q2022'!AG70</f>
        <v>181.82610157974705</v>
      </c>
      <c r="AH70" s="50">
        <f>'IS (Before Changes)'!AH70-'IS 3Q2022'!AH70</f>
        <v>31.7491769860153</v>
      </c>
      <c r="AI70" s="50">
        <f>'IS (Before Changes)'!AI70-'IS 3Q2022'!AI70</f>
        <v>13.336060675938825</v>
      </c>
      <c r="AJ70" s="50">
        <f>'IS (Before Changes)'!AJ70-'IS 3Q2022'!AJ70</f>
        <v>13.09319195920034</v>
      </c>
      <c r="AK70" s="50">
        <f>'IS (Before Changes)'!AK70-'IS 3Q2022'!AK70</f>
        <v>148.71878045642643</v>
      </c>
      <c r="AL70" s="191">
        <f>'IS (Before Changes)'!AL70-'IS 3Q2022'!AL70</f>
        <v>206.89721007758271</v>
      </c>
      <c r="AM70" s="50">
        <f>'IS (Before Changes)'!AM70-'IS 3Q2022'!AM70</f>
        <v>35.552398242996787</v>
      </c>
      <c r="AN70" s="50">
        <f>'IS (Before Changes)'!AN70-'IS 3Q2022'!AN70</f>
        <v>15.591686308737735</v>
      </c>
      <c r="AO70" s="50">
        <f>'IS (Before Changes)'!AO70-'IS 3Q2022'!AO70</f>
        <v>15.214283398207954</v>
      </c>
      <c r="AP70" s="50">
        <f>'IS (Before Changes)'!AP70-'IS 3Q2022'!AP70</f>
        <v>162.05375717131665</v>
      </c>
      <c r="AQ70" s="191">
        <f>'IS (Before Changes)'!AQ70-'IS 3Q2022'!AQ70</f>
        <v>228.41212512126003</v>
      </c>
      <c r="AR70" s="50">
        <f>'IS (Before Changes)'!AR70-'IS 3Q2022'!AR70</f>
        <v>38.360252365103406</v>
      </c>
      <c r="AS70" s="50">
        <f>'IS (Before Changes)'!AS70-'IS 3Q2022'!AS70</f>
        <v>17.097372266866842</v>
      </c>
      <c r="AT70" s="50">
        <f>'IS (Before Changes)'!AT70-'IS 3Q2022'!AT70</f>
        <v>16.573459581934003</v>
      </c>
      <c r="AU70" s="50">
        <f>'IS (Before Changes)'!AU70-'IS 3Q2022'!AU70</f>
        <v>172.40045716398163</v>
      </c>
      <c r="AV70" s="191">
        <f>'IS (Before Changes)'!AV70-'IS 3Q2022'!AV70</f>
        <v>244.43154137788588</v>
      </c>
    </row>
    <row r="71" spans="2:48" outlineLevel="1" x14ac:dyDescent="0.3">
      <c r="B71" s="46" t="s">
        <v>184</v>
      </c>
      <c r="C71" s="44"/>
      <c r="D71" s="156">
        <f>'IS (Before Changes)'!D71-'IS 3Q2022'!D71</f>
        <v>0</v>
      </c>
      <c r="E71" s="156">
        <f>'IS (Before Changes)'!E71-'IS 3Q2022'!E71</f>
        <v>0</v>
      </c>
      <c r="F71" s="156">
        <f>'IS (Before Changes)'!F71-'IS 3Q2022'!F71</f>
        <v>0</v>
      </c>
      <c r="G71" s="156">
        <f>'IS (Before Changes)'!G71-'IS 3Q2022'!G71</f>
        <v>0</v>
      </c>
      <c r="H71" s="132">
        <f>'IS (Before Changes)'!H71-'IS 3Q2022'!H71</f>
        <v>0</v>
      </c>
      <c r="I71" s="156">
        <f>'IS (Before Changes)'!I71-'IS 3Q2022'!I71</f>
        <v>0</v>
      </c>
      <c r="J71" s="156">
        <f>'IS (Before Changes)'!J71-'IS 3Q2022'!J71</f>
        <v>0</v>
      </c>
      <c r="K71" s="156">
        <f>'IS (Before Changes)'!K71-'IS 3Q2022'!K71</f>
        <v>0</v>
      </c>
      <c r="L71" s="74">
        <f>'IS (Before Changes)'!L71-'IS 3Q2022'!L71</f>
        <v>0</v>
      </c>
      <c r="M71" s="97">
        <f>'IS (Before Changes)'!M71-'IS 3Q2022'!M71</f>
        <v>0</v>
      </c>
      <c r="N71" s="74">
        <f>'IS (Before Changes)'!N71-'IS 3Q2022'!N71</f>
        <v>0</v>
      </c>
      <c r="O71" s="74">
        <f>'IS (Before Changes)'!O71-'IS 3Q2022'!O71</f>
        <v>0</v>
      </c>
      <c r="P71" s="74">
        <f>'IS (Before Changes)'!P71-'IS 3Q2022'!P71</f>
        <v>0</v>
      </c>
      <c r="Q71" s="74">
        <f>'IS (Before Changes)'!Q71-'IS 3Q2022'!Q71</f>
        <v>0</v>
      </c>
      <c r="R71" s="97">
        <f>'IS (Before Changes)'!R71-'IS 3Q2022'!R71</f>
        <v>0</v>
      </c>
      <c r="S71" s="74">
        <f>'IS (Before Changes)'!S71-'IS 3Q2022'!S71</f>
        <v>0</v>
      </c>
      <c r="T71" s="74">
        <f>'IS (Before Changes)'!T71-'IS 3Q2022'!T71</f>
        <v>0</v>
      </c>
      <c r="U71" s="74">
        <f>'IS (Before Changes)'!U71-'IS 3Q2022'!U71</f>
        <v>0</v>
      </c>
      <c r="V71" s="156">
        <f>'IS (Before Changes)'!V71-'IS 3Q2022'!V71</f>
        <v>85.89655124350702</v>
      </c>
      <c r="W71" s="97">
        <f>'IS (Before Changes)'!W71-'IS 3Q2022'!W71</f>
        <v>85.89655124350702</v>
      </c>
      <c r="X71" s="74">
        <f>'IS (Before Changes)'!X71-'IS 3Q2022'!X71</f>
        <v>16.203404040041278</v>
      </c>
      <c r="Y71" s="74">
        <f>'IS (Before Changes)'!Y71-'IS 3Q2022'!Y71</f>
        <v>25.558771273025741</v>
      </c>
      <c r="Z71" s="74">
        <f>'IS (Before Changes)'!Z71-'IS 3Q2022'!Z71</f>
        <v>32.439731608163129</v>
      </c>
      <c r="AA71" s="74">
        <f>'IS (Before Changes)'!AA71-'IS 3Q2022'!AA71</f>
        <v>104.83241499915766</v>
      </c>
      <c r="AB71" s="97">
        <f>'IS (Before Changes)'!AB71-'IS 3Q2022'!AB71</f>
        <v>179.03432192038781</v>
      </c>
      <c r="AC71" s="74">
        <f>'IS (Before Changes)'!AC71-'IS 3Q2022'!AC71</f>
        <v>18.205733709251035</v>
      </c>
      <c r="AD71" s="74">
        <f>'IS (Before Changes)'!AD71-'IS 3Q2022'!AD71</f>
        <v>32.753149083928292</v>
      </c>
      <c r="AE71" s="74">
        <f>'IS (Before Changes)'!AE71-'IS 3Q2022'!AE71</f>
        <v>36.677802829105531</v>
      </c>
      <c r="AF71" s="74">
        <f>'IS (Before Changes)'!AF71-'IS 3Q2022'!AF71</f>
        <v>107.70636013438889</v>
      </c>
      <c r="AG71" s="97">
        <f>'IS (Before Changes)'!AG71-'IS 3Q2022'!AG71</f>
        <v>195.34304575667375</v>
      </c>
      <c r="AH71" s="74">
        <f>'IS (Before Changes)'!AH71-'IS 3Q2022'!AH71</f>
        <v>17.319057621934917</v>
      </c>
      <c r="AI71" s="74">
        <f>'IS (Before Changes)'!AI71-'IS 3Q2022'!AI71</f>
        <v>33.086576475614493</v>
      </c>
      <c r="AJ71" s="74">
        <f>'IS (Before Changes)'!AJ71-'IS 3Q2022'!AJ71</f>
        <v>37.110843888311138</v>
      </c>
      <c r="AK71" s="74">
        <f>'IS (Before Changes)'!AK71-'IS 3Q2022'!AK71</f>
        <v>117.54416152160229</v>
      </c>
      <c r="AL71" s="97">
        <f>'IS (Before Changes)'!AL71-'IS 3Q2022'!AL71</f>
        <v>205.06063950746284</v>
      </c>
      <c r="AM71" s="74">
        <f>'IS (Before Changes)'!AM71-'IS 3Q2022'!AM71</f>
        <v>15.96924809534903</v>
      </c>
      <c r="AN71" s="74">
        <f>'IS (Before Changes)'!AN71-'IS 3Q2022'!AN71</f>
        <v>33.152082700393294</v>
      </c>
      <c r="AO71" s="74">
        <f>'IS (Before Changes)'!AO71-'IS 3Q2022'!AO71</f>
        <v>37.499954241678097</v>
      </c>
      <c r="AP71" s="74">
        <f>'IS (Before Changes)'!AP71-'IS 3Q2022'!AP71</f>
        <v>123.89575590166805</v>
      </c>
      <c r="AQ71" s="97">
        <f>'IS (Before Changes)'!AQ71-'IS 3Q2022'!AQ71</f>
        <v>210.51704093908847</v>
      </c>
      <c r="AR71" s="74">
        <f>'IS (Before Changes)'!AR71-'IS 3Q2022'!AR71</f>
        <v>14.707043363395314</v>
      </c>
      <c r="AS71" s="74">
        <f>'IS (Before Changes)'!AS71-'IS 3Q2022'!AS71</f>
        <v>33.108709812538109</v>
      </c>
      <c r="AT71" s="74">
        <f>'IS (Before Changes)'!AT71-'IS 3Q2022'!AT71</f>
        <v>37.722205187148575</v>
      </c>
      <c r="AU71" s="74">
        <f>'IS (Before Changes)'!AU71-'IS 3Q2022'!AU71</f>
        <v>128.28346453051927</v>
      </c>
      <c r="AV71" s="97">
        <f>'IS (Before Changes)'!AV71-'IS 3Q2022'!AV71</f>
        <v>213.82142289360127</v>
      </c>
    </row>
    <row r="72" spans="2:48" outlineLevel="1" x14ac:dyDescent="0.3">
      <c r="B72" s="46" t="s">
        <v>185</v>
      </c>
      <c r="C72" s="44"/>
      <c r="D72" s="157">
        <f>'IS (Before Changes)'!D72-'IS 3Q2022'!D72</f>
        <v>0</v>
      </c>
      <c r="E72" s="157">
        <f>'IS (Before Changes)'!E72-'IS 3Q2022'!E72</f>
        <v>0</v>
      </c>
      <c r="F72" s="157">
        <f>'IS (Before Changes)'!F72-'IS 3Q2022'!F72</f>
        <v>0</v>
      </c>
      <c r="G72" s="157">
        <f>'IS (Before Changes)'!G72-'IS 3Q2022'!G72</f>
        <v>0</v>
      </c>
      <c r="H72" s="133">
        <f>'IS (Before Changes)'!H72-'IS 3Q2022'!H72</f>
        <v>0</v>
      </c>
      <c r="I72" s="157">
        <f>'IS (Before Changes)'!I72-'IS 3Q2022'!I72</f>
        <v>0</v>
      </c>
      <c r="J72" s="157">
        <f>'IS (Before Changes)'!J72-'IS 3Q2022'!J72</f>
        <v>0</v>
      </c>
      <c r="K72" s="157">
        <f>'IS (Before Changes)'!K72-'IS 3Q2022'!K72</f>
        <v>0</v>
      </c>
      <c r="L72" s="75">
        <f>'IS (Before Changes)'!L72-'IS 3Q2022'!L72</f>
        <v>0</v>
      </c>
      <c r="M72" s="98">
        <f>'IS (Before Changes)'!M72-'IS 3Q2022'!M72</f>
        <v>0</v>
      </c>
      <c r="N72" s="75">
        <f>'IS (Before Changes)'!N72-'IS 3Q2022'!N72</f>
        <v>0</v>
      </c>
      <c r="O72" s="75">
        <f>'IS (Before Changes)'!O72-'IS 3Q2022'!O72</f>
        <v>0</v>
      </c>
      <c r="P72" s="75">
        <f>'IS (Before Changes)'!P72-'IS 3Q2022'!P72</f>
        <v>0</v>
      </c>
      <c r="Q72" s="75">
        <f>'IS (Before Changes)'!Q72-'IS 3Q2022'!Q72</f>
        <v>0</v>
      </c>
      <c r="R72" s="98">
        <f>'IS (Before Changes)'!R72-'IS 3Q2022'!R72</f>
        <v>0</v>
      </c>
      <c r="S72" s="75">
        <f>'IS (Before Changes)'!S72-'IS 3Q2022'!S72</f>
        <v>0</v>
      </c>
      <c r="T72" s="75">
        <f>'IS (Before Changes)'!T72-'IS 3Q2022'!T72</f>
        <v>0</v>
      </c>
      <c r="U72" s="75">
        <f>'IS (Before Changes)'!U72-'IS 3Q2022'!U72</f>
        <v>0</v>
      </c>
      <c r="V72" s="75">
        <f>'IS (Before Changes)'!V72-'IS 3Q2022'!V72</f>
        <v>8.6124846576816905E-3</v>
      </c>
      <c r="W72" s="98">
        <f>'IS (Before Changes)'!W72-'IS 3Q2022'!W72</f>
        <v>2.162673920454744E-3</v>
      </c>
      <c r="X72" s="75">
        <f>'IS (Before Changes)'!X72-'IS 3Q2022'!X72</f>
        <v>1.3918001741083652E-3</v>
      </c>
      <c r="Y72" s="75">
        <f>'IS (Before Changes)'!Y72-'IS 3Q2022'!Y72</f>
        <v>3.0873958427224957E-3</v>
      </c>
      <c r="Z72" s="75">
        <f>'IS (Before Changes)'!Z72-'IS 3Q2022'!Z72</f>
        <v>3.523781613928606E-3</v>
      </c>
      <c r="AA72" s="75">
        <f>'IS (Before Changes)'!AA72-'IS 3Q2022'!AA72</f>
        <v>8.967240382057623E-3</v>
      </c>
      <c r="AB72" s="98">
        <f>'IS (Before Changes)'!AB72-'IS 3Q2022'!AB72</f>
        <v>4.4169158626467531E-3</v>
      </c>
      <c r="AC72" s="75">
        <f>'IS (Before Changes)'!AC72-'IS 3Q2022'!AC72</f>
        <v>1.3521417128369573E-3</v>
      </c>
      <c r="AD72" s="75">
        <f>'IS (Before Changes)'!AD72-'IS 3Q2022'!AD72</f>
        <v>3.9253015300795557E-3</v>
      </c>
      <c r="AE72" s="75">
        <f>'IS (Before Changes)'!AE72-'IS 3Q2022'!AE72</f>
        <v>3.7854030204987343E-3</v>
      </c>
      <c r="AF72" s="75">
        <f>'IS (Before Changes)'!AF72-'IS 3Q2022'!AF72</f>
        <v>8.8346947449884361E-3</v>
      </c>
      <c r="AG72" s="98">
        <f>'IS (Before Changes)'!AG72-'IS 3Q2022'!AG72</f>
        <v>4.4956416053637815E-3</v>
      </c>
      <c r="AH72" s="75">
        <f>'IS (Before Changes)'!AH72-'IS 3Q2022'!AH72</f>
        <v>1.0050554993659144E-3</v>
      </c>
      <c r="AI72" s="75">
        <f>'IS (Before Changes)'!AI72-'IS 3Q2022'!AI72</f>
        <v>3.5106150735811081E-3</v>
      </c>
      <c r="AJ72" s="75">
        <f>'IS (Before Changes)'!AJ72-'IS 3Q2022'!AJ72</f>
        <v>3.3703234503072721E-3</v>
      </c>
      <c r="AK72" s="75">
        <f>'IS (Before Changes)'!AK72-'IS 3Q2022'!AK72</f>
        <v>8.4982091646955138E-3</v>
      </c>
      <c r="AL72" s="98">
        <f>'IS (Before Changes)'!AL72-'IS 3Q2022'!AL72</f>
        <v>4.1241647542262505E-3</v>
      </c>
      <c r="AM72" s="75">
        <f>'IS (Before Changes)'!AM72-'IS 3Q2022'!AM72</f>
        <v>6.9688088603342413E-4</v>
      </c>
      <c r="AN72" s="75">
        <f>'IS (Before Changes)'!AN72-'IS 3Q2022'!AN72</f>
        <v>3.1919720858686884E-3</v>
      </c>
      <c r="AO72" s="75">
        <f>'IS (Before Changes)'!AO72-'IS 3Q2022'!AO72</f>
        <v>3.0911853988813964E-3</v>
      </c>
      <c r="AP72" s="75">
        <f>'IS (Before Changes)'!AP72-'IS 3Q2022'!AP72</f>
        <v>8.1620628798812767E-3</v>
      </c>
      <c r="AQ72" s="98">
        <f>'IS (Before Changes)'!AQ72-'IS 3Q2022'!AQ72</f>
        <v>3.8084095010086361E-3</v>
      </c>
      <c r="AR72" s="75">
        <f>'IS (Before Changes)'!AR72-'IS 3Q2022'!AR72</f>
        <v>4.8431120386796533E-4</v>
      </c>
      <c r="AS72" s="75">
        <f>'IS (Before Changes)'!AS72-'IS 3Q2022'!AS72</f>
        <v>2.9770077992865851E-3</v>
      </c>
      <c r="AT72" s="75">
        <f>'IS (Before Changes)'!AT72-'IS 3Q2022'!AT72</f>
        <v>2.9037456057670885E-3</v>
      </c>
      <c r="AU72" s="75">
        <f>'IS (Before Changes)'!AU72-'IS 3Q2022'!AU72</f>
        <v>7.9020028065683312E-3</v>
      </c>
      <c r="AV72" s="98">
        <f>'IS (Before Changes)'!AV72-'IS 3Q2022'!AV72</f>
        <v>3.5895450827555242E-3</v>
      </c>
    </row>
    <row r="73" spans="2:48" ht="17.399999999999999" x14ac:dyDescent="0.45">
      <c r="B73" s="508" t="s">
        <v>114</v>
      </c>
      <c r="C73" s="509"/>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2" t="s">
        <v>25</v>
      </c>
      <c r="W73" s="42" t="s">
        <v>26</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510" t="s">
        <v>115</v>
      </c>
      <c r="C74" s="511"/>
      <c r="D74" s="101">
        <f>'IS (Before Changes)'!D74-'IS 3Q2022'!D74</f>
        <v>0</v>
      </c>
      <c r="E74" s="21">
        <f>'IS (Before Changes)'!E74-'IS 3Q2022'!E74</f>
        <v>0</v>
      </c>
      <c r="F74" s="116">
        <f>'IS (Before Changes)'!F74-'IS 3Q2022'!F74</f>
        <v>0</v>
      </c>
      <c r="G74" s="21">
        <f>'IS (Before Changes)'!G74-'IS 3Q2022'!G74</f>
        <v>0</v>
      </c>
      <c r="H74" s="191">
        <f>'IS (Before Changes)'!H74-'IS 3Q2022'!H74</f>
        <v>0</v>
      </c>
      <c r="I74" s="21">
        <f>'IS (Before Changes)'!I74-'IS 3Q2022'!I74</f>
        <v>0</v>
      </c>
      <c r="J74" s="21">
        <f>'IS (Before Changes)'!J74-'IS 3Q2022'!J74</f>
        <v>0</v>
      </c>
      <c r="K74" s="21">
        <f>'IS (Before Changes)'!K74-'IS 3Q2022'!K74</f>
        <v>0</v>
      </c>
      <c r="L74" s="21">
        <f>'IS (Before Changes)'!L74-'IS 3Q2022'!L74</f>
        <v>0</v>
      </c>
      <c r="M74" s="191">
        <f>'IS (Before Changes)'!M74-'IS 3Q2022'!M74</f>
        <v>0</v>
      </c>
      <c r="N74" s="21">
        <f>'IS (Before Changes)'!N74-'IS 3Q2022'!N74</f>
        <v>0</v>
      </c>
      <c r="O74" s="21">
        <f>'IS (Before Changes)'!O74-'IS 3Q2022'!O74</f>
        <v>0</v>
      </c>
      <c r="P74" s="21">
        <f>'IS (Before Changes)'!P74-'IS 3Q2022'!P74</f>
        <v>0</v>
      </c>
      <c r="Q74" s="21">
        <f>'IS (Before Changes)'!Q74-'IS 3Q2022'!Q74</f>
        <v>0</v>
      </c>
      <c r="R74" s="191">
        <f>'IS (Before Changes)'!R74-'IS 3Q2022'!R74</f>
        <v>0</v>
      </c>
      <c r="S74" s="21">
        <f>'IS (Before Changes)'!S74-'IS 3Q2022'!S74</f>
        <v>0</v>
      </c>
      <c r="T74" s="21">
        <f>'IS (Before Changes)'!T74-'IS 3Q2022'!T74</f>
        <v>0</v>
      </c>
      <c r="U74" s="21">
        <f>'IS (Before Changes)'!U74-'IS 3Q2022'!U74</f>
        <v>0</v>
      </c>
      <c r="V74" s="21">
        <f>'IS (Before Changes)'!V74-'IS 3Q2022'!V74</f>
        <v>70</v>
      </c>
      <c r="W74" s="191">
        <f>'IS (Before Changes)'!W74-'IS 3Q2022'!W74</f>
        <v>70</v>
      </c>
      <c r="X74" s="21">
        <f>'IS (Before Changes)'!X74-'IS 3Q2022'!X74</f>
        <v>70</v>
      </c>
      <c r="Y74" s="21">
        <f>'IS (Before Changes)'!Y74-'IS 3Q2022'!Y74</f>
        <v>70</v>
      </c>
      <c r="Z74" s="21">
        <f>'IS (Before Changes)'!Z74-'IS 3Q2022'!Z74</f>
        <v>70</v>
      </c>
      <c r="AA74" s="21">
        <f>'IS (Before Changes)'!AA74-'IS 3Q2022'!AA74</f>
        <v>70</v>
      </c>
      <c r="AB74" s="191">
        <f>'IS (Before Changes)'!AB74-'IS 3Q2022'!AB74</f>
        <v>70</v>
      </c>
      <c r="AC74" s="21">
        <f>'IS (Before Changes)'!AC74-'IS 3Q2022'!AC74</f>
        <v>70</v>
      </c>
      <c r="AD74" s="21">
        <f>'IS (Before Changes)'!AD74-'IS 3Q2022'!AD74</f>
        <v>70</v>
      </c>
      <c r="AE74" s="21">
        <f>'IS (Before Changes)'!AE74-'IS 3Q2022'!AE74</f>
        <v>70</v>
      </c>
      <c r="AF74" s="21">
        <f>'IS (Before Changes)'!AF74-'IS 3Q2022'!AF74</f>
        <v>70</v>
      </c>
      <c r="AG74" s="191">
        <f>'IS (Before Changes)'!AG74-'IS 3Q2022'!AG74</f>
        <v>70</v>
      </c>
      <c r="AH74" s="21">
        <f>'IS (Before Changes)'!AH74-'IS 3Q2022'!AH74</f>
        <v>70</v>
      </c>
      <c r="AI74" s="21">
        <f>'IS (Before Changes)'!AI74-'IS 3Q2022'!AI74</f>
        <v>70</v>
      </c>
      <c r="AJ74" s="21">
        <f>'IS (Before Changes)'!AJ74-'IS 3Q2022'!AJ74</f>
        <v>70</v>
      </c>
      <c r="AK74" s="21">
        <f>'IS (Before Changes)'!AK74-'IS 3Q2022'!AK74</f>
        <v>70</v>
      </c>
      <c r="AL74" s="191">
        <f>'IS (Before Changes)'!AL74-'IS 3Q2022'!AL74</f>
        <v>70</v>
      </c>
      <c r="AM74" s="21">
        <f>'IS (Before Changes)'!AM74-'IS 3Q2022'!AM74</f>
        <v>70</v>
      </c>
      <c r="AN74" s="21">
        <f>'IS (Before Changes)'!AN74-'IS 3Q2022'!AN74</f>
        <v>70</v>
      </c>
      <c r="AO74" s="21">
        <f>'IS (Before Changes)'!AO74-'IS 3Q2022'!AO74</f>
        <v>70</v>
      </c>
      <c r="AP74" s="21">
        <f>'IS (Before Changes)'!AP74-'IS 3Q2022'!AP74</f>
        <v>70</v>
      </c>
      <c r="AQ74" s="191">
        <f>'IS (Before Changes)'!AQ74-'IS 3Q2022'!AQ74</f>
        <v>70</v>
      </c>
      <c r="AR74" s="21">
        <f>'IS (Before Changes)'!AR74-'IS 3Q2022'!AR74</f>
        <v>70</v>
      </c>
      <c r="AS74" s="21">
        <f>'IS (Before Changes)'!AS74-'IS 3Q2022'!AS74</f>
        <v>70</v>
      </c>
      <c r="AT74" s="21">
        <f>'IS (Before Changes)'!AT74-'IS 3Q2022'!AT74</f>
        <v>70</v>
      </c>
      <c r="AU74" s="21">
        <f>'IS (Before Changes)'!AU74-'IS 3Q2022'!AU74</f>
        <v>70</v>
      </c>
      <c r="AV74" s="191">
        <f>'IS (Before Changes)'!AV74-'IS 3Q2022'!AV74</f>
        <v>70</v>
      </c>
    </row>
    <row r="75" spans="2:48" outlineLevel="1" x14ac:dyDescent="0.3">
      <c r="B75" s="180" t="s">
        <v>46</v>
      </c>
      <c r="C75" s="201"/>
      <c r="D75" s="101">
        <f>'IS (Before Changes)'!D75-'IS 3Q2022'!D75</f>
        <v>0</v>
      </c>
      <c r="E75" s="101">
        <f>'IS (Before Changes)'!E75-'IS 3Q2022'!E75</f>
        <v>0</v>
      </c>
      <c r="F75" s="101">
        <f>'IS (Before Changes)'!F75-'IS 3Q2022'!F75</f>
        <v>0</v>
      </c>
      <c r="G75" s="101">
        <f>'IS (Before Changes)'!G75-'IS 3Q2022'!G75</f>
        <v>0</v>
      </c>
      <c r="H75" s="26">
        <f>'IS (Before Changes)'!H75-'IS 3Q2022'!H75</f>
        <v>0</v>
      </c>
      <c r="I75" s="101">
        <f>'IS (Before Changes)'!I75-'IS 3Q2022'!I75</f>
        <v>0</v>
      </c>
      <c r="J75" s="101">
        <f>'IS (Before Changes)'!J75-'IS 3Q2022'!J75</f>
        <v>0</v>
      </c>
      <c r="K75" s="101">
        <f>'IS (Before Changes)'!K75-'IS 3Q2022'!K75</f>
        <v>0</v>
      </c>
      <c r="L75" s="101">
        <f>'IS (Before Changes)'!L75-'IS 3Q2022'!L75</f>
        <v>0</v>
      </c>
      <c r="M75" s="26">
        <f>'IS (Before Changes)'!M75-'IS 3Q2022'!M75</f>
        <v>0</v>
      </c>
      <c r="N75" s="101">
        <f>'IS (Before Changes)'!N75-'IS 3Q2022'!N75</f>
        <v>0</v>
      </c>
      <c r="O75" s="101">
        <f>'IS (Before Changes)'!O75-'IS 3Q2022'!O75</f>
        <v>0</v>
      </c>
      <c r="P75" s="101">
        <f>'IS (Before Changes)'!P75-'IS 3Q2022'!P75</f>
        <v>0</v>
      </c>
      <c r="Q75" s="101">
        <f>'IS (Before Changes)'!Q75-'IS 3Q2022'!Q75</f>
        <v>0</v>
      </c>
      <c r="R75" s="26">
        <f>'IS (Before Changes)'!R75-'IS 3Q2022'!R75</f>
        <v>0</v>
      </c>
      <c r="S75" s="101">
        <f>'IS (Before Changes)'!S75-'IS 3Q2022'!S75</f>
        <v>0</v>
      </c>
      <c r="T75" s="101">
        <f>'IS (Before Changes)'!T75-'IS 3Q2022'!T75</f>
        <v>0</v>
      </c>
      <c r="U75" s="101">
        <f>'IS (Before Changes)'!U75-'IS 3Q2022'!U75</f>
        <v>0</v>
      </c>
      <c r="V75" s="33">
        <f>'IS (Before Changes)'!V75-'IS 3Q2022'!V75</f>
        <v>70</v>
      </c>
      <c r="W75" s="122">
        <f>'IS (Before Changes)'!W75-'IS 3Q2022'!W75</f>
        <v>70</v>
      </c>
      <c r="X75" s="33">
        <f>'IS (Before Changes)'!X75-'IS 3Q2022'!X75</f>
        <v>0</v>
      </c>
      <c r="Y75" s="33">
        <f>'IS (Before Changes)'!Y75-'IS 3Q2022'!Y75</f>
        <v>0</v>
      </c>
      <c r="Z75" s="33">
        <f>'IS (Before Changes)'!Z75-'IS 3Q2022'!Z75</f>
        <v>0</v>
      </c>
      <c r="AA75" s="33">
        <f>'IS (Before Changes)'!AA75-'IS 3Q2022'!AA75</f>
        <v>0</v>
      </c>
      <c r="AB75" s="26">
        <f>'IS (Before Changes)'!AB75-'IS 3Q2022'!AB75</f>
        <v>0</v>
      </c>
      <c r="AC75" s="33">
        <f>'IS (Before Changes)'!AC75-'IS 3Q2022'!AC75</f>
        <v>0</v>
      </c>
      <c r="AD75" s="33">
        <f>'IS (Before Changes)'!AD75-'IS 3Q2022'!AD75</f>
        <v>0</v>
      </c>
      <c r="AE75" s="33">
        <f>'IS (Before Changes)'!AE75-'IS 3Q2022'!AE75</f>
        <v>0</v>
      </c>
      <c r="AF75" s="33">
        <f>'IS (Before Changes)'!AF75-'IS 3Q2022'!AF75</f>
        <v>0</v>
      </c>
      <c r="AG75" s="26">
        <f>'IS (Before Changes)'!AG75-'IS 3Q2022'!AG75</f>
        <v>0</v>
      </c>
      <c r="AH75" s="95">
        <f>'IS (Before Changes)'!AH75-'IS 3Q2022'!AH75</f>
        <v>0</v>
      </c>
      <c r="AI75" s="33">
        <f>'IS (Before Changes)'!AI75-'IS 3Q2022'!AI75</f>
        <v>0</v>
      </c>
      <c r="AJ75" s="33">
        <f>'IS (Before Changes)'!AJ75-'IS 3Q2022'!AJ75</f>
        <v>0</v>
      </c>
      <c r="AK75" s="33">
        <f>'IS (Before Changes)'!AK75-'IS 3Q2022'!AK75</f>
        <v>0</v>
      </c>
      <c r="AL75" s="26">
        <f>'IS (Before Changes)'!AL75-'IS 3Q2022'!AL75</f>
        <v>0</v>
      </c>
      <c r="AM75" s="33">
        <f>'IS (Before Changes)'!AM75-'IS 3Q2022'!AM75</f>
        <v>0</v>
      </c>
      <c r="AN75" s="33">
        <f>'IS (Before Changes)'!AN75-'IS 3Q2022'!AN75</f>
        <v>0</v>
      </c>
      <c r="AO75" s="33">
        <f>'IS (Before Changes)'!AO75-'IS 3Q2022'!AO75</f>
        <v>0</v>
      </c>
      <c r="AP75" s="33">
        <f>'IS (Before Changes)'!AP75-'IS 3Q2022'!AP75</f>
        <v>0</v>
      </c>
      <c r="AQ75" s="26">
        <f>'IS (Before Changes)'!AQ75-'IS 3Q2022'!AQ75</f>
        <v>0</v>
      </c>
      <c r="AR75" s="33">
        <f>'IS (Before Changes)'!AR75-'IS 3Q2022'!AR75</f>
        <v>0</v>
      </c>
      <c r="AS75" s="33">
        <f>'IS (Before Changes)'!AS75-'IS 3Q2022'!AS75</f>
        <v>0</v>
      </c>
      <c r="AT75" s="33">
        <f>'IS (Before Changes)'!AT75-'IS 3Q2022'!AT75</f>
        <v>0</v>
      </c>
      <c r="AU75" s="33">
        <f>'IS (Before Changes)'!AU75-'IS 3Q2022'!AU75</f>
        <v>0</v>
      </c>
      <c r="AV75" s="26">
        <f>'IS (Before Changes)'!AV75-'IS 3Q2022'!AV75</f>
        <v>0</v>
      </c>
    </row>
    <row r="76" spans="2:48" outlineLevel="1" x14ac:dyDescent="0.3">
      <c r="B76" s="180" t="s">
        <v>201</v>
      </c>
      <c r="C76" s="201"/>
      <c r="D76" s="101">
        <f>'IS (Before Changes)'!D76-'IS 3Q2022'!D76</f>
        <v>0</v>
      </c>
      <c r="E76" s="101">
        <f>'IS (Before Changes)'!E76-'IS 3Q2022'!E76</f>
        <v>0</v>
      </c>
      <c r="F76" s="101">
        <f>'IS (Before Changes)'!F76-'IS 3Q2022'!F76</f>
        <v>0</v>
      </c>
      <c r="G76" s="101">
        <f>'IS (Before Changes)'!G76-'IS 3Q2022'!G76</f>
        <v>0</v>
      </c>
      <c r="H76" s="26">
        <f>'IS (Before Changes)'!H76-'IS 3Q2022'!H76</f>
        <v>0</v>
      </c>
      <c r="I76" s="101">
        <f>'IS (Before Changes)'!I76-'IS 3Q2022'!I76</f>
        <v>0</v>
      </c>
      <c r="J76" s="101">
        <f>'IS (Before Changes)'!J76-'IS 3Q2022'!J76</f>
        <v>0</v>
      </c>
      <c r="K76" s="101">
        <f>'IS (Before Changes)'!K76-'IS 3Q2022'!K76</f>
        <v>0</v>
      </c>
      <c r="L76" s="101">
        <f>'IS (Before Changes)'!L76-'IS 3Q2022'!L76</f>
        <v>0</v>
      </c>
      <c r="M76" s="26">
        <f>'IS (Before Changes)'!M76-'IS 3Q2022'!M76</f>
        <v>0</v>
      </c>
      <c r="N76" s="101">
        <f>'IS (Before Changes)'!N76-'IS 3Q2022'!N76</f>
        <v>0</v>
      </c>
      <c r="O76" s="101">
        <f>'IS (Before Changes)'!O76-'IS 3Q2022'!O76</f>
        <v>0</v>
      </c>
      <c r="P76" s="101">
        <f>'IS (Before Changes)'!P76-'IS 3Q2022'!P76</f>
        <v>0</v>
      </c>
      <c r="Q76" s="101">
        <f>'IS (Before Changes)'!Q76-'IS 3Q2022'!Q76</f>
        <v>0</v>
      </c>
      <c r="R76" s="26">
        <f>'IS (Before Changes)'!R76-'IS 3Q2022'!R76</f>
        <v>0</v>
      </c>
      <c r="S76" s="101">
        <f>'IS (Before Changes)'!S76-'IS 3Q2022'!S76</f>
        <v>0</v>
      </c>
      <c r="T76" s="101">
        <f>'IS (Before Changes)'!T76-'IS 3Q2022'!T76</f>
        <v>0</v>
      </c>
      <c r="U76" s="101">
        <f>'IS (Before Changes)'!U76-'IS 3Q2022'!U76</f>
        <v>0</v>
      </c>
      <c r="V76" s="101">
        <f>'IS (Before Changes)'!V76-'IS 3Q2022'!V76</f>
        <v>35</v>
      </c>
      <c r="W76" s="122">
        <f>'IS (Before Changes)'!W76-'IS 3Q2022'!W76</f>
        <v>0</v>
      </c>
      <c r="X76" s="101">
        <f>'IS (Before Changes)'!X76-'IS 3Q2022'!X76</f>
        <v>70</v>
      </c>
      <c r="Y76" s="101">
        <f>'IS (Before Changes)'!Y76-'IS 3Q2022'!Y76</f>
        <v>70</v>
      </c>
      <c r="Z76" s="101">
        <f>'IS (Before Changes)'!Z76-'IS 3Q2022'!Z76</f>
        <v>70</v>
      </c>
      <c r="AA76" s="101">
        <f>'IS (Before Changes)'!AA76-'IS 3Q2022'!AA76</f>
        <v>70</v>
      </c>
      <c r="AB76" s="26">
        <f>'IS (Before Changes)'!AB76-'IS 3Q2022'!AB76</f>
        <v>0</v>
      </c>
      <c r="AC76" s="101">
        <f>'IS (Before Changes)'!AC76-'IS 3Q2022'!AC76</f>
        <v>70</v>
      </c>
      <c r="AD76" s="101">
        <f>'IS (Before Changes)'!AD76-'IS 3Q2022'!AD76</f>
        <v>70</v>
      </c>
      <c r="AE76" s="101">
        <f>'IS (Before Changes)'!AE76-'IS 3Q2022'!AE76</f>
        <v>70</v>
      </c>
      <c r="AF76" s="101">
        <f>'IS (Before Changes)'!AF76-'IS 3Q2022'!AF76</f>
        <v>70</v>
      </c>
      <c r="AG76" s="26">
        <f>'IS (Before Changes)'!AG76-'IS 3Q2022'!AG76</f>
        <v>0</v>
      </c>
      <c r="AH76" s="101">
        <f>'IS (Before Changes)'!AH76-'IS 3Q2022'!AH76</f>
        <v>70</v>
      </c>
      <c r="AI76" s="101">
        <f>'IS (Before Changes)'!AI76-'IS 3Q2022'!AI76</f>
        <v>70</v>
      </c>
      <c r="AJ76" s="101">
        <f>'IS (Before Changes)'!AJ76-'IS 3Q2022'!AJ76</f>
        <v>70</v>
      </c>
      <c r="AK76" s="101">
        <f>'IS (Before Changes)'!AK76-'IS 3Q2022'!AK76</f>
        <v>70</v>
      </c>
      <c r="AL76" s="26">
        <f>'IS (Before Changes)'!AL76-'IS 3Q2022'!AL76</f>
        <v>0</v>
      </c>
      <c r="AM76" s="101">
        <f>'IS (Before Changes)'!AM76-'IS 3Q2022'!AM76</f>
        <v>70</v>
      </c>
      <c r="AN76" s="101">
        <f>'IS (Before Changes)'!AN76-'IS 3Q2022'!AN76</f>
        <v>70</v>
      </c>
      <c r="AO76" s="101">
        <f>'IS (Before Changes)'!AO76-'IS 3Q2022'!AO76</f>
        <v>70</v>
      </c>
      <c r="AP76" s="101">
        <f>'IS (Before Changes)'!AP76-'IS 3Q2022'!AP76</f>
        <v>70</v>
      </c>
      <c r="AQ76" s="26">
        <f>'IS (Before Changes)'!AQ76-'IS 3Q2022'!AQ76</f>
        <v>0</v>
      </c>
      <c r="AR76" s="101">
        <f>'IS (Before Changes)'!AR76-'IS 3Q2022'!AR76</f>
        <v>70</v>
      </c>
      <c r="AS76" s="101">
        <f>'IS (Before Changes)'!AS76-'IS 3Q2022'!AS76</f>
        <v>70</v>
      </c>
      <c r="AT76" s="101">
        <f>'IS (Before Changes)'!AT76-'IS 3Q2022'!AT76</f>
        <v>70</v>
      </c>
      <c r="AU76" s="101">
        <f>'IS (Before Changes)'!AU76-'IS 3Q2022'!AU76</f>
        <v>70</v>
      </c>
      <c r="AV76" s="26">
        <f>'IS (Before Changes)'!AV76-'IS 3Q2022'!AV76</f>
        <v>0</v>
      </c>
    </row>
    <row r="77" spans="2:48" s="20" customFormat="1" outlineLevel="1" x14ac:dyDescent="0.3">
      <c r="B77" s="180" t="s">
        <v>206</v>
      </c>
      <c r="C77" s="206"/>
      <c r="D77" s="43">
        <f>'IS (Before Changes)'!D77-'IS 3Q2022'!D77</f>
        <v>0</v>
      </c>
      <c r="E77" s="43">
        <f>'IS (Before Changes)'!E77-'IS 3Q2022'!E77</f>
        <v>0</v>
      </c>
      <c r="F77" s="114">
        <f>'IS (Before Changes)'!F77-'IS 3Q2022'!F77</f>
        <v>0</v>
      </c>
      <c r="G77" s="43">
        <f>'IS (Before Changes)'!G77-'IS 3Q2022'!G77</f>
        <v>0</v>
      </c>
      <c r="H77" s="97">
        <f>'IS (Before Changes)'!H77-'IS 3Q2022'!H77</f>
        <v>0</v>
      </c>
      <c r="I77" s="43">
        <f>'IS (Before Changes)'!I77-'IS 3Q2022'!I77</f>
        <v>0</v>
      </c>
      <c r="J77" s="43">
        <f>'IS (Before Changes)'!J77-'IS 3Q2022'!J77</f>
        <v>0</v>
      </c>
      <c r="K77" s="43">
        <f>'IS (Before Changes)'!K77-'IS 3Q2022'!K77</f>
        <v>0</v>
      </c>
      <c r="L77" s="43">
        <f>'IS (Before Changes)'!L77-'IS 3Q2022'!L77</f>
        <v>0</v>
      </c>
      <c r="M77" s="97">
        <f>'IS (Before Changes)'!M77-'IS 3Q2022'!M77</f>
        <v>0</v>
      </c>
      <c r="N77" s="43">
        <f>'IS (Before Changes)'!N77-'IS 3Q2022'!N77</f>
        <v>0</v>
      </c>
      <c r="O77" s="43">
        <f>'IS (Before Changes)'!O77-'IS 3Q2022'!O77</f>
        <v>0</v>
      </c>
      <c r="P77" s="43">
        <f>'IS (Before Changes)'!P77-'IS 3Q2022'!P77</f>
        <v>0</v>
      </c>
      <c r="Q77" s="43">
        <f>'IS (Before Changes)'!Q77-'IS 3Q2022'!Q77</f>
        <v>0</v>
      </c>
      <c r="R77" s="97">
        <f>'IS (Before Changes)'!R77-'IS 3Q2022'!R77</f>
        <v>0</v>
      </c>
      <c r="S77" s="43">
        <f>'IS (Before Changes)'!S77-'IS 3Q2022'!S77</f>
        <v>0</v>
      </c>
      <c r="T77" s="43">
        <f>'IS (Before Changes)'!T77-'IS 3Q2022'!T77</f>
        <v>0</v>
      </c>
      <c r="U77" s="43">
        <f>'IS (Before Changes)'!U77-'IS 3Q2022'!U77</f>
        <v>0</v>
      </c>
      <c r="V77" s="62">
        <f>'IS (Before Changes)'!V77-'IS 3Q2022'!V77</f>
        <v>-8.8297146861913423E-3</v>
      </c>
      <c r="W77" s="132">
        <f>'IS (Before Changes)'!W77-'IS 3Q2022'!W77</f>
        <v>0</v>
      </c>
      <c r="X77" s="62">
        <f>'IS (Before Changes)'!X77-'IS 3Q2022'!X77</f>
        <v>0</v>
      </c>
      <c r="Y77" s="62">
        <f>'IS (Before Changes)'!Y77-'IS 3Q2022'!Y77</f>
        <v>0</v>
      </c>
      <c r="Z77" s="62">
        <f>'IS (Before Changes)'!Z77-'IS 3Q2022'!Z77</f>
        <v>0</v>
      </c>
      <c r="AA77" s="62">
        <f>'IS (Before Changes)'!AA77-'IS 3Q2022'!AA77</f>
        <v>-1.0595657623429622E-2</v>
      </c>
      <c r="AB77" s="97">
        <f>'IS (Before Changes)'!AB77-'IS 3Q2022'!AB77</f>
        <v>0</v>
      </c>
      <c r="AC77" s="62">
        <f>'IS (Before Changes)'!AC77-'IS 3Q2022'!AC77</f>
        <v>0</v>
      </c>
      <c r="AD77" s="62">
        <f>'IS (Before Changes)'!AD77-'IS 3Q2022'!AD77</f>
        <v>0</v>
      </c>
      <c r="AE77" s="62">
        <f>'IS (Before Changes)'!AE77-'IS 3Q2022'!AE77</f>
        <v>0</v>
      </c>
      <c r="AF77" s="62">
        <f>'IS (Before Changes)'!AF77-'IS 3Q2022'!AF77</f>
        <v>-1.1125440504601097E-2</v>
      </c>
      <c r="AG77" s="97">
        <f>'IS (Before Changes)'!AG77-'IS 3Q2022'!AG77</f>
        <v>0</v>
      </c>
      <c r="AH77" s="62">
        <f>'IS (Before Changes)'!AH77-'IS 3Q2022'!AH77</f>
        <v>0</v>
      </c>
      <c r="AI77" s="62">
        <f>'IS (Before Changes)'!AI77-'IS 3Q2022'!AI77</f>
        <v>0</v>
      </c>
      <c r="AJ77" s="62">
        <f>'IS (Before Changes)'!AJ77-'IS 3Q2022'!AJ77</f>
        <v>0</v>
      </c>
      <c r="AK77" s="62">
        <f>'IS (Before Changes)'!AK77-'IS 3Q2022'!AK77</f>
        <v>-1.1681712529831162E-2</v>
      </c>
      <c r="AL77" s="97">
        <f>'IS (Before Changes)'!AL77-'IS 3Q2022'!AL77</f>
        <v>0</v>
      </c>
      <c r="AM77" s="62">
        <f>'IS (Before Changes)'!AM77-'IS 3Q2022'!AM77</f>
        <v>0</v>
      </c>
      <c r="AN77" s="62">
        <f>'IS (Before Changes)'!AN77-'IS 3Q2022'!AN77</f>
        <v>0</v>
      </c>
      <c r="AO77" s="62">
        <f>'IS (Before Changes)'!AO77-'IS 3Q2022'!AO77</f>
        <v>0</v>
      </c>
      <c r="AP77" s="62">
        <f>'IS (Before Changes)'!AP77-'IS 3Q2022'!AP77</f>
        <v>-1.2265798156322699E-2</v>
      </c>
      <c r="AQ77" s="97">
        <f>'IS (Before Changes)'!AQ77-'IS 3Q2022'!AQ77</f>
        <v>0</v>
      </c>
      <c r="AR77" s="62">
        <f>'IS (Before Changes)'!AR77-'IS 3Q2022'!AR77</f>
        <v>0</v>
      </c>
      <c r="AS77" s="62">
        <f>'IS (Before Changes)'!AS77-'IS 3Q2022'!AS77</f>
        <v>0</v>
      </c>
      <c r="AT77" s="62">
        <f>'IS (Before Changes)'!AT77-'IS 3Q2022'!AT77</f>
        <v>0</v>
      </c>
      <c r="AU77" s="62">
        <f>'IS (Before Changes)'!AU77-'IS 3Q2022'!AU77</f>
        <v>-1.263377210101238E-2</v>
      </c>
      <c r="AV77" s="97">
        <f>'IS (Before Changes)'!AV77-'IS 3Q2022'!AV77</f>
        <v>0</v>
      </c>
    </row>
    <row r="78" spans="2:48" s="8" customFormat="1" outlineLevel="1" x14ac:dyDescent="0.3">
      <c r="B78" s="500" t="s">
        <v>116</v>
      </c>
      <c r="C78" s="501"/>
      <c r="D78" s="50">
        <f>'IS (Before Changes)'!D78-'IS 3Q2022'!D78</f>
        <v>0</v>
      </c>
      <c r="E78" s="50">
        <f>'IS (Before Changes)'!E78-'IS 3Q2022'!E78</f>
        <v>0</v>
      </c>
      <c r="F78" s="103">
        <f>'IS (Before Changes)'!F78-'IS 3Q2022'!F78</f>
        <v>0</v>
      </c>
      <c r="G78" s="50">
        <f>'IS (Before Changes)'!G78-'IS 3Q2022'!G78</f>
        <v>0</v>
      </c>
      <c r="H78" s="97">
        <f>'IS (Before Changes)'!H78-'IS 3Q2022'!H78</f>
        <v>0</v>
      </c>
      <c r="I78" s="50">
        <f>'IS (Before Changes)'!I78-'IS 3Q2022'!I78</f>
        <v>0</v>
      </c>
      <c r="J78" s="50">
        <f>'IS (Before Changes)'!J78-'IS 3Q2022'!J78</f>
        <v>0</v>
      </c>
      <c r="K78" s="103">
        <f>'IS (Before Changes)'!K78-'IS 3Q2022'!K78</f>
        <v>0</v>
      </c>
      <c r="L78" s="50">
        <f>'IS (Before Changes)'!L78-'IS 3Q2022'!L78</f>
        <v>0</v>
      </c>
      <c r="M78" s="97">
        <f>'IS (Before Changes)'!M78-'IS 3Q2022'!M78</f>
        <v>0</v>
      </c>
      <c r="N78" s="50">
        <f>'IS (Before Changes)'!N78-'IS 3Q2022'!N78</f>
        <v>0</v>
      </c>
      <c r="O78" s="50">
        <f>'IS (Before Changes)'!O78-'IS 3Q2022'!O78</f>
        <v>0</v>
      </c>
      <c r="P78" s="50">
        <f>'IS (Before Changes)'!P78-'IS 3Q2022'!P78</f>
        <v>0</v>
      </c>
      <c r="Q78" s="103">
        <f>'IS (Before Changes)'!Q78-'IS 3Q2022'!Q78</f>
        <v>0</v>
      </c>
      <c r="R78" s="97">
        <f>'IS (Before Changes)'!R78-'IS 3Q2022'!R78</f>
        <v>0</v>
      </c>
      <c r="S78" s="50">
        <f>'IS (Before Changes)'!S78-'IS 3Q2022'!S78</f>
        <v>0</v>
      </c>
      <c r="T78" s="50">
        <f>'IS (Before Changes)'!T78-'IS 3Q2022'!T78</f>
        <v>0</v>
      </c>
      <c r="U78" s="50">
        <f>'IS (Before Changes)'!U78-'IS 3Q2022'!U78</f>
        <v>0</v>
      </c>
      <c r="V78" s="50">
        <f>'IS (Before Changes)'!V78-'IS 3Q2022'!V78</f>
        <v>-63.240147007350288</v>
      </c>
      <c r="W78" s="132">
        <f>'IS (Before Changes)'!W78-'IS 3Q2022'!W78</f>
        <v>-63.24014700735097</v>
      </c>
      <c r="X78" s="50">
        <f>'IS (Before Changes)'!X78-'IS 3Q2022'!X78</f>
        <v>12.16288541031372</v>
      </c>
      <c r="Y78" s="50">
        <f>'IS (Before Changes)'!Y78-'IS 3Q2022'!Y78</f>
        <v>11.828105095541332</v>
      </c>
      <c r="Z78" s="50">
        <f>'IS (Before Changes)'!Z78-'IS 3Q2022'!Z78</f>
        <v>12.759174072138194</v>
      </c>
      <c r="AA78" s="50">
        <f>'IS (Before Changes)'!AA78-'IS 3Q2022'!AA78</f>
        <v>-79.476883024169183</v>
      </c>
      <c r="AB78" s="97">
        <f>'IS (Before Changes)'!AB78-'IS 3Q2022'!AB78</f>
        <v>-42.726718446176164</v>
      </c>
      <c r="AC78" s="50">
        <f>'IS (Before Changes)'!AC78-'IS 3Q2022'!AC78</f>
        <v>14.595462492376555</v>
      </c>
      <c r="AD78" s="50">
        <f>'IS (Before Changes)'!AD78-'IS 3Q2022'!AD78</f>
        <v>12.419510350318433</v>
      </c>
      <c r="AE78" s="50">
        <f>'IS (Before Changes)'!AE78-'IS 3Q2022'!AE78</f>
        <v>13.397132775744922</v>
      </c>
      <c r="AF78" s="50">
        <f>'IS (Before Changes)'!AF78-'IS 3Q2022'!AF78</f>
        <v>-95.182504187479481</v>
      </c>
      <c r="AG78" s="97">
        <f>'IS (Before Changes)'!AG78-'IS 3Q2022'!AG78</f>
        <v>-54.770398569039571</v>
      </c>
      <c r="AH78" s="50">
        <f>'IS (Before Changes)'!AH78-'IS 3Q2022'!AH78</f>
        <v>15.325235616995087</v>
      </c>
      <c r="AI78" s="50">
        <f>'IS (Before Changes)'!AI78-'IS 3Q2022'!AI78</f>
        <v>13.040485867834377</v>
      </c>
      <c r="AJ78" s="50">
        <f>'IS (Before Changes)'!AJ78-'IS 3Q2022'!AJ78</f>
        <v>14.066989414532145</v>
      </c>
      <c r="AK78" s="50">
        <f>'IS (Before Changes)'!AK78-'IS 3Q2022'!AK78</f>
        <v>-112.72142290448892</v>
      </c>
      <c r="AL78" s="97">
        <f>'IS (Before Changes)'!AL78-'IS 3Q2022'!AL78</f>
        <v>-70.288712005127309</v>
      </c>
      <c r="AM78" s="50">
        <f>'IS (Before Changes)'!AM78-'IS 3Q2022'!AM78</f>
        <v>16.09149739784516</v>
      </c>
      <c r="AN78" s="50">
        <f>'IS (Before Changes)'!AN78-'IS 3Q2022'!AN78</f>
        <v>13.692510161225982</v>
      </c>
      <c r="AO78" s="50">
        <f>'IS (Before Changes)'!AO78-'IS 3Q2022'!AO78</f>
        <v>14.770338885258752</v>
      </c>
      <c r="AP78" s="50">
        <f>'IS (Before Changes)'!AP78-'IS 3Q2022'!AP78</f>
        <v>-125.6311123564119</v>
      </c>
      <c r="AQ78" s="97">
        <f>'IS (Before Changes)'!AQ78-'IS 3Q2022'!AQ78</f>
        <v>-81.0767659120811</v>
      </c>
      <c r="AR78" s="50">
        <f>'IS (Before Changes)'!AR78-'IS 3Q2022'!AR78</f>
        <v>16.574242319780296</v>
      </c>
      <c r="AS78" s="50">
        <f>'IS (Before Changes)'!AS78-'IS 3Q2022'!AS78</f>
        <v>14.103285466062516</v>
      </c>
      <c r="AT78" s="50">
        <f>'IS (Before Changes)'!AT78-'IS 3Q2022'!AT78</f>
        <v>15.213449051816497</v>
      </c>
      <c r="AU78" s="50">
        <f>'IS (Before Changes)'!AU78-'IS 3Q2022'!AU78</f>
        <v>-135.96960721963114</v>
      </c>
      <c r="AV78" s="97">
        <f>'IS (Before Changes)'!AV78-'IS 3Q2022'!AV78</f>
        <v>-90.078630381971379</v>
      </c>
    </row>
    <row r="79" spans="2:48" s="8" customFormat="1" outlineLevel="1" x14ac:dyDescent="0.3">
      <c r="B79" s="38" t="s">
        <v>200</v>
      </c>
      <c r="C79" s="206"/>
      <c r="D79" s="43">
        <f>'IS (Before Changes)'!D79-'IS 3Q2022'!D79</f>
        <v>0</v>
      </c>
      <c r="E79" s="43">
        <f>'IS (Before Changes)'!E79-'IS 3Q2022'!E79</f>
        <v>0</v>
      </c>
      <c r="F79" s="43">
        <f>'IS (Before Changes)'!F79-'IS 3Q2022'!F79</f>
        <v>0</v>
      </c>
      <c r="G79" s="43">
        <f>'IS (Before Changes)'!G79-'IS 3Q2022'!G79</f>
        <v>0</v>
      </c>
      <c r="H79" s="97">
        <f>'IS (Before Changes)'!H79-'IS 3Q2022'!H79</f>
        <v>0</v>
      </c>
      <c r="I79" s="27">
        <f>'IS (Before Changes)'!I79-'IS 3Q2022'!I79</f>
        <v>0</v>
      </c>
      <c r="J79" s="27">
        <f>'IS (Before Changes)'!J79-'IS 3Q2022'!J79</f>
        <v>0</v>
      </c>
      <c r="K79" s="27">
        <f>'IS (Before Changes)'!K79-'IS 3Q2022'!K79</f>
        <v>0</v>
      </c>
      <c r="L79" s="27">
        <f>'IS (Before Changes)'!L79-'IS 3Q2022'!L79</f>
        <v>0</v>
      </c>
      <c r="M79" s="97">
        <f>'IS (Before Changes)'!M79-'IS 3Q2022'!M79</f>
        <v>0</v>
      </c>
      <c r="N79" s="27">
        <f>'IS (Before Changes)'!N79-'IS 3Q2022'!N79</f>
        <v>0</v>
      </c>
      <c r="O79" s="27">
        <f>'IS (Before Changes)'!O79-'IS 3Q2022'!O79</f>
        <v>0</v>
      </c>
      <c r="P79" s="27">
        <f>'IS (Before Changes)'!P79-'IS 3Q2022'!P79</f>
        <v>0</v>
      </c>
      <c r="Q79" s="27">
        <f>'IS (Before Changes)'!Q79-'IS 3Q2022'!Q79</f>
        <v>0</v>
      </c>
      <c r="R79" s="97">
        <f>'IS (Before Changes)'!R79-'IS 3Q2022'!R79</f>
        <v>0</v>
      </c>
      <c r="S79" s="27">
        <f>'IS (Before Changes)'!S79-'IS 3Q2022'!S79</f>
        <v>0</v>
      </c>
      <c r="T79" s="27">
        <f>'IS (Before Changes)'!T79-'IS 3Q2022'!T79</f>
        <v>0</v>
      </c>
      <c r="U79" s="27">
        <f>'IS (Before Changes)'!U79-'IS 3Q2022'!U79</f>
        <v>0</v>
      </c>
      <c r="V79" s="27">
        <f>'IS (Before Changes)'!V79-'IS 3Q2022'!V79</f>
        <v>-3.9279594414503349E-2</v>
      </c>
      <c r="W79" s="375">
        <f>'IS (Before Changes)'!W79-'IS 3Q2022'!W79</f>
        <v>-1.0773999864959194E-2</v>
      </c>
      <c r="X79" s="27">
        <f>'IS (Before Changes)'!X79-'IS 3Q2022'!X79</f>
        <v>8.0639696415261142E-3</v>
      </c>
      <c r="Y79" s="27">
        <f>'IS (Before Changes)'!Y79-'IS 3Q2022'!Y79</f>
        <v>8.8243099787685964E-3</v>
      </c>
      <c r="Z79" s="27">
        <f>'IS (Before Changes)'!Z79-'IS 3Q2022'!Z79</f>
        <v>1.0977522216414126E-2</v>
      </c>
      <c r="AA79" s="27">
        <f>'IS (Before Changes)'!AA79-'IS 3Q2022'!AA79</f>
        <v>4.6394746154019284E-3</v>
      </c>
      <c r="AB79" s="375">
        <f>'IS (Before Changes)'!AB79-'IS 3Q2022'!AB79</f>
        <v>5.7343586333129526E-3</v>
      </c>
      <c r="AC79" s="27">
        <f>'IS (Before Changes)'!AC79-'IS 3Q2022'!AC79</f>
        <v>-1.3047239033288083E-3</v>
      </c>
      <c r="AD79" s="27">
        <f>'IS (Before Changes)'!AD79-'IS 3Q2022'!AD79</f>
        <v>-1.0826564610033618E-3</v>
      </c>
      <c r="AE79" s="27">
        <f>'IS (Before Changes)'!AE79-'IS 3Q2022'!AE79</f>
        <v>-1.0285506740193018E-3</v>
      </c>
      <c r="AF79" s="27">
        <f>'IS (Before Changes)'!AF79-'IS 3Q2022'!AF79</f>
        <v>-9.7948980145723397E-4</v>
      </c>
      <c r="AG79" s="375">
        <f>'IS (Before Changes)'!AG79-'IS 3Q2022'!AG79</f>
        <v>-4.475340563951935E-4</v>
      </c>
      <c r="AH79" s="27">
        <f>'IS (Before Changes)'!AH79-'IS 3Q2022'!AH79</f>
        <v>-9.3375238698700791E-4</v>
      </c>
      <c r="AI79" s="27">
        <f>'IS (Before Changes)'!AI79-'IS 3Q2022'!AI79</f>
        <v>-8.9043042964642716E-4</v>
      </c>
      <c r="AJ79" s="27">
        <f>'IS (Before Changes)'!AJ79-'IS 3Q2022'!AJ79</f>
        <v>-8.5038029612527488E-4</v>
      </c>
      <c r="AK79" s="27">
        <f>'IS (Before Changes)'!AK79-'IS 3Q2022'!AK79</f>
        <v>-8.1220166103923574E-4</v>
      </c>
      <c r="AL79" s="375">
        <f>'IS (Before Changes)'!AL79-'IS 3Q2022'!AL79</f>
        <v>-8.2254873714870946E-4</v>
      </c>
      <c r="AM79" s="27">
        <f>'IS (Before Changes)'!AM79-'IS 3Q2022'!AM79</f>
        <v>-7.21860064270885E-4</v>
      </c>
      <c r="AN79" s="27">
        <f>'IS (Before Changes)'!AN79-'IS 3Q2022'!AN79</f>
        <v>-5.8856694611963967E-4</v>
      </c>
      <c r="AO79" s="27">
        <f>'IS (Before Changes)'!AO79-'IS 3Q2022'!AO79</f>
        <v>-4.6773248588771743E-4</v>
      </c>
      <c r="AP79" s="27">
        <f>'IS (Before Changes)'!AP79-'IS 3Q2022'!AP79</f>
        <v>-3.5734984523982938E-4</v>
      </c>
      <c r="AQ79" s="97">
        <f>'IS (Before Changes)'!AQ79-'IS 3Q2022'!AQ79</f>
        <v>0</v>
      </c>
      <c r="AR79" s="27">
        <f>'IS (Before Changes)'!AR79-'IS 3Q2022'!AR79</f>
        <v>-2.9639401095016282E-4</v>
      </c>
      <c r="AS79" s="27">
        <f>'IS (Before Changes)'!AS79-'IS 3Q2022'!AS79</f>
        <v>-2.8965911698741742E-4</v>
      </c>
      <c r="AT79" s="27">
        <f>'IS (Before Changes)'!AT79-'IS 3Q2022'!AT79</f>
        <v>-2.8315119579058745E-4</v>
      </c>
      <c r="AU79" s="27">
        <f>'IS (Before Changes)'!AU79-'IS 3Q2022'!AU79</f>
        <v>-2.7686016178130046E-4</v>
      </c>
      <c r="AV79" s="97">
        <f>'IS (Before Changes)'!AV79-'IS 3Q2022'!AV79</f>
        <v>0</v>
      </c>
    </row>
    <row r="80" spans="2:48" outlineLevel="1" x14ac:dyDescent="0.3">
      <c r="B80" s="236" t="s">
        <v>44</v>
      </c>
      <c r="C80" s="221"/>
      <c r="D80" s="222">
        <f>'IS (Before Changes)'!D80-'IS 3Q2022'!D80</f>
        <v>0</v>
      </c>
      <c r="E80" s="222">
        <f>'IS (Before Changes)'!E80-'IS 3Q2022'!E80</f>
        <v>0</v>
      </c>
      <c r="F80" s="222">
        <f>'IS (Before Changes)'!F80-'IS 3Q2022'!F80</f>
        <v>0</v>
      </c>
      <c r="G80" s="222">
        <f>'IS (Before Changes)'!G80-'IS 3Q2022'!G80</f>
        <v>0</v>
      </c>
      <c r="H80" s="223">
        <f>'IS (Before Changes)'!H80-'IS 3Q2022'!H80</f>
        <v>0</v>
      </c>
      <c r="I80" s="222">
        <f>'IS (Before Changes)'!I80-'IS 3Q2022'!I80</f>
        <v>0</v>
      </c>
      <c r="J80" s="222">
        <f>'IS (Before Changes)'!J80-'IS 3Q2022'!J80</f>
        <v>0</v>
      </c>
      <c r="K80" s="222">
        <f>'IS (Before Changes)'!K80-'IS 3Q2022'!K80</f>
        <v>0</v>
      </c>
      <c r="L80" s="224">
        <f>'IS (Before Changes)'!L80-'IS 3Q2022'!L80</f>
        <v>0</v>
      </c>
      <c r="M80" s="223">
        <f>'IS (Before Changes)'!M80-'IS 3Q2022'!M80</f>
        <v>0</v>
      </c>
      <c r="N80" s="222">
        <f>'IS (Before Changes)'!N80-'IS 3Q2022'!N80</f>
        <v>0</v>
      </c>
      <c r="O80" s="222">
        <f>'IS (Before Changes)'!O80-'IS 3Q2022'!O80</f>
        <v>0</v>
      </c>
      <c r="P80" s="222">
        <f>'IS (Before Changes)'!P80-'IS 3Q2022'!P80</f>
        <v>0</v>
      </c>
      <c r="Q80" s="222">
        <f>'IS (Before Changes)'!Q80-'IS 3Q2022'!Q80</f>
        <v>0</v>
      </c>
      <c r="R80" s="225">
        <f>'IS (Before Changes)'!R80-'IS 3Q2022'!R80</f>
        <v>0</v>
      </c>
      <c r="S80" s="224">
        <f>'IS (Before Changes)'!S80-'IS 3Q2022'!S80</f>
        <v>0</v>
      </c>
      <c r="T80" s="224">
        <f>'IS (Before Changes)'!T80-'IS 3Q2022'!T80</f>
        <v>0</v>
      </c>
      <c r="U80" s="224">
        <f>'IS (Before Changes)'!U80-'IS 3Q2022'!U80</f>
        <v>0</v>
      </c>
      <c r="V80" s="224">
        <f>'IS (Before Changes)'!V80-'IS 3Q2022'!V80</f>
        <v>-0.05</v>
      </c>
      <c r="W80" s="223">
        <f>'IS (Before Changes)'!W80-'IS 3Q2022'!W80</f>
        <v>0</v>
      </c>
      <c r="X80" s="224">
        <f>'IS (Before Changes)'!X80-'IS 3Q2022'!X80</f>
        <v>0</v>
      </c>
      <c r="Y80" s="224">
        <f>'IS (Before Changes)'!Y80-'IS 3Q2022'!Y80</f>
        <v>0</v>
      </c>
      <c r="Z80" s="224">
        <f>'IS (Before Changes)'!Z80-'IS 3Q2022'!Z80</f>
        <v>0</v>
      </c>
      <c r="AA80" s="224">
        <f>'IS (Before Changes)'!AA80-'IS 3Q2022'!AA80</f>
        <v>0</v>
      </c>
      <c r="AB80" s="225">
        <f>'IS (Before Changes)'!AB80-'IS 3Q2022'!AB80</f>
        <v>0</v>
      </c>
      <c r="AC80" s="224">
        <f>'IS (Before Changes)'!AC80-'IS 3Q2022'!AC80</f>
        <v>0</v>
      </c>
      <c r="AD80" s="224">
        <f>'IS (Before Changes)'!AD80-'IS 3Q2022'!AD80</f>
        <v>0</v>
      </c>
      <c r="AE80" s="224">
        <f>'IS (Before Changes)'!AE80-'IS 3Q2022'!AE80</f>
        <v>0</v>
      </c>
      <c r="AF80" s="224">
        <f>'IS (Before Changes)'!AF80-'IS 3Q2022'!AF80</f>
        <v>0</v>
      </c>
      <c r="AG80" s="225">
        <f>'IS (Before Changes)'!AG80-'IS 3Q2022'!AG80</f>
        <v>0</v>
      </c>
      <c r="AH80" s="224">
        <f>'IS (Before Changes)'!AH80-'IS 3Q2022'!AH80</f>
        <v>0</v>
      </c>
      <c r="AI80" s="224">
        <f>'IS (Before Changes)'!AI80-'IS 3Q2022'!AI80</f>
        <v>0</v>
      </c>
      <c r="AJ80" s="224">
        <f>'IS (Before Changes)'!AJ80-'IS 3Q2022'!AJ80</f>
        <v>0</v>
      </c>
      <c r="AK80" s="224">
        <f>'IS (Before Changes)'!AK80-'IS 3Q2022'!AK80</f>
        <v>0</v>
      </c>
      <c r="AL80" s="225">
        <f>'IS (Before Changes)'!AL80-'IS 3Q2022'!AL80</f>
        <v>0</v>
      </c>
      <c r="AM80" s="224">
        <f>'IS (Before Changes)'!AM80-'IS 3Q2022'!AM80</f>
        <v>0</v>
      </c>
      <c r="AN80" s="224">
        <f>'IS (Before Changes)'!AN80-'IS 3Q2022'!AN80</f>
        <v>0</v>
      </c>
      <c r="AO80" s="224">
        <f>'IS (Before Changes)'!AO80-'IS 3Q2022'!AO80</f>
        <v>0</v>
      </c>
      <c r="AP80" s="224">
        <f>'IS (Before Changes)'!AP80-'IS 3Q2022'!AP80</f>
        <v>0</v>
      </c>
      <c r="AQ80" s="225">
        <f>'IS (Before Changes)'!AQ80-'IS 3Q2022'!AQ80</f>
        <v>0</v>
      </c>
      <c r="AR80" s="224">
        <f>'IS (Before Changes)'!AR80-'IS 3Q2022'!AR80</f>
        <v>0</v>
      </c>
      <c r="AS80" s="224">
        <f>'IS (Before Changes)'!AS80-'IS 3Q2022'!AS80</f>
        <v>0</v>
      </c>
      <c r="AT80" s="224">
        <f>'IS (Before Changes)'!AT80-'IS 3Q2022'!AT80</f>
        <v>0</v>
      </c>
      <c r="AU80" s="224">
        <f>'IS (Before Changes)'!AU80-'IS 3Q2022'!AU80</f>
        <v>0</v>
      </c>
      <c r="AV80" s="225">
        <f>'IS (Before Changes)'!AV80-'IS 3Q2022'!AV80</f>
        <v>0</v>
      </c>
    </row>
    <row r="81" spans="1:48" outlineLevel="1" x14ac:dyDescent="0.3">
      <c r="B81" s="180" t="s">
        <v>43</v>
      </c>
      <c r="C81" s="207"/>
      <c r="D81" s="151">
        <f>'IS (Before Changes)'!D81-'IS 3Q2022'!D81</f>
        <v>0</v>
      </c>
      <c r="E81" s="151">
        <f>'IS (Before Changes)'!E81-'IS 3Q2022'!E81</f>
        <v>0</v>
      </c>
      <c r="F81" s="151">
        <f>'IS (Before Changes)'!F81-'IS 3Q2022'!F81</f>
        <v>0</v>
      </c>
      <c r="G81" s="151">
        <f>'IS (Before Changes)'!G81-'IS 3Q2022'!G81</f>
        <v>0</v>
      </c>
      <c r="H81" s="60">
        <f>'IS (Before Changes)'!H81-'IS 3Q2022'!H81</f>
        <v>0</v>
      </c>
      <c r="I81" s="151">
        <f>'IS (Before Changes)'!I81-'IS 3Q2022'!I81</f>
        <v>0</v>
      </c>
      <c r="J81" s="151">
        <f>'IS (Before Changes)'!J81-'IS 3Q2022'!J81</f>
        <v>0</v>
      </c>
      <c r="K81" s="151">
        <f>'IS (Before Changes)'!K81-'IS 3Q2022'!K81</f>
        <v>0</v>
      </c>
      <c r="L81" s="59">
        <f>'IS (Before Changes)'!L81-'IS 3Q2022'!L81</f>
        <v>0</v>
      </c>
      <c r="M81" s="60">
        <f>'IS (Before Changes)'!M81-'IS 3Q2022'!M81</f>
        <v>0</v>
      </c>
      <c r="N81" s="151">
        <f>'IS (Before Changes)'!N81-'IS 3Q2022'!N81</f>
        <v>0</v>
      </c>
      <c r="O81" s="59">
        <f>'IS (Before Changes)'!O81-'IS 3Q2022'!O81</f>
        <v>0</v>
      </c>
      <c r="P81" s="59">
        <f>'IS (Before Changes)'!P81-'IS 3Q2022'!P81</f>
        <v>0</v>
      </c>
      <c r="Q81" s="151">
        <f>'IS (Before Changes)'!Q81-'IS 3Q2022'!Q81</f>
        <v>0</v>
      </c>
      <c r="R81" s="60">
        <f>'IS (Before Changes)'!R81-'IS 3Q2022'!R81</f>
        <v>0</v>
      </c>
      <c r="S81" s="59">
        <f>'IS (Before Changes)'!S81-'IS 3Q2022'!S81</f>
        <v>0</v>
      </c>
      <c r="T81" s="59">
        <f>'IS (Before Changes)'!T81-'IS 3Q2022'!T81</f>
        <v>0</v>
      </c>
      <c r="U81" s="59">
        <f>'IS (Before Changes)'!U81-'IS 3Q2022'!U81</f>
        <v>0</v>
      </c>
      <c r="V81" s="59">
        <f>'IS (Before Changes)'!V81-'IS 3Q2022'!V81</f>
        <v>-0.01</v>
      </c>
      <c r="W81" s="148">
        <f>'IS (Before Changes)'!W81-'IS 3Q2022'!W81</f>
        <v>0</v>
      </c>
      <c r="X81" s="59">
        <f>'IS (Before Changes)'!X81-'IS 3Q2022'!X81</f>
        <v>0</v>
      </c>
      <c r="Y81" s="59">
        <f>'IS (Before Changes)'!Y81-'IS 3Q2022'!Y81</f>
        <v>0</v>
      </c>
      <c r="Z81" s="59">
        <f>'IS (Before Changes)'!Z81-'IS 3Q2022'!Z81</f>
        <v>0</v>
      </c>
      <c r="AA81" s="59">
        <f>'IS (Before Changes)'!AA81-'IS 3Q2022'!AA81</f>
        <v>0</v>
      </c>
      <c r="AB81" s="60">
        <f>'IS (Before Changes)'!AB81-'IS 3Q2022'!AB81</f>
        <v>0</v>
      </c>
      <c r="AC81" s="59">
        <f>'IS (Before Changes)'!AC81-'IS 3Q2022'!AC81</f>
        <v>0</v>
      </c>
      <c r="AD81" s="59">
        <f>'IS (Before Changes)'!AD81-'IS 3Q2022'!AD81</f>
        <v>0</v>
      </c>
      <c r="AE81" s="59">
        <f>'IS (Before Changes)'!AE81-'IS 3Q2022'!AE81</f>
        <v>0</v>
      </c>
      <c r="AF81" s="59">
        <f>'IS (Before Changes)'!AF81-'IS 3Q2022'!AF81</f>
        <v>0</v>
      </c>
      <c r="AG81" s="60">
        <f>'IS (Before Changes)'!AG81-'IS 3Q2022'!AG81</f>
        <v>0</v>
      </c>
      <c r="AH81" s="59">
        <f>'IS (Before Changes)'!AH81-'IS 3Q2022'!AH81</f>
        <v>0</v>
      </c>
      <c r="AI81" s="59">
        <f>'IS (Before Changes)'!AI81-'IS 3Q2022'!AI81</f>
        <v>0</v>
      </c>
      <c r="AJ81" s="59">
        <f>'IS (Before Changes)'!AJ81-'IS 3Q2022'!AJ81</f>
        <v>0</v>
      </c>
      <c r="AK81" s="59">
        <f>'IS (Before Changes)'!AK81-'IS 3Q2022'!AK81</f>
        <v>0</v>
      </c>
      <c r="AL81" s="60">
        <f>'IS (Before Changes)'!AL81-'IS 3Q2022'!AL81</f>
        <v>0</v>
      </c>
      <c r="AM81" s="59">
        <f>'IS (Before Changes)'!AM81-'IS 3Q2022'!AM81</f>
        <v>0</v>
      </c>
      <c r="AN81" s="59">
        <f>'IS (Before Changes)'!AN81-'IS 3Q2022'!AN81</f>
        <v>0</v>
      </c>
      <c r="AO81" s="59">
        <f>'IS (Before Changes)'!AO81-'IS 3Q2022'!AO81</f>
        <v>0</v>
      </c>
      <c r="AP81" s="59">
        <f>'IS (Before Changes)'!AP81-'IS 3Q2022'!AP81</f>
        <v>0</v>
      </c>
      <c r="AQ81" s="60">
        <f>'IS (Before Changes)'!AQ81-'IS 3Q2022'!AQ81</f>
        <v>0</v>
      </c>
      <c r="AR81" s="59">
        <f>'IS (Before Changes)'!AR81-'IS 3Q2022'!AR81</f>
        <v>0</v>
      </c>
      <c r="AS81" s="59">
        <f>'IS (Before Changes)'!AS81-'IS 3Q2022'!AS81</f>
        <v>0</v>
      </c>
      <c r="AT81" s="59">
        <f>'IS (Before Changes)'!AT81-'IS 3Q2022'!AT81</f>
        <v>0</v>
      </c>
      <c r="AU81" s="59">
        <f>'IS (Before Changes)'!AU81-'IS 3Q2022'!AU81</f>
        <v>0</v>
      </c>
      <c r="AV81" s="60">
        <f>'IS (Before Changes)'!AV81-'IS 3Q2022'!AV81</f>
        <v>0</v>
      </c>
    </row>
    <row r="82" spans="1:48" s="8" customFormat="1" outlineLevel="1" x14ac:dyDescent="0.3">
      <c r="B82" s="208" t="s">
        <v>45</v>
      </c>
      <c r="C82" s="206"/>
      <c r="D82" s="152">
        <f>'IS (Before Changes)'!D82-'IS 3Q2022'!D82</f>
        <v>0</v>
      </c>
      <c r="E82" s="152">
        <f>'IS (Before Changes)'!E82-'IS 3Q2022'!E82</f>
        <v>0</v>
      </c>
      <c r="F82" s="152">
        <f>'IS (Before Changes)'!F82-'IS 3Q2022'!F82</f>
        <v>0</v>
      </c>
      <c r="G82" s="152">
        <f>'IS (Before Changes)'!G82-'IS 3Q2022'!G82</f>
        <v>0</v>
      </c>
      <c r="H82" s="61">
        <f>'IS (Before Changes)'!H82-'IS 3Q2022'!H82</f>
        <v>0</v>
      </c>
      <c r="I82" s="152">
        <f>'IS (Before Changes)'!I82-'IS 3Q2022'!I82</f>
        <v>0</v>
      </c>
      <c r="J82" s="152">
        <f>'IS (Before Changes)'!J82-'IS 3Q2022'!J82</f>
        <v>0</v>
      </c>
      <c r="K82" s="152">
        <f>'IS (Before Changes)'!K82-'IS 3Q2022'!K82</f>
        <v>0</v>
      </c>
      <c r="L82" s="157">
        <f>'IS (Before Changes)'!L82-'IS 3Q2022'!L82</f>
        <v>0</v>
      </c>
      <c r="M82" s="61">
        <f>'IS (Before Changes)'!M82-'IS 3Q2022'!M82</f>
        <v>0</v>
      </c>
      <c r="N82" s="152">
        <f>'IS (Before Changes)'!N82-'IS 3Q2022'!N82</f>
        <v>0</v>
      </c>
      <c r="O82" s="152">
        <f>'IS (Before Changes)'!O82-'IS 3Q2022'!O82</f>
        <v>0</v>
      </c>
      <c r="P82" s="152">
        <f>'IS (Before Changes)'!P82-'IS 3Q2022'!P82</f>
        <v>0</v>
      </c>
      <c r="Q82" s="152">
        <f>'IS (Before Changes)'!Q82-'IS 3Q2022'!Q82</f>
        <v>0</v>
      </c>
      <c r="R82" s="377">
        <f>'IS (Before Changes)'!R82-'IS 3Q2022'!R82</f>
        <v>0</v>
      </c>
      <c r="S82" s="152">
        <f>'IS (Before Changes)'!S82-'IS 3Q2022'!S82</f>
        <v>0</v>
      </c>
      <c r="T82" s="152">
        <f>'IS (Before Changes)'!T82-'IS 3Q2022'!T82</f>
        <v>0</v>
      </c>
      <c r="U82" s="152">
        <f>'IS (Before Changes)'!U82-'IS 3Q2022'!U82</f>
        <v>0</v>
      </c>
      <c r="V82" s="152">
        <f>'IS (Before Changes)'!V82-'IS 3Q2022'!V82</f>
        <v>-0.05</v>
      </c>
      <c r="W82" s="377">
        <f>'IS (Before Changes)'!W82-'IS 3Q2022'!W82</f>
        <v>-6.8111660736633883E-3</v>
      </c>
      <c r="X82" s="157">
        <f>'IS (Before Changes)'!X82-'IS 3Q2022'!X82</f>
        <v>0</v>
      </c>
      <c r="Y82" s="157">
        <f>'IS (Before Changes)'!Y82-'IS 3Q2022'!Y82</f>
        <v>0</v>
      </c>
      <c r="Z82" s="157">
        <f>'IS (Before Changes)'!Z82-'IS 3Q2022'!Z82</f>
        <v>0</v>
      </c>
      <c r="AA82" s="157">
        <f>'IS (Before Changes)'!AA82-'IS 3Q2022'!AA82</f>
        <v>0</v>
      </c>
      <c r="AB82" s="377">
        <f>'IS (Before Changes)'!AB82-'IS 3Q2022'!AB82</f>
        <v>6.0311403962574062E-3</v>
      </c>
      <c r="AC82" s="157">
        <f>'IS (Before Changes)'!AC82-'IS 3Q2022'!AC82</f>
        <v>0</v>
      </c>
      <c r="AD82" s="157">
        <f>'IS (Before Changes)'!AD82-'IS 3Q2022'!AD82</f>
        <v>0</v>
      </c>
      <c r="AE82" s="157">
        <f>'IS (Before Changes)'!AE82-'IS 3Q2022'!AE82</f>
        <v>0</v>
      </c>
      <c r="AF82" s="157">
        <f>'IS (Before Changes)'!AF82-'IS 3Q2022'!AF82</f>
        <v>0</v>
      </c>
      <c r="AG82" s="377">
        <f>'IS (Before Changes)'!AG82-'IS 3Q2022'!AG82</f>
        <v>-7.343998233884097E-4</v>
      </c>
      <c r="AH82" s="157">
        <f>'IS (Before Changes)'!AH82-'IS 3Q2022'!AH82</f>
        <v>0</v>
      </c>
      <c r="AI82" s="157">
        <f>'IS (Before Changes)'!AI82-'IS 3Q2022'!AI82</f>
        <v>0</v>
      </c>
      <c r="AJ82" s="157">
        <f>'IS (Before Changes)'!AJ82-'IS 3Q2022'!AJ82</f>
        <v>0</v>
      </c>
      <c r="AK82" s="157">
        <f>'IS (Before Changes)'!AK82-'IS 3Q2022'!AK82</f>
        <v>0</v>
      </c>
      <c r="AL82" s="377">
        <f>'IS (Before Changes)'!AL82-'IS 3Q2022'!AL82</f>
        <v>-8.4364341923293118E-4</v>
      </c>
      <c r="AM82" s="157">
        <f>'IS (Before Changes)'!AM82-'IS 3Q2022'!AM82</f>
        <v>0</v>
      </c>
      <c r="AN82" s="157">
        <f>'IS (Before Changes)'!AN82-'IS 3Q2022'!AN82</f>
        <v>0</v>
      </c>
      <c r="AO82" s="157">
        <f>'IS (Before Changes)'!AO82-'IS 3Q2022'!AO82</f>
        <v>0</v>
      </c>
      <c r="AP82" s="157">
        <f>'IS (Before Changes)'!AP82-'IS 3Q2022'!AP82</f>
        <v>0</v>
      </c>
      <c r="AQ82" s="134">
        <f>'IS (Before Changes)'!AQ82-'IS 3Q2022'!AQ82</f>
        <v>0</v>
      </c>
      <c r="AR82" s="157">
        <f>'IS (Before Changes)'!AR82-'IS 3Q2022'!AR82</f>
        <v>0</v>
      </c>
      <c r="AS82" s="157">
        <f>'IS (Before Changes)'!AS82-'IS 3Q2022'!AS82</f>
        <v>0</v>
      </c>
      <c r="AT82" s="157">
        <f>'IS (Before Changes)'!AT82-'IS 3Q2022'!AT82</f>
        <v>0</v>
      </c>
      <c r="AU82" s="157">
        <f>'IS (Before Changes)'!AU82-'IS 3Q2022'!AU82</f>
        <v>0</v>
      </c>
      <c r="AV82" s="61">
        <f>'IS (Before Changes)'!AV82-'IS 3Q2022'!AV82</f>
        <v>0</v>
      </c>
    </row>
    <row r="83" spans="1:48" s="8" customFormat="1" outlineLevel="1" x14ac:dyDescent="0.3">
      <c r="B83" s="506" t="s">
        <v>117</v>
      </c>
      <c r="C83" s="507"/>
      <c r="D83" s="117">
        <f>'IS (Before Changes)'!D83-'IS 3Q2022'!D83</f>
        <v>0</v>
      </c>
      <c r="E83" s="117">
        <f>'IS (Before Changes)'!E83-'IS 3Q2022'!E83</f>
        <v>0</v>
      </c>
      <c r="F83" s="117">
        <f>'IS (Before Changes)'!F83-'IS 3Q2022'!F83</f>
        <v>0</v>
      </c>
      <c r="G83" s="117">
        <f>'IS (Before Changes)'!G83-'IS 3Q2022'!G83</f>
        <v>0</v>
      </c>
      <c r="H83" s="192">
        <f>'IS (Before Changes)'!H83-'IS 3Q2022'!H83</f>
        <v>0</v>
      </c>
      <c r="I83" s="117">
        <f>'IS (Before Changes)'!I83-'IS 3Q2022'!I83</f>
        <v>0</v>
      </c>
      <c r="J83" s="117">
        <f>'IS (Before Changes)'!J83-'IS 3Q2022'!J83</f>
        <v>0</v>
      </c>
      <c r="K83" s="117">
        <f>'IS (Before Changes)'!K83-'IS 3Q2022'!K83</f>
        <v>0</v>
      </c>
      <c r="L83" s="117">
        <f>'IS (Before Changes)'!L83-'IS 3Q2022'!L83</f>
        <v>0</v>
      </c>
      <c r="M83" s="192">
        <f>'IS (Before Changes)'!M83-'IS 3Q2022'!M83</f>
        <v>0</v>
      </c>
      <c r="N83" s="117">
        <f>'IS (Before Changes)'!N83-'IS 3Q2022'!N83</f>
        <v>0</v>
      </c>
      <c r="O83" s="67">
        <f>'IS (Before Changes)'!O83-'IS 3Q2022'!O83</f>
        <v>0</v>
      </c>
      <c r="P83" s="67">
        <f>'IS (Before Changes)'!P83-'IS 3Q2022'!P83</f>
        <v>0</v>
      </c>
      <c r="Q83" s="67">
        <f>'IS (Before Changes)'!Q83-'IS 3Q2022'!Q83</f>
        <v>0</v>
      </c>
      <c r="R83" s="192">
        <f>'IS (Before Changes)'!R83-'IS 3Q2022'!R83</f>
        <v>0</v>
      </c>
      <c r="S83" s="67">
        <f>'IS (Before Changes)'!S83-'IS 3Q2022'!S83</f>
        <v>0</v>
      </c>
      <c r="T83" s="67">
        <f>'IS (Before Changes)'!T83-'IS 3Q2022'!T83</f>
        <v>0</v>
      </c>
      <c r="U83" s="67">
        <f>'IS (Before Changes)'!U83-'IS 3Q2022'!U83</f>
        <v>0</v>
      </c>
      <c r="V83" s="67">
        <f>'IS (Before Changes)'!V83-'IS 3Q2022'!V83</f>
        <v>48</v>
      </c>
      <c r="W83" s="253">
        <f>'IS (Before Changes)'!W83-'IS 3Q2022'!W83</f>
        <v>48</v>
      </c>
      <c r="X83" s="67">
        <f>'IS (Before Changes)'!X83-'IS 3Q2022'!X83</f>
        <v>48</v>
      </c>
      <c r="Y83" s="67">
        <f>'IS (Before Changes)'!Y83-'IS 3Q2022'!Y83</f>
        <v>48</v>
      </c>
      <c r="Z83" s="67">
        <f>'IS (Before Changes)'!Z83-'IS 3Q2022'!Z83</f>
        <v>48</v>
      </c>
      <c r="AA83" s="67">
        <f>'IS (Before Changes)'!AA83-'IS 3Q2022'!AA83</f>
        <v>48</v>
      </c>
      <c r="AB83" s="192">
        <f>'IS (Before Changes)'!AB83-'IS 3Q2022'!AB83</f>
        <v>48</v>
      </c>
      <c r="AC83" s="67">
        <f>'IS (Before Changes)'!AC83-'IS 3Q2022'!AC83</f>
        <v>48</v>
      </c>
      <c r="AD83" s="67">
        <f>'IS (Before Changes)'!AD83-'IS 3Q2022'!AD83</f>
        <v>48</v>
      </c>
      <c r="AE83" s="67">
        <f>'IS (Before Changes)'!AE83-'IS 3Q2022'!AE83</f>
        <v>48</v>
      </c>
      <c r="AF83" s="67">
        <f>'IS (Before Changes)'!AF83-'IS 3Q2022'!AF83</f>
        <v>48</v>
      </c>
      <c r="AG83" s="192">
        <f>'IS (Before Changes)'!AG83-'IS 3Q2022'!AG83</f>
        <v>48</v>
      </c>
      <c r="AH83" s="67">
        <f>'IS (Before Changes)'!AH83-'IS 3Q2022'!AH83</f>
        <v>48</v>
      </c>
      <c r="AI83" s="67">
        <f>'IS (Before Changes)'!AI83-'IS 3Q2022'!AI83</f>
        <v>48</v>
      </c>
      <c r="AJ83" s="67">
        <f>'IS (Before Changes)'!AJ83-'IS 3Q2022'!AJ83</f>
        <v>48</v>
      </c>
      <c r="AK83" s="67">
        <f>'IS (Before Changes)'!AK83-'IS 3Q2022'!AK83</f>
        <v>48</v>
      </c>
      <c r="AL83" s="192">
        <f>'IS (Before Changes)'!AL83-'IS 3Q2022'!AL83</f>
        <v>48</v>
      </c>
      <c r="AM83" s="67">
        <f>'IS (Before Changes)'!AM83-'IS 3Q2022'!AM83</f>
        <v>48</v>
      </c>
      <c r="AN83" s="67">
        <f>'IS (Before Changes)'!AN83-'IS 3Q2022'!AN83</f>
        <v>48</v>
      </c>
      <c r="AO83" s="67">
        <f>'IS (Before Changes)'!AO83-'IS 3Q2022'!AO83</f>
        <v>48</v>
      </c>
      <c r="AP83" s="67">
        <f>'IS (Before Changes)'!AP83-'IS 3Q2022'!AP83</f>
        <v>48</v>
      </c>
      <c r="AQ83" s="192">
        <f>'IS (Before Changes)'!AQ83-'IS 3Q2022'!AQ83</f>
        <v>48</v>
      </c>
      <c r="AR83" s="67">
        <f>'IS (Before Changes)'!AR83-'IS 3Q2022'!AR83</f>
        <v>48</v>
      </c>
      <c r="AS83" s="67">
        <f>'IS (Before Changes)'!AS83-'IS 3Q2022'!AS83</f>
        <v>48</v>
      </c>
      <c r="AT83" s="67">
        <f>'IS (Before Changes)'!AT83-'IS 3Q2022'!AT83</f>
        <v>48</v>
      </c>
      <c r="AU83" s="67">
        <f>'IS (Before Changes)'!AU83-'IS 3Q2022'!AU83</f>
        <v>48</v>
      </c>
      <c r="AV83" s="192">
        <f>'IS (Before Changes)'!AV83-'IS 3Q2022'!AV83</f>
        <v>48</v>
      </c>
    </row>
    <row r="84" spans="1:48" outlineLevel="1" x14ac:dyDescent="0.3">
      <c r="B84" s="180" t="s">
        <v>47</v>
      </c>
      <c r="C84" s="201"/>
      <c r="D84" s="101">
        <f>'IS (Before Changes)'!D84-'IS 3Q2022'!D84</f>
        <v>0</v>
      </c>
      <c r="E84" s="101">
        <f>'IS (Before Changes)'!E84-'IS 3Q2022'!E84</f>
        <v>0</v>
      </c>
      <c r="F84" s="101">
        <f>'IS (Before Changes)'!F84-'IS 3Q2022'!F84</f>
        <v>0</v>
      </c>
      <c r="G84" s="101">
        <f>'IS (Before Changes)'!G84-'IS 3Q2022'!G84</f>
        <v>0</v>
      </c>
      <c r="H84" s="122">
        <f>'IS (Before Changes)'!H84-'IS 3Q2022'!H84</f>
        <v>0</v>
      </c>
      <c r="I84" s="101">
        <f>'IS (Before Changes)'!I84-'IS 3Q2022'!I84</f>
        <v>0</v>
      </c>
      <c r="J84" s="101">
        <f>'IS (Before Changes)'!J84-'IS 3Q2022'!J84</f>
        <v>0</v>
      </c>
      <c r="K84" s="101">
        <f>'IS (Before Changes)'!K84-'IS 3Q2022'!K84</f>
        <v>0</v>
      </c>
      <c r="L84" s="101">
        <f>'IS (Before Changes)'!L84-'IS 3Q2022'!L84</f>
        <v>0</v>
      </c>
      <c r="M84" s="122">
        <f>'IS (Before Changes)'!M84-'IS 3Q2022'!M84</f>
        <v>0</v>
      </c>
      <c r="N84" s="101">
        <f>'IS (Before Changes)'!N84-'IS 3Q2022'!N84</f>
        <v>0</v>
      </c>
      <c r="O84" s="101">
        <f>'IS (Before Changes)'!O84-'IS 3Q2022'!O84</f>
        <v>0</v>
      </c>
      <c r="P84" s="101">
        <f>'IS (Before Changes)'!P84-'IS 3Q2022'!P84</f>
        <v>0</v>
      </c>
      <c r="Q84" s="101">
        <f>'IS (Before Changes)'!Q84-'IS 3Q2022'!Q84</f>
        <v>0</v>
      </c>
      <c r="R84" s="122">
        <f>'IS (Before Changes)'!R84-'IS 3Q2022'!R84</f>
        <v>0</v>
      </c>
      <c r="S84" s="101">
        <f>'IS (Before Changes)'!S84-'IS 3Q2022'!S84</f>
        <v>0</v>
      </c>
      <c r="T84" s="101">
        <f>'IS (Before Changes)'!T84-'IS 3Q2022'!T84</f>
        <v>0</v>
      </c>
      <c r="U84" s="101">
        <f>'IS (Before Changes)'!U84-'IS 3Q2022'!U84</f>
        <v>0</v>
      </c>
      <c r="V84" s="33">
        <f>'IS (Before Changes)'!V84-'IS 3Q2022'!V84</f>
        <v>48</v>
      </c>
      <c r="W84" s="122">
        <f>'IS (Before Changes)'!W84-'IS 3Q2022'!W84</f>
        <v>48</v>
      </c>
      <c r="X84" s="33">
        <f>'IS (Before Changes)'!X84-'IS 3Q2022'!X84</f>
        <v>0</v>
      </c>
      <c r="Y84" s="33">
        <f>'IS (Before Changes)'!Y84-'IS 3Q2022'!Y84</f>
        <v>0</v>
      </c>
      <c r="Z84" s="33">
        <f>'IS (Before Changes)'!Z84-'IS 3Q2022'!Z84</f>
        <v>0</v>
      </c>
      <c r="AA84" s="33">
        <f>'IS (Before Changes)'!AA84-'IS 3Q2022'!AA84</f>
        <v>0</v>
      </c>
      <c r="AB84" s="122">
        <f>'IS (Before Changes)'!AB84-'IS 3Q2022'!AB84</f>
        <v>0</v>
      </c>
      <c r="AC84" s="33">
        <f>'IS (Before Changes)'!AC84-'IS 3Q2022'!AC84</f>
        <v>0</v>
      </c>
      <c r="AD84" s="33">
        <f>'IS (Before Changes)'!AD84-'IS 3Q2022'!AD84</f>
        <v>0</v>
      </c>
      <c r="AE84" s="33">
        <f>'IS (Before Changes)'!AE84-'IS 3Q2022'!AE84</f>
        <v>0</v>
      </c>
      <c r="AF84" s="33">
        <f>'IS (Before Changes)'!AF84-'IS 3Q2022'!AF84</f>
        <v>0</v>
      </c>
      <c r="AG84" s="122">
        <f>'IS (Before Changes)'!AG84-'IS 3Q2022'!AG84</f>
        <v>0</v>
      </c>
      <c r="AH84" s="33">
        <f>'IS (Before Changes)'!AH84-'IS 3Q2022'!AH84</f>
        <v>0</v>
      </c>
      <c r="AI84" s="33">
        <f>'IS (Before Changes)'!AI84-'IS 3Q2022'!AI84</f>
        <v>0</v>
      </c>
      <c r="AJ84" s="33">
        <f>'IS (Before Changes)'!AJ84-'IS 3Q2022'!AJ84</f>
        <v>0</v>
      </c>
      <c r="AK84" s="33">
        <f>'IS (Before Changes)'!AK84-'IS 3Q2022'!AK84</f>
        <v>0</v>
      </c>
      <c r="AL84" s="122">
        <f>'IS (Before Changes)'!AL84-'IS 3Q2022'!AL84</f>
        <v>0</v>
      </c>
      <c r="AM84" s="33">
        <f>'IS (Before Changes)'!AM84-'IS 3Q2022'!AM84</f>
        <v>0</v>
      </c>
      <c r="AN84" s="33">
        <f>'IS (Before Changes)'!AN84-'IS 3Q2022'!AN84</f>
        <v>0</v>
      </c>
      <c r="AO84" s="33">
        <f>'IS (Before Changes)'!AO84-'IS 3Q2022'!AO84</f>
        <v>0</v>
      </c>
      <c r="AP84" s="33">
        <f>'IS (Before Changes)'!AP84-'IS 3Q2022'!AP84</f>
        <v>0</v>
      </c>
      <c r="AQ84" s="122">
        <f>'IS (Before Changes)'!AQ84-'IS 3Q2022'!AQ84</f>
        <v>0</v>
      </c>
      <c r="AR84" s="33">
        <f>'IS (Before Changes)'!AR84-'IS 3Q2022'!AR84</f>
        <v>0</v>
      </c>
      <c r="AS84" s="33">
        <f>'IS (Before Changes)'!AS84-'IS 3Q2022'!AS84</f>
        <v>0</v>
      </c>
      <c r="AT84" s="33">
        <f>'IS (Before Changes)'!AT84-'IS 3Q2022'!AT84</f>
        <v>0</v>
      </c>
      <c r="AU84" s="33">
        <f>'IS (Before Changes)'!AU84-'IS 3Q2022'!AU84</f>
        <v>0</v>
      </c>
      <c r="AV84" s="122">
        <f>'IS (Before Changes)'!AV84-'IS 3Q2022'!AV84</f>
        <v>0</v>
      </c>
    </row>
    <row r="85" spans="1:48" outlineLevel="1" x14ac:dyDescent="0.3">
      <c r="B85" s="180" t="s">
        <v>49</v>
      </c>
      <c r="C85" s="201"/>
      <c r="D85" s="16">
        <f>'IS (Before Changes)'!D85-'IS 3Q2022'!D85</f>
        <v>0</v>
      </c>
      <c r="E85" s="16">
        <f>'IS (Before Changes)'!E85-'IS 3Q2022'!E85</f>
        <v>0</v>
      </c>
      <c r="F85" s="16">
        <f>'IS (Before Changes)'!F85-'IS 3Q2022'!F85</f>
        <v>0</v>
      </c>
      <c r="G85" s="16">
        <f>'IS (Before Changes)'!G85-'IS 3Q2022'!G85</f>
        <v>0</v>
      </c>
      <c r="H85" s="26">
        <f>'IS (Before Changes)'!H85-'IS 3Q2022'!H85</f>
        <v>0</v>
      </c>
      <c r="I85" s="16">
        <f>'IS (Before Changes)'!I85-'IS 3Q2022'!I85</f>
        <v>0</v>
      </c>
      <c r="J85" s="16">
        <f>'IS (Before Changes)'!J85-'IS 3Q2022'!J85</f>
        <v>0</v>
      </c>
      <c r="K85" s="16">
        <f>'IS (Before Changes)'!K85-'IS 3Q2022'!K85</f>
        <v>0</v>
      </c>
      <c r="L85" s="16">
        <f>'IS (Before Changes)'!L85-'IS 3Q2022'!L85</f>
        <v>0</v>
      </c>
      <c r="M85" s="6">
        <f>'IS (Before Changes)'!M85-'IS 3Q2022'!M85</f>
        <v>0</v>
      </c>
      <c r="N85" s="16">
        <f>'IS (Before Changes)'!N85-'IS 3Q2022'!N85</f>
        <v>0</v>
      </c>
      <c r="O85" s="16">
        <f>'IS (Before Changes)'!O85-'IS 3Q2022'!O85</f>
        <v>0</v>
      </c>
      <c r="P85" s="16">
        <f>'IS (Before Changes)'!P85-'IS 3Q2022'!P85</f>
        <v>0</v>
      </c>
      <c r="Q85" s="16">
        <f>'IS (Before Changes)'!Q85-'IS 3Q2022'!Q85</f>
        <v>0</v>
      </c>
      <c r="R85" s="6">
        <f>'IS (Before Changes)'!R85-'IS 3Q2022'!R85</f>
        <v>0</v>
      </c>
      <c r="S85" s="16">
        <f>'IS (Before Changes)'!S85-'IS 3Q2022'!S85</f>
        <v>0</v>
      </c>
      <c r="T85" s="16">
        <f>'IS (Before Changes)'!T85-'IS 3Q2022'!T85</f>
        <v>0</v>
      </c>
      <c r="U85" s="16">
        <f>'IS (Before Changes)'!U85-'IS 3Q2022'!U85</f>
        <v>0</v>
      </c>
      <c r="V85" s="16">
        <f>'IS (Before Changes)'!V85-'IS 3Q2022'!V85</f>
        <v>24</v>
      </c>
      <c r="W85" s="130">
        <f>'IS (Before Changes)'!W85-'IS 3Q2022'!W85</f>
        <v>0</v>
      </c>
      <c r="X85" s="16">
        <f>'IS (Before Changes)'!X85-'IS 3Q2022'!X85</f>
        <v>48</v>
      </c>
      <c r="Y85" s="16">
        <f>'IS (Before Changes)'!Y85-'IS 3Q2022'!Y85</f>
        <v>48</v>
      </c>
      <c r="Z85" s="16">
        <f>'IS (Before Changes)'!Z85-'IS 3Q2022'!Z85</f>
        <v>48</v>
      </c>
      <c r="AA85" s="16">
        <f>'IS (Before Changes)'!AA85-'IS 3Q2022'!AA85</f>
        <v>48</v>
      </c>
      <c r="AB85" s="6">
        <f>'IS (Before Changes)'!AB85-'IS 3Q2022'!AB85</f>
        <v>0</v>
      </c>
      <c r="AC85" s="16">
        <f>'IS (Before Changes)'!AC85-'IS 3Q2022'!AC85</f>
        <v>48</v>
      </c>
      <c r="AD85" s="16">
        <f>'IS (Before Changes)'!AD85-'IS 3Q2022'!AD85</f>
        <v>48</v>
      </c>
      <c r="AE85" s="16">
        <f>'IS (Before Changes)'!AE85-'IS 3Q2022'!AE85</f>
        <v>48</v>
      </c>
      <c r="AF85" s="16">
        <f>'IS (Before Changes)'!AF85-'IS 3Q2022'!AF85</f>
        <v>48</v>
      </c>
      <c r="AG85" s="6">
        <f>'IS (Before Changes)'!AG85-'IS 3Q2022'!AG85</f>
        <v>0</v>
      </c>
      <c r="AH85" s="16">
        <f>'IS (Before Changes)'!AH85-'IS 3Q2022'!AH85</f>
        <v>48</v>
      </c>
      <c r="AI85" s="16">
        <f>'IS (Before Changes)'!AI85-'IS 3Q2022'!AI85</f>
        <v>48</v>
      </c>
      <c r="AJ85" s="16">
        <f>'IS (Before Changes)'!AJ85-'IS 3Q2022'!AJ85</f>
        <v>48</v>
      </c>
      <c r="AK85" s="16">
        <f>'IS (Before Changes)'!AK85-'IS 3Q2022'!AK85</f>
        <v>48</v>
      </c>
      <c r="AL85" s="6">
        <f>'IS (Before Changes)'!AL85-'IS 3Q2022'!AL85</f>
        <v>0</v>
      </c>
      <c r="AM85" s="16">
        <f>'IS (Before Changes)'!AM85-'IS 3Q2022'!AM85</f>
        <v>48</v>
      </c>
      <c r="AN85" s="16">
        <f>'IS (Before Changes)'!AN85-'IS 3Q2022'!AN85</f>
        <v>48</v>
      </c>
      <c r="AO85" s="16">
        <f>'IS (Before Changes)'!AO85-'IS 3Q2022'!AO85</f>
        <v>48</v>
      </c>
      <c r="AP85" s="16">
        <f>'IS (Before Changes)'!AP85-'IS 3Q2022'!AP85</f>
        <v>48</v>
      </c>
      <c r="AQ85" s="6">
        <f>'IS (Before Changes)'!AQ85-'IS 3Q2022'!AQ85</f>
        <v>0</v>
      </c>
      <c r="AR85" s="16">
        <f>'IS (Before Changes)'!AR85-'IS 3Q2022'!AR85</f>
        <v>48</v>
      </c>
      <c r="AS85" s="16">
        <f>'IS (Before Changes)'!AS85-'IS 3Q2022'!AS85</f>
        <v>48</v>
      </c>
      <c r="AT85" s="16">
        <f>'IS (Before Changes)'!AT85-'IS 3Q2022'!AT85</f>
        <v>48</v>
      </c>
      <c r="AU85" s="16">
        <f>'IS (Before Changes)'!AU85-'IS 3Q2022'!AU85</f>
        <v>48</v>
      </c>
      <c r="AV85" s="6">
        <f>'IS (Before Changes)'!AV85-'IS 3Q2022'!AV85</f>
        <v>0</v>
      </c>
    </row>
    <row r="86" spans="1:48" outlineLevel="1" x14ac:dyDescent="0.3">
      <c r="B86" s="180" t="s">
        <v>48</v>
      </c>
      <c r="C86" s="201"/>
      <c r="D86" s="43">
        <f>'IS (Before Changes)'!D86-'IS 3Q2022'!D86</f>
        <v>0</v>
      </c>
      <c r="E86" s="114">
        <f>'IS (Before Changes)'!E86-'IS 3Q2022'!E86</f>
        <v>0</v>
      </c>
      <c r="F86" s="114">
        <f>'IS (Before Changes)'!F86-'IS 3Q2022'!F86</f>
        <v>0</v>
      </c>
      <c r="G86" s="114">
        <f>'IS (Before Changes)'!G86-'IS 3Q2022'!G86</f>
        <v>0</v>
      </c>
      <c r="H86" s="26">
        <f>'IS (Before Changes)'!H86-'IS 3Q2022'!H86</f>
        <v>0</v>
      </c>
      <c r="I86" s="114">
        <f>'IS (Before Changes)'!I86-'IS 3Q2022'!I86</f>
        <v>0</v>
      </c>
      <c r="J86" s="114">
        <f>'IS (Before Changes)'!J86-'IS 3Q2022'!J86</f>
        <v>0</v>
      </c>
      <c r="K86" s="114">
        <f>'IS (Before Changes)'!K86-'IS 3Q2022'!K86</f>
        <v>0</v>
      </c>
      <c r="L86" s="114">
        <f>'IS (Before Changes)'!L86-'IS 3Q2022'!L86</f>
        <v>0</v>
      </c>
      <c r="M86" s="6">
        <f>'IS (Before Changes)'!M86-'IS 3Q2022'!M86</f>
        <v>0</v>
      </c>
      <c r="N86" s="114">
        <f>'IS (Before Changes)'!N86-'IS 3Q2022'!N86</f>
        <v>0</v>
      </c>
      <c r="O86" s="114">
        <f>'IS (Before Changes)'!O86-'IS 3Q2022'!O86</f>
        <v>0</v>
      </c>
      <c r="P86" s="114">
        <f>'IS (Before Changes)'!P86-'IS 3Q2022'!P86</f>
        <v>0</v>
      </c>
      <c r="Q86" s="114">
        <f>'IS (Before Changes)'!Q86-'IS 3Q2022'!Q86</f>
        <v>0</v>
      </c>
      <c r="R86" s="6">
        <f>'IS (Before Changes)'!R86-'IS 3Q2022'!R86</f>
        <v>0</v>
      </c>
      <c r="S86" s="114">
        <f>'IS (Before Changes)'!S86-'IS 3Q2022'!S86</f>
        <v>0</v>
      </c>
      <c r="T86" s="114">
        <f>'IS (Before Changes)'!T86-'IS 3Q2022'!T86</f>
        <v>0</v>
      </c>
      <c r="U86" s="114">
        <f>'IS (Before Changes)'!U86-'IS 3Q2022'!U86</f>
        <v>0</v>
      </c>
      <c r="V86" s="62">
        <f>'IS (Before Changes)'!V86-'IS 3Q2022'!V86</f>
        <v>1.6295982417214375E-3</v>
      </c>
      <c r="W86" s="130">
        <f>'IS (Before Changes)'!W86-'IS 3Q2022'!W86</f>
        <v>0</v>
      </c>
      <c r="X86" s="62">
        <f>'IS (Before Changes)'!X86-'IS 3Q2022'!X86</f>
        <v>0</v>
      </c>
      <c r="Y86" s="62">
        <f>'IS (Before Changes)'!Y86-'IS 3Q2022'!Y86</f>
        <v>0</v>
      </c>
      <c r="Z86" s="62">
        <f>'IS (Before Changes)'!Z86-'IS 3Q2022'!Z86</f>
        <v>0</v>
      </c>
      <c r="AA86" s="62">
        <f>'IS (Before Changes)'!AA86-'IS 3Q2022'!AA86</f>
        <v>1.9555178900657263E-3</v>
      </c>
      <c r="AB86" s="6">
        <f>'IS (Before Changes)'!AB86-'IS 3Q2022'!AB86</f>
        <v>0</v>
      </c>
      <c r="AC86" s="62">
        <f>'IS (Before Changes)'!AC86-'IS 3Q2022'!AC86</f>
        <v>0</v>
      </c>
      <c r="AD86" s="62">
        <f>'IS (Before Changes)'!AD86-'IS 3Q2022'!AD86</f>
        <v>0</v>
      </c>
      <c r="AE86" s="62">
        <f>'IS (Before Changes)'!AE86-'IS 3Q2022'!AE86</f>
        <v>0</v>
      </c>
      <c r="AF86" s="62">
        <f>'IS (Before Changes)'!AF86-'IS 3Q2022'!AF86</f>
        <v>2.0532937845690116E-3</v>
      </c>
      <c r="AG86" s="6">
        <f>'IS (Before Changes)'!AG86-'IS 3Q2022'!AG86</f>
        <v>0</v>
      </c>
      <c r="AH86" s="62">
        <f>'IS (Before Changes)'!AH86-'IS 3Q2022'!AH86</f>
        <v>0</v>
      </c>
      <c r="AI86" s="62">
        <f>'IS (Before Changes)'!AI86-'IS 3Q2022'!AI86</f>
        <v>0</v>
      </c>
      <c r="AJ86" s="62">
        <f>'IS (Before Changes)'!AJ86-'IS 3Q2022'!AJ86</f>
        <v>0</v>
      </c>
      <c r="AK86" s="62">
        <f>'IS (Before Changes)'!AK86-'IS 3Q2022'!AK86</f>
        <v>2.155958473797466E-3</v>
      </c>
      <c r="AL86" s="6">
        <f>'IS (Before Changes)'!AL86-'IS 3Q2022'!AL86</f>
        <v>0</v>
      </c>
      <c r="AM86" s="62">
        <f>'IS (Before Changes)'!AM86-'IS 3Q2022'!AM86</f>
        <v>0</v>
      </c>
      <c r="AN86" s="62">
        <f>'IS (Before Changes)'!AN86-'IS 3Q2022'!AN86</f>
        <v>0</v>
      </c>
      <c r="AO86" s="62">
        <f>'IS (Before Changes)'!AO86-'IS 3Q2022'!AO86</f>
        <v>0</v>
      </c>
      <c r="AP86" s="62">
        <f>'IS (Before Changes)'!AP86-'IS 3Q2022'!AP86</f>
        <v>2.2637563974873404E-3</v>
      </c>
      <c r="AQ86" s="6">
        <f>'IS (Before Changes)'!AQ86-'IS 3Q2022'!AQ86</f>
        <v>0</v>
      </c>
      <c r="AR86" s="62">
        <f>'IS (Before Changes)'!AR86-'IS 3Q2022'!AR86</f>
        <v>0</v>
      </c>
      <c r="AS86" s="62">
        <f>'IS (Before Changes)'!AS86-'IS 3Q2022'!AS86</f>
        <v>0</v>
      </c>
      <c r="AT86" s="62">
        <f>'IS (Before Changes)'!AT86-'IS 3Q2022'!AT86</f>
        <v>0</v>
      </c>
      <c r="AU86" s="62">
        <f>'IS (Before Changes)'!AU86-'IS 3Q2022'!AU86</f>
        <v>2.3316690894119585E-3</v>
      </c>
      <c r="AV86" s="6">
        <f>'IS (Before Changes)'!AV86-'IS 3Q2022'!AV86</f>
        <v>0</v>
      </c>
    </row>
    <row r="87" spans="1:48" s="8" customFormat="1" outlineLevel="1" x14ac:dyDescent="0.3">
      <c r="B87" s="498" t="s">
        <v>118</v>
      </c>
      <c r="C87" s="499"/>
      <c r="D87" s="115">
        <f>'IS (Before Changes)'!D87-'IS 3Q2022'!D87</f>
        <v>0</v>
      </c>
      <c r="E87" s="115">
        <f>'IS (Before Changes)'!E87-'IS 3Q2022'!E87</f>
        <v>0</v>
      </c>
      <c r="F87" s="115">
        <f>'IS (Before Changes)'!F87-'IS 3Q2022'!F87</f>
        <v>0</v>
      </c>
      <c r="G87" s="115">
        <f>'IS (Before Changes)'!G87-'IS 3Q2022'!G87</f>
        <v>0</v>
      </c>
      <c r="H87" s="73">
        <f>'IS (Before Changes)'!H87-'IS 3Q2022'!H87</f>
        <v>0</v>
      </c>
      <c r="I87" s="115">
        <f>'IS (Before Changes)'!I87-'IS 3Q2022'!I87</f>
        <v>0</v>
      </c>
      <c r="J87" s="115">
        <f>'IS (Before Changes)'!J87-'IS 3Q2022'!J87</f>
        <v>0</v>
      </c>
      <c r="K87" s="115">
        <f>'IS (Before Changes)'!K87-'IS 3Q2022'!K87</f>
        <v>0</v>
      </c>
      <c r="L87" s="72">
        <f>'IS (Before Changes)'!L87-'IS 3Q2022'!L87</f>
        <v>0</v>
      </c>
      <c r="M87" s="73">
        <f>'IS (Before Changes)'!M87-'IS 3Q2022'!M87</f>
        <v>0</v>
      </c>
      <c r="N87" s="72">
        <f>'IS (Before Changes)'!N87-'IS 3Q2022'!N87</f>
        <v>0</v>
      </c>
      <c r="O87" s="72">
        <f>'IS (Before Changes)'!O87-'IS 3Q2022'!O87</f>
        <v>0</v>
      </c>
      <c r="P87" s="72">
        <f>'IS (Before Changes)'!P87-'IS 3Q2022'!P87</f>
        <v>0</v>
      </c>
      <c r="Q87" s="115">
        <f>'IS (Before Changes)'!Q87-'IS 3Q2022'!Q87</f>
        <v>0</v>
      </c>
      <c r="R87" s="73">
        <f>'IS (Before Changes)'!R87-'IS 3Q2022'!R87</f>
        <v>0</v>
      </c>
      <c r="S87" s="72">
        <f>'IS (Before Changes)'!S87-'IS 3Q2022'!S87</f>
        <v>0</v>
      </c>
      <c r="T87" s="72">
        <f>'IS (Before Changes)'!T87-'IS 3Q2022'!T87</f>
        <v>0</v>
      </c>
      <c r="U87" s="72">
        <f>'IS (Before Changes)'!U87-'IS 3Q2022'!U87</f>
        <v>0</v>
      </c>
      <c r="V87" s="72">
        <f>'IS (Before Changes)'!V87-'IS 3Q2022'!V87</f>
        <v>17.682031162425801</v>
      </c>
      <c r="W87" s="213">
        <f>'IS (Before Changes)'!W87-'IS 3Q2022'!W87</f>
        <v>17.682031162425801</v>
      </c>
      <c r="X87" s="72">
        <f>'IS (Before Changes)'!X87-'IS 3Q2022'!X87</f>
        <v>1.9604898622897053</v>
      </c>
      <c r="Y87" s="72">
        <f>'IS (Before Changes)'!Y87-'IS 3Q2022'!Y87</f>
        <v>1.9668012561687078</v>
      </c>
      <c r="Z87" s="72">
        <f>'IS (Before Changes)'!Z87-'IS 3Q2022'!Z87</f>
        <v>2.3416848950635085</v>
      </c>
      <c r="AA87" s="72">
        <f>'IS (Before Changes)'!AA87-'IS 3Q2022'!AA87</f>
        <v>24.144960446147138</v>
      </c>
      <c r="AB87" s="73">
        <f>'IS (Before Changes)'!AB87-'IS 3Q2022'!AB87</f>
        <v>30.41393645966923</v>
      </c>
      <c r="AC87" s="72">
        <f>'IS (Before Changes)'!AC87-'IS 3Q2022'!AC87</f>
        <v>2.0585143554042702</v>
      </c>
      <c r="AD87" s="72">
        <f>'IS (Before Changes)'!AD87-'IS 3Q2022'!AD87</f>
        <v>2.065141318977112</v>
      </c>
      <c r="AE87" s="72">
        <f>'IS (Before Changes)'!AE87-'IS 3Q2022'!AE87</f>
        <v>2.4587691398166953</v>
      </c>
      <c r="AF87" s="72">
        <f>'IS (Before Changes)'!AF87-'IS 3Q2022'!AF87</f>
        <v>27.35211661462472</v>
      </c>
      <c r="AG87" s="73">
        <f>'IS (Before Changes)'!AG87-'IS 3Q2022'!AG87</f>
        <v>33.93454142882274</v>
      </c>
      <c r="AH87" s="72">
        <f>'IS (Before Changes)'!AH87-'IS 3Q2022'!AH87</f>
        <v>2.1614400731743899</v>
      </c>
      <c r="AI87" s="72">
        <f>'IS (Before Changes)'!AI87-'IS 3Q2022'!AI87</f>
        <v>2.1683983849259221</v>
      </c>
      <c r="AJ87" s="72">
        <f>'IS (Before Changes)'!AJ87-'IS 3Q2022'!AJ87</f>
        <v>2.5817075968075187</v>
      </c>
      <c r="AK87" s="72">
        <f>'IS (Before Changes)'!AK87-'IS 3Q2022'!AK87</f>
        <v>30.895084545417603</v>
      </c>
      <c r="AL87" s="73">
        <f>'IS (Before Changes)'!AL87-'IS 3Q2022'!AL87</f>
        <v>37.806630600325207</v>
      </c>
      <c r="AM87" s="72">
        <f>'IS (Before Changes)'!AM87-'IS 3Q2022'!AM87</f>
        <v>2.2695120768331662</v>
      </c>
      <c r="AN87" s="72">
        <f>'IS (Before Changes)'!AN87-'IS 3Q2022'!AN87</f>
        <v>2.2768183041722523</v>
      </c>
      <c r="AO87" s="72">
        <f>'IS (Before Changes)'!AO87-'IS 3Q2022'!AO87</f>
        <v>2.7107929766480083</v>
      </c>
      <c r="AP87" s="72">
        <f>'IS (Before Changes)'!AP87-'IS 3Q2022'!AP87</f>
        <v>33.234417268206585</v>
      </c>
      <c r="AQ87" s="73">
        <f>'IS (Before Changes)'!AQ87-'IS 3Q2022'!AQ87</f>
        <v>40.49154062586058</v>
      </c>
      <c r="AR87" s="72">
        <f>'IS (Before Changes)'!AR87-'IS 3Q2022'!AR87</f>
        <v>2.3375974391381078</v>
      </c>
      <c r="AS87" s="72">
        <f>'IS (Before Changes)'!AS87-'IS 3Q2022'!AS87</f>
        <v>2.3451228532974255</v>
      </c>
      <c r="AT87" s="72">
        <f>'IS (Before Changes)'!AT87-'IS 3Q2022'!AT87</f>
        <v>2.7921167659472985</v>
      </c>
      <c r="AU87" s="72">
        <f>'IS (Before Changes)'!AU87-'IS 3Q2022'!AU87</f>
        <v>34.828357073142229</v>
      </c>
      <c r="AV87" s="73">
        <f>'IS (Before Changes)'!AV87-'IS 3Q2022'!AV87</f>
        <v>42.303194131525288</v>
      </c>
    </row>
    <row r="88" spans="1:48" s="8" customFormat="1" outlineLevel="1" x14ac:dyDescent="0.3">
      <c r="B88" s="500" t="s">
        <v>119</v>
      </c>
      <c r="C88" s="501"/>
      <c r="D88" s="103">
        <f>'IS (Before Changes)'!D88-'IS 3Q2022'!D88</f>
        <v>0</v>
      </c>
      <c r="E88" s="103">
        <f>'IS (Before Changes)'!E88-'IS 3Q2022'!E88</f>
        <v>0</v>
      </c>
      <c r="F88" s="103">
        <f>'IS (Before Changes)'!F88-'IS 3Q2022'!F88</f>
        <v>0</v>
      </c>
      <c r="G88" s="103">
        <f>'IS (Before Changes)'!G88-'IS 3Q2022'!G88</f>
        <v>0</v>
      </c>
      <c r="H88" s="97">
        <f>'IS (Before Changes)'!H88-'IS 3Q2022'!H88</f>
        <v>0</v>
      </c>
      <c r="I88" s="103">
        <f>'IS (Before Changes)'!I88-'IS 3Q2022'!I88</f>
        <v>0</v>
      </c>
      <c r="J88" s="103">
        <f>'IS (Before Changes)'!J88-'IS 3Q2022'!J88</f>
        <v>0</v>
      </c>
      <c r="K88" s="103">
        <f>'IS (Before Changes)'!K88-'IS 3Q2022'!K88</f>
        <v>0</v>
      </c>
      <c r="L88" s="50">
        <f>'IS (Before Changes)'!L88-'IS 3Q2022'!L88</f>
        <v>0</v>
      </c>
      <c r="M88" s="97">
        <f>'IS (Before Changes)'!M88-'IS 3Q2022'!M88</f>
        <v>0</v>
      </c>
      <c r="N88" s="50">
        <f>'IS (Before Changes)'!N88-'IS 3Q2022'!N88</f>
        <v>0</v>
      </c>
      <c r="O88" s="50">
        <f>'IS (Before Changes)'!O88-'IS 3Q2022'!O88</f>
        <v>0</v>
      </c>
      <c r="P88" s="50">
        <f>'IS (Before Changes)'!P88-'IS 3Q2022'!P88</f>
        <v>0</v>
      </c>
      <c r="Q88" s="103">
        <f>'IS (Before Changes)'!Q88-'IS 3Q2022'!Q88</f>
        <v>0</v>
      </c>
      <c r="R88" s="97">
        <f>'IS (Before Changes)'!R88-'IS 3Q2022'!R88</f>
        <v>0</v>
      </c>
      <c r="S88" s="50">
        <f>'IS (Before Changes)'!S88-'IS 3Q2022'!S88</f>
        <v>0</v>
      </c>
      <c r="T88" s="50">
        <f>'IS (Before Changes)'!T88-'IS 3Q2022'!T88</f>
        <v>0</v>
      </c>
      <c r="U88" s="50">
        <f>'IS (Before Changes)'!U88-'IS 3Q2022'!U88</f>
        <v>0</v>
      </c>
      <c r="V88" s="50">
        <f>'IS (Before Changes)'!V88-'IS 3Q2022'!V88</f>
        <v>-1.0180000000000007</v>
      </c>
      <c r="W88" s="132">
        <f>'IS (Before Changes)'!W88-'IS 3Q2022'!W88</f>
        <v>-1.0180000000000007</v>
      </c>
      <c r="X88" s="50">
        <f>'IS (Before Changes)'!X88-'IS 3Q2022'!X88</f>
        <v>0</v>
      </c>
      <c r="Y88" s="50">
        <f>'IS (Before Changes)'!Y88-'IS 3Q2022'!Y88</f>
        <v>0</v>
      </c>
      <c r="Z88" s="50">
        <f>'IS (Before Changes)'!Z88-'IS 3Q2022'!Z88</f>
        <v>0</v>
      </c>
      <c r="AA88" s="50">
        <f>'IS (Before Changes)'!AA88-'IS 3Q2022'!AA88</f>
        <v>-1.0689000000000011</v>
      </c>
      <c r="AB88" s="97">
        <f>'IS (Before Changes)'!AB88-'IS 3Q2022'!AB88</f>
        <v>-1.0689000000000135</v>
      </c>
      <c r="AC88" s="50">
        <f>'IS (Before Changes)'!AC88-'IS 3Q2022'!AC88</f>
        <v>0</v>
      </c>
      <c r="AD88" s="50">
        <f>'IS (Before Changes)'!AD88-'IS 3Q2022'!AD88</f>
        <v>0</v>
      </c>
      <c r="AE88" s="50">
        <f>'IS (Before Changes)'!AE88-'IS 3Q2022'!AE88</f>
        <v>0</v>
      </c>
      <c r="AF88" s="50">
        <f>'IS (Before Changes)'!AF88-'IS 3Q2022'!AF88</f>
        <v>-1.2826800000000009</v>
      </c>
      <c r="AG88" s="97">
        <f>'IS (Before Changes)'!AG88-'IS 3Q2022'!AG88</f>
        <v>-1.2826799999999992</v>
      </c>
      <c r="AH88" s="50">
        <f>'IS (Before Changes)'!AH88-'IS 3Q2022'!AH88</f>
        <v>0</v>
      </c>
      <c r="AI88" s="50">
        <f>'IS (Before Changes)'!AI88-'IS 3Q2022'!AI88</f>
        <v>0</v>
      </c>
      <c r="AJ88" s="50">
        <f>'IS (Before Changes)'!AJ88-'IS 3Q2022'!AJ88</f>
        <v>0</v>
      </c>
      <c r="AK88" s="50">
        <f>'IS (Before Changes)'!AK88-'IS 3Q2022'!AK88</f>
        <v>-1.6033500000000025</v>
      </c>
      <c r="AL88" s="97">
        <f>'IS (Before Changes)'!AL88-'IS 3Q2022'!AL88</f>
        <v>-1.6033499999999918</v>
      </c>
      <c r="AM88" s="50">
        <f>'IS (Before Changes)'!AM88-'IS 3Q2022'!AM88</f>
        <v>0</v>
      </c>
      <c r="AN88" s="50">
        <f>'IS (Before Changes)'!AN88-'IS 3Q2022'!AN88</f>
        <v>0</v>
      </c>
      <c r="AO88" s="50">
        <f>'IS (Before Changes)'!AO88-'IS 3Q2022'!AO88</f>
        <v>0</v>
      </c>
      <c r="AP88" s="50">
        <f>'IS (Before Changes)'!AP88-'IS 3Q2022'!AP88</f>
        <v>-1.7636850000000024</v>
      </c>
      <c r="AQ88" s="97">
        <f>'IS (Before Changes)'!AQ88-'IS 3Q2022'!AQ88</f>
        <v>-1.7636849999999953</v>
      </c>
      <c r="AR88" s="50">
        <f>'IS (Before Changes)'!AR88-'IS 3Q2022'!AR88</f>
        <v>0</v>
      </c>
      <c r="AS88" s="50">
        <f>'IS (Before Changes)'!AS88-'IS 3Q2022'!AS88</f>
        <v>0</v>
      </c>
      <c r="AT88" s="50">
        <f>'IS (Before Changes)'!AT88-'IS 3Q2022'!AT88</f>
        <v>0</v>
      </c>
      <c r="AU88" s="50">
        <f>'IS (Before Changes)'!AU88-'IS 3Q2022'!AU88</f>
        <v>-1.85186925</v>
      </c>
      <c r="AV88" s="97">
        <f>'IS (Before Changes)'!AV88-'IS 3Q2022'!AV88</f>
        <v>-1.8518692499999929</v>
      </c>
    </row>
    <row r="89" spans="1:48" outlineLevel="1" x14ac:dyDescent="0.3">
      <c r="B89" s="69" t="s">
        <v>50</v>
      </c>
      <c r="C89" s="70"/>
      <c r="D89" s="120">
        <f>'IS (Before Changes)'!D89-'IS 3Q2022'!D89</f>
        <v>0</v>
      </c>
      <c r="E89" s="120">
        <f>'IS (Before Changes)'!E89-'IS 3Q2022'!E89</f>
        <v>0</v>
      </c>
      <c r="F89" s="120">
        <f>'IS (Before Changes)'!F89-'IS 3Q2022'!F89</f>
        <v>0</v>
      </c>
      <c r="G89" s="120">
        <f>'IS (Before Changes)'!G89-'IS 3Q2022'!G89</f>
        <v>0</v>
      </c>
      <c r="H89" s="58">
        <f>'IS (Before Changes)'!H89-'IS 3Q2022'!H89</f>
        <v>0</v>
      </c>
      <c r="I89" s="120">
        <f>'IS (Before Changes)'!I89-'IS 3Q2022'!I89</f>
        <v>0</v>
      </c>
      <c r="J89" s="120">
        <f>'IS (Before Changes)'!J89-'IS 3Q2022'!J89</f>
        <v>0</v>
      </c>
      <c r="K89" s="120">
        <f>'IS (Before Changes)'!K89-'IS 3Q2022'!K89</f>
        <v>0</v>
      </c>
      <c r="L89" s="120">
        <f>'IS (Before Changes)'!L89-'IS 3Q2022'!L89</f>
        <v>0</v>
      </c>
      <c r="M89" s="58">
        <f>'IS (Before Changes)'!M89-'IS 3Q2022'!M89</f>
        <v>0</v>
      </c>
      <c r="N89" s="120">
        <f>'IS (Before Changes)'!N89-'IS 3Q2022'!N89</f>
        <v>0</v>
      </c>
      <c r="O89" s="120">
        <f>'IS (Before Changes)'!O89-'IS 3Q2022'!O89</f>
        <v>0</v>
      </c>
      <c r="P89" s="120">
        <f>'IS (Before Changes)'!P89-'IS 3Q2022'!P89</f>
        <v>0</v>
      </c>
      <c r="Q89" s="120">
        <f>'IS (Before Changes)'!Q89-'IS 3Q2022'!Q89</f>
        <v>0</v>
      </c>
      <c r="R89" s="58">
        <f>'IS (Before Changes)'!R89-'IS 3Q2022'!R89</f>
        <v>0</v>
      </c>
      <c r="S89" s="120">
        <f>'IS (Before Changes)'!S89-'IS 3Q2022'!S89</f>
        <v>0</v>
      </c>
      <c r="T89" s="120">
        <f>'IS (Before Changes)'!T89-'IS 3Q2022'!T89</f>
        <v>0</v>
      </c>
      <c r="U89" s="120">
        <f>'IS (Before Changes)'!U89-'IS 3Q2022'!U89</f>
        <v>0</v>
      </c>
      <c r="V89" s="71">
        <f>'IS (Before Changes)'!V89-'IS 3Q2022'!V89</f>
        <v>-6.1325301204819382E-2</v>
      </c>
      <c r="W89" s="155">
        <f>'IS (Before Changes)'!W89-'IS 3Q2022'!W89</f>
        <v>0</v>
      </c>
      <c r="X89" s="71">
        <f>'IS (Before Changes)'!X89-'IS 3Q2022'!X89</f>
        <v>0</v>
      </c>
      <c r="Y89" s="71">
        <f>'IS (Before Changes)'!Y89-'IS 3Q2022'!Y89</f>
        <v>0</v>
      </c>
      <c r="Z89" s="71">
        <f>'IS (Before Changes)'!Z89-'IS 3Q2022'!Z89</f>
        <v>0</v>
      </c>
      <c r="AA89" s="71">
        <f>'IS (Before Changes)'!AA89-'IS 3Q2022'!AA89</f>
        <v>0</v>
      </c>
      <c r="AB89" s="58">
        <f>'IS (Before Changes)'!AB89-'IS 3Q2022'!AB89</f>
        <v>0</v>
      </c>
      <c r="AC89" s="71">
        <f>'IS (Before Changes)'!AC89-'IS 3Q2022'!AC89</f>
        <v>0</v>
      </c>
      <c r="AD89" s="71">
        <f>'IS (Before Changes)'!AD89-'IS 3Q2022'!AD89</f>
        <v>0</v>
      </c>
      <c r="AE89" s="71">
        <f>'IS (Before Changes)'!AE89-'IS 3Q2022'!AE89</f>
        <v>0</v>
      </c>
      <c r="AF89" s="71">
        <f>'IS (Before Changes)'!AF89-'IS 3Q2022'!AF89</f>
        <v>0</v>
      </c>
      <c r="AG89" s="58">
        <f>'IS (Before Changes)'!AG89-'IS 3Q2022'!AG89</f>
        <v>0</v>
      </c>
      <c r="AH89" s="71">
        <f>'IS (Before Changes)'!AH89-'IS 3Q2022'!AH89</f>
        <v>0</v>
      </c>
      <c r="AI89" s="71">
        <f>'IS (Before Changes)'!AI89-'IS 3Q2022'!AI89</f>
        <v>0</v>
      </c>
      <c r="AJ89" s="71">
        <f>'IS (Before Changes)'!AJ89-'IS 3Q2022'!AJ89</f>
        <v>0</v>
      </c>
      <c r="AK89" s="71">
        <f>'IS (Before Changes)'!AK89-'IS 3Q2022'!AK89</f>
        <v>0</v>
      </c>
      <c r="AL89" s="58">
        <f>'IS (Before Changes)'!AL89-'IS 3Q2022'!AL89</f>
        <v>0</v>
      </c>
      <c r="AM89" s="71">
        <f>'IS (Before Changes)'!AM89-'IS 3Q2022'!AM89</f>
        <v>0</v>
      </c>
      <c r="AN89" s="71">
        <f>'IS (Before Changes)'!AN89-'IS 3Q2022'!AN89</f>
        <v>0</v>
      </c>
      <c r="AO89" s="71">
        <f>'IS (Before Changes)'!AO89-'IS 3Q2022'!AO89</f>
        <v>0</v>
      </c>
      <c r="AP89" s="71">
        <f>'IS (Before Changes)'!AP89-'IS 3Q2022'!AP89</f>
        <v>0</v>
      </c>
      <c r="AQ89" s="58">
        <f>'IS (Before Changes)'!AQ89-'IS 3Q2022'!AQ89</f>
        <v>0</v>
      </c>
      <c r="AR89" s="71">
        <f>'IS (Before Changes)'!AR89-'IS 3Q2022'!AR89</f>
        <v>0</v>
      </c>
      <c r="AS89" s="71">
        <f>'IS (Before Changes)'!AS89-'IS 3Q2022'!AS89</f>
        <v>0</v>
      </c>
      <c r="AT89" s="71">
        <f>'IS (Before Changes)'!AT89-'IS 3Q2022'!AT89</f>
        <v>0</v>
      </c>
      <c r="AU89" s="71">
        <f>'IS (Before Changes)'!AU89-'IS 3Q2022'!AU89</f>
        <v>0</v>
      </c>
      <c r="AV89" s="58">
        <f>'IS (Before Changes)'!AV89-'IS 3Q2022'!AV89</f>
        <v>0</v>
      </c>
    </row>
    <row r="90" spans="1:48" outlineLevel="1" x14ac:dyDescent="0.3">
      <c r="B90" s="180" t="s">
        <v>120</v>
      </c>
      <c r="C90" s="207"/>
      <c r="D90" s="101">
        <f>'IS (Before Changes)'!D90-'IS 3Q2022'!D90</f>
        <v>0</v>
      </c>
      <c r="E90" s="101">
        <f>'IS (Before Changes)'!E90-'IS 3Q2022'!E90</f>
        <v>0</v>
      </c>
      <c r="F90" s="101">
        <f>'IS (Before Changes)'!F90-'IS 3Q2022'!F90</f>
        <v>0</v>
      </c>
      <c r="G90" s="101">
        <f>'IS (Before Changes)'!G90-'IS 3Q2022'!G90</f>
        <v>0</v>
      </c>
      <c r="H90" s="6">
        <f>'IS (Before Changes)'!H90-'IS 3Q2022'!H90</f>
        <v>0</v>
      </c>
      <c r="I90" s="101">
        <f>'IS (Before Changes)'!I90-'IS 3Q2022'!I90</f>
        <v>0</v>
      </c>
      <c r="J90" s="101">
        <f>'IS (Before Changes)'!J90-'IS 3Q2022'!J90</f>
        <v>0</v>
      </c>
      <c r="K90" s="101">
        <f>'IS (Before Changes)'!K90-'IS 3Q2022'!K90</f>
        <v>0</v>
      </c>
      <c r="L90" s="16">
        <f>'IS (Before Changes)'!L90-'IS 3Q2022'!L90</f>
        <v>0</v>
      </c>
      <c r="M90" s="6">
        <f>'IS (Before Changes)'!M90-'IS 3Q2022'!M90</f>
        <v>0</v>
      </c>
      <c r="N90" s="16">
        <f>'IS (Before Changes)'!N90-'IS 3Q2022'!N90</f>
        <v>0</v>
      </c>
      <c r="O90" s="16">
        <f>'IS (Before Changes)'!O90-'IS 3Q2022'!O90</f>
        <v>0</v>
      </c>
      <c r="P90" s="16">
        <f>'IS (Before Changes)'!P90-'IS 3Q2022'!P90</f>
        <v>0</v>
      </c>
      <c r="Q90" s="16">
        <f>'IS (Before Changes)'!Q90-'IS 3Q2022'!Q90</f>
        <v>0</v>
      </c>
      <c r="R90" s="6">
        <f>'IS (Before Changes)'!R90-'IS 3Q2022'!R90</f>
        <v>0</v>
      </c>
      <c r="S90" s="16">
        <f>'IS (Before Changes)'!S90-'IS 3Q2022'!S90</f>
        <v>0</v>
      </c>
      <c r="T90" s="16">
        <f>'IS (Before Changes)'!T90-'IS 3Q2022'!T90</f>
        <v>0</v>
      </c>
      <c r="U90" s="16">
        <f>'IS (Before Changes)'!U90-'IS 3Q2022'!U90</f>
        <v>0</v>
      </c>
      <c r="V90" s="16">
        <f>'IS (Before Changes)'!V90-'IS 3Q2022'!V90</f>
        <v>118</v>
      </c>
      <c r="W90" s="254">
        <f>'IS (Before Changes)'!W90-'IS 3Q2022'!W90</f>
        <v>6.9383195154936184E-3</v>
      </c>
      <c r="X90" s="16">
        <f>'IS (Before Changes)'!X90-'IS 3Q2022'!X90</f>
        <v>118</v>
      </c>
      <c r="Y90" s="16">
        <f>'IS (Before Changes)'!Y90-'IS 3Q2022'!Y90</f>
        <v>118</v>
      </c>
      <c r="Z90" s="16">
        <f>'IS (Before Changes)'!Z90-'IS 3Q2022'!Z90</f>
        <v>118</v>
      </c>
      <c r="AA90" s="16">
        <f>'IS (Before Changes)'!AA90-'IS 3Q2022'!AA90</f>
        <v>118</v>
      </c>
      <c r="AB90" s="254">
        <f>'IS (Before Changes)'!AB90-'IS 3Q2022'!AB90</f>
        <v>-6.8914113186849257E-4</v>
      </c>
      <c r="AC90" s="16">
        <f>'IS (Before Changes)'!AC90-'IS 3Q2022'!AC90</f>
        <v>118</v>
      </c>
      <c r="AD90" s="16">
        <f>'IS (Before Changes)'!AD90-'IS 3Q2022'!AD90</f>
        <v>118</v>
      </c>
      <c r="AE90" s="16">
        <f>'IS (Before Changes)'!AE90-'IS 3Q2022'!AE90</f>
        <v>118</v>
      </c>
      <c r="AF90" s="16">
        <f>'IS (Before Changes)'!AF90-'IS 3Q2022'!AF90</f>
        <v>118</v>
      </c>
      <c r="AG90" s="254">
        <f>'IS (Before Changes)'!AG90-'IS 3Q2022'!AG90</f>
        <v>-5.8214173780710143E-4</v>
      </c>
      <c r="AH90" s="16">
        <f>'IS (Before Changes)'!AH90-'IS 3Q2022'!AH90</f>
        <v>118</v>
      </c>
      <c r="AI90" s="16">
        <f>'IS (Before Changes)'!AI90-'IS 3Q2022'!AI90</f>
        <v>118</v>
      </c>
      <c r="AJ90" s="16">
        <f>'IS (Before Changes)'!AJ90-'IS 3Q2022'!AJ90</f>
        <v>118</v>
      </c>
      <c r="AK90" s="16">
        <f>'IS (Before Changes)'!AK90-'IS 3Q2022'!AK90</f>
        <v>118</v>
      </c>
      <c r="AL90" s="254">
        <f>'IS (Before Changes)'!AL90-'IS 3Q2022'!AL90</f>
        <v>-4.9809609387788112E-4</v>
      </c>
      <c r="AM90" s="16">
        <f>'IS (Before Changes)'!AM90-'IS 3Q2022'!AM90</f>
        <v>118</v>
      </c>
      <c r="AN90" s="16">
        <f>'IS (Before Changes)'!AN90-'IS 3Q2022'!AN90</f>
        <v>118</v>
      </c>
      <c r="AO90" s="16">
        <f>'IS (Before Changes)'!AO90-'IS 3Q2022'!AO90</f>
        <v>118</v>
      </c>
      <c r="AP90" s="16">
        <f>'IS (Before Changes)'!AP90-'IS 3Q2022'!AP90</f>
        <v>118</v>
      </c>
      <c r="AQ90" s="254">
        <f>'IS (Before Changes)'!AQ90-'IS 3Q2022'!AQ90</f>
        <v>-1.5287495461295542E-4</v>
      </c>
      <c r="AR90" s="16">
        <f>'IS (Before Changes)'!AR90-'IS 3Q2022'!AR90</f>
        <v>118</v>
      </c>
      <c r="AS90" s="16">
        <f>'IS (Before Changes)'!AS90-'IS 3Q2022'!AS90</f>
        <v>118</v>
      </c>
      <c r="AT90" s="16">
        <f>'IS (Before Changes)'!AT90-'IS 3Q2022'!AT90</f>
        <v>118</v>
      </c>
      <c r="AU90" s="16">
        <f>'IS (Before Changes)'!AU90-'IS 3Q2022'!AU90</f>
        <v>118</v>
      </c>
      <c r="AV90" s="254">
        <f>'IS (Before Changes)'!AV90-'IS 3Q2022'!AV90</f>
        <v>-1.4362278200318046E-4</v>
      </c>
    </row>
    <row r="91" spans="1:48" outlineLevel="1" x14ac:dyDescent="0.3">
      <c r="B91" s="180" t="s">
        <v>121</v>
      </c>
      <c r="C91" s="207"/>
      <c r="D91" s="101">
        <f>'IS (Before Changes)'!D91-'IS 3Q2022'!D91</f>
        <v>0</v>
      </c>
      <c r="E91" s="101">
        <f>'IS (Before Changes)'!E91-'IS 3Q2022'!E91</f>
        <v>0</v>
      </c>
      <c r="F91" s="101">
        <f>'IS (Before Changes)'!F91-'IS 3Q2022'!F91</f>
        <v>0</v>
      </c>
      <c r="G91" s="101">
        <f>'IS (Before Changes)'!G91-'IS 3Q2022'!G91</f>
        <v>0</v>
      </c>
      <c r="H91" s="122">
        <f>'IS (Before Changes)'!H91-'IS 3Q2022'!H91</f>
        <v>0</v>
      </c>
      <c r="I91" s="101">
        <f>'IS (Before Changes)'!I91-'IS 3Q2022'!I91</f>
        <v>0</v>
      </c>
      <c r="J91" s="101">
        <f>'IS (Before Changes)'!J91-'IS 3Q2022'!J91</f>
        <v>0</v>
      </c>
      <c r="K91" s="101">
        <f>'IS (Before Changes)'!K91-'IS 3Q2022'!K91</f>
        <v>0</v>
      </c>
      <c r="L91" s="101">
        <f>'IS (Before Changes)'!L91-'IS 3Q2022'!L91</f>
        <v>0</v>
      </c>
      <c r="M91" s="122">
        <f>'IS (Before Changes)'!M91-'IS 3Q2022'!M91</f>
        <v>0</v>
      </c>
      <c r="N91" s="101">
        <f>'IS (Before Changes)'!N91-'IS 3Q2022'!N91</f>
        <v>0</v>
      </c>
      <c r="O91" s="101">
        <f>'IS (Before Changes)'!O91-'IS 3Q2022'!O91</f>
        <v>0</v>
      </c>
      <c r="P91" s="101">
        <f>'IS (Before Changes)'!P91-'IS 3Q2022'!P91</f>
        <v>0</v>
      </c>
      <c r="Q91" s="101">
        <f>'IS (Before Changes)'!Q91-'IS 3Q2022'!Q91</f>
        <v>0</v>
      </c>
      <c r="R91" s="122">
        <f>'IS (Before Changes)'!R91-'IS 3Q2022'!R91</f>
        <v>0</v>
      </c>
      <c r="S91" s="16">
        <f>'IS (Before Changes)'!S91-'IS 3Q2022'!S91</f>
        <v>0</v>
      </c>
      <c r="T91" s="16">
        <f>'IS (Before Changes)'!T91-'IS 3Q2022'!T91</f>
        <v>0</v>
      </c>
      <c r="U91" s="16">
        <f>'IS (Before Changes)'!U91-'IS 3Q2022'!U91</f>
        <v>0</v>
      </c>
      <c r="V91" s="16">
        <f>'IS (Before Changes)'!V91-'IS 3Q2022'!V91</f>
        <v>118</v>
      </c>
      <c r="W91" s="122">
        <f>'IS (Before Changes)'!W91-'IS 3Q2022'!W91</f>
        <v>118</v>
      </c>
      <c r="X91" s="16">
        <f>'IS (Before Changes)'!X91-'IS 3Q2022'!X91</f>
        <v>0</v>
      </c>
      <c r="Y91" s="16">
        <f>'IS (Before Changes)'!Y91-'IS 3Q2022'!Y91</f>
        <v>0</v>
      </c>
      <c r="Z91" s="16">
        <f>'IS (Before Changes)'!Z91-'IS 3Q2022'!Z91</f>
        <v>0</v>
      </c>
      <c r="AA91" s="16">
        <f>'IS (Before Changes)'!AA91-'IS 3Q2022'!AA91</f>
        <v>0</v>
      </c>
      <c r="AB91" s="26">
        <f>'IS (Before Changes)'!AB91-'IS 3Q2022'!AB91</f>
        <v>0</v>
      </c>
      <c r="AC91" s="16">
        <f>'IS (Before Changes)'!AC91-'IS 3Q2022'!AC91</f>
        <v>0</v>
      </c>
      <c r="AD91" s="16">
        <f>'IS (Before Changes)'!AD91-'IS 3Q2022'!AD91</f>
        <v>0</v>
      </c>
      <c r="AE91" s="16">
        <f>'IS (Before Changes)'!AE91-'IS 3Q2022'!AE91</f>
        <v>0</v>
      </c>
      <c r="AF91" s="16">
        <f>'IS (Before Changes)'!AF91-'IS 3Q2022'!AF91</f>
        <v>0</v>
      </c>
      <c r="AG91" s="26">
        <f>'IS (Before Changes)'!AG91-'IS 3Q2022'!AG91</f>
        <v>0</v>
      </c>
      <c r="AH91" s="16">
        <f>'IS (Before Changes)'!AH91-'IS 3Q2022'!AH91</f>
        <v>0</v>
      </c>
      <c r="AI91" s="16">
        <f>'IS (Before Changes)'!AI91-'IS 3Q2022'!AI91</f>
        <v>0</v>
      </c>
      <c r="AJ91" s="16">
        <f>'IS (Before Changes)'!AJ91-'IS 3Q2022'!AJ91</f>
        <v>0</v>
      </c>
      <c r="AK91" s="16">
        <f>'IS (Before Changes)'!AK91-'IS 3Q2022'!AK91</f>
        <v>0</v>
      </c>
      <c r="AL91" s="26">
        <f>'IS (Before Changes)'!AL91-'IS 3Q2022'!AL91</f>
        <v>0</v>
      </c>
      <c r="AM91" s="16">
        <f>'IS (Before Changes)'!AM91-'IS 3Q2022'!AM91</f>
        <v>0</v>
      </c>
      <c r="AN91" s="16">
        <f>'IS (Before Changes)'!AN91-'IS 3Q2022'!AN91</f>
        <v>0</v>
      </c>
      <c r="AO91" s="16">
        <f>'IS (Before Changes)'!AO91-'IS 3Q2022'!AO91</f>
        <v>0</v>
      </c>
      <c r="AP91" s="16">
        <f>'IS (Before Changes)'!AP91-'IS 3Q2022'!AP91</f>
        <v>0</v>
      </c>
      <c r="AQ91" s="26">
        <f>'IS (Before Changes)'!AQ91-'IS 3Q2022'!AQ91</f>
        <v>0</v>
      </c>
      <c r="AR91" s="16">
        <f>'IS (Before Changes)'!AR91-'IS 3Q2022'!AR91</f>
        <v>0</v>
      </c>
      <c r="AS91" s="16">
        <f>'IS (Before Changes)'!AS91-'IS 3Q2022'!AS91</f>
        <v>0</v>
      </c>
      <c r="AT91" s="16">
        <f>'IS (Before Changes)'!AT91-'IS 3Q2022'!AT91</f>
        <v>0</v>
      </c>
      <c r="AU91" s="16">
        <f>'IS (Before Changes)'!AU91-'IS 3Q2022'!AU91</f>
        <v>0</v>
      </c>
      <c r="AV91" s="26">
        <f>'IS (Before Changes)'!AV91-'IS 3Q2022'!AV91</f>
        <v>0</v>
      </c>
    </row>
    <row r="92" spans="1:48" outlineLevel="1" x14ac:dyDescent="0.3">
      <c r="B92" s="502" t="s">
        <v>122</v>
      </c>
      <c r="C92" s="503"/>
      <c r="D92" s="115">
        <f>'IS (Before Changes)'!D92-'IS 3Q2022'!D92</f>
        <v>0</v>
      </c>
      <c r="E92" s="115">
        <f>'IS (Before Changes)'!E92-'IS 3Q2022'!E92</f>
        <v>0</v>
      </c>
      <c r="F92" s="115">
        <f>'IS (Before Changes)'!F92-'IS 3Q2022'!F92</f>
        <v>0</v>
      </c>
      <c r="G92" s="115">
        <f>'IS (Before Changes)'!G92-'IS 3Q2022'!G92</f>
        <v>0</v>
      </c>
      <c r="H92" s="213">
        <f>'IS (Before Changes)'!H92-'IS 3Q2022'!H92</f>
        <v>0</v>
      </c>
      <c r="I92" s="115">
        <f>'IS (Before Changes)'!I92-'IS 3Q2022'!I92</f>
        <v>0</v>
      </c>
      <c r="J92" s="115">
        <f>'IS (Before Changes)'!J92-'IS 3Q2022'!J92</f>
        <v>0</v>
      </c>
      <c r="K92" s="115">
        <f>'IS (Before Changes)'!K92-'IS 3Q2022'!K92</f>
        <v>0</v>
      </c>
      <c r="L92" s="115">
        <f>'IS (Before Changes)'!L92-'IS 3Q2022'!L92</f>
        <v>0</v>
      </c>
      <c r="M92" s="213">
        <f>'IS (Before Changes)'!M92-'IS 3Q2022'!M92</f>
        <v>0</v>
      </c>
      <c r="N92" s="115">
        <f>'IS (Before Changes)'!N92-'IS 3Q2022'!N92</f>
        <v>0</v>
      </c>
      <c r="O92" s="115">
        <f>'IS (Before Changes)'!O92-'IS 3Q2022'!O92</f>
        <v>0</v>
      </c>
      <c r="P92" s="115">
        <f>'IS (Before Changes)'!P92-'IS 3Q2022'!P92</f>
        <v>0</v>
      </c>
      <c r="Q92" s="115">
        <f>'IS (Before Changes)'!Q92-'IS 3Q2022'!Q92</f>
        <v>0</v>
      </c>
      <c r="R92" s="73">
        <f>'IS (Before Changes)'!R92-'IS 3Q2022'!R92</f>
        <v>0</v>
      </c>
      <c r="S92" s="72">
        <f>'IS (Before Changes)'!S92-'IS 3Q2022'!S92</f>
        <v>0</v>
      </c>
      <c r="T92" s="72">
        <f>'IS (Before Changes)'!T92-'IS 3Q2022'!T92</f>
        <v>0</v>
      </c>
      <c r="U92" s="72">
        <f>'IS (Before Changes)'!U92-'IS 3Q2022'!U92</f>
        <v>0</v>
      </c>
      <c r="V92" s="72">
        <f>'IS (Before Changes)'!V92-'IS 3Q2022'!V92</f>
        <v>-46.576115844924516</v>
      </c>
      <c r="W92" s="213">
        <f>'IS (Before Changes)'!W92-'IS 3Q2022'!W92</f>
        <v>-46.576115844924061</v>
      </c>
      <c r="X92" s="72">
        <f>'IS (Before Changes)'!X92-'IS 3Q2022'!X92</f>
        <v>14.123375272603425</v>
      </c>
      <c r="Y92" s="72">
        <f>'IS (Before Changes)'!Y92-'IS 3Q2022'!Y92</f>
        <v>13.794906351710097</v>
      </c>
      <c r="Z92" s="72">
        <f>'IS (Before Changes)'!Z92-'IS 3Q2022'!Z92</f>
        <v>15.100858967201475</v>
      </c>
      <c r="AA92" s="72">
        <f>'IS (Before Changes)'!AA92-'IS 3Q2022'!AA92</f>
        <v>-56.400822578022144</v>
      </c>
      <c r="AB92" s="73">
        <f>'IS (Before Changes)'!AB92-'IS 3Q2022'!AB92</f>
        <v>-13.38168198650601</v>
      </c>
      <c r="AC92" s="72">
        <f>'IS (Before Changes)'!AC92-'IS 3Q2022'!AC92</f>
        <v>16.653976847780996</v>
      </c>
      <c r="AD92" s="72">
        <f>'IS (Before Changes)'!AD92-'IS 3Q2022'!AD92</f>
        <v>14.484651669295545</v>
      </c>
      <c r="AE92" s="72">
        <f>'IS (Before Changes)'!AE92-'IS 3Q2022'!AE92</f>
        <v>15.855901915561844</v>
      </c>
      <c r="AF92" s="72">
        <f>'IS (Before Changes)'!AF92-'IS 3Q2022'!AF92</f>
        <v>-69.113067572855016</v>
      </c>
      <c r="AG92" s="73">
        <f>'IS (Before Changes)'!AG92-'IS 3Q2022'!AG92</f>
        <v>-22.118537140218905</v>
      </c>
      <c r="AH92" s="72">
        <f>'IS (Before Changes)'!AH92-'IS 3Q2022'!AH92</f>
        <v>17.486675690169704</v>
      </c>
      <c r="AI92" s="72">
        <f>'IS (Before Changes)'!AI92-'IS 3Q2022'!AI92</f>
        <v>15.208884252760527</v>
      </c>
      <c r="AJ92" s="72">
        <f>'IS (Before Changes)'!AJ92-'IS 3Q2022'!AJ92</f>
        <v>16.648697011339209</v>
      </c>
      <c r="AK92" s="72">
        <f>'IS (Before Changes)'!AK92-'IS 3Q2022'!AK92</f>
        <v>-83.429688359071406</v>
      </c>
      <c r="AL92" s="73">
        <f>'IS (Before Changes)'!AL92-'IS 3Q2022'!AL92</f>
        <v>-34.085431404801056</v>
      </c>
      <c r="AM92" s="72">
        <f>'IS (Before Changes)'!AM92-'IS 3Q2022'!AM92</f>
        <v>18.361009474678667</v>
      </c>
      <c r="AN92" s="72">
        <f>'IS (Before Changes)'!AN92-'IS 3Q2022'!AN92</f>
        <v>15.969328465398121</v>
      </c>
      <c r="AO92" s="72">
        <f>'IS (Before Changes)'!AO92-'IS 3Q2022'!AO92</f>
        <v>17.481131861906761</v>
      </c>
      <c r="AP92" s="72">
        <f>'IS (Before Changes)'!AP92-'IS 3Q2022'!AP92</f>
        <v>-94.160380088204874</v>
      </c>
      <c r="AQ92" s="73">
        <f>'IS (Before Changes)'!AQ92-'IS 3Q2022'!AQ92</f>
        <v>-42.348910286222235</v>
      </c>
      <c r="AR92" s="72">
        <f>'IS (Before Changes)'!AR92-'IS 3Q2022'!AR92</f>
        <v>18.911839758918632</v>
      </c>
      <c r="AS92" s="72">
        <f>'IS (Before Changes)'!AS92-'IS 3Q2022'!AS92</f>
        <v>16.448408319360169</v>
      </c>
      <c r="AT92" s="72">
        <f>'IS (Before Changes)'!AT92-'IS 3Q2022'!AT92</f>
        <v>18.005565817763909</v>
      </c>
      <c r="AU92" s="72">
        <f>'IS (Before Changes)'!AU92-'IS 3Q2022'!AU92</f>
        <v>-102.99311939648896</v>
      </c>
      <c r="AV92" s="73">
        <f>'IS (Before Changes)'!AV92-'IS 3Q2022'!AV92</f>
        <v>-49.6273055004458</v>
      </c>
    </row>
    <row r="93" spans="1:48" outlineLevel="1" x14ac:dyDescent="0.3">
      <c r="B93" s="504" t="s">
        <v>100</v>
      </c>
      <c r="C93" s="505"/>
      <c r="D93" s="105">
        <f>'IS (Before Changes)'!D93-'IS 3Q2022'!D93</f>
        <v>0</v>
      </c>
      <c r="E93" s="105">
        <f>'IS (Before Changes)'!E93-'IS 3Q2022'!E93</f>
        <v>0</v>
      </c>
      <c r="F93" s="105">
        <f>'IS (Before Changes)'!F93-'IS 3Q2022'!F93</f>
        <v>0</v>
      </c>
      <c r="G93" s="105">
        <f>'IS (Before Changes)'!G93-'IS 3Q2022'!G93</f>
        <v>0</v>
      </c>
      <c r="H93" s="129">
        <f>'IS (Before Changes)'!H93-'IS 3Q2022'!H93</f>
        <v>0</v>
      </c>
      <c r="I93" s="105">
        <f>'IS (Before Changes)'!I93-'IS 3Q2022'!I93</f>
        <v>0</v>
      </c>
      <c r="J93" s="105">
        <f>'IS (Before Changes)'!J93-'IS 3Q2022'!J93</f>
        <v>0</v>
      </c>
      <c r="K93" s="105">
        <f>'IS (Before Changes)'!K93-'IS 3Q2022'!K93</f>
        <v>0</v>
      </c>
      <c r="L93" s="105">
        <f>'IS (Before Changes)'!L93-'IS 3Q2022'!L93</f>
        <v>0</v>
      </c>
      <c r="M93" s="129">
        <f>'IS (Before Changes)'!M93-'IS 3Q2022'!M93</f>
        <v>0</v>
      </c>
      <c r="N93" s="105">
        <f>'IS (Before Changes)'!N93-'IS 3Q2022'!N93</f>
        <v>0</v>
      </c>
      <c r="O93" s="105">
        <f>'IS (Before Changes)'!O93-'IS 3Q2022'!O93</f>
        <v>0</v>
      </c>
      <c r="P93" s="105">
        <f>'IS (Before Changes)'!P93-'IS 3Q2022'!P93</f>
        <v>0</v>
      </c>
      <c r="Q93" s="105">
        <f>'IS (Before Changes)'!Q93-'IS 3Q2022'!Q93</f>
        <v>0</v>
      </c>
      <c r="R93" s="76">
        <f>'IS (Before Changes)'!R93-'IS 3Q2022'!R93</f>
        <v>0</v>
      </c>
      <c r="S93" s="48">
        <f>'IS (Before Changes)'!S93-'IS 3Q2022'!S93</f>
        <v>0</v>
      </c>
      <c r="T93" s="48">
        <f>'IS (Before Changes)'!T93-'IS 3Q2022'!T93</f>
        <v>0</v>
      </c>
      <c r="U93" s="48">
        <f>'IS (Before Changes)'!U93-'IS 3Q2022'!U93</f>
        <v>0</v>
      </c>
      <c r="V93" s="48">
        <f>'IS (Before Changes)'!V93-'IS 3Q2022'!V93</f>
        <v>-20.039628454854551</v>
      </c>
      <c r="W93" s="76">
        <f>'IS (Before Changes)'!W93-'IS 3Q2022'!W93</f>
        <v>-20.039628454854665</v>
      </c>
      <c r="X93" s="48">
        <f>'IS (Before Changes)'!X93-'IS 3Q2022'!X93</f>
        <v>4.9187351598415034</v>
      </c>
      <c r="Y93" s="48">
        <f>'IS (Before Changes)'!Y93-'IS 3Q2022'!Y93</f>
        <v>4.5659649033341339</v>
      </c>
      <c r="Z93" s="48">
        <f>'IS (Before Changes)'!Z93-'IS 3Q2022'!Z93</f>
        <v>5.1683921459105022</v>
      </c>
      <c r="AA93" s="48">
        <f>'IS (Before Changes)'!AA93-'IS 3Q2022'!AA93</f>
        <v>-24.515732773740524</v>
      </c>
      <c r="AB93" s="76">
        <f>'IS (Before Changes)'!AB93-'IS 3Q2022'!AB93</f>
        <v>-9.8626405646541571</v>
      </c>
      <c r="AC93" s="48">
        <f>'IS (Before Changes)'!AC93-'IS 3Q2022'!AC93</f>
        <v>5.4669859496048048</v>
      </c>
      <c r="AD93" s="48">
        <f>'IS (Before Changes)'!AD93-'IS 3Q2022'!AD93</f>
        <v>4.5045701151150297</v>
      </c>
      <c r="AE93" s="48">
        <f>'IS (Before Changes)'!AE93-'IS 3Q2022'!AE93</f>
        <v>5.4268117532060387</v>
      </c>
      <c r="AF93" s="48">
        <f>'IS (Before Changes)'!AF93-'IS 3Q2022'!AF93</f>
        <v>-29.731363110060215</v>
      </c>
      <c r="AG93" s="76">
        <f>'IS (Before Changes)'!AG93-'IS 3Q2022'!AG93</f>
        <v>-14.332995292134456</v>
      </c>
      <c r="AH93" s="48">
        <f>'IS (Before Changes)'!AH93-'IS 3Q2022'!AH93</f>
        <v>5.7053618957045273</v>
      </c>
      <c r="AI93" s="48">
        <f>'IS (Before Changes)'!AI93-'IS 3Q2022'!AI93</f>
        <v>4.699380852365266</v>
      </c>
      <c r="AJ93" s="48">
        <f>'IS (Before Changes)'!AJ93-'IS 3Q2022'!AJ93</f>
        <v>5.5316653707527621</v>
      </c>
      <c r="AK93" s="48">
        <f>'IS (Before Changes)'!AK93-'IS 3Q2022'!AK93</f>
        <v>-35.428145276133591</v>
      </c>
      <c r="AL93" s="76">
        <f>'IS (Before Changes)'!AL93-'IS 3Q2022'!AL93</f>
        <v>-19.491737157310581</v>
      </c>
      <c r="AM93" s="48">
        <f>'IS (Before Changes)'!AM93-'IS 3Q2022'!AM93</f>
        <v>5.9906299904898788</v>
      </c>
      <c r="AN93" s="48">
        <f>'IS (Before Changes)'!AN93-'IS 3Q2022'!AN93</f>
        <v>4.9343498949833702</v>
      </c>
      <c r="AO93" s="48">
        <f>'IS (Before Changes)'!AO93-'IS 3Q2022'!AO93</f>
        <v>5.8082486392904684</v>
      </c>
      <c r="AP93" s="48">
        <f>'IS (Before Changes)'!AP93-'IS 3Q2022'!AP93</f>
        <v>-39.78061795488702</v>
      </c>
      <c r="AQ93" s="76">
        <f>'IS (Before Changes)'!AQ93-'IS 3Q2022'!AQ93</f>
        <v>-23.047389430123985</v>
      </c>
      <c r="AR93" s="48">
        <f>'IS (Before Changes)'!AR93-'IS 3Q2022'!AR93</f>
        <v>6.1703488902044228</v>
      </c>
      <c r="AS93" s="48">
        <f>'IS (Before Changes)'!AS93-'IS 3Q2022'!AS93</f>
        <v>5.0823803918329986</v>
      </c>
      <c r="AT93" s="48">
        <f>'IS (Before Changes)'!AT93-'IS 3Q2022'!AT93</f>
        <v>5.9824960984692552</v>
      </c>
      <c r="AU93" s="48">
        <f>'IS (Before Changes)'!AU93-'IS 3Q2022'!AU93</f>
        <v>-43.32612136799753</v>
      </c>
      <c r="AV93" s="76">
        <f>'IS (Before Changes)'!AV93-'IS 3Q2022'!AV93</f>
        <v>-26.090895987489603</v>
      </c>
    </row>
    <row r="94" spans="1:48" s="183" customFormat="1" outlineLevel="1" x14ac:dyDescent="0.3">
      <c r="A94" s="238"/>
      <c r="B94" s="181" t="s">
        <v>151</v>
      </c>
      <c r="C94" s="182"/>
      <c r="D94" s="167">
        <f>'IS (Before Changes)'!D94-'IS 3Q2022'!D94</f>
        <v>0</v>
      </c>
      <c r="E94" s="167">
        <f>'IS (Before Changes)'!E94-'IS 3Q2022'!E94</f>
        <v>0</v>
      </c>
      <c r="F94" s="167">
        <f>'IS (Before Changes)'!F94-'IS 3Q2022'!F94</f>
        <v>0</v>
      </c>
      <c r="G94" s="167">
        <f>'IS (Before Changes)'!G94-'IS 3Q2022'!G94</f>
        <v>0</v>
      </c>
      <c r="H94" s="186">
        <f>'IS (Before Changes)'!H94-'IS 3Q2022'!H94</f>
        <v>0</v>
      </c>
      <c r="I94" s="167">
        <f>'IS (Before Changes)'!I94-'IS 3Q2022'!I94</f>
        <v>0</v>
      </c>
      <c r="J94" s="167">
        <f>'IS (Before Changes)'!J94-'IS 3Q2022'!J94</f>
        <v>0</v>
      </c>
      <c r="K94" s="167">
        <f>'IS (Before Changes)'!K94-'IS 3Q2022'!K94</f>
        <v>0</v>
      </c>
      <c r="L94" s="167">
        <f>'IS (Before Changes)'!L94-'IS 3Q2022'!L94</f>
        <v>0</v>
      </c>
      <c r="M94" s="186">
        <f>'IS (Before Changes)'!M94-'IS 3Q2022'!M94</f>
        <v>0</v>
      </c>
      <c r="N94" s="167">
        <f>'IS (Before Changes)'!N94-'IS 3Q2022'!N94</f>
        <v>0</v>
      </c>
      <c r="O94" s="167">
        <f>'IS (Before Changes)'!O94-'IS 3Q2022'!O94</f>
        <v>0</v>
      </c>
      <c r="P94" s="167">
        <f>'IS (Before Changes)'!P94-'IS 3Q2022'!P94</f>
        <v>0</v>
      </c>
      <c r="Q94" s="167">
        <f>'IS (Before Changes)'!Q94-'IS 3Q2022'!Q94</f>
        <v>0</v>
      </c>
      <c r="R94" s="188">
        <f>'IS (Before Changes)'!R94-'IS 3Q2022'!R94</f>
        <v>0</v>
      </c>
      <c r="S94" s="167">
        <f>'IS (Before Changes)'!S94-'IS 3Q2022'!S94</f>
        <v>0</v>
      </c>
      <c r="T94" s="167">
        <f>'IS (Before Changes)'!T94-'IS 3Q2022'!T94</f>
        <v>0</v>
      </c>
      <c r="U94" s="167">
        <f>'IS (Before Changes)'!U94-'IS 3Q2022'!U94</f>
        <v>0</v>
      </c>
      <c r="V94" s="189">
        <f>'IS (Before Changes)'!V94-'IS 3Q2022'!V94</f>
        <v>-2.2071978254823987E-3</v>
      </c>
      <c r="W94" s="188">
        <f>'IS (Before Changes)'!W94-'IS 3Q2022'!W94</f>
        <v>-6.0361062549468825E-4</v>
      </c>
      <c r="X94" s="189">
        <f>'IS (Before Changes)'!X94-'IS 3Q2022'!X94</f>
        <v>0</v>
      </c>
      <c r="Y94" s="189">
        <f>'IS (Before Changes)'!Y94-'IS 3Q2022'!Y94</f>
        <v>0</v>
      </c>
      <c r="Z94" s="189">
        <f>'IS (Before Changes)'!Z94-'IS 3Q2022'!Z94</f>
        <v>0</v>
      </c>
      <c r="AA94" s="189">
        <f>'IS (Before Changes)'!AA94-'IS 3Q2022'!AA94</f>
        <v>-2.2071978254823987E-3</v>
      </c>
      <c r="AB94" s="188">
        <f>'IS (Before Changes)'!AB94-'IS 3Q2022'!AB94</f>
        <v>-6.4108514570621056E-4</v>
      </c>
      <c r="AC94" s="189">
        <f>'IS (Before Changes)'!AC94-'IS 3Q2022'!AC94</f>
        <v>0</v>
      </c>
      <c r="AD94" s="189">
        <f>'IS (Before Changes)'!AD94-'IS 3Q2022'!AD94</f>
        <v>0</v>
      </c>
      <c r="AE94" s="189">
        <f>'IS (Before Changes)'!AE94-'IS 3Q2022'!AE94</f>
        <v>0</v>
      </c>
      <c r="AF94" s="189">
        <f>'IS (Before Changes)'!AF94-'IS 3Q2022'!AF94</f>
        <v>-2.2071978254823987E-3</v>
      </c>
      <c r="AG94" s="188">
        <f>'IS (Before Changes)'!AG94-'IS 3Q2022'!AG94</f>
        <v>-7.0603441534539124E-4</v>
      </c>
      <c r="AH94" s="189">
        <f>'IS (Before Changes)'!AH94-'IS 3Q2022'!AH94</f>
        <v>0</v>
      </c>
      <c r="AI94" s="189">
        <f>'IS (Before Changes)'!AI94-'IS 3Q2022'!AI94</f>
        <v>0</v>
      </c>
      <c r="AJ94" s="189">
        <f>'IS (Before Changes)'!AJ94-'IS 3Q2022'!AJ94</f>
        <v>0</v>
      </c>
      <c r="AK94" s="189">
        <f>'IS (Before Changes)'!AK94-'IS 3Q2022'!AK94</f>
        <v>-2.2071978254823987E-3</v>
      </c>
      <c r="AL94" s="188">
        <f>'IS (Before Changes)'!AL94-'IS 3Q2022'!AL94</f>
        <v>-7.2270385670042403E-4</v>
      </c>
      <c r="AM94" s="189">
        <f>'IS (Before Changes)'!AM94-'IS 3Q2022'!AM94</f>
        <v>0</v>
      </c>
      <c r="AN94" s="189">
        <f>'IS (Before Changes)'!AN94-'IS 3Q2022'!AN94</f>
        <v>0</v>
      </c>
      <c r="AO94" s="189">
        <f>'IS (Before Changes)'!AO94-'IS 3Q2022'!AO94</f>
        <v>0</v>
      </c>
      <c r="AP94" s="189">
        <f>'IS (Before Changes)'!AP94-'IS 3Q2022'!AP94</f>
        <v>-2.2071978254823987E-3</v>
      </c>
      <c r="AQ94" s="188">
        <f>'IS (Before Changes)'!AQ94-'IS 3Q2022'!AQ94</f>
        <v>-7.0964297456266312E-4</v>
      </c>
      <c r="AR94" s="189">
        <f>'IS (Before Changes)'!AR94-'IS 3Q2022'!AR94</f>
        <v>0</v>
      </c>
      <c r="AS94" s="189">
        <f>'IS (Before Changes)'!AS94-'IS 3Q2022'!AS94</f>
        <v>0</v>
      </c>
      <c r="AT94" s="189">
        <f>'IS (Before Changes)'!AT94-'IS 3Q2022'!AT94</f>
        <v>0</v>
      </c>
      <c r="AU94" s="189">
        <f>'IS (Before Changes)'!AU94-'IS 3Q2022'!AU94</f>
        <v>-2.2071978254823987E-3</v>
      </c>
      <c r="AV94" s="188">
        <f>'IS (Before Changes)'!AV94-'IS 3Q2022'!AV94</f>
        <v>-7.1049630208325221E-4</v>
      </c>
    </row>
    <row r="95" spans="1:48" outlineLevel="1" x14ac:dyDescent="0.3">
      <c r="B95" s="180" t="s">
        <v>32</v>
      </c>
      <c r="C95" s="18"/>
      <c r="D95" s="105">
        <f>'IS (Before Changes)'!D95-'IS 3Q2022'!D95</f>
        <v>0</v>
      </c>
      <c r="E95" s="105">
        <f>'IS (Before Changes)'!E95-'IS 3Q2022'!E95</f>
        <v>0</v>
      </c>
      <c r="F95" s="105">
        <f>'IS (Before Changes)'!F95-'IS 3Q2022'!F95</f>
        <v>0</v>
      </c>
      <c r="G95" s="105">
        <f>'IS (Before Changes)'!G95-'IS 3Q2022'!G95</f>
        <v>0</v>
      </c>
      <c r="H95" s="170">
        <f>'IS (Before Changes)'!H95-'IS 3Q2022'!H95</f>
        <v>0</v>
      </c>
      <c r="I95" s="105">
        <f>'IS (Before Changes)'!I95-'IS 3Q2022'!I95</f>
        <v>0</v>
      </c>
      <c r="J95" s="105">
        <f>'IS (Before Changes)'!J95-'IS 3Q2022'!J95</f>
        <v>0</v>
      </c>
      <c r="K95" s="105">
        <f>'IS (Before Changes)'!K95-'IS 3Q2022'!K95</f>
        <v>0</v>
      </c>
      <c r="L95" s="105">
        <f>'IS (Before Changes)'!L95-'IS 3Q2022'!L95</f>
        <v>0</v>
      </c>
      <c r="M95" s="170">
        <f>'IS (Before Changes)'!M95-'IS 3Q2022'!M95</f>
        <v>0</v>
      </c>
      <c r="N95" s="105">
        <f>'IS (Before Changes)'!N95-'IS 3Q2022'!N95</f>
        <v>0</v>
      </c>
      <c r="O95" s="105">
        <f>'IS (Before Changes)'!O95-'IS 3Q2022'!O95</f>
        <v>0</v>
      </c>
      <c r="P95" s="105">
        <f>'IS (Before Changes)'!P95-'IS 3Q2022'!P95</f>
        <v>0</v>
      </c>
      <c r="Q95" s="105">
        <f>'IS (Before Changes)'!Q95-'IS 3Q2022'!Q95</f>
        <v>0</v>
      </c>
      <c r="R95" s="49">
        <f>'IS (Before Changes)'!R95-'IS 3Q2022'!R95</f>
        <v>0</v>
      </c>
      <c r="S95" s="48">
        <f>'IS (Before Changes)'!S95-'IS 3Q2022'!S95</f>
        <v>0</v>
      </c>
      <c r="T95" s="48">
        <f>'IS (Before Changes)'!T95-'IS 3Q2022'!T95</f>
        <v>0</v>
      </c>
      <c r="U95" s="48">
        <f>'IS (Before Changes)'!U95-'IS 3Q2022'!U95</f>
        <v>0</v>
      </c>
      <c r="V95" s="48">
        <f>'IS (Before Changes)'!V95-'IS 3Q2022'!V95</f>
        <v>-5.3342541127055938</v>
      </c>
      <c r="W95" s="49">
        <f>'IS (Before Changes)'!W95-'IS 3Q2022'!W95</f>
        <v>-5.3342541127053664</v>
      </c>
      <c r="X95" s="48">
        <f>'IS (Before Changes)'!X95-'IS 3Q2022'!X95</f>
        <v>5.8686829301348098</v>
      </c>
      <c r="Y95" s="48">
        <f>'IS (Before Changes)'!Y95-'IS 3Q2022'!Y95</f>
        <v>5.9643158174096698</v>
      </c>
      <c r="Z95" s="48">
        <f>'IS (Before Changes)'!Z95-'IS 3Q2022'!Z95</f>
        <v>6.8794869315212281</v>
      </c>
      <c r="AA95" s="48">
        <f>'IS (Before Changes)'!AA95-'IS 3Q2022'!AA95</f>
        <v>-3.6686391278285555</v>
      </c>
      <c r="AB95" s="49">
        <f>'IS (Before Changes)'!AB95-'IS 3Q2022'!AB95</f>
        <v>15.043846551237493</v>
      </c>
      <c r="AC95" s="48">
        <f>'IS (Before Changes)'!AC95-'IS 3Q2022'!AC95</f>
        <v>7.0424195161618854</v>
      </c>
      <c r="AD95" s="48">
        <f>'IS (Before Changes)'!AD95-'IS 3Q2022'!AD95</f>
        <v>6.0141414012738323</v>
      </c>
      <c r="AE95" s="48">
        <f>'IS (Before Changes)'!AE95-'IS 3Q2022'!AE95</f>
        <v>7.2234612780972611</v>
      </c>
      <c r="AF95" s="48">
        <f>'IS (Before Changes)'!AF95-'IS 3Q2022'!AF95</f>
        <v>-5.2110019854151233</v>
      </c>
      <c r="AG95" s="49">
        <f>'IS (Before Changes)'!AG95-'IS 3Q2022'!AG95</f>
        <v>15.069020210118197</v>
      </c>
      <c r="AH95" s="48">
        <f>'IS (Before Changes)'!AH95-'IS 3Q2022'!AH95</f>
        <v>7.3638900207358802</v>
      </c>
      <c r="AI95" s="48">
        <f>'IS (Before Changes)'!AI95-'IS 3Q2022'!AI95</f>
        <v>6.2887674996018177</v>
      </c>
      <c r="AJ95" s="48">
        <f>'IS (Before Changes)'!AJ95-'IS 3Q2022'!AJ95</f>
        <v>7.3032945537115666</v>
      </c>
      <c r="AK95" s="48">
        <f>'IS (Before Changes)'!AK95-'IS 3Q2022'!AK95</f>
        <v>-6.7264353898517584</v>
      </c>
      <c r="AL95" s="49">
        <f>'IS (Before Changes)'!AL95-'IS 3Q2022'!AL95</f>
        <v>14.229516684197733</v>
      </c>
      <c r="AM95" s="48">
        <f>'IS (Before Changes)'!AM95-'IS 3Q2022'!AM95</f>
        <v>7.7320845217727765</v>
      </c>
      <c r="AN95" s="48">
        <f>'IS (Before Changes)'!AN95-'IS 3Q2022'!AN95</f>
        <v>6.6032058745818176</v>
      </c>
      <c r="AO95" s="48">
        <f>'IS (Before Changes)'!AO95-'IS 3Q2022'!AO95</f>
        <v>7.668459281396963</v>
      </c>
      <c r="AP95" s="48">
        <f>'IS (Before Changes)'!AP95-'IS 3Q2022'!AP95</f>
        <v>-7.8907374162445194</v>
      </c>
      <c r="AQ95" s="49">
        <f>'IS (Before Changes)'!AQ95-'IS 3Q2022'!AQ95</f>
        <v>14.11301226150681</v>
      </c>
      <c r="AR95" s="48">
        <f>'IS (Before Changes)'!AR95-'IS 3Q2022'!AR95</f>
        <v>7.964047057425887</v>
      </c>
      <c r="AS95" s="48">
        <f>'IS (Before Changes)'!AS95-'IS 3Q2022'!AS95</f>
        <v>6.8013020508194586</v>
      </c>
      <c r="AT95" s="48">
        <f>'IS (Before Changes)'!AT95-'IS 3Q2022'!AT95</f>
        <v>7.8985130598389333</v>
      </c>
      <c r="AU95" s="48">
        <f>'IS (Before Changes)'!AU95-'IS 3Q2022'!AU95</f>
        <v>-8.875294657781069</v>
      </c>
      <c r="AV95" s="49">
        <f>'IS (Before Changes)'!AV95-'IS 3Q2022'!AV95</f>
        <v>13.788567510303437</v>
      </c>
    </row>
    <row r="96" spans="1:48" s="184" customFormat="1" outlineLevel="1" x14ac:dyDescent="0.3">
      <c r="B96" s="181" t="s">
        <v>150</v>
      </c>
      <c r="C96" s="190"/>
      <c r="D96" s="167">
        <f>'IS (Before Changes)'!D96-'IS 3Q2022'!D96</f>
        <v>0</v>
      </c>
      <c r="E96" s="167">
        <f>'IS (Before Changes)'!E96-'IS 3Q2022'!E96</f>
        <v>0</v>
      </c>
      <c r="F96" s="167">
        <f>'IS (Before Changes)'!F96-'IS 3Q2022'!F96</f>
        <v>0</v>
      </c>
      <c r="G96" s="167">
        <f>'IS (Before Changes)'!G96-'IS 3Q2022'!G96</f>
        <v>0</v>
      </c>
      <c r="H96" s="186">
        <f>'IS (Before Changes)'!H96-'IS 3Q2022'!H96</f>
        <v>0</v>
      </c>
      <c r="I96" s="167">
        <f>'IS (Before Changes)'!I96-'IS 3Q2022'!I96</f>
        <v>0</v>
      </c>
      <c r="J96" s="167">
        <f>'IS (Before Changes)'!J96-'IS 3Q2022'!J96</f>
        <v>0</v>
      </c>
      <c r="K96" s="167">
        <f>'IS (Before Changes)'!K96-'IS 3Q2022'!K96</f>
        <v>0</v>
      </c>
      <c r="L96" s="167">
        <f>'IS (Before Changes)'!L96-'IS 3Q2022'!L96</f>
        <v>0</v>
      </c>
      <c r="M96" s="186">
        <f>'IS (Before Changes)'!M96-'IS 3Q2022'!M96</f>
        <v>0</v>
      </c>
      <c r="N96" s="167">
        <f>'IS (Before Changes)'!N96-'IS 3Q2022'!N96</f>
        <v>0</v>
      </c>
      <c r="O96" s="167">
        <f>'IS (Before Changes)'!O96-'IS 3Q2022'!O96</f>
        <v>0</v>
      </c>
      <c r="P96" s="167">
        <f>'IS (Before Changes)'!P96-'IS 3Q2022'!P96</f>
        <v>0</v>
      </c>
      <c r="Q96" s="167">
        <f>'IS (Before Changes)'!Q96-'IS 3Q2022'!Q96</f>
        <v>0</v>
      </c>
      <c r="R96" s="188">
        <f>'IS (Before Changes)'!R96-'IS 3Q2022'!R96</f>
        <v>0</v>
      </c>
      <c r="S96" s="167">
        <f>'IS (Before Changes)'!S96-'IS 3Q2022'!S96</f>
        <v>0</v>
      </c>
      <c r="T96" s="167">
        <f>'IS (Before Changes)'!T96-'IS 3Q2022'!T96</f>
        <v>0</v>
      </c>
      <c r="U96" s="167">
        <f>'IS (Before Changes)'!U96-'IS 3Q2022'!U96</f>
        <v>0</v>
      </c>
      <c r="V96" s="189">
        <f>'IS (Before Changes)'!V96-'IS 3Q2022'!V96</f>
        <v>1.882122753223181E-2</v>
      </c>
      <c r="W96" s="188">
        <f>'IS (Before Changes)'!W96-'IS 3Q2022'!W96</f>
        <v>4.890732845502288E-3</v>
      </c>
      <c r="X96" s="189">
        <f>'IS (Before Changes)'!X96-'IS 3Q2022'!X96</f>
        <v>0</v>
      </c>
      <c r="Y96" s="189">
        <f>'IS (Before Changes)'!Y96-'IS 3Q2022'!Y96</f>
        <v>0</v>
      </c>
      <c r="Z96" s="189">
        <f>'IS (Before Changes)'!Z96-'IS 3Q2022'!Z96</f>
        <v>0</v>
      </c>
      <c r="AA96" s="189">
        <f>'IS (Before Changes)'!AA96-'IS 3Q2022'!AA96</f>
        <v>1.882122753223181E-2</v>
      </c>
      <c r="AB96" s="188">
        <f>'IS (Before Changes)'!AB96-'IS 3Q2022'!AB96</f>
        <v>5.8233186681284632E-3</v>
      </c>
      <c r="AC96" s="189">
        <f>'IS (Before Changes)'!AC96-'IS 3Q2022'!AC96</f>
        <v>0</v>
      </c>
      <c r="AD96" s="189">
        <f>'IS (Before Changes)'!AD96-'IS 3Q2022'!AD96</f>
        <v>0</v>
      </c>
      <c r="AE96" s="189">
        <f>'IS (Before Changes)'!AE96-'IS 3Q2022'!AE96</f>
        <v>0</v>
      </c>
      <c r="AF96" s="189">
        <f>'IS (Before Changes)'!AF96-'IS 3Q2022'!AF96</f>
        <v>1.882122753223181E-2</v>
      </c>
      <c r="AG96" s="188">
        <f>'IS (Before Changes)'!AG96-'IS 3Q2022'!AG96</f>
        <v>5.5502661710850609E-3</v>
      </c>
      <c r="AH96" s="189">
        <f>'IS (Before Changes)'!AH96-'IS 3Q2022'!AH96</f>
        <v>0</v>
      </c>
      <c r="AI96" s="189">
        <f>'IS (Before Changes)'!AI96-'IS 3Q2022'!AI96</f>
        <v>0</v>
      </c>
      <c r="AJ96" s="189">
        <f>'IS (Before Changes)'!AJ96-'IS 3Q2022'!AJ96</f>
        <v>0</v>
      </c>
      <c r="AK96" s="189">
        <f>'IS (Before Changes)'!AK96-'IS 3Q2022'!AK96</f>
        <v>1.882122753223181E-2</v>
      </c>
      <c r="AL96" s="188">
        <f>'IS (Before Changes)'!AL96-'IS 3Q2022'!AL96</f>
        <v>5.4725814549355656E-3</v>
      </c>
      <c r="AM96" s="189">
        <f>'IS (Before Changes)'!AM96-'IS 3Q2022'!AM96</f>
        <v>0</v>
      </c>
      <c r="AN96" s="189">
        <f>'IS (Before Changes)'!AN96-'IS 3Q2022'!AN96</f>
        <v>0</v>
      </c>
      <c r="AO96" s="189">
        <f>'IS (Before Changes)'!AO96-'IS 3Q2022'!AO96</f>
        <v>0</v>
      </c>
      <c r="AP96" s="189">
        <f>'IS (Before Changes)'!AP96-'IS 3Q2022'!AP96</f>
        <v>1.882122753223181E-2</v>
      </c>
      <c r="AQ96" s="188">
        <f>'IS (Before Changes)'!AQ96-'IS 3Q2022'!AQ96</f>
        <v>5.3601312516725619E-3</v>
      </c>
      <c r="AR96" s="189">
        <f>'IS (Before Changes)'!AR96-'IS 3Q2022'!AR96</f>
        <v>0</v>
      </c>
      <c r="AS96" s="189">
        <f>'IS (Before Changes)'!AS96-'IS 3Q2022'!AS96</f>
        <v>0</v>
      </c>
      <c r="AT96" s="189">
        <f>'IS (Before Changes)'!AT96-'IS 3Q2022'!AT96</f>
        <v>0</v>
      </c>
      <c r="AU96" s="189">
        <f>'IS (Before Changes)'!AU96-'IS 3Q2022'!AU96</f>
        <v>1.882122753223181E-2</v>
      </c>
      <c r="AV96" s="188">
        <f>'IS (Before Changes)'!AV96-'IS 3Q2022'!AV96</f>
        <v>5.3563066091172895E-3</v>
      </c>
    </row>
    <row r="97" spans="1:48" outlineLevel="1" x14ac:dyDescent="0.3">
      <c r="B97" s="180" t="s">
        <v>33</v>
      </c>
      <c r="C97" s="18"/>
      <c r="D97" s="105">
        <f>'IS (Before Changes)'!D97-'IS 3Q2022'!D97</f>
        <v>0</v>
      </c>
      <c r="E97" s="105">
        <f>'IS (Before Changes)'!E97-'IS 3Q2022'!E97</f>
        <v>0</v>
      </c>
      <c r="F97" s="105">
        <f>'IS (Before Changes)'!F97-'IS 3Q2022'!F97</f>
        <v>0</v>
      </c>
      <c r="G97" s="105">
        <f>'IS (Before Changes)'!G97-'IS 3Q2022'!G97</f>
        <v>0</v>
      </c>
      <c r="H97" s="170">
        <f>'IS (Before Changes)'!H97-'IS 3Q2022'!H97</f>
        <v>0</v>
      </c>
      <c r="I97" s="105">
        <f>'IS (Before Changes)'!I97-'IS 3Q2022'!I97</f>
        <v>0</v>
      </c>
      <c r="J97" s="105">
        <f>'IS (Before Changes)'!J97-'IS 3Q2022'!J97</f>
        <v>0</v>
      </c>
      <c r="K97" s="105">
        <f>'IS (Before Changes)'!K97-'IS 3Q2022'!K97</f>
        <v>0</v>
      </c>
      <c r="L97" s="105">
        <f>'IS (Before Changes)'!L97-'IS 3Q2022'!L97</f>
        <v>0</v>
      </c>
      <c r="M97" s="170">
        <f>'IS (Before Changes)'!M97-'IS 3Q2022'!M97</f>
        <v>0</v>
      </c>
      <c r="N97" s="105">
        <f>'IS (Before Changes)'!N97-'IS 3Q2022'!N97</f>
        <v>0</v>
      </c>
      <c r="O97" s="105">
        <f>'IS (Before Changes)'!O97-'IS 3Q2022'!O97</f>
        <v>0</v>
      </c>
      <c r="P97" s="105">
        <f>'IS (Before Changes)'!P97-'IS 3Q2022'!P97</f>
        <v>0</v>
      </c>
      <c r="Q97" s="105">
        <f>'IS (Before Changes)'!Q97-'IS 3Q2022'!Q97</f>
        <v>0</v>
      </c>
      <c r="R97" s="49">
        <f>'IS (Before Changes)'!R97-'IS 3Q2022'!R97</f>
        <v>0</v>
      </c>
      <c r="S97" s="48">
        <f>'IS (Before Changes)'!S97-'IS 3Q2022'!S97</f>
        <v>0</v>
      </c>
      <c r="T97" s="48">
        <f>'IS (Before Changes)'!T97-'IS 3Q2022'!T97</f>
        <v>0</v>
      </c>
      <c r="U97" s="48">
        <f>'IS (Before Changes)'!U97-'IS 3Q2022'!U97</f>
        <v>0</v>
      </c>
      <c r="V97" s="48">
        <f>'IS (Before Changes)'!V97-'IS 3Q2022'!V97</f>
        <v>14.4921709962248</v>
      </c>
      <c r="W97" s="49">
        <f>'IS (Before Changes)'!W97-'IS 3Q2022'!W97</f>
        <v>14.492170996224814</v>
      </c>
      <c r="X97" s="48">
        <f>'IS (Before Changes)'!X97-'IS 3Q2022'!X97</f>
        <v>0.29513103613521707</v>
      </c>
      <c r="Y97" s="48">
        <f>'IS (Before Changes)'!Y97-'IS 3Q2022'!Y97</f>
        <v>0.32007683323105596</v>
      </c>
      <c r="Z97" s="48">
        <f>'IS (Before Changes)'!Z97-'IS 3Q2022'!Z97</f>
        <v>0.49815110355203274</v>
      </c>
      <c r="AA97" s="48">
        <f>'IS (Before Changes)'!AA97-'IS 3Q2022'!AA97</f>
        <v>19.642111796875746</v>
      </c>
      <c r="AB97" s="49">
        <f>'IS (Before Changes)'!AB97-'IS 3Q2022'!AB97</f>
        <v>20.755470769794044</v>
      </c>
      <c r="AC97" s="48">
        <f>'IS (Before Changes)'!AC97-'IS 3Q2022'!AC97</f>
        <v>0.34801209682446199</v>
      </c>
      <c r="AD97" s="48">
        <f>'IS (Before Changes)'!AD97-'IS 3Q2022'!AD97</f>
        <v>0.33608067489260662</v>
      </c>
      <c r="AE97" s="48">
        <f>'IS (Before Changes)'!AE97-'IS 3Q2022'!AE97</f>
        <v>0.4437791491518368</v>
      </c>
      <c r="AF97" s="48">
        <f>'IS (Before Changes)'!AF97-'IS 3Q2022'!AF97</f>
        <v>22.847327052485866</v>
      </c>
      <c r="AG97" s="49">
        <f>'IS (Before Changes)'!AG97-'IS 3Q2022'!AG97</f>
        <v>23.975198973354793</v>
      </c>
      <c r="AH97" s="48">
        <f>'IS (Before Changes)'!AH97-'IS 3Q2022'!AH97</f>
        <v>0.33043935028534577</v>
      </c>
      <c r="AI97" s="48">
        <f>'IS (Before Changes)'!AI97-'IS 3Q2022'!AI97</f>
        <v>0.32246694013171862</v>
      </c>
      <c r="AJ97" s="48">
        <f>'IS (Before Changes)'!AJ97-'IS 3Q2022'!AJ97</f>
        <v>0.36607592454137006</v>
      </c>
      <c r="AK97" s="48">
        <f>'IS (Before Changes)'!AK97-'IS 3Q2022'!AK97</f>
        <v>26.583564987309074</v>
      </c>
      <c r="AL97" s="49">
        <f>'IS (Before Changes)'!AL97-'IS 3Q2022'!AL97</f>
        <v>27.602547202267516</v>
      </c>
      <c r="AM97" s="48">
        <f>'IS (Before Changes)'!AM97-'IS 3Q2022'!AM97</f>
        <v>0.34696131779961803</v>
      </c>
      <c r="AN97" s="48">
        <f>'IS (Before Changes)'!AN97-'IS 3Q2022'!AN97</f>
        <v>0.33859028713829531</v>
      </c>
      <c r="AO97" s="48">
        <f>'IS (Before Changes)'!AO97-'IS 3Q2022'!AO97</f>
        <v>0.38437972076845028</v>
      </c>
      <c r="AP97" s="48">
        <f>'IS (Before Changes)'!AP97-'IS 3Q2022'!AP97</f>
        <v>29.197504644921153</v>
      </c>
      <c r="AQ97" s="49">
        <f>'IS (Before Changes)'!AQ97-'IS 3Q2022'!AQ97</f>
        <v>30.26743597062756</v>
      </c>
      <c r="AR97" s="48">
        <f>'IS (Before Changes)'!AR97-'IS 3Q2022'!AR97</f>
        <v>0.35737015733360522</v>
      </c>
      <c r="AS97" s="48">
        <f>'IS (Before Changes)'!AS97-'IS 3Q2022'!AS97</f>
        <v>0.34874799575246129</v>
      </c>
      <c r="AT97" s="48">
        <f>'IS (Before Changes)'!AT97-'IS 3Q2022'!AT97</f>
        <v>0.39591111239151644</v>
      </c>
      <c r="AU97" s="48">
        <f>'IS (Before Changes)'!AU97-'IS 3Q2022'!AU97</f>
        <v>31.202710443194832</v>
      </c>
      <c r="AV97" s="49">
        <f>'IS (Before Changes)'!AV97-'IS 3Q2022'!AV97</f>
        <v>32.3047397086724</v>
      </c>
    </row>
    <row r="98" spans="1:48" s="184" customFormat="1" outlineLevel="1" x14ac:dyDescent="0.3">
      <c r="B98" s="181" t="s">
        <v>152</v>
      </c>
      <c r="C98" s="190"/>
      <c r="D98" s="167">
        <f>'IS (Before Changes)'!D98-'IS 3Q2022'!D98</f>
        <v>0</v>
      </c>
      <c r="E98" s="167">
        <f>'IS (Before Changes)'!E98-'IS 3Q2022'!E98</f>
        <v>0</v>
      </c>
      <c r="F98" s="167">
        <f>'IS (Before Changes)'!F98-'IS 3Q2022'!F98</f>
        <v>0</v>
      </c>
      <c r="G98" s="167">
        <f>'IS (Before Changes)'!G98-'IS 3Q2022'!G98</f>
        <v>0</v>
      </c>
      <c r="H98" s="186">
        <f>'IS (Before Changes)'!H98-'IS 3Q2022'!H98</f>
        <v>0</v>
      </c>
      <c r="I98" s="167">
        <f>'IS (Before Changes)'!I98-'IS 3Q2022'!I98</f>
        <v>0</v>
      </c>
      <c r="J98" s="167">
        <f>'IS (Before Changes)'!J98-'IS 3Q2022'!J98</f>
        <v>0</v>
      </c>
      <c r="K98" s="167">
        <f>'IS (Before Changes)'!K98-'IS 3Q2022'!K98</f>
        <v>0</v>
      </c>
      <c r="L98" s="167">
        <f>'IS (Before Changes)'!L98-'IS 3Q2022'!L98</f>
        <v>0</v>
      </c>
      <c r="M98" s="186">
        <f>'IS (Before Changes)'!M98-'IS 3Q2022'!M98</f>
        <v>0</v>
      </c>
      <c r="N98" s="167">
        <f>'IS (Before Changes)'!N98-'IS 3Q2022'!N98</f>
        <v>0</v>
      </c>
      <c r="O98" s="167">
        <f>'IS (Before Changes)'!O98-'IS 3Q2022'!O98</f>
        <v>0</v>
      </c>
      <c r="P98" s="167">
        <f>'IS (Before Changes)'!P98-'IS 3Q2022'!P98</f>
        <v>0</v>
      </c>
      <c r="Q98" s="167">
        <f>'IS (Before Changes)'!Q98-'IS 3Q2022'!Q98</f>
        <v>0</v>
      </c>
      <c r="R98" s="188">
        <f>'IS (Before Changes)'!R98-'IS 3Q2022'!R98</f>
        <v>0</v>
      </c>
      <c r="S98" s="167">
        <f>'IS (Before Changes)'!S98-'IS 3Q2022'!S98</f>
        <v>0</v>
      </c>
      <c r="T98" s="167">
        <f>'IS (Before Changes)'!T98-'IS 3Q2022'!T98</f>
        <v>0</v>
      </c>
      <c r="U98" s="167">
        <f>'IS (Before Changes)'!U98-'IS 3Q2022'!U98</f>
        <v>0</v>
      </c>
      <c r="V98" s="189">
        <f>'IS (Before Changes)'!V98-'IS 3Q2022'!V98</f>
        <v>8.7002690753356267E-3</v>
      </c>
      <c r="W98" s="188">
        <f>'IS (Before Changes)'!W98-'IS 3Q2022'!W98</f>
        <v>2.2580494344475906E-3</v>
      </c>
      <c r="X98" s="189">
        <f>'IS (Before Changes)'!X98-'IS 3Q2022'!X98</f>
        <v>0</v>
      </c>
      <c r="Y98" s="189">
        <f>'IS (Before Changes)'!Y98-'IS 3Q2022'!Y98</f>
        <v>0</v>
      </c>
      <c r="Z98" s="189">
        <f>'IS (Before Changes)'!Z98-'IS 3Q2022'!Z98</f>
        <v>0</v>
      </c>
      <c r="AA98" s="189">
        <f>'IS (Before Changes)'!AA98-'IS 3Q2022'!AA98</f>
        <v>8.7002690753356267E-3</v>
      </c>
      <c r="AB98" s="188">
        <f>'IS (Before Changes)'!AB98-'IS 3Q2022'!AB98</f>
        <v>2.5485542595325358E-3</v>
      </c>
      <c r="AC98" s="189">
        <f>'IS (Before Changes)'!AC98-'IS 3Q2022'!AC98</f>
        <v>0</v>
      </c>
      <c r="AD98" s="189">
        <f>'IS (Before Changes)'!AD98-'IS 3Q2022'!AD98</f>
        <v>0</v>
      </c>
      <c r="AE98" s="189">
        <f>'IS (Before Changes)'!AE98-'IS 3Q2022'!AE98</f>
        <v>0</v>
      </c>
      <c r="AF98" s="189">
        <f>'IS (Before Changes)'!AF98-'IS 3Q2022'!AF98</f>
        <v>8.7002690753356267E-3</v>
      </c>
      <c r="AG98" s="188">
        <f>'IS (Before Changes)'!AG98-'IS 3Q2022'!AG98</f>
        <v>2.4704909426476705E-3</v>
      </c>
      <c r="AH98" s="189">
        <f>'IS (Before Changes)'!AH98-'IS 3Q2022'!AH98</f>
        <v>0</v>
      </c>
      <c r="AI98" s="189">
        <f>'IS (Before Changes)'!AI98-'IS 3Q2022'!AI98</f>
        <v>0</v>
      </c>
      <c r="AJ98" s="189">
        <f>'IS (Before Changes)'!AJ98-'IS 3Q2022'!AJ98</f>
        <v>0</v>
      </c>
      <c r="AK98" s="189">
        <f>'IS (Before Changes)'!AK98-'IS 3Q2022'!AK98</f>
        <v>8.7002690753356232E-3</v>
      </c>
      <c r="AL98" s="188">
        <f>'IS (Before Changes)'!AL98-'IS 3Q2022'!AL98</f>
        <v>2.4558957973862573E-3</v>
      </c>
      <c r="AM98" s="189">
        <f>'IS (Before Changes)'!AM98-'IS 3Q2022'!AM98</f>
        <v>0</v>
      </c>
      <c r="AN98" s="189">
        <f>'IS (Before Changes)'!AN98-'IS 3Q2022'!AN98</f>
        <v>0</v>
      </c>
      <c r="AO98" s="189">
        <f>'IS (Before Changes)'!AO98-'IS 3Q2022'!AO98</f>
        <v>0</v>
      </c>
      <c r="AP98" s="189">
        <f>'IS (Before Changes)'!AP98-'IS 3Q2022'!AP98</f>
        <v>8.7002690753356232E-3</v>
      </c>
      <c r="AQ98" s="188">
        <f>'IS (Before Changes)'!AQ98-'IS 3Q2022'!AQ98</f>
        <v>2.4062554289933646E-3</v>
      </c>
      <c r="AR98" s="189">
        <f>'IS (Before Changes)'!AR98-'IS 3Q2022'!AR98</f>
        <v>0</v>
      </c>
      <c r="AS98" s="189">
        <f>'IS (Before Changes)'!AS98-'IS 3Q2022'!AS98</f>
        <v>0</v>
      </c>
      <c r="AT98" s="189">
        <f>'IS (Before Changes)'!AT98-'IS 3Q2022'!AT98</f>
        <v>0</v>
      </c>
      <c r="AU98" s="189">
        <f>'IS (Before Changes)'!AU98-'IS 3Q2022'!AU98</f>
        <v>8.7002690753356232E-3</v>
      </c>
      <c r="AV98" s="188">
        <f>'IS (Before Changes)'!AV98-'IS 3Q2022'!AV98</f>
        <v>2.4052742079915257E-3</v>
      </c>
    </row>
    <row r="99" spans="1:48" outlineLevel="1" x14ac:dyDescent="0.3">
      <c r="B99" s="180" t="s">
        <v>34</v>
      </c>
      <c r="C99" s="18"/>
      <c r="D99" s="358">
        <f>'IS (Before Changes)'!D99-'IS 3Q2022'!D99</f>
        <v>0</v>
      </c>
      <c r="E99" s="358">
        <f>'IS (Before Changes)'!E99-'IS 3Q2022'!E99</f>
        <v>0</v>
      </c>
      <c r="F99" s="358">
        <f>'IS (Before Changes)'!F99-'IS 3Q2022'!F99</f>
        <v>0</v>
      </c>
      <c r="G99" s="358">
        <f>'IS (Before Changes)'!G99-'IS 3Q2022'!G99</f>
        <v>0</v>
      </c>
      <c r="H99" s="126">
        <f>'IS (Before Changes)'!H99-'IS 3Q2022'!H99</f>
        <v>0</v>
      </c>
      <c r="I99" s="358">
        <f>'IS (Before Changes)'!I99-'IS 3Q2022'!I99</f>
        <v>0</v>
      </c>
      <c r="J99" s="358">
        <f>'IS (Before Changes)'!J99-'IS 3Q2022'!J99</f>
        <v>0</v>
      </c>
      <c r="K99" s="358">
        <f>'IS (Before Changes)'!K99-'IS 3Q2022'!K99</f>
        <v>0</v>
      </c>
      <c r="L99" s="358">
        <f>'IS (Before Changes)'!L99-'IS 3Q2022'!L99</f>
        <v>0</v>
      </c>
      <c r="M99" s="126">
        <f>'IS (Before Changes)'!M99-'IS 3Q2022'!M99</f>
        <v>0</v>
      </c>
      <c r="N99" s="358">
        <f>'IS (Before Changes)'!N99-'IS 3Q2022'!N99</f>
        <v>0</v>
      </c>
      <c r="O99" s="358">
        <f>'IS (Before Changes)'!O99-'IS 3Q2022'!O99</f>
        <v>0</v>
      </c>
      <c r="P99" s="358">
        <f>'IS (Before Changes)'!P99-'IS 3Q2022'!P99</f>
        <v>0</v>
      </c>
      <c r="Q99" s="358">
        <f>'IS (Before Changes)'!Q99-'IS 3Q2022'!Q99</f>
        <v>0</v>
      </c>
      <c r="R99" s="126">
        <f>'IS (Before Changes)'!R99-'IS 3Q2022'!R99</f>
        <v>0</v>
      </c>
      <c r="S99" s="358">
        <f>'IS (Before Changes)'!S99-'IS 3Q2022'!S99</f>
        <v>0</v>
      </c>
      <c r="T99" s="358">
        <f>'IS (Before Changes)'!T99-'IS 3Q2022'!T99</f>
        <v>0</v>
      </c>
      <c r="U99" s="358">
        <f>'IS (Before Changes)'!U99-'IS 3Q2022'!U99</f>
        <v>0</v>
      </c>
      <c r="V99" s="358">
        <f>'IS (Before Changes)'!V99-'IS 3Q2022'!V99</f>
        <v>-7.8344041206326267</v>
      </c>
      <c r="W99" s="126">
        <f>'IS (Before Changes)'!W99-'IS 3Q2022'!W99</f>
        <v>-7.8344041206325983</v>
      </c>
      <c r="X99" s="358">
        <f>'IS (Before Changes)'!X99-'IS 3Q2022'!X99</f>
        <v>-5.53079287327337</v>
      </c>
      <c r="Y99" s="358">
        <f>'IS (Before Changes)'!Y99-'IS 3Q2022'!Y99</f>
        <v>-7.5999555698244876</v>
      </c>
      <c r="Z99" s="358">
        <f>'IS (Before Changes)'!Z99-'IS 3Q2022'!Z99</f>
        <v>-9.6920874887367745</v>
      </c>
      <c r="AA99" s="358">
        <f>'IS (Before Changes)'!AA99-'IS 3Q2022'!AA99</f>
        <v>-12.120736870500792</v>
      </c>
      <c r="AB99" s="126">
        <f>'IS (Before Changes)'!AB99-'IS 3Q2022'!AB99</f>
        <v>-34.943572802335439</v>
      </c>
      <c r="AC99" s="358">
        <f>'IS (Before Changes)'!AC99-'IS 3Q2022'!AC99</f>
        <v>-11.661747213902203</v>
      </c>
      <c r="AD99" s="358">
        <f>'IS (Before Changes)'!AD99-'IS 3Q2022'!AD99</f>
        <v>-11.877946759622063</v>
      </c>
      <c r="AE99" s="358">
        <f>'IS (Before Changes)'!AE99-'IS 3Q2022'!AE99</f>
        <v>-11.932985281591868</v>
      </c>
      <c r="AF99" s="358">
        <f>'IS (Before Changes)'!AF99-'IS 3Q2022'!AF99</f>
        <v>-11.876726010091346</v>
      </c>
      <c r="AG99" s="126">
        <f>'IS (Before Changes)'!AG99-'IS 3Q2022'!AG99</f>
        <v>-47.349405265207452</v>
      </c>
      <c r="AH99" s="358">
        <f>'IS (Before Changes)'!AH99-'IS 3Q2022'!AH99</f>
        <v>-11.402428574677486</v>
      </c>
      <c r="AI99" s="358">
        <f>'IS (Before Changes)'!AI99-'IS 3Q2022'!AI99</f>
        <v>-11.372779409150581</v>
      </c>
      <c r="AJ99" s="358">
        <f>'IS (Before Changes)'!AJ99-'IS 3Q2022'!AJ99</f>
        <v>-11.224703068423054</v>
      </c>
      <c r="AK99" s="358">
        <f>'IS (Before Changes)'!AK99-'IS 3Q2022'!AK99</f>
        <v>-11.105254931075848</v>
      </c>
      <c r="AL99" s="126">
        <f>'IS (Before Changes)'!AL99-'IS 3Q2022'!AL99</f>
        <v>-45.105165983327083</v>
      </c>
      <c r="AM99" s="358">
        <f>'IS (Before Changes)'!AM99-'IS 3Q2022'!AM99</f>
        <v>-10.877778434390422</v>
      </c>
      <c r="AN99" s="358">
        <f>'IS (Before Changes)'!AN99-'IS 3Q2022'!AN99</f>
        <v>-10.863882256619178</v>
      </c>
      <c r="AO99" s="358">
        <f>'IS (Before Changes)'!AO99-'IS 3Q2022'!AO99</f>
        <v>-10.763325707130605</v>
      </c>
      <c r="AP99" s="358">
        <f>'IS (Before Changes)'!AP99-'IS 3Q2022'!AP99</f>
        <v>-10.738044345545831</v>
      </c>
      <c r="AQ99" s="126">
        <f>'IS (Before Changes)'!AQ99-'IS 3Q2022'!AQ99</f>
        <v>-43.243030743686177</v>
      </c>
      <c r="AR99" s="358">
        <f>'IS (Before Changes)'!AR99-'IS 3Q2022'!AR99</f>
        <v>-10.615979913839794</v>
      </c>
      <c r="AS99" s="358">
        <f>'IS (Before Changes)'!AS99-'IS 3Q2022'!AS99</f>
        <v>-10.632615371884924</v>
      </c>
      <c r="AT99" s="358">
        <f>'IS (Before Changes)'!AT99-'IS 3Q2022'!AT99</f>
        <v>-10.572556498497306</v>
      </c>
      <c r="AU99" s="358">
        <f>'IS (Before Changes)'!AU99-'IS 3Q2022'!AU99</f>
        <v>-10.599847993813199</v>
      </c>
      <c r="AV99" s="126">
        <f>'IS (Before Changes)'!AV99-'IS 3Q2022'!AV99</f>
        <v>-42.420999778035252</v>
      </c>
    </row>
    <row r="100" spans="1:48" outlineLevel="1" x14ac:dyDescent="0.3">
      <c r="B100" s="180" t="s">
        <v>35</v>
      </c>
      <c r="C100" s="18"/>
      <c r="D100" s="105">
        <f>'IS (Before Changes)'!D100-'IS 3Q2022'!D100</f>
        <v>0</v>
      </c>
      <c r="E100" s="105">
        <f>'IS (Before Changes)'!E100-'IS 3Q2022'!E100</f>
        <v>0</v>
      </c>
      <c r="F100" s="105">
        <f>'IS (Before Changes)'!F100-'IS 3Q2022'!F100</f>
        <v>0</v>
      </c>
      <c r="G100" s="105">
        <f>'IS (Before Changes)'!G100-'IS 3Q2022'!G100</f>
        <v>0</v>
      </c>
      <c r="H100" s="170">
        <f>'IS (Before Changes)'!H100-'IS 3Q2022'!H100</f>
        <v>0</v>
      </c>
      <c r="I100" s="105">
        <f>'IS (Before Changes)'!I100-'IS 3Q2022'!I100</f>
        <v>0</v>
      </c>
      <c r="J100" s="105">
        <f>'IS (Before Changes)'!J100-'IS 3Q2022'!J100</f>
        <v>0</v>
      </c>
      <c r="K100" s="105">
        <f>'IS (Before Changes)'!K100-'IS 3Q2022'!K100</f>
        <v>0</v>
      </c>
      <c r="L100" s="105">
        <f>'IS (Before Changes)'!L100-'IS 3Q2022'!L100</f>
        <v>0</v>
      </c>
      <c r="M100" s="170">
        <f>'IS (Before Changes)'!M100-'IS 3Q2022'!M100</f>
        <v>0</v>
      </c>
      <c r="N100" s="105">
        <f>'IS (Before Changes)'!N100-'IS 3Q2022'!N100</f>
        <v>0</v>
      </c>
      <c r="O100" s="105">
        <f>'IS (Before Changes)'!O100-'IS 3Q2022'!O100</f>
        <v>0</v>
      </c>
      <c r="P100" s="105">
        <f>'IS (Before Changes)'!P100-'IS 3Q2022'!P100</f>
        <v>0</v>
      </c>
      <c r="Q100" s="105">
        <f>'IS (Before Changes)'!Q100-'IS 3Q2022'!Q100</f>
        <v>0</v>
      </c>
      <c r="R100" s="49">
        <f>'IS (Before Changes)'!R100-'IS 3Q2022'!R100</f>
        <v>0</v>
      </c>
      <c r="S100" s="48">
        <f>'IS (Before Changes)'!S100-'IS 3Q2022'!S100</f>
        <v>0</v>
      </c>
      <c r="T100" s="48">
        <f>'IS (Before Changes)'!T100-'IS 3Q2022'!T100</f>
        <v>0</v>
      </c>
      <c r="U100" s="48">
        <f>'IS (Before Changes)'!U100-'IS 3Q2022'!U100</f>
        <v>0</v>
      </c>
      <c r="V100" s="48">
        <f>'IS (Before Changes)'!V100-'IS 3Q2022'!V100</f>
        <v>-1.121868692750752</v>
      </c>
      <c r="W100" s="49">
        <f>'IS (Before Changes)'!W100-'IS 3Q2022'!W100</f>
        <v>-1.1218686927508088</v>
      </c>
      <c r="X100" s="48">
        <f>'IS (Before Changes)'!X100-'IS 3Q2022'!X100</f>
        <v>0.68738427548839809</v>
      </c>
      <c r="Y100" s="48">
        <f>'IS (Before Changes)'!Y100-'IS 3Q2022'!Y100</f>
        <v>0.64501559304284228</v>
      </c>
      <c r="Z100" s="48">
        <f>'IS (Before Changes)'!Z100-'IS 3Q2022'!Z100</f>
        <v>0.70398094749192808</v>
      </c>
      <c r="AA100" s="48">
        <f>'IS (Before Changes)'!AA100-'IS 3Q2022'!AA100</f>
        <v>-0.90432544118971236</v>
      </c>
      <c r="AB100" s="49">
        <f>'IS (Before Changes)'!AB100-'IS 3Q2022'!AB100</f>
        <v>1.1320553748334987</v>
      </c>
      <c r="AC100" s="48">
        <f>'IS (Before Changes)'!AC100-'IS 3Q2022'!AC100</f>
        <v>0.76058665211159848</v>
      </c>
      <c r="AD100" s="48">
        <f>'IS (Before Changes)'!AD100-'IS 3Q2022'!AD100</f>
        <v>0.67726637269497303</v>
      </c>
      <c r="AE100" s="48">
        <f>'IS (Before Changes)'!AE100-'IS 3Q2022'!AE100</f>
        <v>0.73917999486654651</v>
      </c>
      <c r="AF100" s="48">
        <f>'IS (Before Changes)'!AF100-'IS 3Q2022'!AF100</f>
        <v>-1.2086787636732481</v>
      </c>
      <c r="AG100" s="49">
        <f>'IS (Before Changes)'!AG100-'IS 3Q2022'!AG100</f>
        <v>0.96835425599988412</v>
      </c>
      <c r="AH100" s="48">
        <f>'IS (Before Changes)'!AH100-'IS 3Q2022'!AH100</f>
        <v>0.76364263333682914</v>
      </c>
      <c r="AI100" s="48">
        <f>'IS (Before Changes)'!AI100-'IS 3Q2022'!AI100</f>
        <v>0.68071192282421578</v>
      </c>
      <c r="AJ100" s="48">
        <f>'IS (Before Changes)'!AJ100-'IS 3Q2022'!AJ100</f>
        <v>0.74284160058715543</v>
      </c>
      <c r="AK100" s="48">
        <f>'IS (Before Changes)'!AK100-'IS 3Q2022'!AK100</f>
        <v>-1.3879043976979233</v>
      </c>
      <c r="AL100" s="49">
        <f>'IS (Before Changes)'!AL100-'IS 3Q2022'!AL100</f>
        <v>0.79929175905033389</v>
      </c>
      <c r="AM100" s="48">
        <f>'IS (Before Changes)'!AM100-'IS 3Q2022'!AM100</f>
        <v>0.80182476500368693</v>
      </c>
      <c r="AN100" s="48">
        <f>'IS (Before Changes)'!AN100-'IS 3Q2022'!AN100</f>
        <v>0.71474751896539601</v>
      </c>
      <c r="AO100" s="48">
        <f>'IS (Before Changes)'!AO100-'IS 3Q2022'!AO100</f>
        <v>0.77998368061653878</v>
      </c>
      <c r="AP100" s="48">
        <f>'IS (Before Changes)'!AP100-'IS 3Q2022'!AP100</f>
        <v>-1.6326602844789022</v>
      </c>
      <c r="AQ100" s="49">
        <f>'IS (Before Changes)'!AQ100-'IS 3Q2022'!AQ100</f>
        <v>0.66389568010674793</v>
      </c>
      <c r="AR100" s="48">
        <f>'IS (Before Changes)'!AR100-'IS 3Q2022'!AR100</f>
        <v>0.82587950795377196</v>
      </c>
      <c r="AS100" s="48">
        <f>'IS (Before Changes)'!AS100-'IS 3Q2022'!AS100</f>
        <v>0.73618994453437381</v>
      </c>
      <c r="AT100" s="48">
        <f>'IS (Before Changes)'!AT100-'IS 3Q2022'!AT100</f>
        <v>0.80338319103503864</v>
      </c>
      <c r="AU100" s="48">
        <f>'IS (Before Changes)'!AU100-'IS 3Q2022'!AU100</f>
        <v>-1.8461700691840406</v>
      </c>
      <c r="AV100" s="49">
        <f>'IS (Before Changes)'!AV100-'IS 3Q2022'!AV100</f>
        <v>0.51928257433917224</v>
      </c>
    </row>
    <row r="101" spans="1:48" s="184" customFormat="1" outlineLevel="1" x14ac:dyDescent="0.3">
      <c r="B101" s="181" t="s">
        <v>153</v>
      </c>
      <c r="C101" s="190"/>
      <c r="D101" s="167">
        <f>'IS (Before Changes)'!D101-'IS 3Q2022'!D101</f>
        <v>0</v>
      </c>
      <c r="E101" s="167">
        <f>'IS (Before Changes)'!E101-'IS 3Q2022'!E101</f>
        <v>0</v>
      </c>
      <c r="F101" s="167">
        <f>'IS (Before Changes)'!F101-'IS 3Q2022'!F101</f>
        <v>0</v>
      </c>
      <c r="G101" s="167">
        <f>'IS (Before Changes)'!G101-'IS 3Q2022'!G101</f>
        <v>0</v>
      </c>
      <c r="H101" s="186">
        <f>'IS (Before Changes)'!H101-'IS 3Q2022'!H101</f>
        <v>0</v>
      </c>
      <c r="I101" s="167">
        <f>'IS (Before Changes)'!I101-'IS 3Q2022'!I101</f>
        <v>0</v>
      </c>
      <c r="J101" s="167">
        <f>'IS (Before Changes)'!J101-'IS 3Q2022'!J101</f>
        <v>0</v>
      </c>
      <c r="K101" s="167">
        <f>'IS (Before Changes)'!K101-'IS 3Q2022'!K101</f>
        <v>0</v>
      </c>
      <c r="L101" s="167">
        <f>'IS (Before Changes)'!L101-'IS 3Q2022'!L101</f>
        <v>0</v>
      </c>
      <c r="M101" s="186">
        <f>'IS (Before Changes)'!M101-'IS 3Q2022'!M101</f>
        <v>0</v>
      </c>
      <c r="N101" s="167">
        <f>'IS (Before Changes)'!N101-'IS 3Q2022'!N101</f>
        <v>0</v>
      </c>
      <c r="O101" s="167">
        <f>'IS (Before Changes)'!O101-'IS 3Q2022'!O101</f>
        <v>0</v>
      </c>
      <c r="P101" s="167">
        <f>'IS (Before Changes)'!P101-'IS 3Q2022'!P101</f>
        <v>0</v>
      </c>
      <c r="Q101" s="167">
        <f>'IS (Before Changes)'!Q101-'IS 3Q2022'!Q101</f>
        <v>0</v>
      </c>
      <c r="R101" s="188">
        <f>'IS (Before Changes)'!R101-'IS 3Q2022'!R101</f>
        <v>0</v>
      </c>
      <c r="S101" s="167">
        <f>'IS (Before Changes)'!S101-'IS 3Q2022'!S101</f>
        <v>0</v>
      </c>
      <c r="T101" s="167">
        <f>'IS (Before Changes)'!T101-'IS 3Q2022'!T101</f>
        <v>0</v>
      </c>
      <c r="U101" s="167">
        <f>'IS (Before Changes)'!U101-'IS 3Q2022'!U101</f>
        <v>0</v>
      </c>
      <c r="V101" s="189">
        <f>'IS (Before Changes)'!V101-'IS 3Q2022'!V101</f>
        <v>7.1575109158830003E-4</v>
      </c>
      <c r="W101" s="188">
        <f>'IS (Before Changes)'!W101-'IS 3Q2022'!W101</f>
        <v>1.711178615486364E-4</v>
      </c>
      <c r="X101" s="189">
        <f>'IS (Before Changes)'!X101-'IS 3Q2022'!X101</f>
        <v>0</v>
      </c>
      <c r="Y101" s="189">
        <f>'IS (Before Changes)'!Y101-'IS 3Q2022'!Y101</f>
        <v>0</v>
      </c>
      <c r="Z101" s="189">
        <f>'IS (Before Changes)'!Z101-'IS 3Q2022'!Z101</f>
        <v>0</v>
      </c>
      <c r="AA101" s="189">
        <f>'IS (Before Changes)'!AA101-'IS 3Q2022'!AA101</f>
        <v>7.1575109158830003E-4</v>
      </c>
      <c r="AB101" s="188">
        <f>'IS (Before Changes)'!AB101-'IS 3Q2022'!AB101</f>
        <v>2.1294511968114604E-4</v>
      </c>
      <c r="AC101" s="189">
        <f>'IS (Before Changes)'!AC101-'IS 3Q2022'!AC101</f>
        <v>0</v>
      </c>
      <c r="AD101" s="189">
        <f>'IS (Before Changes)'!AD101-'IS 3Q2022'!AD101</f>
        <v>0</v>
      </c>
      <c r="AE101" s="189">
        <f>'IS (Before Changes)'!AE101-'IS 3Q2022'!AE101</f>
        <v>0</v>
      </c>
      <c r="AF101" s="189">
        <f>'IS (Before Changes)'!AF101-'IS 3Q2022'!AF101</f>
        <v>7.1575109158830003E-4</v>
      </c>
      <c r="AG101" s="188">
        <f>'IS (Before Changes)'!AG101-'IS 3Q2022'!AG101</f>
        <v>2.0113778950388295E-4</v>
      </c>
      <c r="AH101" s="189">
        <f>'IS (Before Changes)'!AH101-'IS 3Q2022'!AH101</f>
        <v>0</v>
      </c>
      <c r="AI101" s="189">
        <f>'IS (Before Changes)'!AI101-'IS 3Q2022'!AI101</f>
        <v>0</v>
      </c>
      <c r="AJ101" s="189">
        <f>'IS (Before Changes)'!AJ101-'IS 3Q2022'!AJ101</f>
        <v>0</v>
      </c>
      <c r="AK101" s="189">
        <f>'IS (Before Changes)'!AK101-'IS 3Q2022'!AK101</f>
        <v>7.1575109158830003E-4</v>
      </c>
      <c r="AL101" s="188">
        <f>'IS (Before Changes)'!AL101-'IS 3Q2022'!AL101</f>
        <v>2.0063527342435022E-4</v>
      </c>
      <c r="AM101" s="189">
        <f>'IS (Before Changes)'!AM101-'IS 3Q2022'!AM101</f>
        <v>0</v>
      </c>
      <c r="AN101" s="189">
        <f>'IS (Before Changes)'!AN101-'IS 3Q2022'!AN101</f>
        <v>0</v>
      </c>
      <c r="AO101" s="189">
        <f>'IS (Before Changes)'!AO101-'IS 3Q2022'!AO101</f>
        <v>0</v>
      </c>
      <c r="AP101" s="189">
        <f>'IS (Before Changes)'!AP101-'IS 3Q2022'!AP101</f>
        <v>7.1575109158830003E-4</v>
      </c>
      <c r="AQ101" s="188">
        <f>'IS (Before Changes)'!AQ101-'IS 3Q2022'!AQ101</f>
        <v>1.9655241832008952E-4</v>
      </c>
      <c r="AR101" s="189">
        <f>'IS (Before Changes)'!AR101-'IS 3Q2022'!AR101</f>
        <v>0</v>
      </c>
      <c r="AS101" s="189">
        <f>'IS (Before Changes)'!AS101-'IS 3Q2022'!AS101</f>
        <v>0</v>
      </c>
      <c r="AT101" s="189">
        <f>'IS (Before Changes)'!AT101-'IS 3Q2022'!AT101</f>
        <v>0</v>
      </c>
      <c r="AU101" s="189">
        <f>'IS (Before Changes)'!AU101-'IS 3Q2022'!AU101</f>
        <v>7.1575109158830003E-4</v>
      </c>
      <c r="AV101" s="188">
        <f>'IS (Before Changes)'!AV101-'IS 3Q2022'!AV101</f>
        <v>1.9645635093963609E-4</v>
      </c>
    </row>
    <row r="102" spans="1:48" ht="16.2" outlineLevel="1" x14ac:dyDescent="0.45">
      <c r="B102" s="180" t="s">
        <v>42</v>
      </c>
      <c r="C102" s="18"/>
      <c r="D102" s="119">
        <f>'IS (Before Changes)'!D102-'IS 3Q2022'!D102</f>
        <v>0</v>
      </c>
      <c r="E102" s="119">
        <f>'IS (Before Changes)'!E102-'IS 3Q2022'!E102</f>
        <v>0</v>
      </c>
      <c r="F102" s="119">
        <f>'IS (Before Changes)'!F102-'IS 3Q2022'!F102</f>
        <v>0</v>
      </c>
      <c r="G102" s="119">
        <f>'IS (Before Changes)'!G102-'IS 3Q2022'!G102</f>
        <v>0</v>
      </c>
      <c r="H102" s="131">
        <f>'IS (Before Changes)'!H102-'IS 3Q2022'!H102</f>
        <v>0</v>
      </c>
      <c r="I102" s="119">
        <f>'IS (Before Changes)'!I102-'IS 3Q2022'!I102</f>
        <v>0</v>
      </c>
      <c r="J102" s="119">
        <f>'IS (Before Changes)'!J102-'IS 3Q2022'!J102</f>
        <v>0</v>
      </c>
      <c r="K102" s="119">
        <f>'IS (Before Changes)'!K102-'IS 3Q2022'!K102</f>
        <v>0</v>
      </c>
      <c r="L102" s="119">
        <f>'IS (Before Changes)'!L102-'IS 3Q2022'!L102</f>
        <v>0</v>
      </c>
      <c r="M102" s="131">
        <f>'IS (Before Changes)'!M102-'IS 3Q2022'!M102</f>
        <v>0</v>
      </c>
      <c r="N102" s="119">
        <f>'IS (Before Changes)'!N102-'IS 3Q2022'!N102</f>
        <v>0</v>
      </c>
      <c r="O102" s="119">
        <f>'IS (Before Changes)'!O102-'IS 3Q2022'!O102</f>
        <v>0</v>
      </c>
      <c r="P102" s="119">
        <f>'IS (Before Changes)'!P102-'IS 3Q2022'!P102</f>
        <v>0</v>
      </c>
      <c r="Q102" s="119">
        <f>'IS (Before Changes)'!Q102-'IS 3Q2022'!Q102</f>
        <v>0</v>
      </c>
      <c r="R102" s="131">
        <f>'IS (Before Changes)'!R102-'IS 3Q2022'!R102</f>
        <v>0</v>
      </c>
      <c r="S102" s="119">
        <f>'IS (Before Changes)'!S102-'IS 3Q2022'!S102</f>
        <v>0</v>
      </c>
      <c r="T102" s="119">
        <f>'IS (Before Changes)'!T102-'IS 3Q2022'!T102</f>
        <v>0</v>
      </c>
      <c r="U102" s="119">
        <f>'IS (Before Changes)'!U102-'IS 3Q2022'!U102</f>
        <v>0</v>
      </c>
      <c r="V102" s="119">
        <f>'IS (Before Changes)'!V102-'IS 3Q2022'!V102</f>
        <v>0</v>
      </c>
      <c r="W102" s="131">
        <f>'IS (Before Changes)'!W102-'IS 3Q2022'!W102</f>
        <v>0</v>
      </c>
      <c r="X102" s="119">
        <f>'IS (Before Changes)'!X102-'IS 3Q2022'!X102</f>
        <v>0</v>
      </c>
      <c r="Y102" s="119">
        <f>'IS (Before Changes)'!Y102-'IS 3Q2022'!Y102</f>
        <v>0</v>
      </c>
      <c r="Z102" s="119">
        <f>'IS (Before Changes)'!Z102-'IS 3Q2022'!Z102</f>
        <v>0</v>
      </c>
      <c r="AA102" s="119">
        <f>'IS (Before Changes)'!AA102-'IS 3Q2022'!AA102</f>
        <v>0</v>
      </c>
      <c r="AB102" s="131">
        <f>'IS (Before Changes)'!AB102-'IS 3Q2022'!AB102</f>
        <v>0</v>
      </c>
      <c r="AC102" s="119">
        <f>'IS (Before Changes)'!AC102-'IS 3Q2022'!AC102</f>
        <v>0</v>
      </c>
      <c r="AD102" s="119">
        <f>'IS (Before Changes)'!AD102-'IS 3Q2022'!AD102</f>
        <v>0</v>
      </c>
      <c r="AE102" s="119">
        <f>'IS (Before Changes)'!AE102-'IS 3Q2022'!AE102</f>
        <v>0</v>
      </c>
      <c r="AF102" s="119">
        <f>'IS (Before Changes)'!AF102-'IS 3Q2022'!AF102</f>
        <v>0</v>
      </c>
      <c r="AG102" s="131">
        <f>'IS (Before Changes)'!AG102-'IS 3Q2022'!AG102</f>
        <v>0</v>
      </c>
      <c r="AH102" s="119">
        <f>'IS (Before Changes)'!AH102-'IS 3Q2022'!AH102</f>
        <v>0</v>
      </c>
      <c r="AI102" s="119">
        <f>'IS (Before Changes)'!AI102-'IS 3Q2022'!AI102</f>
        <v>0</v>
      </c>
      <c r="AJ102" s="119">
        <f>'IS (Before Changes)'!AJ102-'IS 3Q2022'!AJ102</f>
        <v>0</v>
      </c>
      <c r="AK102" s="119">
        <f>'IS (Before Changes)'!AK102-'IS 3Q2022'!AK102</f>
        <v>0</v>
      </c>
      <c r="AL102" s="131">
        <f>'IS (Before Changes)'!AL102-'IS 3Q2022'!AL102</f>
        <v>0</v>
      </c>
      <c r="AM102" s="119">
        <f>'IS (Before Changes)'!AM102-'IS 3Q2022'!AM102</f>
        <v>0</v>
      </c>
      <c r="AN102" s="119">
        <f>'IS (Before Changes)'!AN102-'IS 3Q2022'!AN102</f>
        <v>0</v>
      </c>
      <c r="AO102" s="119">
        <f>'IS (Before Changes)'!AO102-'IS 3Q2022'!AO102</f>
        <v>0</v>
      </c>
      <c r="AP102" s="119">
        <f>'IS (Before Changes)'!AP102-'IS 3Q2022'!AP102</f>
        <v>0</v>
      </c>
      <c r="AQ102" s="131">
        <f>'IS (Before Changes)'!AQ102-'IS 3Q2022'!AQ102</f>
        <v>0</v>
      </c>
      <c r="AR102" s="119">
        <f>'IS (Before Changes)'!AR102-'IS 3Q2022'!AR102</f>
        <v>0</v>
      </c>
      <c r="AS102" s="119">
        <f>'IS (Before Changes)'!AS102-'IS 3Q2022'!AS102</f>
        <v>0</v>
      </c>
      <c r="AT102" s="119">
        <f>'IS (Before Changes)'!AT102-'IS 3Q2022'!AT102</f>
        <v>0</v>
      </c>
      <c r="AU102" s="119">
        <f>'IS (Before Changes)'!AU102-'IS 3Q2022'!AU102</f>
        <v>0</v>
      </c>
      <c r="AV102" s="131">
        <f>'IS (Before Changes)'!AV102-'IS 3Q2022'!AV102</f>
        <v>0</v>
      </c>
    </row>
    <row r="103" spans="1:48" outlineLevel="1" x14ac:dyDescent="0.3">
      <c r="B103" s="46" t="s">
        <v>123</v>
      </c>
      <c r="C103" s="19"/>
      <c r="D103" s="103">
        <f>'IS (Before Changes)'!D103-'IS 3Q2022'!D103</f>
        <v>0</v>
      </c>
      <c r="E103" s="103">
        <f>'IS (Before Changes)'!E103-'IS 3Q2022'!E103</f>
        <v>0</v>
      </c>
      <c r="F103" s="103">
        <f>'IS (Before Changes)'!F103-'IS 3Q2022'!F103</f>
        <v>0</v>
      </c>
      <c r="G103" s="103">
        <f>'IS (Before Changes)'!G103-'IS 3Q2022'!G103</f>
        <v>0</v>
      </c>
      <c r="H103" s="171">
        <f>'IS (Before Changes)'!H103-'IS 3Q2022'!H103</f>
        <v>0</v>
      </c>
      <c r="I103" s="103">
        <f>'IS (Before Changes)'!I103-'IS 3Q2022'!I103</f>
        <v>0</v>
      </c>
      <c r="J103" s="103">
        <f>'IS (Before Changes)'!J103-'IS 3Q2022'!J103</f>
        <v>0</v>
      </c>
      <c r="K103" s="103">
        <f>'IS (Before Changes)'!K103-'IS 3Q2022'!K103</f>
        <v>0</v>
      </c>
      <c r="L103" s="103">
        <f>'IS (Before Changes)'!L103-'IS 3Q2022'!L103</f>
        <v>0</v>
      </c>
      <c r="M103" s="171">
        <f>'IS (Before Changes)'!M103-'IS 3Q2022'!M103</f>
        <v>0</v>
      </c>
      <c r="N103" s="103">
        <f>'IS (Before Changes)'!N103-'IS 3Q2022'!N103</f>
        <v>0</v>
      </c>
      <c r="O103" s="103">
        <f>'IS (Before Changes)'!O103-'IS 3Q2022'!O103</f>
        <v>0</v>
      </c>
      <c r="P103" s="103">
        <f>'IS (Before Changes)'!P103-'IS 3Q2022'!P103</f>
        <v>0</v>
      </c>
      <c r="Q103" s="103">
        <f>'IS (Before Changes)'!Q103-'IS 3Q2022'!Q103</f>
        <v>0</v>
      </c>
      <c r="R103" s="171">
        <f>'IS (Before Changes)'!R103-'IS 3Q2022'!R103</f>
        <v>0</v>
      </c>
      <c r="S103" s="103">
        <f>'IS (Before Changes)'!S103-'IS 3Q2022'!S103</f>
        <v>0</v>
      </c>
      <c r="T103" s="103">
        <f>'IS (Before Changes)'!T103-'IS 3Q2022'!T103</f>
        <v>0</v>
      </c>
      <c r="U103" s="103">
        <f>'IS (Before Changes)'!U103-'IS 3Q2022'!U103</f>
        <v>0</v>
      </c>
      <c r="V103" s="103">
        <f>'IS (Before Changes)'!V103-'IS 3Q2022'!V103</f>
        <v>-19.837984384718766</v>
      </c>
      <c r="W103" s="171">
        <f>'IS (Before Changes)'!W103-'IS 3Q2022'!W103</f>
        <v>-19.837984384718766</v>
      </c>
      <c r="X103" s="103">
        <f>'IS (Before Changes)'!X103-'IS 3Q2022'!X103</f>
        <v>6.2391405283267432</v>
      </c>
      <c r="Y103" s="103">
        <f>'IS (Before Changes)'!Y103-'IS 3Q2022'!Y103</f>
        <v>3.8954175771932569</v>
      </c>
      <c r="Z103" s="103">
        <f>'IS (Before Changes)'!Z103-'IS 3Q2022'!Z103</f>
        <v>3.557923639738874</v>
      </c>
      <c r="AA103" s="103">
        <f>'IS (Before Changes)'!AA103-'IS 3Q2022'!AA103</f>
        <v>-21.567322416383831</v>
      </c>
      <c r="AB103" s="171">
        <f>'IS (Before Changes)'!AB103-'IS 3Q2022'!AB103</f>
        <v>-7.8748406711265488</v>
      </c>
      <c r="AC103" s="103">
        <f>'IS (Before Changes)'!AC103-'IS 3Q2022'!AC103</f>
        <v>1.9562570008001785</v>
      </c>
      <c r="AD103" s="103">
        <f>'IS (Before Changes)'!AD103-'IS 3Q2022'!AD103</f>
        <v>-0.34588819564532969</v>
      </c>
      <c r="AE103" s="103">
        <f>'IS (Before Changes)'!AE103-'IS 3Q2022'!AE103</f>
        <v>1.9002468937301273</v>
      </c>
      <c r="AF103" s="103">
        <f>'IS (Before Changes)'!AF103-'IS 3Q2022'!AF103</f>
        <v>-25.180442816754748</v>
      </c>
      <c r="AG103" s="171">
        <f>'IS (Before Changes)'!AG103-'IS 3Q2022'!AG103</f>
        <v>-21.669827117868408</v>
      </c>
      <c r="AH103" s="103">
        <f>'IS (Before Changes)'!AH103-'IS 3Q2022'!AH103</f>
        <v>2.7609053253854654</v>
      </c>
      <c r="AI103" s="103">
        <f>'IS (Before Changes)'!AI103-'IS 3Q2022'!AI103</f>
        <v>0.61854780577277779</v>
      </c>
      <c r="AJ103" s="103">
        <f>'IS (Before Changes)'!AJ103-'IS 3Q2022'!AJ103</f>
        <v>2.719174381169978</v>
      </c>
      <c r="AK103" s="103">
        <f>'IS (Before Changes)'!AK103-'IS 3Q2022'!AK103</f>
        <v>-28.064175007449649</v>
      </c>
      <c r="AL103" s="171">
        <f>'IS (Before Changes)'!AL103-'IS 3Q2022'!AL103</f>
        <v>-21.965547495121427</v>
      </c>
      <c r="AM103" s="103">
        <f>'IS (Before Changes)'!AM103-'IS 3Q2022'!AM103</f>
        <v>3.9937221606760431</v>
      </c>
      <c r="AN103" s="103">
        <f>'IS (Before Changes)'!AN103-'IS 3Q2022'!AN103</f>
        <v>1.7270113190493248</v>
      </c>
      <c r="AO103" s="103">
        <f>'IS (Before Changes)'!AO103-'IS 3Q2022'!AO103</f>
        <v>3.8777456149418867</v>
      </c>
      <c r="AP103" s="103">
        <f>'IS (Before Changes)'!AP103-'IS 3Q2022'!AP103</f>
        <v>-30.84455535623465</v>
      </c>
      <c r="AQ103" s="171">
        <f>'IS (Before Changes)'!AQ103-'IS 3Q2022'!AQ103</f>
        <v>-21.246076261570124</v>
      </c>
      <c r="AR103" s="103">
        <f>'IS (Before Changes)'!AR103-'IS 3Q2022'!AR103</f>
        <v>4.7016656990776937</v>
      </c>
      <c r="AS103" s="103">
        <f>'IS (Before Changes)'!AS103-'IS 3Q2022'!AS103</f>
        <v>2.3360050110541124</v>
      </c>
      <c r="AT103" s="103">
        <f>'IS (Before Changes)'!AT103-'IS 3Q2022'!AT103</f>
        <v>4.5077469632369684</v>
      </c>
      <c r="AU103" s="103">
        <f>'IS (Before Changes)'!AU103-'IS 3Q2022'!AU103</f>
        <v>-33.44472364558078</v>
      </c>
      <c r="AV103" s="171">
        <f>'IS (Before Changes)'!AV103-'IS 3Q2022'!AV103</f>
        <v>-21.899305972207003</v>
      </c>
    </row>
    <row r="104" spans="1:48" ht="16.2" outlineLevel="1" x14ac:dyDescent="0.45">
      <c r="B104" s="180" t="s">
        <v>36</v>
      </c>
      <c r="C104" s="18"/>
      <c r="D104" s="119">
        <f>'IS (Before Changes)'!D104-'IS 3Q2022'!D104</f>
        <v>0</v>
      </c>
      <c r="E104" s="104">
        <f>'IS (Before Changes)'!E104-'IS 3Q2022'!E104</f>
        <v>0</v>
      </c>
      <c r="F104" s="104">
        <f>'IS (Before Changes)'!F104-'IS 3Q2022'!F104</f>
        <v>0</v>
      </c>
      <c r="G104" s="104">
        <f>'IS (Before Changes)'!G104-'IS 3Q2022'!G104</f>
        <v>0</v>
      </c>
      <c r="H104" s="214">
        <f>'IS (Before Changes)'!H104-'IS 3Q2022'!H104</f>
        <v>0</v>
      </c>
      <c r="I104" s="104">
        <f>'IS (Before Changes)'!I104-'IS 3Q2022'!I104</f>
        <v>0</v>
      </c>
      <c r="J104" s="104">
        <f>'IS (Before Changes)'!J104-'IS 3Q2022'!J104</f>
        <v>0</v>
      </c>
      <c r="K104" s="104">
        <f>'IS (Before Changes)'!K104-'IS 3Q2022'!K104</f>
        <v>0</v>
      </c>
      <c r="L104" s="104">
        <f>'IS (Before Changes)'!L104-'IS 3Q2022'!L104</f>
        <v>0</v>
      </c>
      <c r="M104" s="214">
        <f>'IS (Before Changes)'!M104-'IS 3Q2022'!M104</f>
        <v>0</v>
      </c>
      <c r="N104" s="104">
        <f>'IS (Before Changes)'!N104-'IS 3Q2022'!N104</f>
        <v>0</v>
      </c>
      <c r="O104" s="104">
        <f>'IS (Before Changes)'!O104-'IS 3Q2022'!O104</f>
        <v>0</v>
      </c>
      <c r="P104" s="104">
        <f>'IS (Before Changes)'!P104-'IS 3Q2022'!P104</f>
        <v>0</v>
      </c>
      <c r="Q104" s="104">
        <f>'IS (Before Changes)'!Q104-'IS 3Q2022'!Q104</f>
        <v>0</v>
      </c>
      <c r="R104" s="193">
        <f>'IS (Before Changes)'!R104-'IS 3Q2022'!R104</f>
        <v>0</v>
      </c>
      <c r="S104" s="104">
        <f>'IS (Before Changes)'!S104-'IS 3Q2022'!S104</f>
        <v>0</v>
      </c>
      <c r="T104" s="104">
        <f>'IS (Before Changes)'!T104-'IS 3Q2022'!T104</f>
        <v>0</v>
      </c>
      <c r="U104" s="104">
        <f>'IS (Before Changes)'!U104-'IS 3Q2022'!U104</f>
        <v>0</v>
      </c>
      <c r="V104" s="56">
        <f>'IS (Before Changes)'!V104-'IS 3Q2022'!V104</f>
        <v>0.19999999999999996</v>
      </c>
      <c r="W104" s="193">
        <f>'IS (Before Changes)'!W104-'IS 3Q2022'!W104</f>
        <v>0.20000000000000018</v>
      </c>
      <c r="X104" s="56">
        <f>'IS (Before Changes)'!X104-'IS 3Q2022'!X104</f>
        <v>0</v>
      </c>
      <c r="Y104" s="56">
        <f>'IS (Before Changes)'!Y104-'IS 3Q2022'!Y104</f>
        <v>0</v>
      </c>
      <c r="Z104" s="56">
        <f>'IS (Before Changes)'!Z104-'IS 3Q2022'!Z104</f>
        <v>0</v>
      </c>
      <c r="AA104" s="56">
        <f>'IS (Before Changes)'!AA104-'IS 3Q2022'!AA104</f>
        <v>0</v>
      </c>
      <c r="AB104" s="193">
        <f>'IS (Before Changes)'!AB104-'IS 3Q2022'!AB104</f>
        <v>0</v>
      </c>
      <c r="AC104" s="56">
        <f>'IS (Before Changes)'!AC104-'IS 3Q2022'!AC104</f>
        <v>0</v>
      </c>
      <c r="AD104" s="56">
        <f>'IS (Before Changes)'!AD104-'IS 3Q2022'!AD104</f>
        <v>0</v>
      </c>
      <c r="AE104" s="56">
        <f>'IS (Before Changes)'!AE104-'IS 3Q2022'!AE104</f>
        <v>0</v>
      </c>
      <c r="AF104" s="56">
        <f>'IS (Before Changes)'!AF104-'IS 3Q2022'!AF104</f>
        <v>0</v>
      </c>
      <c r="AG104" s="193">
        <f>'IS (Before Changes)'!AG104-'IS 3Q2022'!AG104</f>
        <v>0</v>
      </c>
      <c r="AH104" s="56">
        <f>'IS (Before Changes)'!AH104-'IS 3Q2022'!AH104</f>
        <v>0</v>
      </c>
      <c r="AI104" s="56">
        <f>'IS (Before Changes)'!AI104-'IS 3Q2022'!AI104</f>
        <v>0</v>
      </c>
      <c r="AJ104" s="56">
        <f>'IS (Before Changes)'!AJ104-'IS 3Q2022'!AJ104</f>
        <v>0</v>
      </c>
      <c r="AK104" s="56">
        <f>'IS (Before Changes)'!AK104-'IS 3Q2022'!AK104</f>
        <v>0</v>
      </c>
      <c r="AL104" s="193">
        <f>'IS (Before Changes)'!AL104-'IS 3Q2022'!AL104</f>
        <v>0</v>
      </c>
      <c r="AM104" s="56">
        <f>'IS (Before Changes)'!AM104-'IS 3Q2022'!AM104</f>
        <v>0</v>
      </c>
      <c r="AN104" s="56">
        <f>'IS (Before Changes)'!AN104-'IS 3Q2022'!AN104</f>
        <v>0</v>
      </c>
      <c r="AO104" s="56">
        <f>'IS (Before Changes)'!AO104-'IS 3Q2022'!AO104</f>
        <v>0</v>
      </c>
      <c r="AP104" s="56">
        <f>'IS (Before Changes)'!AP104-'IS 3Q2022'!AP104</f>
        <v>0</v>
      </c>
      <c r="AQ104" s="193">
        <f>'IS (Before Changes)'!AQ104-'IS 3Q2022'!AQ104</f>
        <v>0</v>
      </c>
      <c r="AR104" s="56">
        <f>'IS (Before Changes)'!AR104-'IS 3Q2022'!AR104</f>
        <v>0</v>
      </c>
      <c r="AS104" s="56">
        <f>'IS (Before Changes)'!AS104-'IS 3Q2022'!AS104</f>
        <v>0</v>
      </c>
      <c r="AT104" s="56">
        <f>'IS (Before Changes)'!AT104-'IS 3Q2022'!AT104</f>
        <v>0</v>
      </c>
      <c r="AU104" s="56">
        <f>'IS (Before Changes)'!AU104-'IS 3Q2022'!AU104</f>
        <v>0</v>
      </c>
      <c r="AV104" s="193">
        <f>'IS (Before Changes)'!AV104-'IS 3Q2022'!AV104</f>
        <v>0</v>
      </c>
    </row>
    <row r="105" spans="1:48" outlineLevel="1" x14ac:dyDescent="0.3">
      <c r="B105" s="46" t="s">
        <v>124</v>
      </c>
      <c r="C105" s="44"/>
      <c r="D105" s="156">
        <f>'IS (Before Changes)'!D105-'IS 3Q2022'!D105</f>
        <v>0</v>
      </c>
      <c r="E105" s="156">
        <f>'IS (Before Changes)'!E105-'IS 3Q2022'!E105</f>
        <v>0</v>
      </c>
      <c r="F105" s="156">
        <f>'IS (Before Changes)'!F105-'IS 3Q2022'!F105</f>
        <v>0</v>
      </c>
      <c r="G105" s="156">
        <f>'IS (Before Changes)'!G105-'IS 3Q2022'!G105</f>
        <v>0</v>
      </c>
      <c r="H105" s="132">
        <f>'IS (Before Changes)'!H105-'IS 3Q2022'!H105</f>
        <v>0</v>
      </c>
      <c r="I105" s="156">
        <f>'IS (Before Changes)'!I105-'IS 3Q2022'!I105</f>
        <v>0</v>
      </c>
      <c r="J105" s="156">
        <f>'IS (Before Changes)'!J105-'IS 3Q2022'!J105</f>
        <v>0</v>
      </c>
      <c r="K105" s="156">
        <f>'IS (Before Changes)'!K105-'IS 3Q2022'!K105</f>
        <v>0</v>
      </c>
      <c r="L105" s="156">
        <f>'IS (Before Changes)'!L105-'IS 3Q2022'!L105</f>
        <v>0</v>
      </c>
      <c r="M105" s="132">
        <f>'IS (Before Changes)'!M105-'IS 3Q2022'!M105</f>
        <v>0</v>
      </c>
      <c r="N105" s="156">
        <f>'IS (Before Changes)'!N105-'IS 3Q2022'!N105</f>
        <v>0</v>
      </c>
      <c r="O105" s="156">
        <f>'IS (Before Changes)'!O105-'IS 3Q2022'!O105</f>
        <v>0</v>
      </c>
      <c r="P105" s="156">
        <f>'IS (Before Changes)'!P105-'IS 3Q2022'!P105</f>
        <v>0</v>
      </c>
      <c r="Q105" s="156">
        <f>'IS (Before Changes)'!Q105-'IS 3Q2022'!Q105</f>
        <v>0</v>
      </c>
      <c r="R105" s="97">
        <f>'IS (Before Changes)'!R105-'IS 3Q2022'!R105</f>
        <v>0</v>
      </c>
      <c r="S105" s="74">
        <f>'IS (Before Changes)'!S105-'IS 3Q2022'!S105</f>
        <v>0</v>
      </c>
      <c r="T105" s="74">
        <f>'IS (Before Changes)'!T105-'IS 3Q2022'!T105</f>
        <v>0</v>
      </c>
      <c r="U105" s="74">
        <f>'IS (Before Changes)'!U105-'IS 3Q2022'!U105</f>
        <v>0</v>
      </c>
      <c r="V105" s="74">
        <f>'IS (Before Changes)'!V105-'IS 3Q2022'!V105</f>
        <v>-26.538131460205761</v>
      </c>
      <c r="W105" s="97">
        <f>'IS (Before Changes)'!W105-'IS 3Q2022'!W105</f>
        <v>-26.538131460205705</v>
      </c>
      <c r="X105" s="74">
        <f>'IS (Before Changes)'!X105-'IS 3Q2022'!X105</f>
        <v>7.8842347442766822</v>
      </c>
      <c r="Y105" s="74">
        <f>'IS (Before Changes)'!Y105-'IS 3Q2022'!Y105</f>
        <v>9.8994887745168398</v>
      </c>
      <c r="Z105" s="74">
        <f>'IS (Before Changes)'!Z105-'IS 3Q2022'!Z105</f>
        <v>11.542935327462601</v>
      </c>
      <c r="AA105" s="74">
        <f>'IS (Before Changes)'!AA105-'IS 3Q2022'!AA105</f>
        <v>-34.833500161638312</v>
      </c>
      <c r="AB105" s="97">
        <f>'IS (Before Changes)'!AB105-'IS 3Q2022'!AB105</f>
        <v>-5.5068413153821894</v>
      </c>
      <c r="AC105" s="74">
        <f>'IS (Before Changes)'!AC105-'IS 3Q2022'!AC105</f>
        <v>14.697719846980817</v>
      </c>
      <c r="AD105" s="74">
        <f>'IS (Before Changes)'!AD105-'IS 3Q2022'!AD105</f>
        <v>14.830539864940874</v>
      </c>
      <c r="AE105" s="74">
        <f>'IS (Before Changes)'!AE105-'IS 3Q2022'!AE105</f>
        <v>13.955655021831717</v>
      </c>
      <c r="AF105" s="74">
        <f>'IS (Before Changes)'!AF105-'IS 3Q2022'!AF105</f>
        <v>-43.932624756100267</v>
      </c>
      <c r="AG105" s="97">
        <f>'IS (Before Changes)'!AG105-'IS 3Q2022'!AG105</f>
        <v>-0.44871002234685875</v>
      </c>
      <c r="AH105" s="74">
        <f>'IS (Before Changes)'!AH105-'IS 3Q2022'!AH105</f>
        <v>14.725770364784239</v>
      </c>
      <c r="AI105" s="74">
        <f>'IS (Before Changes)'!AI105-'IS 3Q2022'!AI105</f>
        <v>14.590336446987749</v>
      </c>
      <c r="AJ105" s="74">
        <f>'IS (Before Changes)'!AJ105-'IS 3Q2022'!AJ105</f>
        <v>13.929522630169231</v>
      </c>
      <c r="AK105" s="74">
        <f>'IS (Before Changes)'!AK105-'IS 3Q2022'!AK105</f>
        <v>-55.365513351621757</v>
      </c>
      <c r="AL105" s="97">
        <f>'IS (Before Changes)'!AL105-'IS 3Q2022'!AL105</f>
        <v>-12.119883909680539</v>
      </c>
      <c r="AM105" s="74">
        <f>'IS (Before Changes)'!AM105-'IS 3Q2022'!AM105</f>
        <v>14.367287314002624</v>
      </c>
      <c r="AN105" s="74">
        <f>'IS (Before Changes)'!AN105-'IS 3Q2022'!AN105</f>
        <v>14.242317146348796</v>
      </c>
      <c r="AO105" s="74">
        <f>'IS (Before Changes)'!AO105-'IS 3Q2022'!AO105</f>
        <v>13.603386246964874</v>
      </c>
      <c r="AP105" s="74">
        <f>'IS (Before Changes)'!AP105-'IS 3Q2022'!AP105</f>
        <v>-63.315824731970224</v>
      </c>
      <c r="AQ105" s="97">
        <f>'IS (Before Changes)'!AQ105-'IS 3Q2022'!AQ105</f>
        <v>-21.10283402465393</v>
      </c>
      <c r="AR105" s="74">
        <f>'IS (Before Changes)'!AR105-'IS 3Q2022'!AR105</f>
        <v>14.210174059840938</v>
      </c>
      <c r="AS105" s="74">
        <f>'IS (Before Changes)'!AS105-'IS 3Q2022'!AS105</f>
        <v>14.112403308306057</v>
      </c>
      <c r="AT105" s="74">
        <f>'IS (Before Changes)'!AT105-'IS 3Q2022'!AT105</f>
        <v>13.49781885452694</v>
      </c>
      <c r="AU105" s="74">
        <f>'IS (Before Changes)'!AU105-'IS 3Q2022'!AU105</f>
        <v>-69.548395750908185</v>
      </c>
      <c r="AV105" s="97">
        <f>'IS (Before Changes)'!AV105-'IS 3Q2022'!AV105</f>
        <v>-27.72799952823425</v>
      </c>
    </row>
    <row r="106" spans="1:48" outlineLevel="1" x14ac:dyDescent="0.3">
      <c r="B106" s="46" t="s">
        <v>125</v>
      </c>
      <c r="C106" s="44"/>
      <c r="D106" s="157">
        <f>'IS (Before Changes)'!D106-'IS 3Q2022'!D106</f>
        <v>0</v>
      </c>
      <c r="E106" s="157">
        <f>'IS (Before Changes)'!E106-'IS 3Q2022'!E106</f>
        <v>0</v>
      </c>
      <c r="F106" s="157">
        <f>'IS (Before Changes)'!F106-'IS 3Q2022'!F106</f>
        <v>0</v>
      </c>
      <c r="G106" s="157">
        <f>'IS (Before Changes)'!G106-'IS 3Q2022'!G106</f>
        <v>0</v>
      </c>
      <c r="H106" s="133">
        <f>'IS (Before Changes)'!H106-'IS 3Q2022'!H106</f>
        <v>0</v>
      </c>
      <c r="I106" s="157">
        <f>'IS (Before Changes)'!I106-'IS 3Q2022'!I106</f>
        <v>0</v>
      </c>
      <c r="J106" s="157">
        <f>'IS (Before Changes)'!J106-'IS 3Q2022'!J106</f>
        <v>0</v>
      </c>
      <c r="K106" s="157">
        <f>'IS (Before Changes)'!K106-'IS 3Q2022'!K106</f>
        <v>0</v>
      </c>
      <c r="L106" s="157">
        <f>'IS (Before Changes)'!L106-'IS 3Q2022'!L106</f>
        <v>0</v>
      </c>
      <c r="M106" s="133">
        <f>'IS (Before Changes)'!M106-'IS 3Q2022'!M106</f>
        <v>0</v>
      </c>
      <c r="N106" s="157">
        <f>'IS (Before Changes)'!N106-'IS 3Q2022'!N106</f>
        <v>0</v>
      </c>
      <c r="O106" s="157">
        <f>'IS (Before Changes)'!O106-'IS 3Q2022'!O106</f>
        <v>0</v>
      </c>
      <c r="P106" s="157">
        <f>'IS (Before Changes)'!P106-'IS 3Q2022'!P106</f>
        <v>0</v>
      </c>
      <c r="Q106" s="157">
        <f>'IS (Before Changes)'!Q106-'IS 3Q2022'!Q106</f>
        <v>0</v>
      </c>
      <c r="R106" s="98">
        <f>'IS (Before Changes)'!R106-'IS 3Q2022'!R106</f>
        <v>0</v>
      </c>
      <c r="S106" s="75">
        <f>'IS (Before Changes)'!S106-'IS 3Q2022'!S106</f>
        <v>0</v>
      </c>
      <c r="T106" s="75">
        <f>'IS (Before Changes)'!T106-'IS 3Q2022'!T106</f>
        <v>0</v>
      </c>
      <c r="U106" s="75">
        <f>'IS (Before Changes)'!U106-'IS 3Q2022'!U106</f>
        <v>0</v>
      </c>
      <c r="V106" s="75">
        <f>'IS (Before Changes)'!V106-'IS 3Q2022'!V106</f>
        <v>-1.1425198793230201E-2</v>
      </c>
      <c r="W106" s="98">
        <f>'IS (Before Changes)'!W106-'IS 3Q2022'!W106</f>
        <v>-2.9980798475745946E-3</v>
      </c>
      <c r="X106" s="75">
        <f>'IS (Before Changes)'!X106-'IS 3Q2022'!X106</f>
        <v>3.1023985502952878E-3</v>
      </c>
      <c r="Y106" s="75">
        <f>'IS (Before Changes)'!Y106-'IS 3Q2022'!Y106</f>
        <v>4.204364772967456E-3</v>
      </c>
      <c r="Z106" s="75">
        <f>'IS (Before Changes)'!Z106-'IS 3Q2022'!Z106</f>
        <v>4.6415307461249028E-3</v>
      </c>
      <c r="AA106" s="75">
        <f>'IS (Before Changes)'!AA106-'IS 3Q2022'!AA106</f>
        <v>-1.0908084466733386E-2</v>
      </c>
      <c r="AB106" s="98">
        <f>'IS (Before Changes)'!AB106-'IS 3Q2022'!AB106</f>
        <v>-4.4002398726733505E-4</v>
      </c>
      <c r="AC106" s="75">
        <f>'IS (Before Changes)'!AC106-'IS 3Q2022'!AC106</f>
        <v>4.9192156022761502E-3</v>
      </c>
      <c r="AD106" s="75">
        <f>'IS (Before Changes)'!AD106-'IS 3Q2022'!AD106</f>
        <v>5.5637271114708786E-3</v>
      </c>
      <c r="AE106" s="75">
        <f>'IS (Before Changes)'!AE106-'IS 3Q2022'!AE106</f>
        <v>4.8856550807789972E-3</v>
      </c>
      <c r="AF106" s="75">
        <f>'IS (Before Changes)'!AF106-'IS 3Q2022'!AF106</f>
        <v>-1.189948033424601E-2</v>
      </c>
      <c r="AG106" s="98">
        <f>'IS (Before Changes)'!AG106-'IS 3Q2022'!AG106</f>
        <v>2.9431295534371182E-4</v>
      </c>
      <c r="AH106" s="75">
        <f>'IS (Before Changes)'!AH106-'IS 3Q2022'!AH106</f>
        <v>4.125956283487775E-3</v>
      </c>
      <c r="AI106" s="75">
        <f>'IS (Before Changes)'!AI106-'IS 3Q2022'!AI106</f>
        <v>4.58297923343709E-3</v>
      </c>
      <c r="AJ106" s="75">
        <f>'IS (Before Changes)'!AJ106-'IS 3Q2022'!AJ106</f>
        <v>3.9704353607072362E-3</v>
      </c>
      <c r="AK106" s="75">
        <f>'IS (Before Changes)'!AK106-'IS 3Q2022'!AK106</f>
        <v>-1.2865995019751691E-2</v>
      </c>
      <c r="AL106" s="98">
        <f>'IS (Before Changes)'!AL106-'IS 3Q2022'!AL106</f>
        <v>-5.5590053898760261E-4</v>
      </c>
      <c r="AM106" s="75">
        <f>'IS (Before Changes)'!AM106-'IS 3Q2022'!AM106</f>
        <v>3.4257467109401474E-3</v>
      </c>
      <c r="AN106" s="75">
        <f>'IS (Before Changes)'!AN106-'IS 3Q2022'!AN106</f>
        <v>3.8758084869065235E-3</v>
      </c>
      <c r="AO106" s="75">
        <f>'IS (Before Changes)'!AO106-'IS 3Q2022'!AO106</f>
        <v>3.4240322471288664E-3</v>
      </c>
      <c r="AP106" s="75">
        <f>'IS (Before Changes)'!AP106-'IS 3Q2022'!AP106</f>
        <v>-1.3461700207114402E-2</v>
      </c>
      <c r="AQ106" s="98">
        <f>'IS (Before Changes)'!AQ106-'IS 3Q2022'!AQ106</f>
        <v>-1.0814886359809817E-3</v>
      </c>
      <c r="AR106" s="75">
        <f>'IS (Before Changes)'!AR106-'IS 3Q2022'!AR106</f>
        <v>3.1379656891009911E-3</v>
      </c>
      <c r="AS106" s="75">
        <f>'IS (Before Changes)'!AS106-'IS 3Q2022'!AS106</f>
        <v>3.563567578936E-3</v>
      </c>
      <c r="AT106" s="75">
        <f>'IS (Before Changes)'!AT106-'IS 3Q2022'!AT106</f>
        <v>3.1622154251149392E-3</v>
      </c>
      <c r="AU106" s="75">
        <f>'IS (Before Changes)'!AU106-'IS 3Q2022'!AU106</f>
        <v>-1.3899089275077131E-2</v>
      </c>
      <c r="AV106" s="98">
        <f>'IS (Before Changes)'!AV106-'IS 3Q2022'!AV106</f>
        <v>-1.4097115905640223E-3</v>
      </c>
    </row>
    <row r="107" spans="1:48" ht="17.399999999999999" x14ac:dyDescent="0.45">
      <c r="B107" s="494" t="s">
        <v>51</v>
      </c>
      <c r="C107" s="495"/>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2" t="s">
        <v>25</v>
      </c>
      <c r="W107" s="42" t="s">
        <v>26</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00" t="s">
        <v>126</v>
      </c>
      <c r="C108" s="501"/>
      <c r="D108" s="101">
        <f>'IS (Before Changes)'!D108-'IS 3Q2022'!D108</f>
        <v>0</v>
      </c>
      <c r="E108" s="50">
        <f>'IS (Before Changes)'!E108-'IS 3Q2022'!E108</f>
        <v>0</v>
      </c>
      <c r="F108" s="103">
        <f>'IS (Before Changes)'!F108-'IS 3Q2022'!F108</f>
        <v>0</v>
      </c>
      <c r="G108" s="50">
        <f>'IS (Before Changes)'!G108-'IS 3Q2022'!G108</f>
        <v>0</v>
      </c>
      <c r="H108" s="31">
        <f>'IS (Before Changes)'!H108-'IS 3Q2022'!H108</f>
        <v>0</v>
      </c>
      <c r="I108" s="50">
        <f>'IS (Before Changes)'!I108-'IS 3Q2022'!I108</f>
        <v>0</v>
      </c>
      <c r="J108" s="50">
        <f>'IS (Before Changes)'!J108-'IS 3Q2022'!J108</f>
        <v>0</v>
      </c>
      <c r="K108" s="50">
        <f>'IS (Before Changes)'!K108-'IS 3Q2022'!K108</f>
        <v>0</v>
      </c>
      <c r="L108" s="50">
        <f>'IS (Before Changes)'!L108-'IS 3Q2022'!L108</f>
        <v>0</v>
      </c>
      <c r="M108" s="31">
        <f>'IS (Before Changes)'!M108-'IS 3Q2022'!M108</f>
        <v>0</v>
      </c>
      <c r="N108" s="50">
        <f>'IS (Before Changes)'!N108-'IS 3Q2022'!N108</f>
        <v>0</v>
      </c>
      <c r="O108" s="50">
        <f>'IS (Before Changes)'!O108-'IS 3Q2022'!O108</f>
        <v>0</v>
      </c>
      <c r="P108" s="50">
        <f>'IS (Before Changes)'!P108-'IS 3Q2022'!P108</f>
        <v>0</v>
      </c>
      <c r="Q108" s="103">
        <f>'IS (Before Changes)'!Q108-'IS 3Q2022'!Q108</f>
        <v>0</v>
      </c>
      <c r="R108" s="126">
        <f>'IS (Before Changes)'!R108-'IS 3Q2022'!R108</f>
        <v>0</v>
      </c>
      <c r="S108" s="50">
        <f>'IS (Before Changes)'!S108-'IS 3Q2022'!S108</f>
        <v>0</v>
      </c>
      <c r="T108" s="50">
        <f>'IS (Before Changes)'!T108-'IS 3Q2022'!T108</f>
        <v>0</v>
      </c>
      <c r="U108" s="50">
        <f>'IS (Before Changes)'!U108-'IS 3Q2022'!U108</f>
        <v>0</v>
      </c>
      <c r="V108" s="50">
        <f>'IS (Before Changes)'!V108-'IS 3Q2022'!V108</f>
        <v>1.5699999999999363</v>
      </c>
      <c r="W108" s="31">
        <f>'IS (Before Changes)'!W108-'IS 3Q2022'!W108</f>
        <v>1.5699999999999363</v>
      </c>
      <c r="X108" s="50">
        <f>'IS (Before Changes)'!X108-'IS 3Q2022'!X108</f>
        <v>0</v>
      </c>
      <c r="Y108" s="50">
        <f>'IS (Before Changes)'!Y108-'IS 3Q2022'!Y108</f>
        <v>0</v>
      </c>
      <c r="Z108" s="50">
        <f>'IS (Before Changes)'!Z108-'IS 3Q2022'!Z108</f>
        <v>0</v>
      </c>
      <c r="AA108" s="50">
        <f>'IS (Before Changes)'!AA108-'IS 3Q2022'!AA108</f>
        <v>1.6327999999999179</v>
      </c>
      <c r="AB108" s="31">
        <f>'IS (Before Changes)'!AB108-'IS 3Q2022'!AB108</f>
        <v>1.632799999999861</v>
      </c>
      <c r="AC108" s="50">
        <f>'IS (Before Changes)'!AC108-'IS 3Q2022'!AC108</f>
        <v>0</v>
      </c>
      <c r="AD108" s="50">
        <f>'IS (Before Changes)'!AD108-'IS 3Q2022'!AD108</f>
        <v>0</v>
      </c>
      <c r="AE108" s="50">
        <f>'IS (Before Changes)'!AE108-'IS 3Q2022'!AE108</f>
        <v>0</v>
      </c>
      <c r="AF108" s="50">
        <f>'IS (Before Changes)'!AF108-'IS 3Q2022'!AF108</f>
        <v>1.6981119999999237</v>
      </c>
      <c r="AG108" s="31">
        <f>'IS (Before Changes)'!AG108-'IS 3Q2022'!AG108</f>
        <v>1.69811199999981</v>
      </c>
      <c r="AH108" s="50">
        <f>'IS (Before Changes)'!AH108-'IS 3Q2022'!AH108</f>
        <v>0</v>
      </c>
      <c r="AI108" s="50">
        <f>'IS (Before Changes)'!AI108-'IS 3Q2022'!AI108</f>
        <v>0</v>
      </c>
      <c r="AJ108" s="50">
        <f>'IS (Before Changes)'!AJ108-'IS 3Q2022'!AJ108</f>
        <v>0</v>
      </c>
      <c r="AK108" s="50">
        <f>'IS (Before Changes)'!AK108-'IS 3Q2022'!AK108</f>
        <v>1.7660364799999115</v>
      </c>
      <c r="AL108" s="31">
        <f>'IS (Before Changes)'!AL108-'IS 3Q2022'!AL108</f>
        <v>1.7660364799999115</v>
      </c>
      <c r="AM108" s="50">
        <f>'IS (Before Changes)'!AM108-'IS 3Q2022'!AM108</f>
        <v>0</v>
      </c>
      <c r="AN108" s="50">
        <f>'IS (Before Changes)'!AN108-'IS 3Q2022'!AN108</f>
        <v>0</v>
      </c>
      <c r="AO108" s="50">
        <f>'IS (Before Changes)'!AO108-'IS 3Q2022'!AO108</f>
        <v>0</v>
      </c>
      <c r="AP108" s="50">
        <f>'IS (Before Changes)'!AP108-'IS 3Q2022'!AP108</f>
        <v>1.8366779391999444</v>
      </c>
      <c r="AQ108" s="31">
        <f>'IS (Before Changes)'!AQ108-'IS 3Q2022'!AQ108</f>
        <v>1.8366779391999444</v>
      </c>
      <c r="AR108" s="50">
        <f>'IS (Before Changes)'!AR108-'IS 3Q2022'!AR108</f>
        <v>0</v>
      </c>
      <c r="AS108" s="50">
        <f>'IS (Before Changes)'!AS108-'IS 3Q2022'!AS108</f>
        <v>0</v>
      </c>
      <c r="AT108" s="50">
        <f>'IS (Before Changes)'!AT108-'IS 3Q2022'!AT108</f>
        <v>0</v>
      </c>
      <c r="AU108" s="50">
        <f>'IS (Before Changes)'!AU108-'IS 3Q2022'!AU108</f>
        <v>1.9101450567679876</v>
      </c>
      <c r="AV108" s="31">
        <f>'IS (Before Changes)'!AV108-'IS 3Q2022'!AV108</f>
        <v>1.9101450567677603</v>
      </c>
    </row>
    <row r="109" spans="1:48" outlineLevel="1" x14ac:dyDescent="0.3">
      <c r="B109" s="69" t="s">
        <v>58</v>
      </c>
      <c r="C109" s="70"/>
      <c r="D109" s="120">
        <f>'IS (Before Changes)'!D109-'IS 3Q2022'!D109</f>
        <v>0</v>
      </c>
      <c r="E109" s="120">
        <f>'IS (Before Changes)'!E109-'IS 3Q2022'!E109</f>
        <v>0</v>
      </c>
      <c r="F109" s="120">
        <f>'IS (Before Changes)'!F109-'IS 3Q2022'!F109</f>
        <v>0</v>
      </c>
      <c r="G109" s="120">
        <f>'IS (Before Changes)'!G109-'IS 3Q2022'!G109</f>
        <v>0</v>
      </c>
      <c r="H109" s="58">
        <f>'IS (Before Changes)'!H109-'IS 3Q2022'!H109</f>
        <v>0</v>
      </c>
      <c r="I109" s="120">
        <f>'IS (Before Changes)'!I109-'IS 3Q2022'!I109</f>
        <v>0</v>
      </c>
      <c r="J109" s="120">
        <f>'IS (Before Changes)'!J109-'IS 3Q2022'!J109</f>
        <v>0</v>
      </c>
      <c r="K109" s="120">
        <f>'IS (Before Changes)'!K109-'IS 3Q2022'!K109</f>
        <v>0</v>
      </c>
      <c r="L109" s="120">
        <f>'IS (Before Changes)'!L109-'IS 3Q2022'!L109</f>
        <v>0</v>
      </c>
      <c r="M109" s="168">
        <f>'IS (Before Changes)'!M109-'IS 3Q2022'!M109</f>
        <v>0</v>
      </c>
      <c r="N109" s="120">
        <f>'IS (Before Changes)'!N109-'IS 3Q2022'!N109</f>
        <v>0</v>
      </c>
      <c r="O109" s="120">
        <f>'IS (Before Changes)'!O109-'IS 3Q2022'!O109</f>
        <v>0</v>
      </c>
      <c r="P109" s="120">
        <f>'IS (Before Changes)'!P109-'IS 3Q2022'!P109</f>
        <v>0</v>
      </c>
      <c r="Q109" s="120">
        <f>'IS (Before Changes)'!Q109-'IS 3Q2022'!Q109</f>
        <v>0</v>
      </c>
      <c r="R109" s="168">
        <f>'IS (Before Changes)'!R109-'IS 3Q2022'!R109</f>
        <v>0</v>
      </c>
      <c r="S109" s="120">
        <f>'IS (Before Changes)'!S109-'IS 3Q2022'!S109</f>
        <v>0</v>
      </c>
      <c r="T109" s="120">
        <f>'IS (Before Changes)'!T109-'IS 3Q2022'!T109</f>
        <v>0</v>
      </c>
      <c r="U109" s="120">
        <f>'IS (Before Changes)'!U109-'IS 3Q2022'!U109</f>
        <v>0</v>
      </c>
      <c r="V109" s="197">
        <f>'IS (Before Changes)'!V109-'IS 3Q2022'!V109</f>
        <v>3.5820214464977462E-3</v>
      </c>
      <c r="W109" s="168">
        <f>'IS (Before Changes)'!W109-'IS 3Q2022'!W109</f>
        <v>9.8519076305203512E-4</v>
      </c>
      <c r="X109" s="197">
        <f>'IS (Before Changes)'!X109-'IS 3Q2022'!X109</f>
        <v>0</v>
      </c>
      <c r="Y109" s="197">
        <f>'IS (Before Changes)'!Y109-'IS 3Q2022'!Y109</f>
        <v>0</v>
      </c>
      <c r="Z109" s="197">
        <f>'IS (Before Changes)'!Z109-'IS 3Q2022'!Z109</f>
        <v>0</v>
      </c>
      <c r="AA109" s="197">
        <f>'IS (Before Changes)'!AA109-'IS 3Q2022'!AA109</f>
        <v>0</v>
      </c>
      <c r="AB109" s="168">
        <f>'IS (Before Changes)'!AB109-'IS 3Q2022'!AB109</f>
        <v>-1.156984908634584E-5</v>
      </c>
      <c r="AC109" s="197">
        <f>'IS (Before Changes)'!AC109-'IS 3Q2022'!AC109</f>
        <v>0</v>
      </c>
      <c r="AD109" s="197">
        <f>'IS (Before Changes)'!AD109-'IS 3Q2022'!AD109</f>
        <v>0</v>
      </c>
      <c r="AE109" s="197">
        <f>'IS (Before Changes)'!AE109-'IS 3Q2022'!AE109</f>
        <v>0</v>
      </c>
      <c r="AF109" s="197">
        <f>'IS (Before Changes)'!AF109-'IS 3Q2022'!AF109</f>
        <v>0</v>
      </c>
      <c r="AG109" s="168">
        <f>'IS (Before Changes)'!AG109-'IS 3Q2022'!AG109</f>
        <v>0</v>
      </c>
      <c r="AH109" s="197">
        <f>'IS (Before Changes)'!AH109-'IS 3Q2022'!AH109</f>
        <v>0</v>
      </c>
      <c r="AI109" s="197">
        <f>'IS (Before Changes)'!AI109-'IS 3Q2022'!AI109</f>
        <v>0</v>
      </c>
      <c r="AJ109" s="197">
        <f>'IS (Before Changes)'!AJ109-'IS 3Q2022'!AJ109</f>
        <v>0</v>
      </c>
      <c r="AK109" s="197">
        <f>'IS (Before Changes)'!AK109-'IS 3Q2022'!AK109</f>
        <v>0</v>
      </c>
      <c r="AL109" s="168">
        <f>'IS (Before Changes)'!AL109-'IS 3Q2022'!AL109</f>
        <v>0</v>
      </c>
      <c r="AM109" s="197">
        <f>'IS (Before Changes)'!AM109-'IS 3Q2022'!AM109</f>
        <v>0</v>
      </c>
      <c r="AN109" s="197">
        <f>'IS (Before Changes)'!AN109-'IS 3Q2022'!AN109</f>
        <v>0</v>
      </c>
      <c r="AO109" s="197">
        <f>'IS (Before Changes)'!AO109-'IS 3Q2022'!AO109</f>
        <v>0</v>
      </c>
      <c r="AP109" s="197">
        <f>'IS (Before Changes)'!AP109-'IS 3Q2022'!AP109</f>
        <v>0</v>
      </c>
      <c r="AQ109" s="168">
        <f>'IS (Before Changes)'!AQ109-'IS 3Q2022'!AQ109</f>
        <v>0</v>
      </c>
      <c r="AR109" s="197">
        <f>'IS (Before Changes)'!AR109-'IS 3Q2022'!AR109</f>
        <v>0</v>
      </c>
      <c r="AS109" s="197">
        <f>'IS (Before Changes)'!AS109-'IS 3Q2022'!AS109</f>
        <v>0</v>
      </c>
      <c r="AT109" s="197">
        <f>'IS (Before Changes)'!AT109-'IS 3Q2022'!AT109</f>
        <v>0</v>
      </c>
      <c r="AU109" s="197">
        <f>'IS (Before Changes)'!AU109-'IS 3Q2022'!AU109</f>
        <v>0</v>
      </c>
      <c r="AV109" s="168">
        <f>'IS (Before Changes)'!AV109-'IS 3Q2022'!AV109</f>
        <v>-2.2204460492503131E-16</v>
      </c>
    </row>
    <row r="110" spans="1:48" outlineLevel="1" x14ac:dyDescent="0.3">
      <c r="B110" s="504" t="s">
        <v>100</v>
      </c>
      <c r="C110" s="505"/>
      <c r="D110" s="48">
        <f>'IS (Before Changes)'!D110-'IS 3Q2022'!D110</f>
        <v>0</v>
      </c>
      <c r="E110" s="48">
        <f>'IS (Before Changes)'!E110-'IS 3Q2022'!E110</f>
        <v>0</v>
      </c>
      <c r="F110" s="48">
        <f>'IS (Before Changes)'!F110-'IS 3Q2022'!F110</f>
        <v>0</v>
      </c>
      <c r="G110" s="48">
        <f>'IS (Before Changes)'!G110-'IS 3Q2022'!G110</f>
        <v>0</v>
      </c>
      <c r="H110" s="76">
        <f>'IS (Before Changes)'!H110-'IS 3Q2022'!H110</f>
        <v>0</v>
      </c>
      <c r="I110" s="48">
        <f>'IS (Before Changes)'!I110-'IS 3Q2022'!I110</f>
        <v>0</v>
      </c>
      <c r="J110" s="48">
        <f>'IS (Before Changes)'!J110-'IS 3Q2022'!J110</f>
        <v>0</v>
      </c>
      <c r="K110" s="48">
        <f>'IS (Before Changes)'!K110-'IS 3Q2022'!K110</f>
        <v>0</v>
      </c>
      <c r="L110" s="48">
        <f>'IS (Before Changes)'!L110-'IS 3Q2022'!L110</f>
        <v>0</v>
      </c>
      <c r="M110" s="76">
        <f>'IS (Before Changes)'!M110-'IS 3Q2022'!M110</f>
        <v>0</v>
      </c>
      <c r="N110" s="48">
        <f>'IS (Before Changes)'!N110-'IS 3Q2022'!N110</f>
        <v>0</v>
      </c>
      <c r="O110" s="48">
        <f>'IS (Before Changes)'!O110-'IS 3Q2022'!O110</f>
        <v>0</v>
      </c>
      <c r="P110" s="48">
        <f>'IS (Before Changes)'!P110-'IS 3Q2022'!P110</f>
        <v>0</v>
      </c>
      <c r="Q110" s="105">
        <f>'IS (Before Changes)'!Q110-'IS 3Q2022'!Q110</f>
        <v>0</v>
      </c>
      <c r="R110" s="76">
        <f>'IS (Before Changes)'!R110-'IS 3Q2022'!R110</f>
        <v>0</v>
      </c>
      <c r="S110" s="48">
        <f>'IS (Before Changes)'!S110-'IS 3Q2022'!S110</f>
        <v>0</v>
      </c>
      <c r="T110" s="48">
        <f>'IS (Before Changes)'!T110-'IS 3Q2022'!T110</f>
        <v>0</v>
      </c>
      <c r="U110" s="48">
        <f>'IS (Before Changes)'!U110-'IS 3Q2022'!U110</f>
        <v>0</v>
      </c>
      <c r="V110" s="48">
        <f>'IS (Before Changes)'!V110-'IS 3Q2022'!V110</f>
        <v>-10.713900000000024</v>
      </c>
      <c r="W110" s="76">
        <f>'IS (Before Changes)'!W110-'IS 3Q2022'!W110</f>
        <v>-10.713899999999967</v>
      </c>
      <c r="X110" s="48">
        <f>'IS (Before Changes)'!X110-'IS 3Q2022'!X110</f>
        <v>0</v>
      </c>
      <c r="Y110" s="48">
        <f>'IS (Before Changes)'!Y110-'IS 3Q2022'!Y110</f>
        <v>0</v>
      </c>
      <c r="Z110" s="48">
        <f>'IS (Before Changes)'!Z110-'IS 3Q2022'!Z110</f>
        <v>0</v>
      </c>
      <c r="AA110" s="48">
        <f>'IS (Before Changes)'!AA110-'IS 3Q2022'!AA110</f>
        <v>-11.191440000000057</v>
      </c>
      <c r="AB110" s="76">
        <f>'IS (Before Changes)'!AB110-'IS 3Q2022'!AB110</f>
        <v>-11.191440000000057</v>
      </c>
      <c r="AC110" s="48">
        <f>'IS (Before Changes)'!AC110-'IS 3Q2022'!AC110</f>
        <v>0</v>
      </c>
      <c r="AD110" s="48">
        <f>'IS (Before Changes)'!AD110-'IS 3Q2022'!AD110</f>
        <v>0</v>
      </c>
      <c r="AE110" s="48">
        <f>'IS (Before Changes)'!AE110-'IS 3Q2022'!AE110</f>
        <v>0</v>
      </c>
      <c r="AF110" s="48">
        <f>'IS (Before Changes)'!AF110-'IS 3Q2022'!AF110</f>
        <v>-11.639097600000014</v>
      </c>
      <c r="AG110" s="76">
        <f>'IS (Before Changes)'!AG110-'IS 3Q2022'!AG110</f>
        <v>-11.639097600000014</v>
      </c>
      <c r="AH110" s="48">
        <f>'IS (Before Changes)'!AH110-'IS 3Q2022'!AH110</f>
        <v>0</v>
      </c>
      <c r="AI110" s="48">
        <f>'IS (Before Changes)'!AI110-'IS 3Q2022'!AI110</f>
        <v>0</v>
      </c>
      <c r="AJ110" s="48">
        <f>'IS (Before Changes)'!AJ110-'IS 3Q2022'!AJ110</f>
        <v>0</v>
      </c>
      <c r="AK110" s="48">
        <f>'IS (Before Changes)'!AK110-'IS 3Q2022'!AK110</f>
        <v>-12.104661503999978</v>
      </c>
      <c r="AL110" s="76">
        <f>'IS (Before Changes)'!AL110-'IS 3Q2022'!AL110</f>
        <v>-12.104661503999978</v>
      </c>
      <c r="AM110" s="48">
        <f>'IS (Before Changes)'!AM110-'IS 3Q2022'!AM110</f>
        <v>0</v>
      </c>
      <c r="AN110" s="48">
        <f>'IS (Before Changes)'!AN110-'IS 3Q2022'!AN110</f>
        <v>0</v>
      </c>
      <c r="AO110" s="48">
        <f>'IS (Before Changes)'!AO110-'IS 3Q2022'!AO110</f>
        <v>0</v>
      </c>
      <c r="AP110" s="48">
        <f>'IS (Before Changes)'!AP110-'IS 3Q2022'!AP110</f>
        <v>-12.588847964159982</v>
      </c>
      <c r="AQ110" s="76">
        <f>'IS (Before Changes)'!AQ110-'IS 3Q2022'!AQ110</f>
        <v>-12.588847964159868</v>
      </c>
      <c r="AR110" s="48">
        <f>'IS (Before Changes)'!AR110-'IS 3Q2022'!AR110</f>
        <v>0</v>
      </c>
      <c r="AS110" s="48">
        <f>'IS (Before Changes)'!AS110-'IS 3Q2022'!AS110</f>
        <v>0</v>
      </c>
      <c r="AT110" s="48">
        <f>'IS (Before Changes)'!AT110-'IS 3Q2022'!AT110</f>
        <v>0</v>
      </c>
      <c r="AU110" s="48">
        <f>'IS (Before Changes)'!AU110-'IS 3Q2022'!AU110</f>
        <v>-13.092401882726335</v>
      </c>
      <c r="AV110" s="76">
        <f>'IS (Before Changes)'!AV110-'IS 3Q2022'!AV110</f>
        <v>-13.092401882726335</v>
      </c>
    </row>
    <row r="111" spans="1:48" s="183" customFormat="1" outlineLevel="1" x14ac:dyDescent="0.3">
      <c r="A111" s="238"/>
      <c r="B111" s="181" t="s">
        <v>151</v>
      </c>
      <c r="C111" s="182"/>
      <c r="D111" s="167">
        <f>'IS (Before Changes)'!D111-'IS 3Q2022'!D111</f>
        <v>0</v>
      </c>
      <c r="E111" s="167">
        <f>'IS (Before Changes)'!E111-'IS 3Q2022'!E111</f>
        <v>0</v>
      </c>
      <c r="F111" s="167">
        <f>'IS (Before Changes)'!F111-'IS 3Q2022'!F111</f>
        <v>0</v>
      </c>
      <c r="G111" s="167">
        <f>'IS (Before Changes)'!G111-'IS 3Q2022'!G111</f>
        <v>0</v>
      </c>
      <c r="H111" s="188">
        <f>'IS (Before Changes)'!H111-'IS 3Q2022'!H111</f>
        <v>0</v>
      </c>
      <c r="I111" s="167">
        <f>'IS (Before Changes)'!I111-'IS 3Q2022'!I111</f>
        <v>0</v>
      </c>
      <c r="J111" s="167">
        <f>'IS (Before Changes)'!J111-'IS 3Q2022'!J111</f>
        <v>0</v>
      </c>
      <c r="K111" s="167">
        <f>'IS (Before Changes)'!K111-'IS 3Q2022'!K111</f>
        <v>0</v>
      </c>
      <c r="L111" s="187">
        <f>'IS (Before Changes)'!L111-'IS 3Q2022'!L111</f>
        <v>0</v>
      </c>
      <c r="M111" s="188">
        <f>'IS (Before Changes)'!M111-'IS 3Q2022'!M111</f>
        <v>0</v>
      </c>
      <c r="N111" s="187">
        <f>'IS (Before Changes)'!N111-'IS 3Q2022'!N111</f>
        <v>0</v>
      </c>
      <c r="O111" s="167">
        <f>'IS (Before Changes)'!O111-'IS 3Q2022'!O111</f>
        <v>0</v>
      </c>
      <c r="P111" s="167">
        <f>'IS (Before Changes)'!P111-'IS 3Q2022'!P111</f>
        <v>0</v>
      </c>
      <c r="Q111" s="167">
        <f>'IS (Before Changes)'!Q111-'IS 3Q2022'!Q111</f>
        <v>0</v>
      </c>
      <c r="R111" s="188">
        <f>'IS (Before Changes)'!R111-'IS 3Q2022'!R111</f>
        <v>0</v>
      </c>
      <c r="S111" s="187">
        <f>'IS (Before Changes)'!S111-'IS 3Q2022'!S111</f>
        <v>0</v>
      </c>
      <c r="T111" s="167">
        <f>'IS (Before Changes)'!T111-'IS 3Q2022'!T111</f>
        <v>0</v>
      </c>
      <c r="U111" s="167">
        <f>'IS (Before Changes)'!U111-'IS 3Q2022'!U111</f>
        <v>0</v>
      </c>
      <c r="V111" s="189">
        <f>'IS (Before Changes)'!V111-'IS 3Q2022'!V111</f>
        <v>-2.4302276103789766E-2</v>
      </c>
      <c r="W111" s="188">
        <f>'IS (Before Changes)'!W111-'IS 3Q2022'!W111</f>
        <v>-6.3684029241903861E-3</v>
      </c>
      <c r="X111" s="189">
        <f>'IS (Before Changes)'!X111-'IS 3Q2022'!X111</f>
        <v>0</v>
      </c>
      <c r="Y111" s="189">
        <f>'IS (Before Changes)'!Y111-'IS 3Q2022'!Y111</f>
        <v>0</v>
      </c>
      <c r="Z111" s="189">
        <f>'IS (Before Changes)'!Z111-'IS 3Q2022'!Z111</f>
        <v>0</v>
      </c>
      <c r="AA111" s="189">
        <f>'IS (Before Changes)'!AA111-'IS 3Q2022'!AA111</f>
        <v>-2.4302276103789766E-2</v>
      </c>
      <c r="AB111" s="188">
        <f>'IS (Before Changes)'!AB111-'IS 3Q2022'!AB111</f>
        <v>-6.3065902267330776E-3</v>
      </c>
      <c r="AC111" s="189">
        <f>'IS (Before Changes)'!AC111-'IS 3Q2022'!AC111</f>
        <v>0</v>
      </c>
      <c r="AD111" s="189">
        <f>'IS (Before Changes)'!AD111-'IS 3Q2022'!AD111</f>
        <v>0</v>
      </c>
      <c r="AE111" s="189">
        <f>'IS (Before Changes)'!AE111-'IS 3Q2022'!AE111</f>
        <v>0</v>
      </c>
      <c r="AF111" s="189">
        <f>'IS (Before Changes)'!AF111-'IS 3Q2022'!AF111</f>
        <v>-2.4302276103789766E-2</v>
      </c>
      <c r="AG111" s="188">
        <f>'IS (Before Changes)'!AG111-'IS 3Q2022'!AG111</f>
        <v>-6.3022683999864881E-3</v>
      </c>
      <c r="AH111" s="189">
        <f>'IS (Before Changes)'!AH111-'IS 3Q2022'!AH111</f>
        <v>0</v>
      </c>
      <c r="AI111" s="189">
        <f>'IS (Before Changes)'!AI111-'IS 3Q2022'!AI111</f>
        <v>0</v>
      </c>
      <c r="AJ111" s="189">
        <f>'IS (Before Changes)'!AJ111-'IS 3Q2022'!AJ111</f>
        <v>0</v>
      </c>
      <c r="AK111" s="189">
        <f>'IS (Before Changes)'!AK111-'IS 3Q2022'!AK111</f>
        <v>-2.4302276103789766E-2</v>
      </c>
      <c r="AL111" s="188">
        <f>'IS (Before Changes)'!AL111-'IS 3Q2022'!AL111</f>
        <v>-6.3001074866131379E-3</v>
      </c>
      <c r="AM111" s="189">
        <f>'IS (Before Changes)'!AM111-'IS 3Q2022'!AM111</f>
        <v>0</v>
      </c>
      <c r="AN111" s="189">
        <f>'IS (Before Changes)'!AN111-'IS 3Q2022'!AN111</f>
        <v>0</v>
      </c>
      <c r="AO111" s="189">
        <f>'IS (Before Changes)'!AO111-'IS 3Q2022'!AO111</f>
        <v>0</v>
      </c>
      <c r="AP111" s="189">
        <f>'IS (Before Changes)'!AP111-'IS 3Q2022'!AP111</f>
        <v>-2.4302276103789766E-2</v>
      </c>
      <c r="AQ111" s="188">
        <f>'IS (Before Changes)'!AQ111-'IS 3Q2022'!AQ111</f>
        <v>-6.3001074866130269E-3</v>
      </c>
      <c r="AR111" s="189">
        <f>'IS (Before Changes)'!AR111-'IS 3Q2022'!AR111</f>
        <v>0</v>
      </c>
      <c r="AS111" s="189">
        <f>'IS (Before Changes)'!AS111-'IS 3Q2022'!AS111</f>
        <v>0</v>
      </c>
      <c r="AT111" s="189">
        <f>'IS (Before Changes)'!AT111-'IS 3Q2022'!AT111</f>
        <v>0</v>
      </c>
      <c r="AU111" s="189">
        <f>'IS (Before Changes)'!AU111-'IS 3Q2022'!AU111</f>
        <v>-2.4302276103789766E-2</v>
      </c>
      <c r="AV111" s="188">
        <f>'IS (Before Changes)'!AV111-'IS 3Q2022'!AV111</f>
        <v>-6.3001074866130269E-3</v>
      </c>
    </row>
    <row r="112" spans="1:48" outlineLevel="1" x14ac:dyDescent="0.3">
      <c r="B112" s="180" t="s">
        <v>33</v>
      </c>
      <c r="C112" s="18"/>
      <c r="D112" s="48">
        <f>'IS (Before Changes)'!D112-'IS 3Q2022'!D112</f>
        <v>0</v>
      </c>
      <c r="E112" s="48">
        <f>'IS (Before Changes)'!E112-'IS 3Q2022'!E112</f>
        <v>0</v>
      </c>
      <c r="F112" s="48">
        <f>'IS (Before Changes)'!F112-'IS 3Q2022'!F112</f>
        <v>0</v>
      </c>
      <c r="G112" s="48">
        <f>'IS (Before Changes)'!G112-'IS 3Q2022'!G112</f>
        <v>0</v>
      </c>
      <c r="H112" s="49">
        <f>'IS (Before Changes)'!H112-'IS 3Q2022'!H112</f>
        <v>0</v>
      </c>
      <c r="I112" s="48">
        <f>'IS (Before Changes)'!I112-'IS 3Q2022'!I112</f>
        <v>0</v>
      </c>
      <c r="J112" s="48">
        <f>'IS (Before Changes)'!J112-'IS 3Q2022'!J112</f>
        <v>0</v>
      </c>
      <c r="K112" s="48">
        <f>'IS (Before Changes)'!K112-'IS 3Q2022'!K112</f>
        <v>0</v>
      </c>
      <c r="L112" s="48">
        <f>'IS (Before Changes)'!L112-'IS 3Q2022'!L112</f>
        <v>0</v>
      </c>
      <c r="M112" s="49">
        <f>'IS (Before Changes)'!M112-'IS 3Q2022'!M112</f>
        <v>0</v>
      </c>
      <c r="N112" s="48">
        <f>'IS (Before Changes)'!N112-'IS 3Q2022'!N112</f>
        <v>0</v>
      </c>
      <c r="O112" s="48">
        <f>'IS (Before Changes)'!O112-'IS 3Q2022'!O112</f>
        <v>0</v>
      </c>
      <c r="P112" s="48">
        <f>'IS (Before Changes)'!P112-'IS 3Q2022'!P112</f>
        <v>0</v>
      </c>
      <c r="Q112" s="105">
        <f>'IS (Before Changes)'!Q112-'IS 3Q2022'!Q112</f>
        <v>0</v>
      </c>
      <c r="R112" s="49">
        <f>'IS (Before Changes)'!R112-'IS 3Q2022'!R112</f>
        <v>0</v>
      </c>
      <c r="S112" s="48">
        <f>'IS (Before Changes)'!S112-'IS 3Q2022'!S112</f>
        <v>0</v>
      </c>
      <c r="T112" s="48">
        <f>'IS (Before Changes)'!T112-'IS 3Q2022'!T112</f>
        <v>0</v>
      </c>
      <c r="U112" s="48">
        <f>'IS (Before Changes)'!U112-'IS 3Q2022'!U112</f>
        <v>0</v>
      </c>
      <c r="V112" s="48">
        <f>'IS (Before Changes)'!V112-'IS 3Q2022'!V112</f>
        <v>-21.985200000000006</v>
      </c>
      <c r="W112" s="49">
        <f>'IS (Before Changes)'!W112-'IS 3Q2022'!W112</f>
        <v>-21.985200000000006</v>
      </c>
      <c r="X112" s="48">
        <f>'IS (Before Changes)'!X112-'IS 3Q2022'!X112</f>
        <v>0</v>
      </c>
      <c r="Y112" s="48">
        <f>'IS (Before Changes)'!Y112-'IS 3Q2022'!Y112</f>
        <v>0</v>
      </c>
      <c r="Z112" s="48">
        <f>'IS (Before Changes)'!Z112-'IS 3Q2022'!Z112</f>
        <v>0</v>
      </c>
      <c r="AA112" s="48">
        <f>'IS (Before Changes)'!AA112-'IS 3Q2022'!AA112</f>
        <v>-22.913592000000005</v>
      </c>
      <c r="AB112" s="49">
        <f>'IS (Before Changes)'!AB112-'IS 3Q2022'!AB112</f>
        <v>-22.913592000000008</v>
      </c>
      <c r="AC112" s="48">
        <f>'IS (Before Changes)'!AC112-'IS 3Q2022'!AC112</f>
        <v>0</v>
      </c>
      <c r="AD112" s="48">
        <f>'IS (Before Changes)'!AD112-'IS 3Q2022'!AD112</f>
        <v>0</v>
      </c>
      <c r="AE112" s="48">
        <f>'IS (Before Changes)'!AE112-'IS 3Q2022'!AE112</f>
        <v>0</v>
      </c>
      <c r="AF112" s="48">
        <f>'IS (Before Changes)'!AF112-'IS 3Q2022'!AF112</f>
        <v>-23.864097920000006</v>
      </c>
      <c r="AG112" s="49">
        <f>'IS (Before Changes)'!AG112-'IS 3Q2022'!AG112</f>
        <v>-23.864097920000006</v>
      </c>
      <c r="AH112" s="48">
        <f>'IS (Before Changes)'!AH112-'IS 3Q2022'!AH112</f>
        <v>0</v>
      </c>
      <c r="AI112" s="48">
        <f>'IS (Before Changes)'!AI112-'IS 3Q2022'!AI112</f>
        <v>0</v>
      </c>
      <c r="AJ112" s="48">
        <f>'IS (Before Changes)'!AJ112-'IS 3Q2022'!AJ112</f>
        <v>0</v>
      </c>
      <c r="AK112" s="48">
        <f>'IS (Before Changes)'!AK112-'IS 3Q2022'!AK112</f>
        <v>-24.825725982720009</v>
      </c>
      <c r="AL112" s="49">
        <f>'IS (Before Changes)'!AL112-'IS 3Q2022'!AL112</f>
        <v>-24.825725982720009</v>
      </c>
      <c r="AM112" s="48">
        <f>'IS (Before Changes)'!AM112-'IS 3Q2022'!AM112</f>
        <v>0</v>
      </c>
      <c r="AN112" s="48">
        <f>'IS (Before Changes)'!AN112-'IS 3Q2022'!AN112</f>
        <v>0</v>
      </c>
      <c r="AO112" s="48">
        <f>'IS (Before Changes)'!AO112-'IS 3Q2022'!AO112</f>
        <v>0</v>
      </c>
      <c r="AP112" s="48">
        <f>'IS (Before Changes)'!AP112-'IS 3Q2022'!AP112</f>
        <v>-25.81875502202881</v>
      </c>
      <c r="AQ112" s="49">
        <f>'IS (Before Changes)'!AQ112-'IS 3Q2022'!AQ112</f>
        <v>-25.81875502202881</v>
      </c>
      <c r="AR112" s="48">
        <f>'IS (Before Changes)'!AR112-'IS 3Q2022'!AR112</f>
        <v>0</v>
      </c>
      <c r="AS112" s="48">
        <f>'IS (Before Changes)'!AS112-'IS 3Q2022'!AS112</f>
        <v>0</v>
      </c>
      <c r="AT112" s="48">
        <f>'IS (Before Changes)'!AT112-'IS 3Q2022'!AT112</f>
        <v>0</v>
      </c>
      <c r="AU112" s="48">
        <f>'IS (Before Changes)'!AU112-'IS 3Q2022'!AU112</f>
        <v>-26.85150522290996</v>
      </c>
      <c r="AV112" s="49">
        <f>'IS (Before Changes)'!AV112-'IS 3Q2022'!AV112</f>
        <v>-26.851505222909957</v>
      </c>
    </row>
    <row r="113" spans="2:48" s="184" customFormat="1" outlineLevel="1" x14ac:dyDescent="0.3">
      <c r="B113" s="181" t="s">
        <v>154</v>
      </c>
      <c r="C113" s="190"/>
      <c r="D113" s="187">
        <f>'IS (Before Changes)'!D113-'IS 3Q2022'!D113</f>
        <v>0</v>
      </c>
      <c r="E113" s="187">
        <f>'IS (Before Changes)'!E113-'IS 3Q2022'!E113</f>
        <v>0</v>
      </c>
      <c r="F113" s="187">
        <f>'IS (Before Changes)'!F113-'IS 3Q2022'!F113</f>
        <v>0</v>
      </c>
      <c r="G113" s="187">
        <f>'IS (Before Changes)'!G113-'IS 3Q2022'!G113</f>
        <v>0</v>
      </c>
      <c r="H113" s="188">
        <f>'IS (Before Changes)'!H113-'IS 3Q2022'!H113</f>
        <v>0</v>
      </c>
      <c r="I113" s="187">
        <f>'IS (Before Changes)'!I113-'IS 3Q2022'!I113</f>
        <v>0</v>
      </c>
      <c r="J113" s="187">
        <f>'IS (Before Changes)'!J113-'IS 3Q2022'!J113</f>
        <v>0</v>
      </c>
      <c r="K113" s="187">
        <f>'IS (Before Changes)'!K113-'IS 3Q2022'!K113</f>
        <v>0</v>
      </c>
      <c r="L113" s="187">
        <f>'IS (Before Changes)'!L113-'IS 3Q2022'!L113</f>
        <v>0</v>
      </c>
      <c r="M113" s="188">
        <f>'IS (Before Changes)'!M113-'IS 3Q2022'!M113</f>
        <v>0</v>
      </c>
      <c r="N113" s="187">
        <f>'IS (Before Changes)'!N113-'IS 3Q2022'!N113</f>
        <v>0</v>
      </c>
      <c r="O113" s="187">
        <f>'IS (Before Changes)'!O113-'IS 3Q2022'!O113</f>
        <v>0</v>
      </c>
      <c r="P113" s="187">
        <f>'IS (Before Changes)'!P113-'IS 3Q2022'!P113</f>
        <v>0</v>
      </c>
      <c r="Q113" s="167">
        <f>'IS (Before Changes)'!Q113-'IS 3Q2022'!Q113</f>
        <v>0</v>
      </c>
      <c r="R113" s="188">
        <f>'IS (Before Changes)'!R113-'IS 3Q2022'!R113</f>
        <v>0</v>
      </c>
      <c r="S113" s="187">
        <f>'IS (Before Changes)'!S113-'IS 3Q2022'!S113</f>
        <v>0</v>
      </c>
      <c r="T113" s="187">
        <f>'IS (Before Changes)'!T113-'IS 3Q2022'!T113</f>
        <v>0</v>
      </c>
      <c r="U113" s="187">
        <f>'IS (Before Changes)'!U113-'IS 3Q2022'!U113</f>
        <v>0</v>
      </c>
      <c r="V113" s="189">
        <f>'IS (Before Changes)'!V113-'IS 3Q2022'!V113</f>
        <v>-4.5707865132500441E-2</v>
      </c>
      <c r="W113" s="188">
        <f>'IS (Before Changes)'!W113-'IS 3Q2022'!W113</f>
        <v>-1.1959212090085783E-2</v>
      </c>
      <c r="X113" s="189">
        <f>'IS (Before Changes)'!X113-'IS 3Q2022'!X113</f>
        <v>0</v>
      </c>
      <c r="Y113" s="189">
        <f>'IS (Before Changes)'!Y113-'IS 3Q2022'!Y113</f>
        <v>0</v>
      </c>
      <c r="Z113" s="189">
        <f>'IS (Before Changes)'!Z113-'IS 3Q2022'!Z113</f>
        <v>0</v>
      </c>
      <c r="AA113" s="189">
        <f>'IS (Before Changes)'!AA113-'IS 3Q2022'!AA113</f>
        <v>-4.5707865132500441E-2</v>
      </c>
      <c r="AB113" s="188">
        <f>'IS (Before Changes)'!AB113-'IS 3Q2022'!AB113</f>
        <v>-1.1826586418766188E-2</v>
      </c>
      <c r="AC113" s="189">
        <f>'IS (Before Changes)'!AC113-'IS 3Q2022'!AC113</f>
        <v>0</v>
      </c>
      <c r="AD113" s="189">
        <f>'IS (Before Changes)'!AD113-'IS 3Q2022'!AD113</f>
        <v>0</v>
      </c>
      <c r="AE113" s="189">
        <f>'IS (Before Changes)'!AE113-'IS 3Q2022'!AE113</f>
        <v>0</v>
      </c>
      <c r="AF113" s="189">
        <f>'IS (Before Changes)'!AF113-'IS 3Q2022'!AF113</f>
        <v>-4.5707865132500441E-2</v>
      </c>
      <c r="AG113" s="188">
        <f>'IS (Before Changes)'!AG113-'IS 3Q2022'!AG113</f>
        <v>-1.1835080515611609E-2</v>
      </c>
      <c r="AH113" s="189">
        <f>'IS (Before Changes)'!AH113-'IS 3Q2022'!AH113</f>
        <v>0</v>
      </c>
      <c r="AI113" s="189">
        <f>'IS (Before Changes)'!AI113-'IS 3Q2022'!AI113</f>
        <v>0</v>
      </c>
      <c r="AJ113" s="189">
        <f>'IS (Before Changes)'!AJ113-'IS 3Q2022'!AJ113</f>
        <v>0</v>
      </c>
      <c r="AK113" s="189">
        <f>'IS (Before Changes)'!AK113-'IS 3Q2022'!AK113</f>
        <v>-4.5707865132500441E-2</v>
      </c>
      <c r="AL113" s="188">
        <f>'IS (Before Changes)'!AL113-'IS 3Q2022'!AL113</f>
        <v>-1.1836978066692986E-2</v>
      </c>
      <c r="AM113" s="189">
        <f>'IS (Before Changes)'!AM113-'IS 3Q2022'!AM113</f>
        <v>0</v>
      </c>
      <c r="AN113" s="189">
        <f>'IS (Before Changes)'!AN113-'IS 3Q2022'!AN113</f>
        <v>0</v>
      </c>
      <c r="AO113" s="189">
        <f>'IS (Before Changes)'!AO113-'IS 3Q2022'!AO113</f>
        <v>0</v>
      </c>
      <c r="AP113" s="189">
        <f>'IS (Before Changes)'!AP113-'IS 3Q2022'!AP113</f>
        <v>-4.5707865132500441E-2</v>
      </c>
      <c r="AQ113" s="188">
        <f>'IS (Before Changes)'!AQ113-'IS 3Q2022'!AQ113</f>
        <v>-1.1836978066692989E-2</v>
      </c>
      <c r="AR113" s="189">
        <f>'IS (Before Changes)'!AR113-'IS 3Q2022'!AR113</f>
        <v>0</v>
      </c>
      <c r="AS113" s="189">
        <f>'IS (Before Changes)'!AS113-'IS 3Q2022'!AS113</f>
        <v>0</v>
      </c>
      <c r="AT113" s="189">
        <f>'IS (Before Changes)'!AT113-'IS 3Q2022'!AT113</f>
        <v>0</v>
      </c>
      <c r="AU113" s="189">
        <f>'IS (Before Changes)'!AU113-'IS 3Q2022'!AU113</f>
        <v>-4.5707865132500441E-2</v>
      </c>
      <c r="AV113" s="188">
        <f>'IS (Before Changes)'!AV113-'IS 3Q2022'!AV113</f>
        <v>-1.1836978066692981E-2</v>
      </c>
    </row>
    <row r="114" spans="2:48" outlineLevel="1" x14ac:dyDescent="0.3">
      <c r="B114" s="180" t="s">
        <v>34</v>
      </c>
      <c r="C114" s="18"/>
      <c r="D114" s="358">
        <f>'IS (Before Changes)'!D114-'IS 3Q2022'!D114</f>
        <v>0</v>
      </c>
      <c r="E114" s="358">
        <f>'IS (Before Changes)'!E114-'IS 3Q2022'!E114</f>
        <v>0</v>
      </c>
      <c r="F114" s="358">
        <f>'IS (Before Changes)'!F114-'IS 3Q2022'!F114</f>
        <v>0</v>
      </c>
      <c r="G114" s="358">
        <f>'IS (Before Changes)'!G114-'IS 3Q2022'!G114</f>
        <v>0</v>
      </c>
      <c r="H114" s="126">
        <f>'IS (Before Changes)'!H114-'IS 3Q2022'!H114</f>
        <v>0</v>
      </c>
      <c r="I114" s="358">
        <f>'IS (Before Changes)'!I114-'IS 3Q2022'!I114</f>
        <v>0</v>
      </c>
      <c r="J114" s="358">
        <f>'IS (Before Changes)'!J114-'IS 3Q2022'!J114</f>
        <v>0</v>
      </c>
      <c r="K114" s="358">
        <f>'IS (Before Changes)'!K114-'IS 3Q2022'!K114</f>
        <v>0</v>
      </c>
      <c r="L114" s="358">
        <f>'IS (Before Changes)'!L114-'IS 3Q2022'!L114</f>
        <v>0</v>
      </c>
      <c r="M114" s="126">
        <f>'IS (Before Changes)'!M114-'IS 3Q2022'!M114</f>
        <v>0</v>
      </c>
      <c r="N114" s="358">
        <f>'IS (Before Changes)'!N114-'IS 3Q2022'!N114</f>
        <v>0</v>
      </c>
      <c r="O114" s="358">
        <f>'IS (Before Changes)'!O114-'IS 3Q2022'!O114</f>
        <v>0</v>
      </c>
      <c r="P114" s="358">
        <f>'IS (Before Changes)'!P114-'IS 3Q2022'!P114</f>
        <v>0</v>
      </c>
      <c r="Q114" s="358">
        <f>'IS (Before Changes)'!Q114-'IS 3Q2022'!Q114</f>
        <v>0</v>
      </c>
      <c r="R114" s="126">
        <f>'IS (Before Changes)'!R114-'IS 3Q2022'!R114</f>
        <v>0</v>
      </c>
      <c r="S114" s="358">
        <f>'IS (Before Changes)'!S114-'IS 3Q2022'!S114</f>
        <v>0</v>
      </c>
      <c r="T114" s="358">
        <f>'IS (Before Changes)'!T114-'IS 3Q2022'!T114</f>
        <v>0</v>
      </c>
      <c r="U114" s="358">
        <f>'IS (Before Changes)'!U114-'IS 3Q2022'!U114</f>
        <v>0</v>
      </c>
      <c r="V114" s="360">
        <f>'IS (Before Changes)'!V114-'IS 3Q2022'!V114</f>
        <v>0</v>
      </c>
      <c r="W114" s="126">
        <f>'IS (Before Changes)'!W114-'IS 3Q2022'!W114</f>
        <v>0</v>
      </c>
      <c r="X114" s="360">
        <f>'IS (Before Changes)'!X114-'IS 3Q2022'!X114</f>
        <v>0</v>
      </c>
      <c r="Y114" s="360">
        <f>'IS (Before Changes)'!Y114-'IS 3Q2022'!Y114</f>
        <v>0</v>
      </c>
      <c r="Z114" s="360">
        <f>'IS (Before Changes)'!Z114-'IS 3Q2022'!Z114</f>
        <v>0</v>
      </c>
      <c r="AA114" s="360">
        <f>'IS (Before Changes)'!AA114-'IS 3Q2022'!AA114</f>
        <v>0</v>
      </c>
      <c r="AB114" s="126">
        <f>'IS (Before Changes)'!AB114-'IS 3Q2022'!AB114</f>
        <v>0</v>
      </c>
      <c r="AC114" s="360">
        <f>'IS (Before Changes)'!AC114-'IS 3Q2022'!AC114</f>
        <v>0</v>
      </c>
      <c r="AD114" s="360">
        <f>'IS (Before Changes)'!AD114-'IS 3Q2022'!AD114</f>
        <v>0</v>
      </c>
      <c r="AE114" s="360">
        <f>'IS (Before Changes)'!AE114-'IS 3Q2022'!AE114</f>
        <v>0</v>
      </c>
      <c r="AF114" s="360">
        <f>'IS (Before Changes)'!AF114-'IS 3Q2022'!AF114</f>
        <v>0</v>
      </c>
      <c r="AG114" s="126">
        <f>'IS (Before Changes)'!AG114-'IS 3Q2022'!AG114</f>
        <v>0</v>
      </c>
      <c r="AH114" s="360">
        <f>'IS (Before Changes)'!AH114-'IS 3Q2022'!AH114</f>
        <v>0</v>
      </c>
      <c r="AI114" s="360">
        <f>'IS (Before Changes)'!AI114-'IS 3Q2022'!AI114</f>
        <v>0</v>
      </c>
      <c r="AJ114" s="360">
        <f>'IS (Before Changes)'!AJ114-'IS 3Q2022'!AJ114</f>
        <v>0</v>
      </c>
      <c r="AK114" s="360">
        <f>'IS (Before Changes)'!AK114-'IS 3Q2022'!AK114</f>
        <v>0</v>
      </c>
      <c r="AL114" s="126">
        <f>'IS (Before Changes)'!AL114-'IS 3Q2022'!AL114</f>
        <v>0</v>
      </c>
      <c r="AM114" s="360">
        <f>'IS (Before Changes)'!AM114-'IS 3Q2022'!AM114</f>
        <v>0</v>
      </c>
      <c r="AN114" s="360">
        <f>'IS (Before Changes)'!AN114-'IS 3Q2022'!AN114</f>
        <v>0</v>
      </c>
      <c r="AO114" s="360">
        <f>'IS (Before Changes)'!AO114-'IS 3Q2022'!AO114</f>
        <v>0</v>
      </c>
      <c r="AP114" s="360">
        <f>'IS (Before Changes)'!AP114-'IS 3Q2022'!AP114</f>
        <v>0</v>
      </c>
      <c r="AQ114" s="126">
        <f>'IS (Before Changes)'!AQ114-'IS 3Q2022'!AQ114</f>
        <v>0</v>
      </c>
      <c r="AR114" s="360">
        <f>'IS (Before Changes)'!AR114-'IS 3Q2022'!AR114</f>
        <v>0</v>
      </c>
      <c r="AS114" s="360">
        <f>'IS (Before Changes)'!AS114-'IS 3Q2022'!AS114</f>
        <v>0</v>
      </c>
      <c r="AT114" s="360">
        <f>'IS (Before Changes)'!AT114-'IS 3Q2022'!AT114</f>
        <v>0</v>
      </c>
      <c r="AU114" s="360">
        <f>'IS (Before Changes)'!AU114-'IS 3Q2022'!AU114</f>
        <v>0</v>
      </c>
      <c r="AV114" s="126">
        <f>'IS (Before Changes)'!AV114-'IS 3Q2022'!AV114</f>
        <v>0</v>
      </c>
    </row>
    <row r="115" spans="2:48" outlineLevel="1" x14ac:dyDescent="0.3">
      <c r="B115" s="180" t="s">
        <v>35</v>
      </c>
      <c r="C115" s="18"/>
      <c r="D115" s="48">
        <f>'IS (Before Changes)'!D115-'IS 3Q2022'!D115</f>
        <v>0</v>
      </c>
      <c r="E115" s="48">
        <f>'IS (Before Changes)'!E115-'IS 3Q2022'!E115</f>
        <v>0</v>
      </c>
      <c r="F115" s="48">
        <f>'IS (Before Changes)'!F115-'IS 3Q2022'!F115</f>
        <v>0</v>
      </c>
      <c r="G115" s="48">
        <f>'IS (Before Changes)'!G115-'IS 3Q2022'!G115</f>
        <v>0</v>
      </c>
      <c r="H115" s="49">
        <f>'IS (Before Changes)'!H115-'IS 3Q2022'!H115</f>
        <v>0</v>
      </c>
      <c r="I115" s="48">
        <f>'IS (Before Changes)'!I115-'IS 3Q2022'!I115</f>
        <v>0</v>
      </c>
      <c r="J115" s="48">
        <f>'IS (Before Changes)'!J115-'IS 3Q2022'!J115</f>
        <v>0</v>
      </c>
      <c r="K115" s="48">
        <f>'IS (Before Changes)'!K115-'IS 3Q2022'!K115</f>
        <v>0</v>
      </c>
      <c r="L115" s="48">
        <f>'IS (Before Changes)'!L115-'IS 3Q2022'!L115</f>
        <v>0</v>
      </c>
      <c r="M115" s="49">
        <f>'IS (Before Changes)'!M115-'IS 3Q2022'!M115</f>
        <v>0</v>
      </c>
      <c r="N115" s="48">
        <f>'IS (Before Changes)'!N115-'IS 3Q2022'!N115</f>
        <v>0</v>
      </c>
      <c r="O115" s="48">
        <f>'IS (Before Changes)'!O115-'IS 3Q2022'!O115</f>
        <v>0</v>
      </c>
      <c r="P115" s="48">
        <f>'IS (Before Changes)'!P115-'IS 3Q2022'!P115</f>
        <v>0</v>
      </c>
      <c r="Q115" s="105">
        <f>'IS (Before Changes)'!Q115-'IS 3Q2022'!Q115</f>
        <v>0</v>
      </c>
      <c r="R115" s="49">
        <f>'IS (Before Changes)'!R115-'IS 3Q2022'!R115</f>
        <v>0</v>
      </c>
      <c r="S115" s="48">
        <f>'IS (Before Changes)'!S115-'IS 3Q2022'!S115</f>
        <v>0</v>
      </c>
      <c r="T115" s="48">
        <f>'IS (Before Changes)'!T115-'IS 3Q2022'!T115</f>
        <v>0</v>
      </c>
      <c r="U115" s="48">
        <f>'IS (Before Changes)'!U115-'IS 3Q2022'!U115</f>
        <v>0</v>
      </c>
      <c r="V115" s="48">
        <f>'IS (Before Changes)'!V115-'IS 3Q2022'!V115</f>
        <v>0.35999999999999943</v>
      </c>
      <c r="W115" s="49">
        <f>'IS (Before Changes)'!W115-'IS 3Q2022'!W115</f>
        <v>0.35999999999999943</v>
      </c>
      <c r="X115" s="48">
        <f>'IS (Before Changes)'!X115-'IS 3Q2022'!X115</f>
        <v>0</v>
      </c>
      <c r="Y115" s="48">
        <f>'IS (Before Changes)'!Y115-'IS 3Q2022'!Y115</f>
        <v>0</v>
      </c>
      <c r="Z115" s="48">
        <f>'IS (Before Changes)'!Z115-'IS 3Q2022'!Z115</f>
        <v>0</v>
      </c>
      <c r="AA115" s="48">
        <f>'IS (Before Changes)'!AA115-'IS 3Q2022'!AA115</f>
        <v>0.37439999999999918</v>
      </c>
      <c r="AB115" s="49">
        <f>'IS (Before Changes)'!AB115-'IS 3Q2022'!AB115</f>
        <v>0.37439999999999962</v>
      </c>
      <c r="AC115" s="48">
        <f>'IS (Before Changes)'!AC115-'IS 3Q2022'!AC115</f>
        <v>0</v>
      </c>
      <c r="AD115" s="48">
        <f>'IS (Before Changes)'!AD115-'IS 3Q2022'!AD115</f>
        <v>0</v>
      </c>
      <c r="AE115" s="48">
        <f>'IS (Before Changes)'!AE115-'IS 3Q2022'!AE115</f>
        <v>0</v>
      </c>
      <c r="AF115" s="48">
        <f>'IS (Before Changes)'!AF115-'IS 3Q2022'!AF115</f>
        <v>0.3893759999999995</v>
      </c>
      <c r="AG115" s="49">
        <f>'IS (Before Changes)'!AG115-'IS 3Q2022'!AG115</f>
        <v>0.38937600000000039</v>
      </c>
      <c r="AH115" s="48">
        <f>'IS (Before Changes)'!AH115-'IS 3Q2022'!AH115</f>
        <v>0</v>
      </c>
      <c r="AI115" s="48">
        <f>'IS (Before Changes)'!AI115-'IS 3Q2022'!AI115</f>
        <v>0</v>
      </c>
      <c r="AJ115" s="48">
        <f>'IS (Before Changes)'!AJ115-'IS 3Q2022'!AJ115</f>
        <v>0</v>
      </c>
      <c r="AK115" s="48">
        <f>'IS (Before Changes)'!AK115-'IS 3Q2022'!AK115</f>
        <v>0.40495103999999937</v>
      </c>
      <c r="AL115" s="49">
        <f>'IS (Before Changes)'!AL115-'IS 3Q2022'!AL115</f>
        <v>0.40495103999999849</v>
      </c>
      <c r="AM115" s="48">
        <f>'IS (Before Changes)'!AM115-'IS 3Q2022'!AM115</f>
        <v>0</v>
      </c>
      <c r="AN115" s="48">
        <f>'IS (Before Changes)'!AN115-'IS 3Q2022'!AN115</f>
        <v>0</v>
      </c>
      <c r="AO115" s="48">
        <f>'IS (Before Changes)'!AO115-'IS 3Q2022'!AO115</f>
        <v>0</v>
      </c>
      <c r="AP115" s="48">
        <f>'IS (Before Changes)'!AP115-'IS 3Q2022'!AP115</f>
        <v>0.42114908160000031</v>
      </c>
      <c r="AQ115" s="49">
        <f>'IS (Before Changes)'!AQ115-'IS 3Q2022'!AQ115</f>
        <v>0.42114908159999942</v>
      </c>
      <c r="AR115" s="48">
        <f>'IS (Before Changes)'!AR115-'IS 3Q2022'!AR115</f>
        <v>0</v>
      </c>
      <c r="AS115" s="48">
        <f>'IS (Before Changes)'!AS115-'IS 3Q2022'!AS115</f>
        <v>0</v>
      </c>
      <c r="AT115" s="48">
        <f>'IS (Before Changes)'!AT115-'IS 3Q2022'!AT115</f>
        <v>0</v>
      </c>
      <c r="AU115" s="48">
        <f>'IS (Before Changes)'!AU115-'IS 3Q2022'!AU115</f>
        <v>0.43799504486400043</v>
      </c>
      <c r="AV115" s="49">
        <f>'IS (Before Changes)'!AV115-'IS 3Q2022'!AV115</f>
        <v>0.43799504486400131</v>
      </c>
    </row>
    <row r="116" spans="2:48" s="184" customFormat="1" outlineLevel="1" x14ac:dyDescent="0.3">
      <c r="B116" s="181" t="s">
        <v>153</v>
      </c>
      <c r="C116" s="190"/>
      <c r="D116" s="187">
        <f>'IS (Before Changes)'!D116-'IS 3Q2022'!D116</f>
        <v>0</v>
      </c>
      <c r="E116" s="187">
        <f>'IS (Before Changes)'!E116-'IS 3Q2022'!E116</f>
        <v>0</v>
      </c>
      <c r="F116" s="187">
        <f>'IS (Before Changes)'!F116-'IS 3Q2022'!F116</f>
        <v>0</v>
      </c>
      <c r="G116" s="187">
        <f>'IS (Before Changes)'!G116-'IS 3Q2022'!G116</f>
        <v>0</v>
      </c>
      <c r="H116" s="188">
        <f>'IS (Before Changes)'!H116-'IS 3Q2022'!H116</f>
        <v>0</v>
      </c>
      <c r="I116" s="187">
        <f>'IS (Before Changes)'!I116-'IS 3Q2022'!I116</f>
        <v>0</v>
      </c>
      <c r="J116" s="187">
        <f>'IS (Before Changes)'!J116-'IS 3Q2022'!J116</f>
        <v>0</v>
      </c>
      <c r="K116" s="187">
        <f>'IS (Before Changes)'!K116-'IS 3Q2022'!K116</f>
        <v>0</v>
      </c>
      <c r="L116" s="187">
        <f>'IS (Before Changes)'!L116-'IS 3Q2022'!L116</f>
        <v>0</v>
      </c>
      <c r="M116" s="188">
        <f>'IS (Before Changes)'!M116-'IS 3Q2022'!M116</f>
        <v>0</v>
      </c>
      <c r="N116" s="187">
        <f>'IS (Before Changes)'!N116-'IS 3Q2022'!N116</f>
        <v>0</v>
      </c>
      <c r="O116" s="187">
        <f>'IS (Before Changes)'!O116-'IS 3Q2022'!O116</f>
        <v>0</v>
      </c>
      <c r="P116" s="187">
        <f>'IS (Before Changes)'!P116-'IS 3Q2022'!P116</f>
        <v>0</v>
      </c>
      <c r="Q116" s="167">
        <f>'IS (Before Changes)'!Q116-'IS 3Q2022'!Q116</f>
        <v>0</v>
      </c>
      <c r="R116" s="188">
        <f>'IS (Before Changes)'!R116-'IS 3Q2022'!R116</f>
        <v>0</v>
      </c>
      <c r="S116" s="187">
        <f>'IS (Before Changes)'!S116-'IS 3Q2022'!S116</f>
        <v>0</v>
      </c>
      <c r="T116" s="187">
        <f>'IS (Before Changes)'!T116-'IS 3Q2022'!T116</f>
        <v>0</v>
      </c>
      <c r="U116" s="187">
        <f>'IS (Before Changes)'!U116-'IS 3Q2022'!U116</f>
        <v>0</v>
      </c>
      <c r="V116" s="189">
        <f>'IS (Before Changes)'!V116-'IS 3Q2022'!V116</f>
        <v>7.190844057926556E-4</v>
      </c>
      <c r="W116" s="188">
        <f>'IS (Before Changes)'!W116-'IS 3Q2022'!W116</f>
        <v>1.8979633588306257E-4</v>
      </c>
      <c r="X116" s="189">
        <f>'IS (Before Changes)'!X116-'IS 3Q2022'!X116</f>
        <v>0</v>
      </c>
      <c r="Y116" s="189">
        <f>'IS (Before Changes)'!Y116-'IS 3Q2022'!Y116</f>
        <v>0</v>
      </c>
      <c r="Z116" s="189">
        <f>'IS (Before Changes)'!Z116-'IS 3Q2022'!Z116</f>
        <v>0</v>
      </c>
      <c r="AA116" s="189">
        <f>'IS (Before Changes)'!AA116-'IS 3Q2022'!AA116</f>
        <v>7.190844057926556E-4</v>
      </c>
      <c r="AB116" s="188">
        <f>'IS (Before Changes)'!AB116-'IS 3Q2022'!AB116</f>
        <v>1.8733486325175474E-4</v>
      </c>
      <c r="AC116" s="189">
        <f>'IS (Before Changes)'!AC116-'IS 3Q2022'!AC116</f>
        <v>0</v>
      </c>
      <c r="AD116" s="189">
        <f>'IS (Before Changes)'!AD116-'IS 3Q2022'!AD116</f>
        <v>0</v>
      </c>
      <c r="AE116" s="189">
        <f>'IS (Before Changes)'!AE116-'IS 3Q2022'!AE116</f>
        <v>0</v>
      </c>
      <c r="AF116" s="189">
        <f>'IS (Before Changes)'!AF116-'IS 3Q2022'!AF116</f>
        <v>7.190844057926556E-4</v>
      </c>
      <c r="AG116" s="188">
        <f>'IS (Before Changes)'!AG116-'IS 3Q2022'!AG116</f>
        <v>1.8733486325175647E-4</v>
      </c>
      <c r="AH116" s="189">
        <f>'IS (Before Changes)'!AH116-'IS 3Q2022'!AH116</f>
        <v>0</v>
      </c>
      <c r="AI116" s="189">
        <f>'IS (Before Changes)'!AI116-'IS 3Q2022'!AI116</f>
        <v>0</v>
      </c>
      <c r="AJ116" s="189">
        <f>'IS (Before Changes)'!AJ116-'IS 3Q2022'!AJ116</f>
        <v>0</v>
      </c>
      <c r="AK116" s="189">
        <f>'IS (Before Changes)'!AK116-'IS 3Q2022'!AK116</f>
        <v>7.190844057926556E-4</v>
      </c>
      <c r="AL116" s="188">
        <f>'IS (Before Changes)'!AL116-'IS 3Q2022'!AL116</f>
        <v>1.8733486325175474E-4</v>
      </c>
      <c r="AM116" s="189">
        <f>'IS (Before Changes)'!AM116-'IS 3Q2022'!AM116</f>
        <v>0</v>
      </c>
      <c r="AN116" s="189">
        <f>'IS (Before Changes)'!AN116-'IS 3Q2022'!AN116</f>
        <v>0</v>
      </c>
      <c r="AO116" s="189">
        <f>'IS (Before Changes)'!AO116-'IS 3Q2022'!AO116</f>
        <v>0</v>
      </c>
      <c r="AP116" s="189">
        <f>'IS (Before Changes)'!AP116-'IS 3Q2022'!AP116</f>
        <v>7.190844057926556E-4</v>
      </c>
      <c r="AQ116" s="188">
        <f>'IS (Before Changes)'!AQ116-'IS 3Q2022'!AQ116</f>
        <v>1.8733486325175474E-4</v>
      </c>
      <c r="AR116" s="189">
        <f>'IS (Before Changes)'!AR116-'IS 3Q2022'!AR116</f>
        <v>0</v>
      </c>
      <c r="AS116" s="189">
        <f>'IS (Before Changes)'!AS116-'IS 3Q2022'!AS116</f>
        <v>0</v>
      </c>
      <c r="AT116" s="189">
        <f>'IS (Before Changes)'!AT116-'IS 3Q2022'!AT116</f>
        <v>0</v>
      </c>
      <c r="AU116" s="189">
        <f>'IS (Before Changes)'!AU116-'IS 3Q2022'!AU116</f>
        <v>7.190844057926556E-4</v>
      </c>
      <c r="AV116" s="188">
        <f>'IS (Before Changes)'!AV116-'IS 3Q2022'!AV116</f>
        <v>1.8733486325175647E-4</v>
      </c>
    </row>
    <row r="117" spans="2:48" ht="16.2" outlineLevel="1" x14ac:dyDescent="0.45">
      <c r="B117" s="180" t="s">
        <v>42</v>
      </c>
      <c r="C117" s="18"/>
      <c r="D117" s="119">
        <f>'IS (Before Changes)'!D117-'IS 3Q2022'!D117</f>
        <v>0</v>
      </c>
      <c r="E117" s="119">
        <f>'IS (Before Changes)'!E117-'IS 3Q2022'!E117</f>
        <v>0</v>
      </c>
      <c r="F117" s="119">
        <f>'IS (Before Changes)'!F117-'IS 3Q2022'!F117</f>
        <v>0</v>
      </c>
      <c r="G117" s="119">
        <f>'IS (Before Changes)'!G117-'IS 3Q2022'!G117</f>
        <v>0</v>
      </c>
      <c r="H117" s="131">
        <f>'IS (Before Changes)'!H117-'IS 3Q2022'!H117</f>
        <v>0</v>
      </c>
      <c r="I117" s="119">
        <f>'IS (Before Changes)'!I117-'IS 3Q2022'!I117</f>
        <v>0</v>
      </c>
      <c r="J117" s="119">
        <f>'IS (Before Changes)'!J117-'IS 3Q2022'!J117</f>
        <v>0</v>
      </c>
      <c r="K117" s="119">
        <f>'IS (Before Changes)'!K117-'IS 3Q2022'!K117</f>
        <v>0</v>
      </c>
      <c r="L117" s="119">
        <f>'IS (Before Changes)'!L117-'IS 3Q2022'!L117</f>
        <v>0</v>
      </c>
      <c r="M117" s="131">
        <f>'IS (Before Changes)'!M117-'IS 3Q2022'!M117</f>
        <v>0</v>
      </c>
      <c r="N117" s="119">
        <f>'IS (Before Changes)'!N117-'IS 3Q2022'!N117</f>
        <v>0</v>
      </c>
      <c r="O117" s="119">
        <f>'IS (Before Changes)'!O117-'IS 3Q2022'!O117</f>
        <v>0</v>
      </c>
      <c r="P117" s="119">
        <f>'IS (Before Changes)'!P117-'IS 3Q2022'!P117</f>
        <v>0</v>
      </c>
      <c r="Q117" s="119">
        <f>'IS (Before Changes)'!Q117-'IS 3Q2022'!Q117</f>
        <v>0</v>
      </c>
      <c r="R117" s="131">
        <f>'IS (Before Changes)'!R117-'IS 3Q2022'!R117</f>
        <v>0</v>
      </c>
      <c r="S117" s="119">
        <f>'IS (Before Changes)'!S117-'IS 3Q2022'!S117</f>
        <v>0</v>
      </c>
      <c r="T117" s="119">
        <f>'IS (Before Changes)'!T117-'IS 3Q2022'!T117</f>
        <v>0</v>
      </c>
      <c r="U117" s="119">
        <f>'IS (Before Changes)'!U117-'IS 3Q2022'!U117</f>
        <v>0</v>
      </c>
      <c r="V117" s="119">
        <f>'IS (Before Changes)'!V117-'IS 3Q2022'!V117</f>
        <v>0</v>
      </c>
      <c r="W117" s="131">
        <f>'IS (Before Changes)'!W117-'IS 3Q2022'!W117</f>
        <v>0</v>
      </c>
      <c r="X117" s="119">
        <f>'IS (Before Changes)'!X117-'IS 3Q2022'!X117</f>
        <v>0</v>
      </c>
      <c r="Y117" s="119">
        <f>'IS (Before Changes)'!Y117-'IS 3Q2022'!Y117</f>
        <v>0</v>
      </c>
      <c r="Z117" s="119">
        <f>'IS (Before Changes)'!Z117-'IS 3Q2022'!Z117</f>
        <v>0</v>
      </c>
      <c r="AA117" s="119">
        <f>'IS (Before Changes)'!AA117-'IS 3Q2022'!AA117</f>
        <v>0</v>
      </c>
      <c r="AB117" s="131">
        <f>'IS (Before Changes)'!AB117-'IS 3Q2022'!AB117</f>
        <v>0</v>
      </c>
      <c r="AC117" s="119">
        <f>'IS (Before Changes)'!AC117-'IS 3Q2022'!AC117</f>
        <v>0</v>
      </c>
      <c r="AD117" s="119">
        <f>'IS (Before Changes)'!AD117-'IS 3Q2022'!AD117</f>
        <v>0</v>
      </c>
      <c r="AE117" s="119">
        <f>'IS (Before Changes)'!AE117-'IS 3Q2022'!AE117</f>
        <v>0</v>
      </c>
      <c r="AF117" s="119">
        <f>'IS (Before Changes)'!AF117-'IS 3Q2022'!AF117</f>
        <v>0</v>
      </c>
      <c r="AG117" s="131">
        <f>'IS (Before Changes)'!AG117-'IS 3Q2022'!AG117</f>
        <v>0</v>
      </c>
      <c r="AH117" s="119">
        <f>'IS (Before Changes)'!AH117-'IS 3Q2022'!AH117</f>
        <v>0</v>
      </c>
      <c r="AI117" s="119">
        <f>'IS (Before Changes)'!AI117-'IS 3Q2022'!AI117</f>
        <v>0</v>
      </c>
      <c r="AJ117" s="119">
        <f>'IS (Before Changes)'!AJ117-'IS 3Q2022'!AJ117</f>
        <v>0</v>
      </c>
      <c r="AK117" s="119">
        <f>'IS (Before Changes)'!AK117-'IS 3Q2022'!AK117</f>
        <v>0</v>
      </c>
      <c r="AL117" s="131">
        <f>'IS (Before Changes)'!AL117-'IS 3Q2022'!AL117</f>
        <v>0</v>
      </c>
      <c r="AM117" s="119">
        <f>'IS (Before Changes)'!AM117-'IS 3Q2022'!AM117</f>
        <v>0</v>
      </c>
      <c r="AN117" s="119">
        <f>'IS (Before Changes)'!AN117-'IS 3Q2022'!AN117</f>
        <v>0</v>
      </c>
      <c r="AO117" s="119">
        <f>'IS (Before Changes)'!AO117-'IS 3Q2022'!AO117</f>
        <v>0</v>
      </c>
      <c r="AP117" s="119">
        <f>'IS (Before Changes)'!AP117-'IS 3Q2022'!AP117</f>
        <v>0</v>
      </c>
      <c r="AQ117" s="131">
        <f>'IS (Before Changes)'!AQ117-'IS 3Q2022'!AQ117</f>
        <v>0</v>
      </c>
      <c r="AR117" s="119">
        <f>'IS (Before Changes)'!AR117-'IS 3Q2022'!AR117</f>
        <v>0</v>
      </c>
      <c r="AS117" s="119">
        <f>'IS (Before Changes)'!AS117-'IS 3Q2022'!AS117</f>
        <v>0</v>
      </c>
      <c r="AT117" s="119">
        <f>'IS (Before Changes)'!AT117-'IS 3Q2022'!AT117</f>
        <v>0</v>
      </c>
      <c r="AU117" s="119">
        <f>'IS (Before Changes)'!AU117-'IS 3Q2022'!AU117</f>
        <v>0</v>
      </c>
      <c r="AV117" s="131">
        <f>'IS (Before Changes)'!AV117-'IS 3Q2022'!AV117</f>
        <v>0</v>
      </c>
    </row>
    <row r="118" spans="2:48" outlineLevel="1" x14ac:dyDescent="0.3">
      <c r="B118" s="46" t="s">
        <v>52</v>
      </c>
      <c r="C118" s="19"/>
      <c r="D118" s="50">
        <f>'IS (Before Changes)'!D118-'IS 3Q2022'!D118</f>
        <v>0</v>
      </c>
      <c r="E118" s="50">
        <f>'IS (Before Changes)'!E118-'IS 3Q2022'!E118</f>
        <v>0</v>
      </c>
      <c r="F118" s="50">
        <f>'IS (Before Changes)'!F118-'IS 3Q2022'!F118</f>
        <v>0</v>
      </c>
      <c r="G118" s="50">
        <f>'IS (Before Changes)'!G118-'IS 3Q2022'!G118</f>
        <v>0</v>
      </c>
      <c r="H118" s="26">
        <f>'IS (Before Changes)'!H118-'IS 3Q2022'!H118</f>
        <v>0</v>
      </c>
      <c r="I118" s="50">
        <f>'IS (Before Changes)'!I118-'IS 3Q2022'!I118</f>
        <v>0</v>
      </c>
      <c r="J118" s="50">
        <f>'IS (Before Changes)'!J118-'IS 3Q2022'!J118</f>
        <v>0</v>
      </c>
      <c r="K118" s="50">
        <f>'IS (Before Changes)'!K118-'IS 3Q2022'!K118</f>
        <v>0</v>
      </c>
      <c r="L118" s="50">
        <f>'IS (Before Changes)'!L118-'IS 3Q2022'!L118</f>
        <v>0</v>
      </c>
      <c r="M118" s="26">
        <f>'IS (Before Changes)'!M118-'IS 3Q2022'!M118</f>
        <v>0</v>
      </c>
      <c r="N118" s="50">
        <f>'IS (Before Changes)'!N118-'IS 3Q2022'!N118</f>
        <v>0</v>
      </c>
      <c r="O118" s="50">
        <f>'IS (Before Changes)'!O118-'IS 3Q2022'!O118</f>
        <v>0</v>
      </c>
      <c r="P118" s="50">
        <f>'IS (Before Changes)'!P118-'IS 3Q2022'!P118</f>
        <v>0</v>
      </c>
      <c r="Q118" s="103">
        <f>'IS (Before Changes)'!Q118-'IS 3Q2022'!Q118</f>
        <v>0</v>
      </c>
      <c r="R118" s="26">
        <f>'IS (Before Changes)'!R118-'IS 3Q2022'!R118</f>
        <v>0</v>
      </c>
      <c r="S118" s="50">
        <f>'IS (Before Changes)'!S118-'IS 3Q2022'!S118</f>
        <v>0</v>
      </c>
      <c r="T118" s="50">
        <f>'IS (Before Changes)'!T118-'IS 3Q2022'!T118</f>
        <v>0</v>
      </c>
      <c r="U118" s="50">
        <f>'IS (Before Changes)'!U118-'IS 3Q2022'!U118</f>
        <v>0</v>
      </c>
      <c r="V118" s="50">
        <f>'IS (Before Changes)'!V118-'IS 3Q2022'!V118</f>
        <v>-32.33910000000003</v>
      </c>
      <c r="W118" s="26">
        <f>'IS (Before Changes)'!W118-'IS 3Q2022'!W118</f>
        <v>-32.339099999999917</v>
      </c>
      <c r="X118" s="50">
        <f>'IS (Before Changes)'!X118-'IS 3Q2022'!X118</f>
        <v>0</v>
      </c>
      <c r="Y118" s="50">
        <f>'IS (Before Changes)'!Y118-'IS 3Q2022'!Y118</f>
        <v>0</v>
      </c>
      <c r="Z118" s="50">
        <f>'IS (Before Changes)'!Z118-'IS 3Q2022'!Z118</f>
        <v>0</v>
      </c>
      <c r="AA118" s="50">
        <f>'IS (Before Changes)'!AA118-'IS 3Q2022'!AA118</f>
        <v>-33.730632000000014</v>
      </c>
      <c r="AB118" s="26">
        <f>'IS (Before Changes)'!AB118-'IS 3Q2022'!AB118</f>
        <v>-33.730632000000014</v>
      </c>
      <c r="AC118" s="50">
        <f>'IS (Before Changes)'!AC118-'IS 3Q2022'!AC118</f>
        <v>0</v>
      </c>
      <c r="AD118" s="50">
        <f>'IS (Before Changes)'!AD118-'IS 3Q2022'!AD118</f>
        <v>0</v>
      </c>
      <c r="AE118" s="50">
        <f>'IS (Before Changes)'!AE118-'IS 3Q2022'!AE118</f>
        <v>0</v>
      </c>
      <c r="AF118" s="50">
        <f>'IS (Before Changes)'!AF118-'IS 3Q2022'!AF118</f>
        <v>-35.11381952000005</v>
      </c>
      <c r="AG118" s="26">
        <f>'IS (Before Changes)'!AG118-'IS 3Q2022'!AG118</f>
        <v>-35.113819519999879</v>
      </c>
      <c r="AH118" s="50">
        <f>'IS (Before Changes)'!AH118-'IS 3Q2022'!AH118</f>
        <v>0</v>
      </c>
      <c r="AI118" s="50">
        <f>'IS (Before Changes)'!AI118-'IS 3Q2022'!AI118</f>
        <v>0</v>
      </c>
      <c r="AJ118" s="50">
        <f>'IS (Before Changes)'!AJ118-'IS 3Q2022'!AJ118</f>
        <v>0</v>
      </c>
      <c r="AK118" s="50">
        <f>'IS (Before Changes)'!AK118-'IS 3Q2022'!AK118</f>
        <v>-36.52543644672005</v>
      </c>
      <c r="AL118" s="26">
        <f>'IS (Before Changes)'!AL118-'IS 3Q2022'!AL118</f>
        <v>-36.52543644672005</v>
      </c>
      <c r="AM118" s="50">
        <f>'IS (Before Changes)'!AM118-'IS 3Q2022'!AM118</f>
        <v>0</v>
      </c>
      <c r="AN118" s="50">
        <f>'IS (Before Changes)'!AN118-'IS 3Q2022'!AN118</f>
        <v>0</v>
      </c>
      <c r="AO118" s="50">
        <f>'IS (Before Changes)'!AO118-'IS 3Q2022'!AO118</f>
        <v>0</v>
      </c>
      <c r="AP118" s="50">
        <f>'IS (Before Changes)'!AP118-'IS 3Q2022'!AP118</f>
        <v>-37.986453904588814</v>
      </c>
      <c r="AQ118" s="26">
        <f>'IS (Before Changes)'!AQ118-'IS 3Q2022'!AQ118</f>
        <v>-37.986453904588871</v>
      </c>
      <c r="AR118" s="50">
        <f>'IS (Before Changes)'!AR118-'IS 3Q2022'!AR118</f>
        <v>0</v>
      </c>
      <c r="AS118" s="50">
        <f>'IS (Before Changes)'!AS118-'IS 3Q2022'!AS118</f>
        <v>0</v>
      </c>
      <c r="AT118" s="50">
        <f>'IS (Before Changes)'!AT118-'IS 3Q2022'!AT118</f>
        <v>0</v>
      </c>
      <c r="AU118" s="50">
        <f>'IS (Before Changes)'!AU118-'IS 3Q2022'!AU118</f>
        <v>-39.505912060772289</v>
      </c>
      <c r="AV118" s="26">
        <f>'IS (Before Changes)'!AV118-'IS 3Q2022'!AV118</f>
        <v>-39.505912060772289</v>
      </c>
    </row>
    <row r="119" spans="2:48" ht="16.2" outlineLevel="1" x14ac:dyDescent="0.45">
      <c r="B119" s="47" t="s">
        <v>36</v>
      </c>
      <c r="C119" s="44"/>
      <c r="D119" s="52">
        <f>'IS (Before Changes)'!D119-'IS 3Q2022'!D119</f>
        <v>0</v>
      </c>
      <c r="E119" s="104">
        <f>'IS (Before Changes)'!E119-'IS 3Q2022'!E119</f>
        <v>0</v>
      </c>
      <c r="F119" s="104">
        <f>'IS (Before Changes)'!F119-'IS 3Q2022'!F119</f>
        <v>0</v>
      </c>
      <c r="G119" s="104">
        <f>'IS (Before Changes)'!G119-'IS 3Q2022'!G119</f>
        <v>0</v>
      </c>
      <c r="H119" s="193">
        <f>'IS (Before Changes)'!H119-'IS 3Q2022'!H119</f>
        <v>0</v>
      </c>
      <c r="I119" s="104">
        <f>'IS (Before Changes)'!I119-'IS 3Q2022'!I119</f>
        <v>0</v>
      </c>
      <c r="J119" s="104">
        <f>'IS (Before Changes)'!J119-'IS 3Q2022'!J119</f>
        <v>0</v>
      </c>
      <c r="K119" s="104">
        <f>'IS (Before Changes)'!K119-'IS 3Q2022'!K119</f>
        <v>0</v>
      </c>
      <c r="L119" s="104">
        <f>'IS (Before Changes)'!L119-'IS 3Q2022'!L119</f>
        <v>0</v>
      </c>
      <c r="M119" s="193">
        <f>'IS (Before Changes)'!M119-'IS 3Q2022'!M119</f>
        <v>0</v>
      </c>
      <c r="N119" s="104">
        <f>'IS (Before Changes)'!N119-'IS 3Q2022'!N119</f>
        <v>0</v>
      </c>
      <c r="O119" s="104">
        <f>'IS (Before Changes)'!O119-'IS 3Q2022'!O119</f>
        <v>0</v>
      </c>
      <c r="P119" s="104">
        <f>'IS (Before Changes)'!P119-'IS 3Q2022'!P119</f>
        <v>0</v>
      </c>
      <c r="Q119" s="104">
        <f>'IS (Before Changes)'!Q119-'IS 3Q2022'!Q119</f>
        <v>0</v>
      </c>
      <c r="R119" s="193">
        <f>'IS (Before Changes)'!R119-'IS 3Q2022'!R119</f>
        <v>0</v>
      </c>
      <c r="S119" s="104">
        <f>'IS (Before Changes)'!S119-'IS 3Q2022'!S119</f>
        <v>0</v>
      </c>
      <c r="T119" s="104">
        <f>'IS (Before Changes)'!T119-'IS 3Q2022'!T119</f>
        <v>0</v>
      </c>
      <c r="U119" s="104">
        <f>'IS (Before Changes)'!U119-'IS 3Q2022'!U119</f>
        <v>0</v>
      </c>
      <c r="V119" s="56">
        <f>'IS (Before Changes)'!V119-'IS 3Q2022'!V119</f>
        <v>36.299999999999997</v>
      </c>
      <c r="W119" s="193">
        <f>'IS (Before Changes)'!W119-'IS 3Q2022'!W119</f>
        <v>36.300000000000011</v>
      </c>
      <c r="X119" s="56">
        <f>'IS (Before Changes)'!X119-'IS 3Q2022'!X119</f>
        <v>36.299999999999997</v>
      </c>
      <c r="Y119" s="56">
        <f>'IS (Before Changes)'!Y119-'IS 3Q2022'!Y119</f>
        <v>36.299999999999997</v>
      </c>
      <c r="Z119" s="56">
        <f>'IS (Before Changes)'!Z119-'IS 3Q2022'!Z119</f>
        <v>36.299999999999997</v>
      </c>
      <c r="AA119" s="56">
        <f>'IS (Before Changes)'!AA119-'IS 3Q2022'!AA119</f>
        <v>36.299999999999997</v>
      </c>
      <c r="AB119" s="193">
        <f>'IS (Before Changes)'!AB119-'IS 3Q2022'!AB119</f>
        <v>145.19999999999999</v>
      </c>
      <c r="AC119" s="56">
        <f>'IS (Before Changes)'!AC119-'IS 3Q2022'!AC119</f>
        <v>36.299999999999997</v>
      </c>
      <c r="AD119" s="56">
        <f>'IS (Before Changes)'!AD119-'IS 3Q2022'!AD119</f>
        <v>36.299999999999997</v>
      </c>
      <c r="AE119" s="56">
        <f>'IS (Before Changes)'!AE119-'IS 3Q2022'!AE119</f>
        <v>36.299999999999997</v>
      </c>
      <c r="AF119" s="56">
        <f>'IS (Before Changes)'!AF119-'IS 3Q2022'!AF119</f>
        <v>36.299999999999997</v>
      </c>
      <c r="AG119" s="193">
        <f>'IS (Before Changes)'!AG119-'IS 3Q2022'!AG119</f>
        <v>145.19999999999999</v>
      </c>
      <c r="AH119" s="56">
        <f>'IS (Before Changes)'!AH119-'IS 3Q2022'!AH119</f>
        <v>36.299999999999997</v>
      </c>
      <c r="AI119" s="56">
        <f>'IS (Before Changes)'!AI119-'IS 3Q2022'!AI119</f>
        <v>36.299999999999997</v>
      </c>
      <c r="AJ119" s="56">
        <f>'IS (Before Changes)'!AJ119-'IS 3Q2022'!AJ119</f>
        <v>36.299999999999997</v>
      </c>
      <c r="AK119" s="56">
        <f>'IS (Before Changes)'!AK119-'IS 3Q2022'!AK119</f>
        <v>36.299999999999997</v>
      </c>
      <c r="AL119" s="193">
        <f>'IS (Before Changes)'!AL119-'IS 3Q2022'!AL119</f>
        <v>145.19999999999999</v>
      </c>
      <c r="AM119" s="56">
        <f>'IS (Before Changes)'!AM119-'IS 3Q2022'!AM119</f>
        <v>36.299999999999997</v>
      </c>
      <c r="AN119" s="56">
        <f>'IS (Before Changes)'!AN119-'IS 3Q2022'!AN119</f>
        <v>36.299999999999997</v>
      </c>
      <c r="AO119" s="56">
        <f>'IS (Before Changes)'!AO119-'IS 3Q2022'!AO119</f>
        <v>36.299999999999997</v>
      </c>
      <c r="AP119" s="56">
        <f>'IS (Before Changes)'!AP119-'IS 3Q2022'!AP119</f>
        <v>36.299999999999997</v>
      </c>
      <c r="AQ119" s="193">
        <f>'IS (Before Changes)'!AQ119-'IS 3Q2022'!AQ119</f>
        <v>145.19999999999999</v>
      </c>
      <c r="AR119" s="56">
        <f>'IS (Before Changes)'!AR119-'IS 3Q2022'!AR119</f>
        <v>36.299999999999997</v>
      </c>
      <c r="AS119" s="56">
        <f>'IS (Before Changes)'!AS119-'IS 3Q2022'!AS119</f>
        <v>36.299999999999997</v>
      </c>
      <c r="AT119" s="56">
        <f>'IS (Before Changes)'!AT119-'IS 3Q2022'!AT119</f>
        <v>36.299999999999997</v>
      </c>
      <c r="AU119" s="56">
        <f>'IS (Before Changes)'!AU119-'IS 3Q2022'!AU119</f>
        <v>36.299999999999997</v>
      </c>
      <c r="AV119" s="193">
        <f>'IS (Before Changes)'!AV119-'IS 3Q2022'!AV119</f>
        <v>145.19999999999999</v>
      </c>
    </row>
    <row r="120" spans="2:48" outlineLevel="1" x14ac:dyDescent="0.3">
      <c r="B120" s="46" t="s">
        <v>53</v>
      </c>
      <c r="C120" s="44"/>
      <c r="D120" s="156">
        <f>'IS (Before Changes)'!D120-'IS 3Q2022'!D120</f>
        <v>0</v>
      </c>
      <c r="E120" s="156">
        <f>'IS (Before Changes)'!E120-'IS 3Q2022'!E120</f>
        <v>0</v>
      </c>
      <c r="F120" s="156">
        <f>'IS (Before Changes)'!F120-'IS 3Q2022'!F120</f>
        <v>0</v>
      </c>
      <c r="G120" s="156">
        <f>'IS (Before Changes)'!G120-'IS 3Q2022'!G120</f>
        <v>0</v>
      </c>
      <c r="H120" s="97">
        <f>'IS (Before Changes)'!H120-'IS 3Q2022'!H120</f>
        <v>0</v>
      </c>
      <c r="I120" s="156">
        <f>'IS (Before Changes)'!I120-'IS 3Q2022'!I120</f>
        <v>0</v>
      </c>
      <c r="J120" s="156">
        <f>'IS (Before Changes)'!J120-'IS 3Q2022'!J120</f>
        <v>0</v>
      </c>
      <c r="K120" s="156">
        <f>'IS (Before Changes)'!K120-'IS 3Q2022'!K120</f>
        <v>0</v>
      </c>
      <c r="L120" s="74">
        <f>'IS (Before Changes)'!L120-'IS 3Q2022'!L120</f>
        <v>0</v>
      </c>
      <c r="M120" s="97">
        <f>'IS (Before Changes)'!M120-'IS 3Q2022'!M120</f>
        <v>0</v>
      </c>
      <c r="N120" s="74">
        <f>'IS (Before Changes)'!N120-'IS 3Q2022'!N120</f>
        <v>0</v>
      </c>
      <c r="O120" s="74">
        <f>'IS (Before Changes)'!O120-'IS 3Q2022'!O120</f>
        <v>0</v>
      </c>
      <c r="P120" s="74">
        <f>'IS (Before Changes)'!P120-'IS 3Q2022'!P120</f>
        <v>0</v>
      </c>
      <c r="Q120" s="74">
        <f>'IS (Before Changes)'!Q120-'IS 3Q2022'!Q120</f>
        <v>0</v>
      </c>
      <c r="R120" s="97">
        <f>'IS (Before Changes)'!R120-'IS 3Q2022'!R120</f>
        <v>0</v>
      </c>
      <c r="S120" s="74">
        <f>'IS (Before Changes)'!S120-'IS 3Q2022'!S120</f>
        <v>0</v>
      </c>
      <c r="T120" s="74">
        <f>'IS (Before Changes)'!T120-'IS 3Q2022'!T120</f>
        <v>0</v>
      </c>
      <c r="U120" s="74">
        <f>'IS (Before Changes)'!U120-'IS 3Q2022'!U120</f>
        <v>0</v>
      </c>
      <c r="V120" s="74">
        <f>'IS (Before Changes)'!V120-'IS 3Q2022'!V120</f>
        <v>70.209099999999978</v>
      </c>
      <c r="W120" s="97">
        <f>'IS (Before Changes)'!W120-'IS 3Q2022'!W120</f>
        <v>70.209099999999808</v>
      </c>
      <c r="X120" s="74">
        <f>'IS (Before Changes)'!X120-'IS 3Q2022'!X120</f>
        <v>36.300000000000011</v>
      </c>
      <c r="Y120" s="74">
        <f>'IS (Before Changes)'!Y120-'IS 3Q2022'!Y120</f>
        <v>36.300000000000011</v>
      </c>
      <c r="Z120" s="74">
        <f>'IS (Before Changes)'!Z120-'IS 3Q2022'!Z120</f>
        <v>36.300000000000011</v>
      </c>
      <c r="AA120" s="74">
        <f>'IS (Before Changes)'!AA120-'IS 3Q2022'!AA120</f>
        <v>71.663431999999943</v>
      </c>
      <c r="AB120" s="97">
        <f>'IS (Before Changes)'!AB120-'IS 3Q2022'!AB120</f>
        <v>180.56343199999992</v>
      </c>
      <c r="AC120" s="74">
        <f>'IS (Before Changes)'!AC120-'IS 3Q2022'!AC120</f>
        <v>36.300000000000011</v>
      </c>
      <c r="AD120" s="74">
        <f>'IS (Before Changes)'!AD120-'IS 3Q2022'!AD120</f>
        <v>36.300000000000011</v>
      </c>
      <c r="AE120" s="74">
        <f>'IS (Before Changes)'!AE120-'IS 3Q2022'!AE120</f>
        <v>36.300000000000011</v>
      </c>
      <c r="AF120" s="74">
        <f>'IS (Before Changes)'!AF120-'IS 3Q2022'!AF120</f>
        <v>73.111931519999985</v>
      </c>
      <c r="AG120" s="97">
        <f>'IS (Before Changes)'!AG120-'IS 3Q2022'!AG120</f>
        <v>182.01193151999973</v>
      </c>
      <c r="AH120" s="74">
        <f>'IS (Before Changes)'!AH120-'IS 3Q2022'!AH120</f>
        <v>36.300000000000011</v>
      </c>
      <c r="AI120" s="74">
        <f>'IS (Before Changes)'!AI120-'IS 3Q2022'!AI120</f>
        <v>36.300000000000011</v>
      </c>
      <c r="AJ120" s="74">
        <f>'IS (Before Changes)'!AJ120-'IS 3Q2022'!AJ120</f>
        <v>36.300000000000011</v>
      </c>
      <c r="AK120" s="74">
        <f>'IS (Before Changes)'!AK120-'IS 3Q2022'!AK120</f>
        <v>74.591472926719973</v>
      </c>
      <c r="AL120" s="97">
        <f>'IS (Before Changes)'!AL120-'IS 3Q2022'!AL120</f>
        <v>183.49147292672001</v>
      </c>
      <c r="AM120" s="74">
        <f>'IS (Before Changes)'!AM120-'IS 3Q2022'!AM120</f>
        <v>36.300000000000011</v>
      </c>
      <c r="AN120" s="74">
        <f>'IS (Before Changes)'!AN120-'IS 3Q2022'!AN120</f>
        <v>36.300000000000011</v>
      </c>
      <c r="AO120" s="74">
        <f>'IS (Before Changes)'!AO120-'IS 3Q2022'!AO120</f>
        <v>36.300000000000011</v>
      </c>
      <c r="AP120" s="74">
        <f>'IS (Before Changes)'!AP120-'IS 3Q2022'!AP120</f>
        <v>76.123131843788769</v>
      </c>
      <c r="AQ120" s="97">
        <f>'IS (Before Changes)'!AQ120-'IS 3Q2022'!AQ120</f>
        <v>185.02313184378886</v>
      </c>
      <c r="AR120" s="74">
        <f>'IS (Before Changes)'!AR120-'IS 3Q2022'!AR120</f>
        <v>36.300000000000011</v>
      </c>
      <c r="AS120" s="74">
        <f>'IS (Before Changes)'!AS120-'IS 3Q2022'!AS120</f>
        <v>36.300000000000011</v>
      </c>
      <c r="AT120" s="74">
        <f>'IS (Before Changes)'!AT120-'IS 3Q2022'!AT120</f>
        <v>36.300000000000011</v>
      </c>
      <c r="AU120" s="74">
        <f>'IS (Before Changes)'!AU120-'IS 3Q2022'!AU120</f>
        <v>77.716057117540288</v>
      </c>
      <c r="AV120" s="97">
        <f>'IS (Before Changes)'!AV120-'IS 3Q2022'!AV120</f>
        <v>186.61605711754009</v>
      </c>
    </row>
    <row r="121" spans="2:48" outlineLevel="1" x14ac:dyDescent="0.3">
      <c r="B121" s="46" t="s">
        <v>54</v>
      </c>
      <c r="C121" s="44"/>
      <c r="D121" s="157">
        <f>'IS (Before Changes)'!D121-'IS 3Q2022'!D121</f>
        <v>0</v>
      </c>
      <c r="E121" s="157">
        <f>'IS (Before Changes)'!E121-'IS 3Q2022'!E121</f>
        <v>0</v>
      </c>
      <c r="F121" s="157">
        <f>'IS (Before Changes)'!F121-'IS 3Q2022'!F121</f>
        <v>0</v>
      </c>
      <c r="G121" s="157">
        <f>'IS (Before Changes)'!G121-'IS 3Q2022'!G121</f>
        <v>0</v>
      </c>
      <c r="H121" s="125">
        <f>'IS (Before Changes)'!H121-'IS 3Q2022'!H121</f>
        <v>0</v>
      </c>
      <c r="I121" s="157">
        <f>'IS (Before Changes)'!I121-'IS 3Q2022'!I121</f>
        <v>0</v>
      </c>
      <c r="J121" s="157">
        <f>'IS (Before Changes)'!J121-'IS 3Q2022'!J121</f>
        <v>0</v>
      </c>
      <c r="K121" s="157">
        <f>'IS (Before Changes)'!K121-'IS 3Q2022'!K121</f>
        <v>0</v>
      </c>
      <c r="L121" s="75">
        <f>'IS (Before Changes)'!L121-'IS 3Q2022'!L121</f>
        <v>0</v>
      </c>
      <c r="M121" s="98">
        <f>'IS (Before Changes)'!M121-'IS 3Q2022'!M121</f>
        <v>0</v>
      </c>
      <c r="N121" s="75">
        <f>'IS (Before Changes)'!N121-'IS 3Q2022'!N121</f>
        <v>0</v>
      </c>
      <c r="O121" s="75">
        <f>'IS (Before Changes)'!O121-'IS 3Q2022'!O121</f>
        <v>0</v>
      </c>
      <c r="P121" s="75">
        <f>'IS (Before Changes)'!P121-'IS 3Q2022'!P121</f>
        <v>0</v>
      </c>
      <c r="Q121" s="75">
        <f>'IS (Before Changes)'!Q121-'IS 3Q2022'!Q121</f>
        <v>0</v>
      </c>
      <c r="R121" s="98">
        <f>'IS (Before Changes)'!R121-'IS 3Q2022'!R121</f>
        <v>0</v>
      </c>
      <c r="S121" s="75">
        <f>'IS (Before Changes)'!S121-'IS 3Q2022'!S121</f>
        <v>0</v>
      </c>
      <c r="T121" s="75">
        <f>'IS (Before Changes)'!T121-'IS 3Q2022'!T121</f>
        <v>0</v>
      </c>
      <c r="U121" s="75">
        <f>'IS (Before Changes)'!U121-'IS 3Q2022'!U121</f>
        <v>0</v>
      </c>
      <c r="V121" s="75">
        <f>'IS (Before Changes)'!V121-'IS 3Q2022'!V121</f>
        <v>0.14397605212871606</v>
      </c>
      <c r="W121" s="98">
        <f>'IS (Before Changes)'!W121-'IS 3Q2022'!W121</f>
        <v>3.7737173926215783E-2</v>
      </c>
      <c r="X121" s="75">
        <f>'IS (Before Changes)'!X121-'IS 3Q2022'!X121</f>
        <v>7.9117717573723323E-2</v>
      </c>
      <c r="Y121" s="75">
        <f>'IS (Before Changes)'!Y121-'IS 3Q2022'!Y121</f>
        <v>7.5369998172848507E-2</v>
      </c>
      <c r="Z121" s="75">
        <f>'IS (Before Changes)'!Z121-'IS 3Q2022'!Z121</f>
        <v>7.276182229277911E-2</v>
      </c>
      <c r="AA121" s="75">
        <f>'IS (Before Changes)'!AA121-'IS 3Q2022'!AA121</f>
        <v>0.14110355230955368</v>
      </c>
      <c r="AB121" s="98">
        <f>'IS (Before Changes)'!AB121-'IS 3Q2022'!AB121</f>
        <v>9.2606839616554859E-2</v>
      </c>
      <c r="AC121" s="75">
        <f>'IS (Before Changes)'!AC121-'IS 3Q2022'!AC121</f>
        <v>7.6074728436272498E-2</v>
      </c>
      <c r="AD121" s="75">
        <f>'IS (Before Changes)'!AD121-'IS 3Q2022'!AD121</f>
        <v>7.2471152089277513E-2</v>
      </c>
      <c r="AE121" s="75">
        <f>'IS (Before Changes)'!AE121-'IS 3Q2022'!AE121</f>
        <v>6.9963290666133826E-2</v>
      </c>
      <c r="AF121" s="75">
        <f>'IS (Before Changes)'!AF121-'IS 3Q2022'!AF121</f>
        <v>0.13834153325266707</v>
      </c>
      <c r="AG121" s="98">
        <f>'IS (Before Changes)'!AG121-'IS 3Q2022'!AG121</f>
        <v>8.973943504687254E-2</v>
      </c>
      <c r="AH121" s="75">
        <f>'IS (Before Changes)'!AH121-'IS 3Q2022'!AH121</f>
        <v>7.3148777342569637E-2</v>
      </c>
      <c r="AI121" s="75">
        <f>'IS (Before Changes)'!AI121-'IS 3Q2022'!AI121</f>
        <v>6.9683800085843683E-2</v>
      </c>
      <c r="AJ121" s="75">
        <f>'IS (Before Changes)'!AJ121-'IS 3Q2022'!AJ121</f>
        <v>6.7272394871282504E-2</v>
      </c>
      <c r="AK121" s="75">
        <f>'IS (Before Changes)'!AK121-'IS 3Q2022'!AK121</f>
        <v>0.13568574569796821</v>
      </c>
      <c r="AL121" s="98">
        <f>'IS (Before Changes)'!AL121-'IS 3Q2022'!AL121</f>
        <v>8.6978040107868138E-2</v>
      </c>
      <c r="AM121" s="75">
        <f>'IS (Before Changes)'!AM121-'IS 3Q2022'!AM121</f>
        <v>7.0335362829393844E-2</v>
      </c>
      <c r="AN121" s="75">
        <f>'IS (Before Changes)'!AN121-'IS 3Q2022'!AN121</f>
        <v>6.7003653928695839E-2</v>
      </c>
      <c r="AO121" s="75">
        <f>'IS (Before Changes)'!AO121-'IS 3Q2022'!AO121</f>
        <v>6.4684995068540863E-2</v>
      </c>
      <c r="AP121" s="75">
        <f>'IS (Before Changes)'!AP121-'IS 3Q2022'!AP121</f>
        <v>0.13313210381845009</v>
      </c>
      <c r="AQ121" s="98">
        <f>'IS (Before Changes)'!AQ121-'IS 3Q2022'!AQ121</f>
        <v>8.4323105899490713E-2</v>
      </c>
      <c r="AR121" s="75">
        <f>'IS (Before Changes)'!AR121-'IS 3Q2022'!AR121</f>
        <v>6.7630156566724886E-2</v>
      </c>
      <c r="AS121" s="75">
        <f>'IS (Before Changes)'!AS121-'IS 3Q2022'!AS121</f>
        <v>6.4426590316053689E-2</v>
      </c>
      <c r="AT121" s="75">
        <f>'IS (Before Changes)'!AT121-'IS 3Q2022'!AT121</f>
        <v>6.2197110642827735E-2</v>
      </c>
      <c r="AU121" s="75">
        <f>'IS (Before Changes)'!AU121-'IS 3Q2022'!AU121</f>
        <v>0.13067667893429796</v>
      </c>
      <c r="AV121" s="98">
        <f>'IS (Before Changes)'!AV121-'IS 3Q2022'!AV121</f>
        <v>8.1770284545281402E-2</v>
      </c>
    </row>
    <row r="122" spans="2:48" ht="17.399999999999999" x14ac:dyDescent="0.45">
      <c r="B122" s="494" t="s">
        <v>55</v>
      </c>
      <c r="C122" s="495"/>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2" t="s">
        <v>25</v>
      </c>
      <c r="W122" s="42" t="s">
        <v>26</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486" t="s">
        <v>127</v>
      </c>
      <c r="C123" s="487"/>
      <c r="D123" s="101">
        <f>'IS (Before Changes)'!D123-'IS 3Q2022'!D123</f>
        <v>0</v>
      </c>
      <c r="E123" s="48">
        <f>'IS (Before Changes)'!E123-'IS 3Q2022'!E123</f>
        <v>0</v>
      </c>
      <c r="F123" s="48">
        <f>'IS (Before Changes)'!F123-'IS 3Q2022'!F123</f>
        <v>0</v>
      </c>
      <c r="G123" s="48">
        <f>'IS (Before Changes)'!G123-'IS 3Q2022'!G123</f>
        <v>0</v>
      </c>
      <c r="H123" s="31">
        <f>'IS (Before Changes)'!H123-'IS 3Q2022'!H123</f>
        <v>0</v>
      </c>
      <c r="I123" s="48">
        <f>'IS (Before Changes)'!I123-'IS 3Q2022'!I123</f>
        <v>0</v>
      </c>
      <c r="J123" s="48">
        <f>'IS (Before Changes)'!J123-'IS 3Q2022'!J123</f>
        <v>0</v>
      </c>
      <c r="K123" s="48">
        <f>'IS (Before Changes)'!K123-'IS 3Q2022'!K123</f>
        <v>0</v>
      </c>
      <c r="L123" s="48">
        <f>'IS (Before Changes)'!L123-'IS 3Q2022'!L123</f>
        <v>0</v>
      </c>
      <c r="M123" s="31">
        <f>'IS (Before Changes)'!M123-'IS 3Q2022'!M123</f>
        <v>0</v>
      </c>
      <c r="N123" s="48">
        <f>'IS (Before Changes)'!N123-'IS 3Q2022'!N123</f>
        <v>0</v>
      </c>
      <c r="O123" s="48">
        <f>'IS (Before Changes)'!O123-'IS 3Q2022'!O123</f>
        <v>0</v>
      </c>
      <c r="P123" s="48">
        <f>'IS (Before Changes)'!P123-'IS 3Q2022'!P123</f>
        <v>0</v>
      </c>
      <c r="Q123" s="105">
        <f>'IS (Before Changes)'!Q123-'IS 3Q2022'!Q123</f>
        <v>0</v>
      </c>
      <c r="R123" s="31">
        <f>'IS (Before Changes)'!R123-'IS 3Q2022'!R123</f>
        <v>0</v>
      </c>
      <c r="S123" s="48">
        <f>'IS (Before Changes)'!S123-'IS 3Q2022'!S123</f>
        <v>0</v>
      </c>
      <c r="T123" s="48">
        <f>'IS (Before Changes)'!T123-'IS 3Q2022'!T123</f>
        <v>0</v>
      </c>
      <c r="U123" s="48">
        <f>'IS (Before Changes)'!U123-'IS 3Q2022'!U123</f>
        <v>0</v>
      </c>
      <c r="V123" s="48">
        <f>'IS (Before Changes)'!V123-'IS 3Q2022'!V123</f>
        <v>-14.780000000000001</v>
      </c>
      <c r="W123" s="31">
        <f>'IS (Before Changes)'!W123-'IS 3Q2022'!W123</f>
        <v>-14.780000000000001</v>
      </c>
      <c r="X123" s="48">
        <f>'IS (Before Changes)'!X123-'IS 3Q2022'!X123</f>
        <v>0</v>
      </c>
      <c r="Y123" s="48">
        <f>'IS (Before Changes)'!Y123-'IS 3Q2022'!Y123</f>
        <v>0</v>
      </c>
      <c r="Z123" s="48">
        <f>'IS (Before Changes)'!Z123-'IS 3Q2022'!Z123</f>
        <v>0</v>
      </c>
      <c r="AA123" s="48">
        <f>'IS (Before Changes)'!AA123-'IS 3Q2022'!AA123</f>
        <v>-16.258000000000006</v>
      </c>
      <c r="AB123" s="31">
        <f>'IS (Before Changes)'!AB123-'IS 3Q2022'!AB123</f>
        <v>-16.25800000000001</v>
      </c>
      <c r="AC123" s="48">
        <f>'IS (Before Changes)'!AC123-'IS 3Q2022'!AC123</f>
        <v>0</v>
      </c>
      <c r="AD123" s="48">
        <f>'IS (Before Changes)'!AD123-'IS 3Q2022'!AD123</f>
        <v>0</v>
      </c>
      <c r="AE123" s="48">
        <f>'IS (Before Changes)'!AE123-'IS 3Q2022'!AE123</f>
        <v>0</v>
      </c>
      <c r="AF123" s="48">
        <f>'IS (Before Changes)'!AF123-'IS 3Q2022'!AF123</f>
        <v>-17.883800000000008</v>
      </c>
      <c r="AG123" s="31">
        <f>'IS (Before Changes)'!AG123-'IS 3Q2022'!AG123</f>
        <v>-17.883800000000022</v>
      </c>
      <c r="AH123" s="48">
        <f>'IS (Before Changes)'!AH123-'IS 3Q2022'!AH123</f>
        <v>0</v>
      </c>
      <c r="AI123" s="48">
        <f>'IS (Before Changes)'!AI123-'IS 3Q2022'!AI123</f>
        <v>0</v>
      </c>
      <c r="AJ123" s="48">
        <f>'IS (Before Changes)'!AJ123-'IS 3Q2022'!AJ123</f>
        <v>0</v>
      </c>
      <c r="AK123" s="48">
        <f>'IS (Before Changes)'!AK123-'IS 3Q2022'!AK123</f>
        <v>-19.672180000000012</v>
      </c>
      <c r="AL123" s="31">
        <f>'IS (Before Changes)'!AL123-'IS 3Q2022'!AL123</f>
        <v>-19.672180000000026</v>
      </c>
      <c r="AM123" s="48">
        <f>'IS (Before Changes)'!AM123-'IS 3Q2022'!AM123</f>
        <v>0</v>
      </c>
      <c r="AN123" s="48">
        <f>'IS (Before Changes)'!AN123-'IS 3Q2022'!AN123</f>
        <v>0</v>
      </c>
      <c r="AO123" s="48">
        <f>'IS (Before Changes)'!AO123-'IS 3Q2022'!AO123</f>
        <v>0</v>
      </c>
      <c r="AP123" s="48">
        <f>'IS (Before Changes)'!AP123-'IS 3Q2022'!AP123</f>
        <v>-21.639398000000014</v>
      </c>
      <c r="AQ123" s="31">
        <f>'IS (Before Changes)'!AQ123-'IS 3Q2022'!AQ123</f>
        <v>-21.639398</v>
      </c>
      <c r="AR123" s="48">
        <f>'IS (Before Changes)'!AR123-'IS 3Q2022'!AR123</f>
        <v>0</v>
      </c>
      <c r="AS123" s="48">
        <f>'IS (Before Changes)'!AS123-'IS 3Q2022'!AS123</f>
        <v>0</v>
      </c>
      <c r="AT123" s="48">
        <f>'IS (Before Changes)'!AT123-'IS 3Q2022'!AT123</f>
        <v>0</v>
      </c>
      <c r="AU123" s="48">
        <f>'IS (Before Changes)'!AU123-'IS 3Q2022'!AU123</f>
        <v>-23.803337800000019</v>
      </c>
      <c r="AV123" s="31">
        <f>'IS (Before Changes)'!AV123-'IS 3Q2022'!AV123</f>
        <v>-23.803337800000037</v>
      </c>
    </row>
    <row r="124" spans="2:48" s="8" customFormat="1" outlineLevel="1" x14ac:dyDescent="0.3">
      <c r="B124" s="38" t="s">
        <v>128</v>
      </c>
      <c r="C124" s="201"/>
      <c r="D124" s="30">
        <f>'IS (Before Changes)'!D124-'IS 3Q2022'!D124</f>
        <v>0</v>
      </c>
      <c r="E124" s="30">
        <f>'IS (Before Changes)'!E124-'IS 3Q2022'!E124</f>
        <v>0</v>
      </c>
      <c r="F124" s="30">
        <f>'IS (Before Changes)'!F124-'IS 3Q2022'!F124</f>
        <v>0</v>
      </c>
      <c r="G124" s="118">
        <f>'IS (Before Changes)'!G124-'IS 3Q2022'!G124</f>
        <v>0</v>
      </c>
      <c r="H124" s="130">
        <f>'IS (Before Changes)'!H124-'IS 3Q2022'!H124</f>
        <v>0</v>
      </c>
      <c r="I124" s="118">
        <f>'IS (Before Changes)'!I124-'IS 3Q2022'!I124</f>
        <v>0</v>
      </c>
      <c r="J124" s="118">
        <f>'IS (Before Changes)'!J124-'IS 3Q2022'!J124</f>
        <v>0</v>
      </c>
      <c r="K124" s="118">
        <f>'IS (Before Changes)'!K124-'IS 3Q2022'!K124</f>
        <v>0</v>
      </c>
      <c r="L124" s="118">
        <f>'IS (Before Changes)'!L124-'IS 3Q2022'!L124</f>
        <v>0</v>
      </c>
      <c r="M124" s="128">
        <f>'IS (Before Changes)'!M124-'IS 3Q2022'!M124</f>
        <v>0</v>
      </c>
      <c r="N124" s="118">
        <f>'IS (Before Changes)'!N124-'IS 3Q2022'!N124</f>
        <v>0</v>
      </c>
      <c r="O124" s="118">
        <f>'IS (Before Changes)'!O124-'IS 3Q2022'!O124</f>
        <v>0</v>
      </c>
      <c r="P124" s="118">
        <f>'IS (Before Changes)'!P124-'IS 3Q2022'!P124</f>
        <v>0</v>
      </c>
      <c r="Q124" s="118">
        <f>'IS (Before Changes)'!Q124-'IS 3Q2022'!Q124</f>
        <v>0</v>
      </c>
      <c r="R124" s="128">
        <f>'IS (Before Changes)'!R124-'IS 3Q2022'!R124</f>
        <v>0</v>
      </c>
      <c r="S124" s="118">
        <f>'IS (Before Changes)'!S124-'IS 3Q2022'!S124</f>
        <v>0</v>
      </c>
      <c r="T124" s="118">
        <f>'IS (Before Changes)'!T124-'IS 3Q2022'!T124</f>
        <v>0</v>
      </c>
      <c r="U124" s="118">
        <f>'IS (Before Changes)'!U124-'IS 3Q2022'!U124</f>
        <v>0</v>
      </c>
      <c r="V124" s="34">
        <f>'IS (Before Changes)'!V124-'IS 3Q2022'!V124</f>
        <v>-0.47987012987012978</v>
      </c>
      <c r="W124" s="128">
        <f>'IS (Before Changes)'!W124-'IS 3Q2022'!W124</f>
        <v>-0.15127942681678597</v>
      </c>
      <c r="X124" s="34">
        <f>'IS (Before Changes)'!X124-'IS 3Q2022'!X124</f>
        <v>0</v>
      </c>
      <c r="Y124" s="34">
        <f>'IS (Before Changes)'!Y124-'IS 3Q2022'!Y124</f>
        <v>0</v>
      </c>
      <c r="Z124" s="34">
        <f>'IS (Before Changes)'!Z124-'IS 3Q2022'!Z124</f>
        <v>0</v>
      </c>
      <c r="AA124" s="34">
        <f>'IS (Before Changes)'!AA124-'IS 3Q2022'!AA124</f>
        <v>0</v>
      </c>
      <c r="AB124" s="128">
        <f>'IS (Before Changes)'!AB124-'IS 3Q2022'!AB124</f>
        <v>0</v>
      </c>
      <c r="AC124" s="34">
        <f>'IS (Before Changes)'!AC124-'IS 3Q2022'!AC124</f>
        <v>0</v>
      </c>
      <c r="AD124" s="34">
        <f>'IS (Before Changes)'!AD124-'IS 3Q2022'!AD124</f>
        <v>0</v>
      </c>
      <c r="AE124" s="34">
        <f>'IS (Before Changes)'!AE124-'IS 3Q2022'!AE124</f>
        <v>0</v>
      </c>
      <c r="AF124" s="34">
        <f>'IS (Before Changes)'!AF124-'IS 3Q2022'!AF124</f>
        <v>0</v>
      </c>
      <c r="AG124" s="128">
        <f>'IS (Before Changes)'!AG124-'IS 3Q2022'!AG124</f>
        <v>-2.2204460492503131E-16</v>
      </c>
      <c r="AH124" s="34">
        <f>'IS (Before Changes)'!AH124-'IS 3Q2022'!AH124</f>
        <v>0</v>
      </c>
      <c r="AI124" s="34">
        <f>'IS (Before Changes)'!AI124-'IS 3Q2022'!AI124</f>
        <v>0</v>
      </c>
      <c r="AJ124" s="34">
        <f>'IS (Before Changes)'!AJ124-'IS 3Q2022'!AJ124</f>
        <v>0</v>
      </c>
      <c r="AK124" s="34">
        <f>'IS (Before Changes)'!AK124-'IS 3Q2022'!AK124</f>
        <v>0</v>
      </c>
      <c r="AL124" s="128">
        <f>'IS (Before Changes)'!AL124-'IS 3Q2022'!AL124</f>
        <v>0</v>
      </c>
      <c r="AM124" s="34">
        <f>'IS (Before Changes)'!AM124-'IS 3Q2022'!AM124</f>
        <v>0</v>
      </c>
      <c r="AN124" s="34">
        <f>'IS (Before Changes)'!AN124-'IS 3Q2022'!AN124</f>
        <v>0</v>
      </c>
      <c r="AO124" s="34">
        <f>'IS (Before Changes)'!AO124-'IS 3Q2022'!AO124</f>
        <v>0</v>
      </c>
      <c r="AP124" s="34">
        <f>'IS (Before Changes)'!AP124-'IS 3Q2022'!AP124</f>
        <v>0</v>
      </c>
      <c r="AQ124" s="128">
        <f>'IS (Before Changes)'!AQ124-'IS 3Q2022'!AQ124</f>
        <v>2.2204460492503131E-16</v>
      </c>
      <c r="AR124" s="34">
        <f>'IS (Before Changes)'!AR124-'IS 3Q2022'!AR124</f>
        <v>0</v>
      </c>
      <c r="AS124" s="34">
        <f>'IS (Before Changes)'!AS124-'IS 3Q2022'!AS124</f>
        <v>0</v>
      </c>
      <c r="AT124" s="34">
        <f>'IS (Before Changes)'!AT124-'IS 3Q2022'!AT124</f>
        <v>0</v>
      </c>
      <c r="AU124" s="34">
        <f>'IS (Before Changes)'!AU124-'IS 3Q2022'!AU124</f>
        <v>0</v>
      </c>
      <c r="AV124" s="128">
        <f>'IS (Before Changes)'!AV124-'IS 3Q2022'!AV124</f>
        <v>-2.2204460492503131E-16</v>
      </c>
    </row>
    <row r="125" spans="2:48" outlineLevel="1" x14ac:dyDescent="0.3">
      <c r="B125" s="504" t="s">
        <v>100</v>
      </c>
      <c r="C125" s="505"/>
      <c r="D125" s="48">
        <f>'IS (Before Changes)'!D125-'IS 3Q2022'!D125</f>
        <v>0</v>
      </c>
      <c r="E125" s="48">
        <f>'IS (Before Changes)'!E125-'IS 3Q2022'!E125</f>
        <v>0</v>
      </c>
      <c r="F125" s="48">
        <f>'IS (Before Changes)'!F125-'IS 3Q2022'!F125</f>
        <v>0</v>
      </c>
      <c r="G125" s="105">
        <f>'IS (Before Changes)'!G125-'IS 3Q2022'!G125</f>
        <v>0</v>
      </c>
      <c r="H125" s="170">
        <f>'IS (Before Changes)'!H125-'IS 3Q2022'!H125</f>
        <v>0</v>
      </c>
      <c r="I125" s="105">
        <f>'IS (Before Changes)'!I125-'IS 3Q2022'!I125</f>
        <v>0</v>
      </c>
      <c r="J125" s="105">
        <f>'IS (Before Changes)'!J125-'IS 3Q2022'!J125</f>
        <v>0</v>
      </c>
      <c r="K125" s="105">
        <f>'IS (Before Changes)'!K125-'IS 3Q2022'!K125</f>
        <v>0</v>
      </c>
      <c r="L125" s="105">
        <f>'IS (Before Changes)'!L125-'IS 3Q2022'!L125</f>
        <v>0</v>
      </c>
      <c r="M125" s="31">
        <f>'IS (Before Changes)'!M125-'IS 3Q2022'!M125</f>
        <v>0</v>
      </c>
      <c r="N125" s="105">
        <f>'IS (Before Changes)'!N125-'IS 3Q2022'!N125</f>
        <v>0</v>
      </c>
      <c r="O125" s="105">
        <f>'IS (Before Changes)'!O125-'IS 3Q2022'!O125</f>
        <v>0</v>
      </c>
      <c r="P125" s="105">
        <f>'IS (Before Changes)'!P125-'IS 3Q2022'!P125</f>
        <v>0</v>
      </c>
      <c r="Q125" s="105">
        <f>'IS (Before Changes)'!Q125-'IS 3Q2022'!Q125</f>
        <v>0</v>
      </c>
      <c r="R125" s="31">
        <f>'IS (Before Changes)'!R125-'IS 3Q2022'!R125</f>
        <v>0</v>
      </c>
      <c r="S125" s="105">
        <f>'IS (Before Changes)'!S125-'IS 3Q2022'!S125</f>
        <v>0</v>
      </c>
      <c r="T125" s="105">
        <f>'IS (Before Changes)'!T125-'IS 3Q2022'!T125</f>
        <v>0</v>
      </c>
      <c r="U125" s="105">
        <f>'IS (Before Changes)'!U125-'IS 3Q2022'!U125</f>
        <v>0</v>
      </c>
      <c r="V125" s="95">
        <f>'IS (Before Changes)'!V125-'IS 3Q2022'!V125</f>
        <v>-3.9000000000000021</v>
      </c>
      <c r="W125" s="31">
        <f>'IS (Before Changes)'!W125-'IS 3Q2022'!W125</f>
        <v>-3.8999999999999915</v>
      </c>
      <c r="X125" s="95">
        <f>'IS (Before Changes)'!X125-'IS 3Q2022'!X125</f>
        <v>0</v>
      </c>
      <c r="Y125" s="95">
        <f>'IS (Before Changes)'!Y125-'IS 3Q2022'!Y125</f>
        <v>0</v>
      </c>
      <c r="Z125" s="95">
        <f>'IS (Before Changes)'!Z125-'IS 3Q2022'!Z125</f>
        <v>0</v>
      </c>
      <c r="AA125" s="95">
        <f>'IS (Before Changes)'!AA125-'IS 3Q2022'!AA125</f>
        <v>0</v>
      </c>
      <c r="AB125" s="31">
        <f>'IS (Before Changes)'!AB125-'IS 3Q2022'!AB125</f>
        <v>0</v>
      </c>
      <c r="AC125" s="95">
        <f>'IS (Before Changes)'!AC125-'IS 3Q2022'!AC125</f>
        <v>0</v>
      </c>
      <c r="AD125" s="95">
        <f>'IS (Before Changes)'!AD125-'IS 3Q2022'!AD125</f>
        <v>0</v>
      </c>
      <c r="AE125" s="95">
        <f>'IS (Before Changes)'!AE125-'IS 3Q2022'!AE125</f>
        <v>0</v>
      </c>
      <c r="AF125" s="95">
        <f>'IS (Before Changes)'!AF125-'IS 3Q2022'!AF125</f>
        <v>0</v>
      </c>
      <c r="AG125" s="31">
        <f>'IS (Before Changes)'!AG125-'IS 3Q2022'!AG125</f>
        <v>0</v>
      </c>
      <c r="AH125" s="95">
        <f>'IS (Before Changes)'!AH125-'IS 3Q2022'!AH125</f>
        <v>0</v>
      </c>
      <c r="AI125" s="95">
        <f>'IS (Before Changes)'!AI125-'IS 3Q2022'!AI125</f>
        <v>0</v>
      </c>
      <c r="AJ125" s="95">
        <f>'IS (Before Changes)'!AJ125-'IS 3Q2022'!AJ125</f>
        <v>0</v>
      </c>
      <c r="AK125" s="95">
        <f>'IS (Before Changes)'!AK125-'IS 3Q2022'!AK125</f>
        <v>0</v>
      </c>
      <c r="AL125" s="31">
        <f>'IS (Before Changes)'!AL125-'IS 3Q2022'!AL125</f>
        <v>0</v>
      </c>
      <c r="AM125" s="95">
        <f>'IS (Before Changes)'!AM125-'IS 3Q2022'!AM125</f>
        <v>0</v>
      </c>
      <c r="AN125" s="95">
        <f>'IS (Before Changes)'!AN125-'IS 3Q2022'!AN125</f>
        <v>0</v>
      </c>
      <c r="AO125" s="95">
        <f>'IS (Before Changes)'!AO125-'IS 3Q2022'!AO125</f>
        <v>0</v>
      </c>
      <c r="AP125" s="95">
        <f>'IS (Before Changes)'!AP125-'IS 3Q2022'!AP125</f>
        <v>0</v>
      </c>
      <c r="AQ125" s="31">
        <f>'IS (Before Changes)'!AQ125-'IS 3Q2022'!AQ125</f>
        <v>0</v>
      </c>
      <c r="AR125" s="95">
        <f>'IS (Before Changes)'!AR125-'IS 3Q2022'!AR125</f>
        <v>0</v>
      </c>
      <c r="AS125" s="95">
        <f>'IS (Before Changes)'!AS125-'IS 3Q2022'!AS125</f>
        <v>0</v>
      </c>
      <c r="AT125" s="95">
        <f>'IS (Before Changes)'!AT125-'IS 3Q2022'!AT125</f>
        <v>0</v>
      </c>
      <c r="AU125" s="95">
        <f>'IS (Before Changes)'!AU125-'IS 3Q2022'!AU125</f>
        <v>0</v>
      </c>
      <c r="AV125" s="31">
        <f>'IS (Before Changes)'!AV125-'IS 3Q2022'!AV125</f>
        <v>0</v>
      </c>
    </row>
    <row r="126" spans="2:48" outlineLevel="1" x14ac:dyDescent="0.3">
      <c r="B126" s="180" t="s">
        <v>33</v>
      </c>
      <c r="C126" s="18"/>
      <c r="D126" s="48">
        <f>'IS (Before Changes)'!D126-'IS 3Q2022'!D126</f>
        <v>0</v>
      </c>
      <c r="E126" s="48">
        <f>'IS (Before Changes)'!E126-'IS 3Q2022'!E126</f>
        <v>0</v>
      </c>
      <c r="F126" s="48">
        <f>'IS (Before Changes)'!F126-'IS 3Q2022'!F126</f>
        <v>0</v>
      </c>
      <c r="G126" s="105">
        <f>'IS (Before Changes)'!G126-'IS 3Q2022'!G126</f>
        <v>0</v>
      </c>
      <c r="H126" s="170">
        <f>'IS (Before Changes)'!H126-'IS 3Q2022'!H126</f>
        <v>0</v>
      </c>
      <c r="I126" s="105">
        <f>'IS (Before Changes)'!I126-'IS 3Q2022'!I126</f>
        <v>0</v>
      </c>
      <c r="J126" s="105">
        <f>'IS (Before Changes)'!J126-'IS 3Q2022'!J126</f>
        <v>0</v>
      </c>
      <c r="K126" s="105">
        <f>'IS (Before Changes)'!K126-'IS 3Q2022'!K126</f>
        <v>0</v>
      </c>
      <c r="L126" s="105">
        <f>'IS (Before Changes)'!L126-'IS 3Q2022'!L126</f>
        <v>0</v>
      </c>
      <c r="M126" s="31">
        <f>'IS (Before Changes)'!M126-'IS 3Q2022'!M126</f>
        <v>0</v>
      </c>
      <c r="N126" s="105">
        <f>'IS (Before Changes)'!N126-'IS 3Q2022'!N126</f>
        <v>0</v>
      </c>
      <c r="O126" s="105">
        <f>'IS (Before Changes)'!O126-'IS 3Q2022'!O126</f>
        <v>0</v>
      </c>
      <c r="P126" s="105">
        <f>'IS (Before Changes)'!P126-'IS 3Q2022'!P126</f>
        <v>0</v>
      </c>
      <c r="Q126" s="105">
        <f>'IS (Before Changes)'!Q126-'IS 3Q2022'!Q126</f>
        <v>0</v>
      </c>
      <c r="R126" s="31">
        <f>'IS (Before Changes)'!R126-'IS 3Q2022'!R126</f>
        <v>0</v>
      </c>
      <c r="S126" s="105">
        <f>'IS (Before Changes)'!S126-'IS 3Q2022'!S126</f>
        <v>0</v>
      </c>
      <c r="T126" s="105">
        <f>'IS (Before Changes)'!T126-'IS 3Q2022'!T126</f>
        <v>0</v>
      </c>
      <c r="U126" s="105">
        <f>'IS (Before Changes)'!U126-'IS 3Q2022'!U126</f>
        <v>0</v>
      </c>
      <c r="V126" s="95">
        <f>'IS (Before Changes)'!V126-'IS 3Q2022'!V126</f>
        <v>-2.6000000000000005</v>
      </c>
      <c r="W126" s="31">
        <f>'IS (Before Changes)'!W126-'IS 3Q2022'!W126</f>
        <v>-2.6000000000000014</v>
      </c>
      <c r="X126" s="95">
        <f>'IS (Before Changes)'!X126-'IS 3Q2022'!X126</f>
        <v>0</v>
      </c>
      <c r="Y126" s="95">
        <f>'IS (Before Changes)'!Y126-'IS 3Q2022'!Y126</f>
        <v>0</v>
      </c>
      <c r="Z126" s="95">
        <f>'IS (Before Changes)'!Z126-'IS 3Q2022'!Z126</f>
        <v>0</v>
      </c>
      <c r="AA126" s="95">
        <f>'IS (Before Changes)'!AA126-'IS 3Q2022'!AA126</f>
        <v>0</v>
      </c>
      <c r="AB126" s="31">
        <f>'IS (Before Changes)'!AB126-'IS 3Q2022'!AB126</f>
        <v>0</v>
      </c>
      <c r="AC126" s="95">
        <f>'IS (Before Changes)'!AC126-'IS 3Q2022'!AC126</f>
        <v>0</v>
      </c>
      <c r="AD126" s="95">
        <f>'IS (Before Changes)'!AD126-'IS 3Q2022'!AD126</f>
        <v>0</v>
      </c>
      <c r="AE126" s="95">
        <f>'IS (Before Changes)'!AE126-'IS 3Q2022'!AE126</f>
        <v>0</v>
      </c>
      <c r="AF126" s="95">
        <f>'IS (Before Changes)'!AF126-'IS 3Q2022'!AF126</f>
        <v>0</v>
      </c>
      <c r="AG126" s="31">
        <f>'IS (Before Changes)'!AG126-'IS 3Q2022'!AG126</f>
        <v>0</v>
      </c>
      <c r="AH126" s="95">
        <f>'IS (Before Changes)'!AH126-'IS 3Q2022'!AH126</f>
        <v>0</v>
      </c>
      <c r="AI126" s="95">
        <f>'IS (Before Changes)'!AI126-'IS 3Q2022'!AI126</f>
        <v>0</v>
      </c>
      <c r="AJ126" s="95">
        <f>'IS (Before Changes)'!AJ126-'IS 3Q2022'!AJ126</f>
        <v>0</v>
      </c>
      <c r="AK126" s="95">
        <f>'IS (Before Changes)'!AK126-'IS 3Q2022'!AK126</f>
        <v>0</v>
      </c>
      <c r="AL126" s="31">
        <f>'IS (Before Changes)'!AL126-'IS 3Q2022'!AL126</f>
        <v>0</v>
      </c>
      <c r="AM126" s="95">
        <f>'IS (Before Changes)'!AM126-'IS 3Q2022'!AM126</f>
        <v>0</v>
      </c>
      <c r="AN126" s="95">
        <f>'IS (Before Changes)'!AN126-'IS 3Q2022'!AN126</f>
        <v>0</v>
      </c>
      <c r="AO126" s="95">
        <f>'IS (Before Changes)'!AO126-'IS 3Q2022'!AO126</f>
        <v>0</v>
      </c>
      <c r="AP126" s="95">
        <f>'IS (Before Changes)'!AP126-'IS 3Q2022'!AP126</f>
        <v>0</v>
      </c>
      <c r="AQ126" s="31">
        <f>'IS (Before Changes)'!AQ126-'IS 3Q2022'!AQ126</f>
        <v>0</v>
      </c>
      <c r="AR126" s="95">
        <f>'IS (Before Changes)'!AR126-'IS 3Q2022'!AR126</f>
        <v>0</v>
      </c>
      <c r="AS126" s="95">
        <f>'IS (Before Changes)'!AS126-'IS 3Q2022'!AS126</f>
        <v>0</v>
      </c>
      <c r="AT126" s="95">
        <f>'IS (Before Changes)'!AT126-'IS 3Q2022'!AT126</f>
        <v>0</v>
      </c>
      <c r="AU126" s="95">
        <f>'IS (Before Changes)'!AU126-'IS 3Q2022'!AU126</f>
        <v>0</v>
      </c>
      <c r="AV126" s="31">
        <f>'IS (Before Changes)'!AV126-'IS 3Q2022'!AV126</f>
        <v>0</v>
      </c>
    </row>
    <row r="127" spans="2:48" outlineLevel="1" x14ac:dyDescent="0.3">
      <c r="B127" s="180" t="s">
        <v>34</v>
      </c>
      <c r="C127" s="18"/>
      <c r="D127" s="358">
        <f>'IS (Before Changes)'!D127-'IS 3Q2022'!D127</f>
        <v>0</v>
      </c>
      <c r="E127" s="358">
        <f>'IS (Before Changes)'!E127-'IS 3Q2022'!E127</f>
        <v>0</v>
      </c>
      <c r="F127" s="358">
        <f>'IS (Before Changes)'!F127-'IS 3Q2022'!F127</f>
        <v>0</v>
      </c>
      <c r="G127" s="358">
        <f>'IS (Before Changes)'!G127-'IS 3Q2022'!G127</f>
        <v>0</v>
      </c>
      <c r="H127" s="130">
        <f>'IS (Before Changes)'!H127-'IS 3Q2022'!H127</f>
        <v>0</v>
      </c>
      <c r="I127" s="358">
        <f>'IS (Before Changes)'!I127-'IS 3Q2022'!I127</f>
        <v>0</v>
      </c>
      <c r="J127" s="358">
        <f>'IS (Before Changes)'!J127-'IS 3Q2022'!J127</f>
        <v>0</v>
      </c>
      <c r="K127" s="358">
        <f>'IS (Before Changes)'!K127-'IS 3Q2022'!K127</f>
        <v>0</v>
      </c>
      <c r="L127" s="358">
        <f>'IS (Before Changes)'!L127-'IS 3Q2022'!L127</f>
        <v>0</v>
      </c>
      <c r="M127" s="126">
        <f>'IS (Before Changes)'!M127-'IS 3Q2022'!M127</f>
        <v>0</v>
      </c>
      <c r="N127" s="358">
        <f>'IS (Before Changes)'!N127-'IS 3Q2022'!N127</f>
        <v>0</v>
      </c>
      <c r="O127" s="358">
        <f>'IS (Before Changes)'!O127-'IS 3Q2022'!O127</f>
        <v>0</v>
      </c>
      <c r="P127" s="358">
        <f>'IS (Before Changes)'!P127-'IS 3Q2022'!P127</f>
        <v>0</v>
      </c>
      <c r="Q127" s="358">
        <f>'IS (Before Changes)'!Q127-'IS 3Q2022'!Q127</f>
        <v>0</v>
      </c>
      <c r="R127" s="126">
        <f>'IS (Before Changes)'!R127-'IS 3Q2022'!R127</f>
        <v>0</v>
      </c>
      <c r="S127" s="358">
        <f>'IS (Before Changes)'!S127-'IS 3Q2022'!S127</f>
        <v>0</v>
      </c>
      <c r="T127" s="358">
        <f>'IS (Before Changes)'!T127-'IS 3Q2022'!T127</f>
        <v>0</v>
      </c>
      <c r="U127" s="358">
        <f>'IS (Before Changes)'!U127-'IS 3Q2022'!U127</f>
        <v>0</v>
      </c>
      <c r="V127" s="358">
        <f>'IS (Before Changes)'!V127-'IS 3Q2022'!V127</f>
        <v>-0.96106212873087316</v>
      </c>
      <c r="W127" s="126">
        <f>'IS (Before Changes)'!W127-'IS 3Q2022'!W127</f>
        <v>-0.96106212873087316</v>
      </c>
      <c r="X127" s="358">
        <f>'IS (Before Changes)'!X127-'IS 3Q2022'!X127</f>
        <v>-0.36208562504557662</v>
      </c>
      <c r="Y127" s="358">
        <f>'IS (Before Changes)'!Y127-'IS 3Q2022'!Y127</f>
        <v>-0.8405684392775612</v>
      </c>
      <c r="Z127" s="358">
        <f>'IS (Before Changes)'!Z127-'IS 3Q2022'!Z127</f>
        <v>-1.3321885773537829</v>
      </c>
      <c r="AA127" s="358">
        <f>'IS (Before Changes)'!AA127-'IS 3Q2022'!AA127</f>
        <v>-1.9012198898786465</v>
      </c>
      <c r="AB127" s="126">
        <f>'IS (Before Changes)'!AB127-'IS 3Q2022'!AB127</f>
        <v>-4.4360625315555637</v>
      </c>
      <c r="AC127" s="358">
        <f>'IS (Before Changes)'!AC127-'IS 3Q2022'!AC127</f>
        <v>-1.7400520271753166</v>
      </c>
      <c r="AD127" s="358">
        <f>'IS (Before Changes)'!AD127-'IS 3Q2022'!AD127</f>
        <v>-1.7596549493386178</v>
      </c>
      <c r="AE127" s="358">
        <f>'IS (Before Changes)'!AE127-'IS 3Q2022'!AE127</f>
        <v>-1.7467792593714435</v>
      </c>
      <c r="AF127" s="358">
        <f>'IS (Before Changes)'!AF127-'IS 3Q2022'!AF127</f>
        <v>-1.6974863318474078</v>
      </c>
      <c r="AG127" s="126">
        <f>'IS (Before Changes)'!AG127-'IS 3Q2022'!AG127</f>
        <v>-6.9439725677327715</v>
      </c>
      <c r="AH127" s="358">
        <f>'IS (Before Changes)'!AH127-'IS 3Q2022'!AH127</f>
        <v>-1.5417014879092292</v>
      </c>
      <c r="AI127" s="358">
        <f>'IS (Before Changes)'!AI127-'IS 3Q2022'!AI127</f>
        <v>-1.5073696870576825</v>
      </c>
      <c r="AJ127" s="358">
        <f>'IS (Before Changes)'!AJ127-'IS 3Q2022'!AJ127</f>
        <v>-1.4507461414051264</v>
      </c>
      <c r="AK127" s="358">
        <f>'IS (Before Changes)'!AK127-'IS 3Q2022'!AK127</f>
        <v>-1.3926101319371682</v>
      </c>
      <c r="AL127" s="126">
        <f>'IS (Before Changes)'!AL127-'IS 3Q2022'!AL127</f>
        <v>-5.8924274483092347</v>
      </c>
      <c r="AM127" s="358">
        <f>'IS (Before Changes)'!AM127-'IS 3Q2022'!AM127</f>
        <v>-1.305733564432245</v>
      </c>
      <c r="AN127" s="358">
        <f>'IS (Before Changes)'!AN127-'IS 3Q2022'!AN127</f>
        <v>-1.2708327351852873</v>
      </c>
      <c r="AO127" s="358">
        <f>'IS (Before Changes)'!AO127-'IS 3Q2022'!AO127</f>
        <v>-1.2230875842995559</v>
      </c>
      <c r="AP127" s="358">
        <f>'IS (Before Changes)'!AP127-'IS 3Q2022'!AP127</f>
        <v>-1.1853433698457394</v>
      </c>
      <c r="AQ127" s="126">
        <f>'IS (Before Changes)'!AQ127-'IS 3Q2022'!AQ127</f>
        <v>-4.984997253762856</v>
      </c>
      <c r="AR127" s="358">
        <f>'IS (Before Changes)'!AR127-'IS 3Q2022'!AR127</f>
        <v>-1.1220094775783735</v>
      </c>
      <c r="AS127" s="358">
        <f>'IS (Before Changes)'!AS127-'IS 3Q2022'!AS127</f>
        <v>-1.0942196969141023</v>
      </c>
      <c r="AT127" s="358">
        <f>'IS (Before Changes)'!AT127-'IS 3Q2022'!AT127</f>
        <v>-1.0566901911546651</v>
      </c>
      <c r="AU127" s="358">
        <f>'IS (Before Changes)'!AU127-'IS 3Q2022'!AU127</f>
        <v>-1.0315794758798873</v>
      </c>
      <c r="AV127" s="126">
        <f>'IS (Before Changes)'!AV127-'IS 3Q2022'!AV127</f>
        <v>-4.3044988415270495</v>
      </c>
    </row>
    <row r="128" spans="2:48" outlineLevel="1" x14ac:dyDescent="0.3">
      <c r="B128" s="180" t="s">
        <v>35</v>
      </c>
      <c r="C128" s="18"/>
      <c r="D128" s="48">
        <f>'IS (Before Changes)'!D128-'IS 3Q2022'!D128</f>
        <v>0</v>
      </c>
      <c r="E128" s="48">
        <f>'IS (Before Changes)'!E128-'IS 3Q2022'!E128</f>
        <v>0</v>
      </c>
      <c r="F128" s="48">
        <f>'IS (Before Changes)'!F128-'IS 3Q2022'!F128</f>
        <v>0</v>
      </c>
      <c r="G128" s="105">
        <f>'IS (Before Changes)'!G128-'IS 3Q2022'!G128</f>
        <v>0</v>
      </c>
      <c r="H128" s="170">
        <f>'IS (Before Changes)'!H128-'IS 3Q2022'!H128</f>
        <v>0</v>
      </c>
      <c r="I128" s="105">
        <f>'IS (Before Changes)'!I128-'IS 3Q2022'!I128</f>
        <v>0</v>
      </c>
      <c r="J128" s="105">
        <f>'IS (Before Changes)'!J128-'IS 3Q2022'!J128</f>
        <v>0</v>
      </c>
      <c r="K128" s="105">
        <f>'IS (Before Changes)'!K128-'IS 3Q2022'!K128</f>
        <v>0</v>
      </c>
      <c r="L128" s="105">
        <f>'IS (Before Changes)'!L128-'IS 3Q2022'!L128</f>
        <v>0</v>
      </c>
      <c r="M128" s="31">
        <f>'IS (Before Changes)'!M128-'IS 3Q2022'!M128</f>
        <v>0</v>
      </c>
      <c r="N128" s="105">
        <f>'IS (Before Changes)'!N128-'IS 3Q2022'!N128</f>
        <v>0</v>
      </c>
      <c r="O128" s="105">
        <f>'IS (Before Changes)'!O128-'IS 3Q2022'!O128</f>
        <v>0</v>
      </c>
      <c r="P128" s="105">
        <f>'IS (Before Changes)'!P128-'IS 3Q2022'!P128</f>
        <v>0</v>
      </c>
      <c r="Q128" s="105">
        <f>'IS (Before Changes)'!Q128-'IS 3Q2022'!Q128</f>
        <v>0</v>
      </c>
      <c r="R128" s="31">
        <f>'IS (Before Changes)'!R128-'IS 3Q2022'!R128</f>
        <v>0</v>
      </c>
      <c r="S128" s="105">
        <f>'IS (Before Changes)'!S128-'IS 3Q2022'!S128</f>
        <v>0</v>
      </c>
      <c r="T128" s="105">
        <f>'IS (Before Changes)'!T128-'IS 3Q2022'!T128</f>
        <v>0</v>
      </c>
      <c r="U128" s="105">
        <f>'IS (Before Changes)'!U128-'IS 3Q2022'!U128</f>
        <v>0</v>
      </c>
      <c r="V128" s="95">
        <f>'IS (Before Changes)'!V128-'IS 3Q2022'!V128</f>
        <v>30.074999999999989</v>
      </c>
      <c r="W128" s="31">
        <f>'IS (Before Changes)'!W128-'IS 3Q2022'!W128</f>
        <v>30.075000000000045</v>
      </c>
      <c r="X128" s="95">
        <f>'IS (Before Changes)'!X128-'IS 3Q2022'!X128</f>
        <v>0</v>
      </c>
      <c r="Y128" s="95">
        <f>'IS (Before Changes)'!Y128-'IS 3Q2022'!Y128</f>
        <v>0</v>
      </c>
      <c r="Z128" s="95">
        <f>'IS (Before Changes)'!Z128-'IS 3Q2022'!Z128</f>
        <v>0</v>
      </c>
      <c r="AA128" s="95">
        <f>'IS (Before Changes)'!AA128-'IS 3Q2022'!AA128</f>
        <v>0</v>
      </c>
      <c r="AB128" s="31">
        <f>'IS (Before Changes)'!AB128-'IS 3Q2022'!AB128</f>
        <v>0</v>
      </c>
      <c r="AC128" s="95">
        <f>'IS (Before Changes)'!AC128-'IS 3Q2022'!AC128</f>
        <v>0</v>
      </c>
      <c r="AD128" s="95">
        <f>'IS (Before Changes)'!AD128-'IS 3Q2022'!AD128</f>
        <v>0</v>
      </c>
      <c r="AE128" s="95">
        <f>'IS (Before Changes)'!AE128-'IS 3Q2022'!AE128</f>
        <v>0</v>
      </c>
      <c r="AF128" s="95">
        <f>'IS (Before Changes)'!AF128-'IS 3Q2022'!AF128</f>
        <v>0</v>
      </c>
      <c r="AG128" s="31">
        <f>'IS (Before Changes)'!AG128-'IS 3Q2022'!AG128</f>
        <v>0</v>
      </c>
      <c r="AH128" s="95">
        <f>'IS (Before Changes)'!AH128-'IS 3Q2022'!AH128</f>
        <v>0</v>
      </c>
      <c r="AI128" s="95">
        <f>'IS (Before Changes)'!AI128-'IS 3Q2022'!AI128</f>
        <v>0</v>
      </c>
      <c r="AJ128" s="95">
        <f>'IS (Before Changes)'!AJ128-'IS 3Q2022'!AJ128</f>
        <v>0</v>
      </c>
      <c r="AK128" s="95">
        <f>'IS (Before Changes)'!AK128-'IS 3Q2022'!AK128</f>
        <v>0</v>
      </c>
      <c r="AL128" s="31">
        <f>'IS (Before Changes)'!AL128-'IS 3Q2022'!AL128</f>
        <v>0</v>
      </c>
      <c r="AM128" s="95">
        <f>'IS (Before Changes)'!AM128-'IS 3Q2022'!AM128</f>
        <v>0</v>
      </c>
      <c r="AN128" s="95">
        <f>'IS (Before Changes)'!AN128-'IS 3Q2022'!AN128</f>
        <v>0</v>
      </c>
      <c r="AO128" s="95">
        <f>'IS (Before Changes)'!AO128-'IS 3Q2022'!AO128</f>
        <v>0</v>
      </c>
      <c r="AP128" s="95">
        <f>'IS (Before Changes)'!AP128-'IS 3Q2022'!AP128</f>
        <v>0</v>
      </c>
      <c r="AQ128" s="31">
        <f>'IS (Before Changes)'!AQ128-'IS 3Q2022'!AQ128</f>
        <v>0</v>
      </c>
      <c r="AR128" s="95">
        <f>'IS (Before Changes)'!AR128-'IS 3Q2022'!AR128</f>
        <v>0</v>
      </c>
      <c r="AS128" s="95">
        <f>'IS (Before Changes)'!AS128-'IS 3Q2022'!AS128</f>
        <v>0</v>
      </c>
      <c r="AT128" s="95">
        <f>'IS (Before Changes)'!AT128-'IS 3Q2022'!AT128</f>
        <v>0</v>
      </c>
      <c r="AU128" s="95">
        <f>'IS (Before Changes)'!AU128-'IS 3Q2022'!AU128</f>
        <v>0</v>
      </c>
      <c r="AV128" s="31">
        <f>'IS (Before Changes)'!AV128-'IS 3Q2022'!AV128</f>
        <v>0</v>
      </c>
    </row>
    <row r="129" spans="2:48" ht="16.2" outlineLevel="1" x14ac:dyDescent="0.45">
      <c r="B129" s="180" t="s">
        <v>42</v>
      </c>
      <c r="C129" s="18"/>
      <c r="D129" s="119">
        <f>'IS (Before Changes)'!D129-'IS 3Q2022'!D129</f>
        <v>0</v>
      </c>
      <c r="E129" s="119">
        <f>'IS (Before Changes)'!E129-'IS 3Q2022'!E129</f>
        <v>0</v>
      </c>
      <c r="F129" s="119">
        <f>'IS (Before Changes)'!F129-'IS 3Q2022'!F129</f>
        <v>0</v>
      </c>
      <c r="G129" s="119">
        <f>'IS (Before Changes)'!G129-'IS 3Q2022'!G129</f>
        <v>0</v>
      </c>
      <c r="H129" s="131">
        <f>'IS (Before Changes)'!H129-'IS 3Q2022'!H129</f>
        <v>0</v>
      </c>
      <c r="I129" s="119">
        <f>'IS (Before Changes)'!I129-'IS 3Q2022'!I129</f>
        <v>0</v>
      </c>
      <c r="J129" s="119">
        <f>'IS (Before Changes)'!J129-'IS 3Q2022'!J129</f>
        <v>0</v>
      </c>
      <c r="K129" s="119">
        <f>'IS (Before Changes)'!K129-'IS 3Q2022'!K129</f>
        <v>0</v>
      </c>
      <c r="L129" s="119">
        <f>'IS (Before Changes)'!L129-'IS 3Q2022'!L129</f>
        <v>0</v>
      </c>
      <c r="M129" s="193">
        <f>'IS (Before Changes)'!M129-'IS 3Q2022'!M129</f>
        <v>0</v>
      </c>
      <c r="N129" s="119">
        <f>'IS (Before Changes)'!N129-'IS 3Q2022'!N129</f>
        <v>0</v>
      </c>
      <c r="O129" s="119">
        <f>'IS (Before Changes)'!O129-'IS 3Q2022'!O129</f>
        <v>0</v>
      </c>
      <c r="P129" s="119">
        <f>'IS (Before Changes)'!P129-'IS 3Q2022'!P129</f>
        <v>0</v>
      </c>
      <c r="Q129" s="119">
        <f>'IS (Before Changes)'!Q129-'IS 3Q2022'!Q129</f>
        <v>0</v>
      </c>
      <c r="R129" s="193">
        <f>'IS (Before Changes)'!R129-'IS 3Q2022'!R129</f>
        <v>0</v>
      </c>
      <c r="S129" s="119">
        <f>'IS (Before Changes)'!S129-'IS 3Q2022'!S129</f>
        <v>0</v>
      </c>
      <c r="T129" s="119">
        <f>'IS (Before Changes)'!T129-'IS 3Q2022'!T129</f>
        <v>0</v>
      </c>
      <c r="U129" s="119">
        <f>'IS (Before Changes)'!U129-'IS 3Q2022'!U129</f>
        <v>0</v>
      </c>
      <c r="V129" s="119">
        <f>'IS (Before Changes)'!V129-'IS 3Q2022'!V129</f>
        <v>3.5571428571428569</v>
      </c>
      <c r="W129" s="193">
        <f>'IS (Before Changes)'!W129-'IS 3Q2022'!W129</f>
        <v>3.5571428571428569</v>
      </c>
      <c r="X129" s="119">
        <f>'IS (Before Changes)'!X129-'IS 3Q2022'!X129</f>
        <v>8.0993080993080966</v>
      </c>
      <c r="Y129" s="119">
        <f>'IS (Before Changes)'!Y129-'IS 3Q2022'!Y129</f>
        <v>0</v>
      </c>
      <c r="Z129" s="119">
        <f>'IS (Before Changes)'!Z129-'IS 3Q2022'!Z129</f>
        <v>0</v>
      </c>
      <c r="AA129" s="119">
        <f>'IS (Before Changes)'!AA129-'IS 3Q2022'!AA129</f>
        <v>0</v>
      </c>
      <c r="AB129" s="193">
        <f>'IS (Before Changes)'!AB129-'IS 3Q2022'!AB129</f>
        <v>8.0993080993080966</v>
      </c>
      <c r="AC129" s="119">
        <f>'IS (Before Changes)'!AC129-'IS 3Q2022'!AC129</f>
        <v>0</v>
      </c>
      <c r="AD129" s="119">
        <f>'IS (Before Changes)'!AD129-'IS 3Q2022'!AD129</f>
        <v>0</v>
      </c>
      <c r="AE129" s="119">
        <f>'IS (Before Changes)'!AE129-'IS 3Q2022'!AE129</f>
        <v>0</v>
      </c>
      <c r="AF129" s="119">
        <f>'IS (Before Changes)'!AF129-'IS 3Q2022'!AF129</f>
        <v>0</v>
      </c>
      <c r="AG129" s="193">
        <f>'IS (Before Changes)'!AG129-'IS 3Q2022'!AG129</f>
        <v>0</v>
      </c>
      <c r="AH129" s="119">
        <f>'IS (Before Changes)'!AH129-'IS 3Q2022'!AH129</f>
        <v>0</v>
      </c>
      <c r="AI129" s="119">
        <f>'IS (Before Changes)'!AI129-'IS 3Q2022'!AI129</f>
        <v>0</v>
      </c>
      <c r="AJ129" s="119">
        <f>'IS (Before Changes)'!AJ129-'IS 3Q2022'!AJ129</f>
        <v>0</v>
      </c>
      <c r="AK129" s="119">
        <f>'IS (Before Changes)'!AK129-'IS 3Q2022'!AK129</f>
        <v>0</v>
      </c>
      <c r="AL129" s="193">
        <f>'IS (Before Changes)'!AL129-'IS 3Q2022'!AL129</f>
        <v>0</v>
      </c>
      <c r="AM129" s="119">
        <f>'IS (Before Changes)'!AM129-'IS 3Q2022'!AM129</f>
        <v>0</v>
      </c>
      <c r="AN129" s="119">
        <f>'IS (Before Changes)'!AN129-'IS 3Q2022'!AN129</f>
        <v>0</v>
      </c>
      <c r="AO129" s="119">
        <f>'IS (Before Changes)'!AO129-'IS 3Q2022'!AO129</f>
        <v>0</v>
      </c>
      <c r="AP129" s="119">
        <f>'IS (Before Changes)'!AP129-'IS 3Q2022'!AP129</f>
        <v>0</v>
      </c>
      <c r="AQ129" s="193">
        <f>'IS (Before Changes)'!AQ129-'IS 3Q2022'!AQ129</f>
        <v>0</v>
      </c>
      <c r="AR129" s="119">
        <f>'IS (Before Changes)'!AR129-'IS 3Q2022'!AR129</f>
        <v>0</v>
      </c>
      <c r="AS129" s="119">
        <f>'IS (Before Changes)'!AS129-'IS 3Q2022'!AS129</f>
        <v>0</v>
      </c>
      <c r="AT129" s="119">
        <f>'IS (Before Changes)'!AT129-'IS 3Q2022'!AT129</f>
        <v>0</v>
      </c>
      <c r="AU129" s="119">
        <f>'IS (Before Changes)'!AU129-'IS 3Q2022'!AU129</f>
        <v>0</v>
      </c>
      <c r="AV129" s="193">
        <f>'IS (Before Changes)'!AV129-'IS 3Q2022'!AV129</f>
        <v>0</v>
      </c>
    </row>
    <row r="130" spans="2:48" outlineLevel="1" x14ac:dyDescent="0.3">
      <c r="B130" s="46" t="s">
        <v>56</v>
      </c>
      <c r="C130" s="19"/>
      <c r="D130" s="103">
        <f>'IS (Before Changes)'!D130-'IS 3Q2022'!D130</f>
        <v>0</v>
      </c>
      <c r="E130" s="103">
        <f>'IS (Before Changes)'!E130-'IS 3Q2022'!E130</f>
        <v>0</v>
      </c>
      <c r="F130" s="103">
        <f>'IS (Before Changes)'!F130-'IS 3Q2022'!F130</f>
        <v>0</v>
      </c>
      <c r="G130" s="103">
        <f>'IS (Before Changes)'!G130-'IS 3Q2022'!G130</f>
        <v>0</v>
      </c>
      <c r="H130" s="130">
        <f>'IS (Before Changes)'!H130-'IS 3Q2022'!H130</f>
        <v>0</v>
      </c>
      <c r="I130" s="103">
        <f>'IS (Before Changes)'!I130-'IS 3Q2022'!I130</f>
        <v>0</v>
      </c>
      <c r="J130" s="103">
        <f>'IS (Before Changes)'!J130-'IS 3Q2022'!J130</f>
        <v>0</v>
      </c>
      <c r="K130" s="103">
        <f>'IS (Before Changes)'!K130-'IS 3Q2022'!K130</f>
        <v>0</v>
      </c>
      <c r="L130" s="50">
        <f>'IS (Before Changes)'!L130-'IS 3Q2022'!L130</f>
        <v>0</v>
      </c>
      <c r="M130" s="51">
        <f>'IS (Before Changes)'!M130-'IS 3Q2022'!M130</f>
        <v>0</v>
      </c>
      <c r="N130" s="50">
        <f>'IS (Before Changes)'!N130-'IS 3Q2022'!N130</f>
        <v>0</v>
      </c>
      <c r="O130" s="50">
        <f>'IS (Before Changes)'!O130-'IS 3Q2022'!O130</f>
        <v>0</v>
      </c>
      <c r="P130" s="50">
        <f>'IS (Before Changes)'!P130-'IS 3Q2022'!P130</f>
        <v>0</v>
      </c>
      <c r="Q130" s="50">
        <f>'IS (Before Changes)'!Q130-'IS 3Q2022'!Q130</f>
        <v>0</v>
      </c>
      <c r="R130" s="51">
        <f>'IS (Before Changes)'!R130-'IS 3Q2022'!R130</f>
        <v>0</v>
      </c>
      <c r="S130" s="50">
        <f>'IS (Before Changes)'!S130-'IS 3Q2022'!S130</f>
        <v>0</v>
      </c>
      <c r="T130" s="50">
        <f>'IS (Before Changes)'!T130-'IS 3Q2022'!T130</f>
        <v>0</v>
      </c>
      <c r="U130" s="50">
        <f>'IS (Before Changes)'!U130-'IS 3Q2022'!U130</f>
        <v>0</v>
      </c>
      <c r="V130" s="50">
        <f>'IS (Before Changes)'!V130-'IS 3Q2022'!V130</f>
        <v>26.17108072841188</v>
      </c>
      <c r="W130" s="51">
        <f>'IS (Before Changes)'!W130-'IS 3Q2022'!W130</f>
        <v>26.171080728412107</v>
      </c>
      <c r="X130" s="50">
        <f>'IS (Before Changes)'!X130-'IS 3Q2022'!X130</f>
        <v>7.7372224742625235</v>
      </c>
      <c r="Y130" s="50">
        <f>'IS (Before Changes)'!Y130-'IS 3Q2022'!Y130</f>
        <v>-0.84056843927760383</v>
      </c>
      <c r="Z130" s="50">
        <f>'IS (Before Changes)'!Z130-'IS 3Q2022'!Z130</f>
        <v>-1.3321885773538042</v>
      </c>
      <c r="AA130" s="50">
        <f>'IS (Before Changes)'!AA130-'IS 3Q2022'!AA130</f>
        <v>-1.9012198898786323</v>
      </c>
      <c r="AB130" s="51">
        <f>'IS (Before Changes)'!AB130-'IS 3Q2022'!AB130</f>
        <v>3.6632455677524831</v>
      </c>
      <c r="AC130" s="50">
        <f>'IS (Before Changes)'!AC130-'IS 3Q2022'!AC130</f>
        <v>-1.7400520271752953</v>
      </c>
      <c r="AD130" s="50">
        <f>'IS (Before Changes)'!AD130-'IS 3Q2022'!AD130</f>
        <v>-1.7596549493385965</v>
      </c>
      <c r="AE130" s="50">
        <f>'IS (Before Changes)'!AE130-'IS 3Q2022'!AE130</f>
        <v>-1.7467792593714648</v>
      </c>
      <c r="AF130" s="50">
        <f>'IS (Before Changes)'!AF130-'IS 3Q2022'!AF130</f>
        <v>-1.6974863318474149</v>
      </c>
      <c r="AG130" s="51">
        <f>'IS (Before Changes)'!AG130-'IS 3Q2022'!AG130</f>
        <v>-6.9439725677325441</v>
      </c>
      <c r="AH130" s="50">
        <f>'IS (Before Changes)'!AH130-'IS 3Q2022'!AH130</f>
        <v>-1.5417014879092221</v>
      </c>
      <c r="AI130" s="50">
        <f>'IS (Before Changes)'!AI130-'IS 3Q2022'!AI130</f>
        <v>-1.5073696870576896</v>
      </c>
      <c r="AJ130" s="50">
        <f>'IS (Before Changes)'!AJ130-'IS 3Q2022'!AJ130</f>
        <v>-1.4507461414050908</v>
      </c>
      <c r="AK130" s="50">
        <f>'IS (Before Changes)'!AK130-'IS 3Q2022'!AK130</f>
        <v>-1.3926101319371469</v>
      </c>
      <c r="AL130" s="51">
        <f>'IS (Before Changes)'!AL130-'IS 3Q2022'!AL130</f>
        <v>-5.8924274483092631</v>
      </c>
      <c r="AM130" s="50">
        <f>'IS (Before Changes)'!AM130-'IS 3Q2022'!AM130</f>
        <v>-1.3057335644322734</v>
      </c>
      <c r="AN130" s="50">
        <f>'IS (Before Changes)'!AN130-'IS 3Q2022'!AN130</f>
        <v>-1.2708327351853086</v>
      </c>
      <c r="AO130" s="50">
        <f>'IS (Before Changes)'!AO130-'IS 3Q2022'!AO130</f>
        <v>-1.2230875842995488</v>
      </c>
      <c r="AP130" s="50">
        <f>'IS (Before Changes)'!AP130-'IS 3Q2022'!AP130</f>
        <v>-1.185343369845782</v>
      </c>
      <c r="AQ130" s="51">
        <f>'IS (Before Changes)'!AQ130-'IS 3Q2022'!AQ130</f>
        <v>-4.9849972537629128</v>
      </c>
      <c r="AR130" s="50">
        <f>'IS (Before Changes)'!AR130-'IS 3Q2022'!AR130</f>
        <v>-1.1220094775783878</v>
      </c>
      <c r="AS130" s="50">
        <f>'IS (Before Changes)'!AS130-'IS 3Q2022'!AS130</f>
        <v>-1.0942196969140809</v>
      </c>
      <c r="AT130" s="50">
        <f>'IS (Before Changes)'!AT130-'IS 3Q2022'!AT130</f>
        <v>-1.0566901911546438</v>
      </c>
      <c r="AU130" s="50">
        <f>'IS (Before Changes)'!AU130-'IS 3Q2022'!AU130</f>
        <v>-1.0315794758798802</v>
      </c>
      <c r="AV130" s="51">
        <f>'IS (Before Changes)'!AV130-'IS 3Q2022'!AV130</f>
        <v>-4.3044988415272201</v>
      </c>
    </row>
    <row r="131" spans="2:48" outlineLevel="1" x14ac:dyDescent="0.3">
      <c r="B131" s="46" t="s">
        <v>57</v>
      </c>
      <c r="C131" s="44"/>
      <c r="D131" s="156">
        <f>'IS (Before Changes)'!D131-'IS 3Q2022'!D131</f>
        <v>0</v>
      </c>
      <c r="E131" s="156">
        <f>'IS (Before Changes)'!E131-'IS 3Q2022'!E131</f>
        <v>0</v>
      </c>
      <c r="F131" s="156">
        <f>'IS (Before Changes)'!F131-'IS 3Q2022'!F131</f>
        <v>0</v>
      </c>
      <c r="G131" s="156">
        <f>'IS (Before Changes)'!G131-'IS 3Q2022'!G131</f>
        <v>0</v>
      </c>
      <c r="H131" s="158">
        <f>'IS (Before Changes)'!H131-'IS 3Q2022'!H131</f>
        <v>0</v>
      </c>
      <c r="I131" s="156">
        <f>'IS (Before Changes)'!I131-'IS 3Q2022'!I131</f>
        <v>0</v>
      </c>
      <c r="J131" s="156">
        <f>'IS (Before Changes)'!J131-'IS 3Q2022'!J131</f>
        <v>0</v>
      </c>
      <c r="K131" s="156">
        <f>'IS (Before Changes)'!K131-'IS 3Q2022'!K131</f>
        <v>0</v>
      </c>
      <c r="L131" s="74">
        <f>'IS (Before Changes)'!L131-'IS 3Q2022'!L131</f>
        <v>0</v>
      </c>
      <c r="M131" s="194">
        <f>'IS (Before Changes)'!M131-'IS 3Q2022'!M131</f>
        <v>0</v>
      </c>
      <c r="N131" s="74">
        <f>'IS (Before Changes)'!N131-'IS 3Q2022'!N131</f>
        <v>0</v>
      </c>
      <c r="O131" s="74">
        <f>'IS (Before Changes)'!O131-'IS 3Q2022'!O131</f>
        <v>0</v>
      </c>
      <c r="P131" s="74">
        <f>'IS (Before Changes)'!P131-'IS 3Q2022'!P131</f>
        <v>0</v>
      </c>
      <c r="Q131" s="74">
        <f>'IS (Before Changes)'!Q131-'IS 3Q2022'!Q131</f>
        <v>0</v>
      </c>
      <c r="R131" s="194">
        <f>'IS (Before Changes)'!R131-'IS 3Q2022'!R131</f>
        <v>0</v>
      </c>
      <c r="S131" s="74">
        <f>'IS (Before Changes)'!S131-'IS 3Q2022'!S131</f>
        <v>0</v>
      </c>
      <c r="T131" s="74">
        <f>'IS (Before Changes)'!T131-'IS 3Q2022'!T131</f>
        <v>0</v>
      </c>
      <c r="U131" s="74">
        <f>'IS (Before Changes)'!U131-'IS 3Q2022'!U131</f>
        <v>0</v>
      </c>
      <c r="V131" s="74">
        <f>'IS (Before Changes)'!V131-'IS 3Q2022'!V131</f>
        <v>-40.951080728411853</v>
      </c>
      <c r="W131" s="194">
        <f>'IS (Before Changes)'!W131-'IS 3Q2022'!W131</f>
        <v>-40.95108072841208</v>
      </c>
      <c r="X131" s="74">
        <f>'IS (Before Changes)'!X131-'IS 3Q2022'!X131</f>
        <v>-7.7372224742625235</v>
      </c>
      <c r="Y131" s="74">
        <f>'IS (Before Changes)'!Y131-'IS 3Q2022'!Y131</f>
        <v>0.84056843927760383</v>
      </c>
      <c r="Z131" s="74">
        <f>'IS (Before Changes)'!Z131-'IS 3Q2022'!Z131</f>
        <v>1.3321885773538042</v>
      </c>
      <c r="AA131" s="74">
        <f>'IS (Before Changes)'!AA131-'IS 3Q2022'!AA131</f>
        <v>-14.356780110121406</v>
      </c>
      <c r="AB131" s="194">
        <f>'IS (Before Changes)'!AB131-'IS 3Q2022'!AB131</f>
        <v>-19.921245567752521</v>
      </c>
      <c r="AC131" s="74">
        <f>'IS (Before Changes)'!AC131-'IS 3Q2022'!AC131</f>
        <v>1.7400520271752953</v>
      </c>
      <c r="AD131" s="74">
        <f>'IS (Before Changes)'!AD131-'IS 3Q2022'!AD131</f>
        <v>1.7596549493385965</v>
      </c>
      <c r="AE131" s="74">
        <f>'IS (Before Changes)'!AE131-'IS 3Q2022'!AE131</f>
        <v>1.7467792593714648</v>
      </c>
      <c r="AF131" s="74">
        <f>'IS (Before Changes)'!AF131-'IS 3Q2022'!AF131</f>
        <v>-16.186313668152593</v>
      </c>
      <c r="AG131" s="194">
        <f>'IS (Before Changes)'!AG131-'IS 3Q2022'!AG131</f>
        <v>-10.939827432267521</v>
      </c>
      <c r="AH131" s="74">
        <f>'IS (Before Changes)'!AH131-'IS 3Q2022'!AH131</f>
        <v>1.5417014879092221</v>
      </c>
      <c r="AI131" s="74">
        <f>'IS (Before Changes)'!AI131-'IS 3Q2022'!AI131</f>
        <v>1.5073696870576896</v>
      </c>
      <c r="AJ131" s="74">
        <f>'IS (Before Changes)'!AJ131-'IS 3Q2022'!AJ131</f>
        <v>1.4507461414050908</v>
      </c>
      <c r="AK131" s="74">
        <f>'IS (Before Changes)'!AK131-'IS 3Q2022'!AK131</f>
        <v>-18.279569868062879</v>
      </c>
      <c r="AL131" s="194">
        <f>'IS (Before Changes)'!AL131-'IS 3Q2022'!AL131</f>
        <v>-13.779752551690763</v>
      </c>
      <c r="AM131" s="74">
        <f>'IS (Before Changes)'!AM131-'IS 3Q2022'!AM131</f>
        <v>1.3057335644322734</v>
      </c>
      <c r="AN131" s="74">
        <f>'IS (Before Changes)'!AN131-'IS 3Q2022'!AN131</f>
        <v>1.2708327351853086</v>
      </c>
      <c r="AO131" s="74">
        <f>'IS (Before Changes)'!AO131-'IS 3Q2022'!AO131</f>
        <v>1.2230875842995488</v>
      </c>
      <c r="AP131" s="74">
        <f>'IS (Before Changes)'!AP131-'IS 3Q2022'!AP131</f>
        <v>-20.454054630154246</v>
      </c>
      <c r="AQ131" s="194">
        <f>'IS (Before Changes)'!AQ131-'IS 3Q2022'!AQ131</f>
        <v>-16.654400746237116</v>
      </c>
      <c r="AR131" s="74">
        <f>'IS (Before Changes)'!AR131-'IS 3Q2022'!AR131</f>
        <v>1.1220094775783878</v>
      </c>
      <c r="AS131" s="74">
        <f>'IS (Before Changes)'!AS131-'IS 3Q2022'!AS131</f>
        <v>1.0942196969140809</v>
      </c>
      <c r="AT131" s="74">
        <f>'IS (Before Changes)'!AT131-'IS 3Q2022'!AT131</f>
        <v>1.0566901911546438</v>
      </c>
      <c r="AU131" s="74">
        <f>'IS (Before Changes)'!AU131-'IS 3Q2022'!AU131</f>
        <v>-22.771758324120128</v>
      </c>
      <c r="AV131" s="194">
        <f>'IS (Before Changes)'!AV131-'IS 3Q2022'!AV131</f>
        <v>-19.498838958472788</v>
      </c>
    </row>
    <row r="132" spans="2:48" ht="17.399999999999999" x14ac:dyDescent="0.45">
      <c r="B132" s="494" t="s">
        <v>14</v>
      </c>
      <c r="C132" s="495"/>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2" t="s">
        <v>25</v>
      </c>
      <c r="W132" s="42" t="s">
        <v>26</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6.8212102632969618E-13</v>
      </c>
      <c r="W133" s="66"/>
      <c r="X133" s="65">
        <f>+X45+X78-X5</f>
        <v>0</v>
      </c>
      <c r="Y133" s="65">
        <f>+Y45+Y78-Y5</f>
        <v>2.2737367544323206E-13</v>
      </c>
      <c r="Z133" s="121">
        <f>+Z45+Z78-Z5</f>
        <v>0</v>
      </c>
      <c r="AA133" s="65">
        <f>+AA45+AA78-AA5</f>
        <v>0</v>
      </c>
      <c r="AB133" s="66"/>
      <c r="AC133" s="65">
        <f>+AC45+AC78-AC5</f>
        <v>4.5474735088646412E-13</v>
      </c>
      <c r="AD133" s="65">
        <f>+AD45+AD78-AD5</f>
        <v>4.5474735088646412E-13</v>
      </c>
      <c r="AE133" s="121">
        <f>+AE45+AE78-AE5</f>
        <v>4.5474735088646412E-13</v>
      </c>
      <c r="AF133" s="65">
        <f>+AF45+AF78-AF5</f>
        <v>4.5474735088646412E-13</v>
      </c>
      <c r="AG133" s="66"/>
      <c r="AH133" s="65">
        <f>+AH45+AH78-AH5</f>
        <v>0</v>
      </c>
      <c r="AI133" s="65">
        <f>+AI45+AI78-AI5</f>
        <v>-4.5474735088646412E-13</v>
      </c>
      <c r="AJ133" s="121">
        <f>+AJ45+AJ78-AJ5</f>
        <v>0</v>
      </c>
      <c r="AK133" s="65">
        <f>+AK45+AK78-AK5</f>
        <v>-4.5474735088646412E-13</v>
      </c>
      <c r="AL133" s="66"/>
      <c r="AM133" s="65">
        <f>+AM45+AM78-AM5</f>
        <v>0</v>
      </c>
      <c r="AN133" s="65">
        <f>+AN45+AN78-AN5</f>
        <v>1.8189894035458565E-12</v>
      </c>
      <c r="AO133" s="121">
        <f>+AO45+AO78-AO5</f>
        <v>0</v>
      </c>
      <c r="AP133" s="65">
        <f>+AP45+AP78-AP5</f>
        <v>9.0949470177292824E-13</v>
      </c>
      <c r="AQ133" s="66"/>
      <c r="AR133" s="65">
        <f>+AR45+AR78-AR5</f>
        <v>4.5474735088646412E-13</v>
      </c>
      <c r="AS133" s="65">
        <f>+AS45+AS78-AS5</f>
        <v>-1.8189894035458565E-12</v>
      </c>
      <c r="AT133" s="121">
        <f>+AT45+AT78-AT5</f>
        <v>9.0949470177292824E-13</v>
      </c>
      <c r="AU133" s="65">
        <f>+AU45+AU78-AU5</f>
        <v>9.0949470177292824E-13</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5.6843418860808015E-14</v>
      </c>
      <c r="Z134" s="121">
        <f>+Z54+Z87-Z6</f>
        <v>-2.2737367544323206E-13</v>
      </c>
      <c r="AA134" s="65">
        <f>+AA54+AA87-AA6</f>
        <v>0</v>
      </c>
      <c r="AB134" s="66"/>
      <c r="AC134" s="65">
        <f>+AC54+AC87-AC6</f>
        <v>5.6843418860808015E-14</v>
      </c>
      <c r="AD134" s="65">
        <f>+AD54+AD87-AD6</f>
        <v>-1.1368683772161603E-13</v>
      </c>
      <c r="AE134" s="121">
        <f>+AE54+AE87-AE6</f>
        <v>1.1368683772161603E-13</v>
      </c>
      <c r="AF134" s="65">
        <f>+AF54+AF87-AF6</f>
        <v>1.1368683772161603E-13</v>
      </c>
      <c r="AG134" s="66"/>
      <c r="AH134" s="65">
        <f>+AH54+AH87-AH6</f>
        <v>-2.2737367544323206E-13</v>
      </c>
      <c r="AI134" s="65">
        <f>+AI54+AI87-AI6</f>
        <v>-1.1368683772161603E-13</v>
      </c>
      <c r="AJ134" s="121">
        <f>+AJ54+AJ87-AJ6</f>
        <v>0</v>
      </c>
      <c r="AK134" s="65">
        <f>+AK54+AK87-AK6</f>
        <v>-2.2737367544323206E-13</v>
      </c>
      <c r="AL134" s="66"/>
      <c r="AM134" s="65">
        <f>+AM54+AM87-AM6</f>
        <v>0</v>
      </c>
      <c r="AN134" s="65">
        <f>+AN54+AN87-AN6</f>
        <v>1.1368683772161603E-13</v>
      </c>
      <c r="AO134" s="121">
        <f>+AO54+AO87-AO6</f>
        <v>1.1368683772161603E-13</v>
      </c>
      <c r="AP134" s="65">
        <f>+AP54+AP87-AP6</f>
        <v>0</v>
      </c>
      <c r="AQ134" s="66"/>
      <c r="AR134" s="65">
        <f>+AR54+AR87-AR6</f>
        <v>0</v>
      </c>
      <c r="AS134" s="65">
        <f>+AS54+AS87-AS6</f>
        <v>-1.1368683772161603E-13</v>
      </c>
      <c r="AT134" s="121">
        <f>+AT54+AT87-AT6</f>
        <v>2.2737367544323206E-13</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1.7763568394002505E-14</v>
      </c>
      <c r="W135" s="66"/>
      <c r="X135" s="65">
        <f>+X55+X88+X108+X123-X7</f>
        <v>0</v>
      </c>
      <c r="Y135" s="65">
        <f>+Y55+Y88+Y108+Y123-Y7</f>
        <v>0</v>
      </c>
      <c r="Z135" s="121">
        <f>+Z55+Z88+Z108+Z123-Z7</f>
        <v>0</v>
      </c>
      <c r="AA135" s="65">
        <f>+AA55+AA88+AA108+AA123-AA7</f>
        <v>9.2370555648813024E-14</v>
      </c>
      <c r="AB135" s="66"/>
      <c r="AC135" s="65">
        <f>+AC55+AC88+AC108+AC123-AC7</f>
        <v>0</v>
      </c>
      <c r="AD135" s="65">
        <f>+AD55+AD88+AD108+AD123-AD7</f>
        <v>0</v>
      </c>
      <c r="AE135" s="121">
        <f>+AE55+AE88+AE108+AE123-AE7</f>
        <v>0</v>
      </c>
      <c r="AF135" s="65">
        <f>+AF55+AF88+AF108+AF123-AF7</f>
        <v>9.9475983006414026E-14</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-7.460698725481052E-14</v>
      </c>
      <c r="AQ135" s="66"/>
      <c r="AR135" s="65">
        <f>+AR55+AR88+AR108+AR123-AR7</f>
        <v>0</v>
      </c>
      <c r="AS135" s="65">
        <f>+AS55+AS88+AS108+AS123-AS7</f>
        <v>0</v>
      </c>
      <c r="AT135" s="121">
        <f>+AT55+AT88+AT108+AT123-AT7</f>
        <v>0</v>
      </c>
      <c r="AU135" s="65">
        <f>+AU55+AU88+AU108+AU123-AU7</f>
        <v>-5.6843418860808015E-14</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0</v>
      </c>
      <c r="H137" s="66"/>
      <c r="I137" s="65">
        <f>+I71+I105+I120+I131-I17</f>
        <v>0</v>
      </c>
      <c r="J137" s="65">
        <f>+J71+J105+J120+J131-J17</f>
        <v>0</v>
      </c>
      <c r="K137" s="121">
        <f>+K71+K105+K120+K131-K17</f>
        <v>0</v>
      </c>
      <c r="L137" s="65">
        <f>+L71+L105+L120+L131-L17</f>
        <v>0</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2.8421709430404007E-12</v>
      </c>
      <c r="W137" s="66"/>
      <c r="X137" s="65">
        <f>+X71+X105+X120+X131-X17</f>
        <v>1.1368683772161603E-13</v>
      </c>
      <c r="Y137" s="65">
        <f>+Y71+Y105+Y120+Y131-Y17</f>
        <v>5.1159076974727213E-13</v>
      </c>
      <c r="Z137" s="121">
        <f>+Z71+Z105+Z120+Z131-Z17</f>
        <v>1.3073986337985843E-12</v>
      </c>
      <c r="AA137" s="65">
        <f>+AA71+AA105+AA120+AA131-AA17</f>
        <v>-2.8421709430404007E-13</v>
      </c>
      <c r="AB137" s="66"/>
      <c r="AC137" s="65">
        <f>+AC71+AC105+AC120+AC131-AC17</f>
        <v>9.0949470177292824E-13</v>
      </c>
      <c r="AD137" s="65">
        <f>+AD71+AD105+AD120+AD131-AD17</f>
        <v>-1.4210854715202004E-12</v>
      </c>
      <c r="AE137" s="121">
        <f>+AE71+AE105+AE120+AE131-AE17</f>
        <v>3.979039320256561E-13</v>
      </c>
      <c r="AF137" s="65">
        <f>+AF71+AF105+AF120+AF131-AF17</f>
        <v>-1.3642420526593924E-12</v>
      </c>
      <c r="AG137" s="66"/>
      <c r="AH137" s="65">
        <f>+AH71+AH105+AH120+AH131-AH17</f>
        <v>-6.2527760746888816E-13</v>
      </c>
      <c r="AI137" s="65">
        <f>+AI71+AI105+AI120+AI131-AI17</f>
        <v>-3.5811353882309049E-12</v>
      </c>
      <c r="AJ137" s="121">
        <f>+AJ71+AJ105+AJ120+AJ131-AJ17</f>
        <v>-1.7053025658242404E-12</v>
      </c>
      <c r="AK137" s="65">
        <f>+AK71+AK105+AK120+AK131-AK17</f>
        <v>1.1368683772161603E-13</v>
      </c>
      <c r="AL137" s="66"/>
      <c r="AM137" s="65">
        <f>+AM71+AM105+AM120+AM131-AM17</f>
        <v>-2.5011104298755527E-12</v>
      </c>
      <c r="AN137" s="65">
        <f>+AN71+AN105+AN120+AN131-AN17</f>
        <v>2.4442670110147446E-12</v>
      </c>
      <c r="AO137" s="121">
        <f>+AO71+AO105+AO120+AO131-AO17</f>
        <v>-1.2505552149377763E-12</v>
      </c>
      <c r="AP137" s="65">
        <f>+AP71+AP105+AP120+AP131-AP17</f>
        <v>-2.8421709430404007E-12</v>
      </c>
      <c r="AQ137" s="66"/>
      <c r="AR137" s="65">
        <f>+AR71+AR105+AR120+AR131-AR17</f>
        <v>2.8421709430404007E-12</v>
      </c>
      <c r="AS137" s="65">
        <f>+AS71+AS105+AS120+AS131-AS17</f>
        <v>-1.2505552149377763E-12</v>
      </c>
      <c r="AT137" s="121">
        <f>+AT71+AT105+AT120+AT131-AT17</f>
        <v>1.5347723092418164E-12</v>
      </c>
      <c r="AU137" s="65">
        <f>+AU71+AU105+AU120+AU131-AU17</f>
        <v>-2.8990143619012088E-12</v>
      </c>
      <c r="AV137" s="66"/>
    </row>
    <row r="138" spans="2:48" ht="15" customHeight="1" x14ac:dyDescent="0.45">
      <c r="B138" s="494" t="s">
        <v>9</v>
      </c>
      <c r="C138" s="495"/>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2" t="s">
        <v>25</v>
      </c>
      <c r="W138" s="42" t="s">
        <v>26</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101">
        <f>'IS (Before Changes)'!D139-'IS 3Q2022'!D139</f>
        <v>0</v>
      </c>
      <c r="E139" s="27">
        <f>'IS (Before Changes)'!E139-'IS 3Q2022'!E139</f>
        <v>0</v>
      </c>
      <c r="F139" s="27">
        <f>'IS (Before Changes)'!F139-'IS 3Q2022'!F139</f>
        <v>0</v>
      </c>
      <c r="G139" s="27">
        <f>'IS (Before Changes)'!G139-'IS 3Q2022'!G139</f>
        <v>0</v>
      </c>
      <c r="H139" s="29">
        <f>'IS (Before Changes)'!H139-'IS 3Q2022'!H139</f>
        <v>0</v>
      </c>
      <c r="I139" s="27">
        <f>'IS (Before Changes)'!I139-'IS 3Q2022'!I139</f>
        <v>0</v>
      </c>
      <c r="J139" s="27">
        <f>'IS (Before Changes)'!J139-'IS 3Q2022'!J139</f>
        <v>0</v>
      </c>
      <c r="K139" s="27">
        <f>'IS (Before Changes)'!K139-'IS 3Q2022'!K139</f>
        <v>0</v>
      </c>
      <c r="L139" s="113">
        <f>'IS (Before Changes)'!L139-'IS 3Q2022'!L139</f>
        <v>0</v>
      </c>
      <c r="M139" s="137">
        <f>'IS (Before Changes)'!M139-'IS 3Q2022'!M139</f>
        <v>0</v>
      </c>
      <c r="N139" s="113">
        <f>'IS (Before Changes)'!N139-'IS 3Q2022'!N139</f>
        <v>0</v>
      </c>
      <c r="O139" s="113">
        <f>'IS (Before Changes)'!O139-'IS 3Q2022'!O139</f>
        <v>0</v>
      </c>
      <c r="P139" s="113">
        <f>'IS (Before Changes)'!P139-'IS 3Q2022'!P139</f>
        <v>0</v>
      </c>
      <c r="Q139" s="113">
        <f>'IS (Before Changes)'!Q139-'IS 3Q2022'!Q139</f>
        <v>0</v>
      </c>
      <c r="R139" s="29">
        <f>'IS (Before Changes)'!R139-'IS 3Q2022'!R139</f>
        <v>0</v>
      </c>
      <c r="S139" s="113">
        <f>'IS (Before Changes)'!S139-'IS 3Q2022'!S139</f>
        <v>0</v>
      </c>
      <c r="T139" s="113">
        <f>'IS (Before Changes)'!T139-'IS 3Q2022'!T139</f>
        <v>0</v>
      </c>
      <c r="U139" s="113">
        <f>'IS (Before Changes)'!U139-'IS 3Q2022'!U139</f>
        <v>0</v>
      </c>
      <c r="V139" s="113">
        <f>'IS (Before Changes)'!V139-'IS 3Q2022'!V139</f>
        <v>0</v>
      </c>
      <c r="W139" s="137">
        <f>'IS (Before Changes)'!W139-'IS 3Q2022'!W139</f>
        <v>0</v>
      </c>
      <c r="X139" s="113">
        <f>'IS (Before Changes)'!X139-'IS 3Q2022'!X139</f>
        <v>0</v>
      </c>
      <c r="Y139" s="113">
        <f>'IS (Before Changes)'!Y139-'IS 3Q2022'!Y139</f>
        <v>0</v>
      </c>
      <c r="Z139" s="113">
        <f>'IS (Before Changes)'!Z139-'IS 3Q2022'!Z139</f>
        <v>0</v>
      </c>
      <c r="AA139" s="113">
        <f>'IS (Before Changes)'!AA139-'IS 3Q2022'!AA139</f>
        <v>0</v>
      </c>
      <c r="AB139" s="137">
        <f>'IS (Before Changes)'!AB139-'IS 3Q2022'!AB139</f>
        <v>-4.6847555351728354E-4</v>
      </c>
      <c r="AC139" s="113">
        <f>'IS (Before Changes)'!AC139-'IS 3Q2022'!AC139</f>
        <v>0</v>
      </c>
      <c r="AD139" s="113">
        <f>'IS (Before Changes)'!AD139-'IS 3Q2022'!AD139</f>
        <v>0</v>
      </c>
      <c r="AE139" s="113">
        <f>'IS (Before Changes)'!AE139-'IS 3Q2022'!AE139</f>
        <v>0</v>
      </c>
      <c r="AF139" s="113">
        <f>'IS (Before Changes)'!AF139-'IS 3Q2022'!AF139</f>
        <v>0</v>
      </c>
      <c r="AG139" s="137">
        <f>'IS (Before Changes)'!AG139-'IS 3Q2022'!AG139</f>
        <v>-4.3805164527377372E-4</v>
      </c>
      <c r="AH139" s="113">
        <f>'IS (Before Changes)'!AH139-'IS 3Q2022'!AH139</f>
        <v>0</v>
      </c>
      <c r="AI139" s="113">
        <f>'IS (Before Changes)'!AI139-'IS 3Q2022'!AI139</f>
        <v>0</v>
      </c>
      <c r="AJ139" s="113">
        <f>'IS (Before Changes)'!AJ139-'IS 3Q2022'!AJ139</f>
        <v>0</v>
      </c>
      <c r="AK139" s="113">
        <f>'IS (Before Changes)'!AK139-'IS 3Q2022'!AK139</f>
        <v>0</v>
      </c>
      <c r="AL139" s="406">
        <f>'IS (Before Changes)'!AL139-'IS 3Q2022'!AL139</f>
        <v>-4.0956014769816251E-4</v>
      </c>
      <c r="AM139" s="113">
        <f>'IS (Before Changes)'!AM139-'IS 3Q2022'!AM139</f>
        <v>0</v>
      </c>
      <c r="AN139" s="113">
        <f>'IS (Before Changes)'!AN139-'IS 3Q2022'!AN139</f>
        <v>0</v>
      </c>
      <c r="AO139" s="113">
        <f>'IS (Before Changes)'!AO139-'IS 3Q2022'!AO139</f>
        <v>0</v>
      </c>
      <c r="AP139" s="113">
        <f>'IS (Before Changes)'!AP139-'IS 3Q2022'!AP139</f>
        <v>0</v>
      </c>
      <c r="AQ139" s="137">
        <f>'IS (Before Changes)'!AQ139-'IS 3Q2022'!AQ139</f>
        <v>-1.6011184191992364E-4</v>
      </c>
      <c r="AR139" s="113">
        <f>'IS (Before Changes)'!AR139-'IS 3Q2022'!AR139</f>
        <v>0</v>
      </c>
      <c r="AS139" s="113">
        <f>'IS (Before Changes)'!AS139-'IS 3Q2022'!AS139</f>
        <v>0</v>
      </c>
      <c r="AT139" s="113">
        <f>'IS (Before Changes)'!AT139-'IS 3Q2022'!AT139</f>
        <v>0</v>
      </c>
      <c r="AU139" s="113">
        <f>'IS (Before Changes)'!AU139-'IS 3Q2022'!AU139</f>
        <v>0</v>
      </c>
      <c r="AV139" s="137">
        <f>'IS (Before Changes)'!AV139-'IS 3Q2022'!AV139</f>
        <v>-1.5115794765371143E-4</v>
      </c>
    </row>
    <row r="140" spans="2:48" s="23" customFormat="1" outlineLevel="1" x14ac:dyDescent="0.3">
      <c r="B140" s="486" t="s">
        <v>17</v>
      </c>
      <c r="C140" s="487"/>
      <c r="D140" s="101">
        <f>'IS (Before Changes)'!D140-'IS 3Q2022'!D140</f>
        <v>0</v>
      </c>
      <c r="E140" s="30">
        <f>'IS (Before Changes)'!E140-'IS 3Q2022'!E140</f>
        <v>0</v>
      </c>
      <c r="F140" s="30">
        <f>'IS (Before Changes)'!F140-'IS 3Q2022'!F140</f>
        <v>0</v>
      </c>
      <c r="G140" s="30">
        <f>'IS (Before Changes)'!G140-'IS 3Q2022'!G140</f>
        <v>0</v>
      </c>
      <c r="H140" s="137">
        <f>'IS (Before Changes)'!H140-'IS 3Q2022'!H140</f>
        <v>0</v>
      </c>
      <c r="I140" s="30">
        <f>'IS (Before Changes)'!I140-'IS 3Q2022'!I140</f>
        <v>0</v>
      </c>
      <c r="J140" s="30">
        <f>'IS (Before Changes)'!J140-'IS 3Q2022'!J140</f>
        <v>0</v>
      </c>
      <c r="K140" s="30">
        <f>'IS (Before Changes)'!K140-'IS 3Q2022'!K140</f>
        <v>0</v>
      </c>
      <c r="L140" s="113">
        <f>'IS (Before Changes)'!L140-'IS 3Q2022'!L140</f>
        <v>0</v>
      </c>
      <c r="M140" s="128">
        <f>'IS (Before Changes)'!M140-'IS 3Q2022'!M140</f>
        <v>0</v>
      </c>
      <c r="N140" s="30">
        <f>'IS (Before Changes)'!N140-'IS 3Q2022'!N140</f>
        <v>0</v>
      </c>
      <c r="O140" s="30">
        <f>'IS (Before Changes)'!O140-'IS 3Q2022'!O140</f>
        <v>0</v>
      </c>
      <c r="P140" s="30">
        <f>'IS (Before Changes)'!P140-'IS 3Q2022'!P140</f>
        <v>0</v>
      </c>
      <c r="Q140" s="30">
        <f>'IS (Before Changes)'!Q140-'IS 3Q2022'!Q140</f>
        <v>0</v>
      </c>
      <c r="R140" s="128">
        <f>'IS (Before Changes)'!R140-'IS 3Q2022'!R140</f>
        <v>0</v>
      </c>
      <c r="S140" s="30">
        <f>'IS (Before Changes)'!S140-'IS 3Q2022'!S140</f>
        <v>0</v>
      </c>
      <c r="T140" s="30">
        <f>'IS (Before Changes)'!T140-'IS 3Q2022'!T140</f>
        <v>0</v>
      </c>
      <c r="U140" s="30">
        <f>'IS (Before Changes)'!U140-'IS 3Q2022'!U140</f>
        <v>0</v>
      </c>
      <c r="V140" s="30">
        <f>'IS (Before Changes)'!V140-'IS 3Q2022'!V140</f>
        <v>1.5524268855263035E-2</v>
      </c>
      <c r="W140" s="28">
        <f>'IS (Before Changes)'!W140-'IS 3Q2022'!W140</f>
        <v>4.3519941461349632E-3</v>
      </c>
      <c r="X140" s="30">
        <f>'IS (Before Changes)'!X140-'IS 3Q2022'!X140</f>
        <v>7.1794962239359883E-3</v>
      </c>
      <c r="Y140" s="30">
        <f>'IS (Before Changes)'!Y140-'IS 3Q2022'!Y140</f>
        <v>7.2181053993958244E-3</v>
      </c>
      <c r="Z140" s="30">
        <f>'IS (Before Changes)'!Z140-'IS 3Q2022'!Z140</f>
        <v>7.3356460816003111E-3</v>
      </c>
      <c r="AA140" s="30">
        <f>'IS (Before Changes)'!AA140-'IS 3Q2022'!AA140</f>
        <v>1.0441981611630791E-3</v>
      </c>
      <c r="AB140" s="137">
        <f>'IS (Before Changes)'!AB140-'IS 3Q2022'!AB140</f>
        <v>5.7226343594407592E-3</v>
      </c>
      <c r="AC140" s="30">
        <f>'IS (Before Changes)'!AC140-'IS 3Q2022'!AC140</f>
        <v>-2.757889272453351E-4</v>
      </c>
      <c r="AD140" s="30">
        <f>'IS (Before Changes)'!AD140-'IS 3Q2022'!AD140</f>
        <v>-3.0518579878879848E-4</v>
      </c>
      <c r="AE140" s="30">
        <f>'IS (Before Changes)'!AE140-'IS 3Q2022'!AE140</f>
        <v>-3.0845013691571666E-4</v>
      </c>
      <c r="AF140" s="30">
        <f>'IS (Before Changes)'!AF140-'IS 3Q2022'!AF140</f>
        <v>-1.2453795037126181E-3</v>
      </c>
      <c r="AG140" s="137">
        <f>'IS (Before Changes)'!AG140-'IS 3Q2022'!AG140</f>
        <v>-5.5676441692864564E-4</v>
      </c>
      <c r="AH140" s="30">
        <f>'IS (Before Changes)'!AH140-'IS 3Q2022'!AH140</f>
        <v>-3.2255764418276378E-4</v>
      </c>
      <c r="AI140" s="30">
        <f>'IS (Before Changes)'!AI140-'IS 3Q2022'!AI140</f>
        <v>-3.0854862166185271E-4</v>
      </c>
      <c r="AJ140" s="30">
        <f>'IS (Before Changes)'!AJ140-'IS 3Q2022'!AJ140</f>
        <v>-3.1007550027983832E-4</v>
      </c>
      <c r="AK140" s="30">
        <f>'IS (Before Changes)'!AK140-'IS 3Q2022'!AK140</f>
        <v>-8.6318877661684112E-4</v>
      </c>
      <c r="AL140" s="406">
        <f>'IS (Before Changes)'!AL140-'IS 3Q2022'!AL140</f>
        <v>-4.5482402625918184E-4</v>
      </c>
      <c r="AM140" s="30">
        <f>'IS (Before Changes)'!AM140-'IS 3Q2022'!AM140</f>
        <v>-3.0526573420264214E-4</v>
      </c>
      <c r="AN140" s="30">
        <f>'IS (Before Changes)'!AN140-'IS 3Q2022'!AN140</f>
        <v>-2.6597470803157996E-4</v>
      </c>
      <c r="AO140" s="30">
        <f>'IS (Before Changes)'!AO140-'IS 3Q2022'!AO140</f>
        <v>-2.3947722475470279E-4</v>
      </c>
      <c r="AP140" s="30">
        <f>'IS (Before Changes)'!AP140-'IS 3Q2022'!AP140</f>
        <v>-6.2525463199181175E-4</v>
      </c>
      <c r="AQ140" s="28">
        <f>'IS (Before Changes)'!AQ140-'IS 3Q2022'!AQ140</f>
        <v>-3.7608818078127548E-4</v>
      </c>
      <c r="AR140" s="30">
        <f>'IS (Before Changes)'!AR140-'IS 3Q2022'!AR140</f>
        <v>-2.0381411433434415E-4</v>
      </c>
      <c r="AS140" s="30">
        <f>'IS (Before Changes)'!AS140-'IS 3Q2022'!AS140</f>
        <v>-1.9640473797366553E-4</v>
      </c>
      <c r="AT140" s="30">
        <f>'IS (Before Changes)'!AT140-'IS 3Q2022'!AT140</f>
        <v>-1.937186880727193E-4</v>
      </c>
      <c r="AU140" s="30">
        <f>'IS (Before Changes)'!AU140-'IS 3Q2022'!AU140</f>
        <v>-5.693083796169951E-4</v>
      </c>
      <c r="AV140" s="28">
        <f>'IS (Before Changes)'!AV140-'IS 3Q2022'!AV140</f>
        <v>-2.9591833416464652E-4</v>
      </c>
    </row>
    <row r="141" spans="2:48" s="23" customFormat="1" outlineLevel="1" x14ac:dyDescent="0.3">
      <c r="B141" s="486" t="s">
        <v>4</v>
      </c>
      <c r="C141" s="487"/>
      <c r="D141" s="101">
        <f>'IS (Before Changes)'!D141-'IS 3Q2022'!D141</f>
        <v>0</v>
      </c>
      <c r="E141" s="27">
        <f>'IS (Before Changes)'!E141-'IS 3Q2022'!E141</f>
        <v>0</v>
      </c>
      <c r="F141" s="27">
        <f>'IS (Before Changes)'!F141-'IS 3Q2022'!F141</f>
        <v>0</v>
      </c>
      <c r="G141" s="27">
        <f>'IS (Before Changes)'!G141-'IS 3Q2022'!G141</f>
        <v>0</v>
      </c>
      <c r="H141" s="29">
        <f>'IS (Before Changes)'!H141-'IS 3Q2022'!H141</f>
        <v>0</v>
      </c>
      <c r="I141" s="27">
        <f>'IS (Before Changes)'!I141-'IS 3Q2022'!I141</f>
        <v>0</v>
      </c>
      <c r="J141" s="27">
        <f>'IS (Before Changes)'!J141-'IS 3Q2022'!J141</f>
        <v>0</v>
      </c>
      <c r="K141" s="27">
        <f>'IS (Before Changes)'!K141-'IS 3Q2022'!K141</f>
        <v>0</v>
      </c>
      <c r="L141" s="113">
        <f>'IS (Before Changes)'!L141-'IS 3Q2022'!L141</f>
        <v>0</v>
      </c>
      <c r="M141" s="137">
        <f>'IS (Before Changes)'!M141-'IS 3Q2022'!M141</f>
        <v>0</v>
      </c>
      <c r="N141" s="27">
        <f>'IS (Before Changes)'!N141-'IS 3Q2022'!N141</f>
        <v>0</v>
      </c>
      <c r="O141" s="27">
        <f>'IS (Before Changes)'!O141-'IS 3Q2022'!O141</f>
        <v>0</v>
      </c>
      <c r="P141" s="27">
        <f>'IS (Before Changes)'!P141-'IS 3Q2022'!P141</f>
        <v>0</v>
      </c>
      <c r="Q141" s="27">
        <f>'IS (Before Changes)'!Q141-'IS 3Q2022'!Q141</f>
        <v>0</v>
      </c>
      <c r="R141" s="137">
        <f>'IS (Before Changes)'!R141-'IS 3Q2022'!R141</f>
        <v>0</v>
      </c>
      <c r="S141" s="27">
        <f>'IS (Before Changes)'!S141-'IS 3Q2022'!S141</f>
        <v>0</v>
      </c>
      <c r="T141" s="27">
        <f>'IS (Before Changes)'!T141-'IS 3Q2022'!T141</f>
        <v>0</v>
      </c>
      <c r="U141" s="27">
        <f>'IS (Before Changes)'!U141-'IS 3Q2022'!U141</f>
        <v>0</v>
      </c>
      <c r="V141" s="27">
        <f>'IS (Before Changes)'!V141-'IS 3Q2022'!V141</f>
        <v>8.5243143396085408E-3</v>
      </c>
      <c r="W141" s="137">
        <f>'IS (Before Changes)'!W141-'IS 3Q2022'!W141</f>
        <v>2.1948766440875456E-3</v>
      </c>
      <c r="X141" s="27">
        <f>'IS (Before Changes)'!X141-'IS 3Q2022'!X141</f>
        <v>5.1495777462074732E-3</v>
      </c>
      <c r="Y141" s="27">
        <f>'IS (Before Changes)'!Y141-'IS 3Q2022'!Y141</f>
        <v>7.7327205856702885E-3</v>
      </c>
      <c r="Z141" s="27">
        <f>'IS (Before Changes)'!Z141-'IS 3Q2022'!Z141</f>
        <v>7.8259659788554037E-3</v>
      </c>
      <c r="AA141" s="27">
        <f>'IS (Before Changes)'!AA141-'IS 3Q2022'!AA141</f>
        <v>1.0735683961075743E-2</v>
      </c>
      <c r="AB141" s="137">
        <f>'IS (Before Changes)'!AB141-'IS 3Q2022'!AB141</f>
        <v>7.9685604335109073E-3</v>
      </c>
      <c r="AC141" s="27">
        <f>'IS (Before Changes)'!AC141-'IS 3Q2022'!AC141</f>
        <v>6.2163431752168818E-3</v>
      </c>
      <c r="AD141" s="27">
        <f>'IS (Before Changes)'!AD141-'IS 3Q2022'!AD141</f>
        <v>8.3648563650051133E-3</v>
      </c>
      <c r="AE141" s="27">
        <f>'IS (Before Changes)'!AE141-'IS 3Q2022'!AE141</f>
        <v>7.7545095861411562E-3</v>
      </c>
      <c r="AF141" s="27">
        <f>'IS (Before Changes)'!AF141-'IS 3Q2022'!AF141</f>
        <v>9.2226673327582276E-3</v>
      </c>
      <c r="AG141" s="137">
        <f>'IS (Before Changes)'!AG141-'IS 3Q2022'!AG141</f>
        <v>7.9046668328236203E-3</v>
      </c>
      <c r="AH141" s="27">
        <f>'IS (Before Changes)'!AH141-'IS 3Q2022'!AH141</f>
        <v>5.3756814011268195E-3</v>
      </c>
      <c r="AI141" s="27">
        <f>'IS (Before Changes)'!AI141-'IS 3Q2022'!AI141</f>
        <v>7.3936562065243516E-3</v>
      </c>
      <c r="AJ141" s="27">
        <f>'IS (Before Changes)'!AJ141-'IS 3Q2022'!AJ141</f>
        <v>6.8263960042812821E-3</v>
      </c>
      <c r="AK141" s="27">
        <f>'IS (Before Changes)'!AK141-'IS 3Q2022'!AK141</f>
        <v>7.8357473152552704E-3</v>
      </c>
      <c r="AL141" s="29">
        <f>'IS (Before Changes)'!AL141-'IS 3Q2022'!AL141</f>
        <v>6.8643960720787822E-3</v>
      </c>
      <c r="AM141" s="27">
        <f>'IS (Before Changes)'!AM141-'IS 3Q2022'!AM141</f>
        <v>4.6618386415189506E-3</v>
      </c>
      <c r="AN141" s="27">
        <f>'IS (Before Changes)'!AN141-'IS 3Q2022'!AN141</f>
        <v>6.6531505892349907E-3</v>
      </c>
      <c r="AO141" s="27">
        <f>'IS (Before Changes)'!AO141-'IS 3Q2022'!AO141</f>
        <v>6.1923678560131534E-3</v>
      </c>
      <c r="AP141" s="27">
        <f>'IS (Before Changes)'!AP141-'IS 3Q2022'!AP141</f>
        <v>6.9301607647657693E-3</v>
      </c>
      <c r="AQ141" s="29">
        <f>'IS (Before Changes)'!AQ141-'IS 3Q2022'!AQ141</f>
        <v>6.108764503690356E-3</v>
      </c>
      <c r="AR141" s="27">
        <f>'IS (Before Changes)'!AR141-'IS 3Q2022'!AR141</f>
        <v>4.2263861447016104E-3</v>
      </c>
      <c r="AS141" s="27">
        <f>'IS (Before Changes)'!AS141-'IS 3Q2022'!AS141</f>
        <v>6.2001550448070597E-3</v>
      </c>
      <c r="AT141" s="27">
        <f>'IS (Before Changes)'!AT141-'IS 3Q2022'!AT141</f>
        <v>5.7909490010663034E-3</v>
      </c>
      <c r="AU141" s="27">
        <f>'IS (Before Changes)'!AU141-'IS 3Q2022'!AU141</f>
        <v>6.2820527943684978E-3</v>
      </c>
      <c r="AV141" s="29">
        <f>'IS (Before Changes)'!AV141-'IS 3Q2022'!AV141</f>
        <v>5.621971989241803E-3</v>
      </c>
    </row>
    <row r="142" spans="2:48" s="23" customFormat="1" outlineLevel="1" x14ac:dyDescent="0.3">
      <c r="B142" s="486" t="s">
        <v>77</v>
      </c>
      <c r="C142" s="487"/>
      <c r="D142" s="101">
        <f>'IS (Before Changes)'!D142-'IS 3Q2022'!D142</f>
        <v>0</v>
      </c>
      <c r="E142" s="27">
        <f>'IS (Before Changes)'!E142-'IS 3Q2022'!E142</f>
        <v>0</v>
      </c>
      <c r="F142" s="27">
        <f>'IS (Before Changes)'!F142-'IS 3Q2022'!F142</f>
        <v>0</v>
      </c>
      <c r="G142" s="27">
        <f>'IS (Before Changes)'!G142-'IS 3Q2022'!G142</f>
        <v>0</v>
      </c>
      <c r="H142" s="29">
        <f>'IS (Before Changes)'!H142-'IS 3Q2022'!H142</f>
        <v>0</v>
      </c>
      <c r="I142" s="27">
        <f>'IS (Before Changes)'!I142-'IS 3Q2022'!I142</f>
        <v>0</v>
      </c>
      <c r="J142" s="27">
        <f>'IS (Before Changes)'!J142-'IS 3Q2022'!J142</f>
        <v>0</v>
      </c>
      <c r="K142" s="27">
        <f>'IS (Before Changes)'!K142-'IS 3Q2022'!K142</f>
        <v>0</v>
      </c>
      <c r="L142" s="113">
        <f>'IS (Before Changes)'!L142-'IS 3Q2022'!L142</f>
        <v>0</v>
      </c>
      <c r="M142" s="137">
        <f>'IS (Before Changes)'!M142-'IS 3Q2022'!M142</f>
        <v>0</v>
      </c>
      <c r="N142" s="27">
        <f>'IS (Before Changes)'!N142-'IS 3Q2022'!N142</f>
        <v>0</v>
      </c>
      <c r="O142" s="27">
        <f>'IS (Before Changes)'!O142-'IS 3Q2022'!O142</f>
        <v>0</v>
      </c>
      <c r="P142" s="27">
        <f>'IS (Before Changes)'!P142-'IS 3Q2022'!P142</f>
        <v>0</v>
      </c>
      <c r="Q142" s="27">
        <f>'IS (Before Changes)'!Q142-'IS 3Q2022'!Q142</f>
        <v>0</v>
      </c>
      <c r="R142" s="137">
        <f>'IS (Before Changes)'!R142-'IS 3Q2022'!R142</f>
        <v>0</v>
      </c>
      <c r="S142" s="27">
        <f>'IS (Before Changes)'!S142-'IS 3Q2022'!S142</f>
        <v>0</v>
      </c>
      <c r="T142" s="27">
        <f>'IS (Before Changes)'!T142-'IS 3Q2022'!T142</f>
        <v>0</v>
      </c>
      <c r="U142" s="27">
        <f>'IS (Before Changes)'!U142-'IS 3Q2022'!U142</f>
        <v>0</v>
      </c>
      <c r="V142" s="420">
        <f>'IS (Before Changes)'!V142-'IS 3Q2022'!V142</f>
        <v>3.9321188427636766E-3</v>
      </c>
      <c r="W142" s="137">
        <f>'IS (Before Changes)'!W142-'IS 3Q2022'!W142</f>
        <v>1.0172278837924653E-3</v>
      </c>
      <c r="X142" s="27">
        <f>'IS (Before Changes)'!X142-'IS 3Q2022'!X142</f>
        <v>-1.1028178839224689E-3</v>
      </c>
      <c r="Y142" s="27">
        <f>'IS (Before Changes)'!Y142-'IS 3Q2022'!Y142</f>
        <v>1.3147975463741191E-3</v>
      </c>
      <c r="Z142" s="27">
        <f>'IS (Before Changes)'!Z142-'IS 3Q2022'!Z142</f>
        <v>1.9652367898215783E-3</v>
      </c>
      <c r="AA142" s="27">
        <f>'IS (Before Changes)'!AA142-'IS 3Q2022'!AA142</f>
        <v>4.9945250118700879E-3</v>
      </c>
      <c r="AB142" s="137">
        <f>'IS (Before Changes)'!AB142-'IS 3Q2022'!AB142</f>
        <v>1.909407190556045E-3</v>
      </c>
      <c r="AC142" s="27">
        <f>'IS (Before Changes)'!AC142-'IS 3Q2022'!AC142</f>
        <v>6.840387804340764E-4</v>
      </c>
      <c r="AD142" s="27">
        <f>'IS (Before Changes)'!AD142-'IS 3Q2022'!AD142</f>
        <v>5.9464093665901885E-3</v>
      </c>
      <c r="AE142" s="27">
        <f>'IS (Before Changes)'!AE142-'IS 3Q2022'!AE142</f>
        <v>5.5481716132980419E-3</v>
      </c>
      <c r="AF142" s="27">
        <f>'IS (Before Changes)'!AF142-'IS 3Q2022'!AF142</f>
        <v>7.0367164762784318E-3</v>
      </c>
      <c r="AG142" s="137">
        <f>'IS (Before Changes)'!AG142-'IS 3Q2022'!AG142</f>
        <v>4.8329988235525922E-3</v>
      </c>
      <c r="AH142" s="27">
        <f>'IS (Before Changes)'!AH142-'IS 3Q2022'!AH142</f>
        <v>3.3259986758158167E-3</v>
      </c>
      <c r="AI142" s="27">
        <f>'IS (Before Changes)'!AI142-'IS 3Q2022'!AI142</f>
        <v>5.2245703854462144E-3</v>
      </c>
      <c r="AJ142" s="27">
        <f>'IS (Before Changes)'!AJ142-'IS 3Q2022'!AJ142</f>
        <v>4.8488133440419967E-3</v>
      </c>
      <c r="AK142" s="27">
        <f>'IS (Before Changes)'!AK142-'IS 3Q2022'!AK142</f>
        <v>5.8823176699146218E-3</v>
      </c>
      <c r="AL142" s="406">
        <f>'IS (Before Changes)'!AL142-'IS 3Q2022'!AL142</f>
        <v>4.8301781036890756E-3</v>
      </c>
      <c r="AM142" s="27">
        <f>'IS (Before Changes)'!AM142-'IS 3Q2022'!AM142</f>
        <v>2.7996441448897846E-3</v>
      </c>
      <c r="AN142" s="27">
        <f>'IS (Before Changes)'!AN142-'IS 3Q2022'!AN142</f>
        <v>4.6723138082637727E-3</v>
      </c>
      <c r="AO142" s="27">
        <f>'IS (Before Changes)'!AO142-'IS 3Q2022'!AO142</f>
        <v>4.3797165735556254E-3</v>
      </c>
      <c r="AP142" s="27">
        <f>'IS (Before Changes)'!AP142-'IS 3Q2022'!AP142</f>
        <v>5.135418921383389E-3</v>
      </c>
      <c r="AQ142" s="29">
        <f>'IS (Before Changes)'!AQ142-'IS 3Q2022'!AQ142</f>
        <v>4.2487873406938659E-3</v>
      </c>
      <c r="AR142" s="27">
        <f>'IS (Before Changes)'!AR142-'IS 3Q2022'!AR142</f>
        <v>2.4785442302966698E-3</v>
      </c>
      <c r="AS142" s="27">
        <f>'IS (Before Changes)'!AS142-'IS 3Q2022'!AS142</f>
        <v>4.3395893317019207E-3</v>
      </c>
      <c r="AT142" s="27">
        <f>'IS (Before Changes)'!AT142-'IS 3Q2022'!AT142</f>
        <v>4.0879948661506904E-3</v>
      </c>
      <c r="AU142" s="27">
        <f>'IS (Before Changes)'!AU142-'IS 3Q2022'!AU142</f>
        <v>4.5974783509163675E-3</v>
      </c>
      <c r="AV142" s="29">
        <f>'IS (Before Changes)'!AV142-'IS 3Q2022'!AV142</f>
        <v>3.8754835249818487E-3</v>
      </c>
    </row>
    <row r="143" spans="2:48" s="23" customFormat="1" outlineLevel="1" x14ac:dyDescent="0.3">
      <c r="B143" s="486" t="s">
        <v>2</v>
      </c>
      <c r="C143" s="487"/>
      <c r="D143" s="101">
        <f>'IS (Before Changes)'!D143-'IS 3Q2022'!D143</f>
        <v>0</v>
      </c>
      <c r="E143" s="27">
        <f>'IS (Before Changes)'!E143-'IS 3Q2022'!E143</f>
        <v>0</v>
      </c>
      <c r="F143" s="27">
        <f>'IS (Before Changes)'!F143-'IS 3Q2022'!F143</f>
        <v>0</v>
      </c>
      <c r="G143" s="118">
        <f>'IS (Before Changes)'!G143-'IS 3Q2022'!G143</f>
        <v>0</v>
      </c>
      <c r="H143" s="137">
        <f>'IS (Before Changes)'!H143-'IS 3Q2022'!H143</f>
        <v>0</v>
      </c>
      <c r="I143" s="118">
        <f>'IS (Before Changes)'!I143-'IS 3Q2022'!I143</f>
        <v>0</v>
      </c>
      <c r="J143" s="118">
        <f>'IS (Before Changes)'!J143-'IS 3Q2022'!J143</f>
        <v>0</v>
      </c>
      <c r="K143" s="118">
        <f>'IS (Before Changes)'!K143-'IS 3Q2022'!K143</f>
        <v>0</v>
      </c>
      <c r="L143" s="118">
        <f>'IS (Before Changes)'!L143-'IS 3Q2022'!L143</f>
        <v>0</v>
      </c>
      <c r="M143" s="137">
        <f>'IS (Before Changes)'!M143-'IS 3Q2022'!M143</f>
        <v>0</v>
      </c>
      <c r="N143" s="118">
        <f>'IS (Before Changes)'!N143-'IS 3Q2022'!N143</f>
        <v>0</v>
      </c>
      <c r="O143" s="118">
        <f>'IS (Before Changes)'!O143-'IS 3Q2022'!O143</f>
        <v>0</v>
      </c>
      <c r="P143" s="118">
        <f>'IS (Before Changes)'!P143-'IS 3Q2022'!P143</f>
        <v>0</v>
      </c>
      <c r="Q143" s="118">
        <f>'IS (Before Changes)'!Q143-'IS 3Q2022'!Q143</f>
        <v>0</v>
      </c>
      <c r="R143" s="137">
        <f>'IS (Before Changes)'!R143-'IS 3Q2022'!R143</f>
        <v>0</v>
      </c>
      <c r="S143" s="118">
        <f>'IS (Before Changes)'!S143-'IS 3Q2022'!S143</f>
        <v>0</v>
      </c>
      <c r="T143" s="118">
        <f>'IS (Before Changes)'!T143-'IS 3Q2022'!T143</f>
        <v>0</v>
      </c>
      <c r="U143" s="118">
        <f>'IS (Before Changes)'!U143-'IS 3Q2022'!U143</f>
        <v>0</v>
      </c>
      <c r="V143" s="35">
        <f>'IS (Before Changes)'!V143-'IS 3Q2022'!V143</f>
        <v>-3.7766073374500303E-2</v>
      </c>
      <c r="W143" s="137">
        <f>'IS (Before Changes)'!W143-'IS 3Q2022'!W143</f>
        <v>-9.6924695438643793E-3</v>
      </c>
      <c r="X143" s="35">
        <f>'IS (Before Changes)'!X143-'IS 3Q2022'!X143</f>
        <v>0</v>
      </c>
      <c r="Y143" s="35">
        <f>'IS (Before Changes)'!Y143-'IS 3Q2022'!Y143</f>
        <v>0</v>
      </c>
      <c r="Z143" s="35">
        <f>'IS (Before Changes)'!Z143-'IS 3Q2022'!Z143</f>
        <v>0</v>
      </c>
      <c r="AA143" s="35">
        <f>'IS (Before Changes)'!AA143-'IS 3Q2022'!AA143</f>
        <v>0</v>
      </c>
      <c r="AB143" s="137">
        <f>'IS (Before Changes)'!AB143-'IS 3Q2022'!AB143</f>
        <v>5.8286708792820718E-16</v>
      </c>
      <c r="AC143" s="34">
        <f>'IS (Before Changes)'!AC143-'IS 3Q2022'!AC143</f>
        <v>0</v>
      </c>
      <c r="AD143" s="34">
        <f>'IS (Before Changes)'!AD143-'IS 3Q2022'!AD143</f>
        <v>0</v>
      </c>
      <c r="AE143" s="34">
        <f>'IS (Before Changes)'!AE143-'IS 3Q2022'!AE143</f>
        <v>0</v>
      </c>
      <c r="AF143" s="34">
        <f>'IS (Before Changes)'!AF143-'IS 3Q2022'!AF143</f>
        <v>0</v>
      </c>
      <c r="AG143" s="29">
        <f>'IS (Before Changes)'!AG143-'IS 3Q2022'!AG143</f>
        <v>0</v>
      </c>
      <c r="AH143" s="34">
        <f>'IS (Before Changes)'!AH143-'IS 3Q2022'!AH143</f>
        <v>0</v>
      </c>
      <c r="AI143" s="34">
        <f>'IS (Before Changes)'!AI143-'IS 3Q2022'!AI143</f>
        <v>0</v>
      </c>
      <c r="AJ143" s="34">
        <f>'IS (Before Changes)'!AJ143-'IS 3Q2022'!AJ143</f>
        <v>0</v>
      </c>
      <c r="AK143" s="34">
        <f>'IS (Before Changes)'!AK143-'IS 3Q2022'!AK143</f>
        <v>0</v>
      </c>
      <c r="AL143" s="29">
        <f>'IS (Before Changes)'!AL143-'IS 3Q2022'!AL143</f>
        <v>0</v>
      </c>
      <c r="AM143" s="34">
        <f>'IS (Before Changes)'!AM143-'IS 3Q2022'!AM143</f>
        <v>0</v>
      </c>
      <c r="AN143" s="34">
        <f>'IS (Before Changes)'!AN143-'IS 3Q2022'!AN143</f>
        <v>0</v>
      </c>
      <c r="AO143" s="34">
        <f>'IS (Before Changes)'!AO143-'IS 3Q2022'!AO143</f>
        <v>0</v>
      </c>
      <c r="AP143" s="34">
        <f>'IS (Before Changes)'!AP143-'IS 3Q2022'!AP143</f>
        <v>0</v>
      </c>
      <c r="AQ143" s="29">
        <f>'IS (Before Changes)'!AQ143-'IS 3Q2022'!AQ143</f>
        <v>4.7184478546569153E-16</v>
      </c>
      <c r="AR143" s="34">
        <f>'IS (Before Changes)'!AR143-'IS 3Q2022'!AR143</f>
        <v>0</v>
      </c>
      <c r="AS143" s="34">
        <f>'IS (Before Changes)'!AS143-'IS 3Q2022'!AS143</f>
        <v>0</v>
      </c>
      <c r="AT143" s="34">
        <f>'IS (Before Changes)'!AT143-'IS 3Q2022'!AT143</f>
        <v>0</v>
      </c>
      <c r="AU143" s="34">
        <f>'IS (Before Changes)'!AU143-'IS 3Q2022'!AU143</f>
        <v>0</v>
      </c>
      <c r="AV143" s="29">
        <f>'IS (Before Changes)'!AV143-'IS 3Q2022'!AV143</f>
        <v>3.8857805861880479E-16</v>
      </c>
    </row>
    <row r="144" spans="2:48" s="23" customFormat="1" outlineLevel="1" x14ac:dyDescent="0.3">
      <c r="B144" s="486" t="s">
        <v>78</v>
      </c>
      <c r="C144" s="487"/>
      <c r="D144" s="101">
        <f>'IS (Before Changes)'!D144-'IS 3Q2022'!D144</f>
        <v>0</v>
      </c>
      <c r="E144" s="27">
        <f>'IS (Before Changes)'!E144-'IS 3Q2022'!E144</f>
        <v>0</v>
      </c>
      <c r="F144" s="27">
        <f>'IS (Before Changes)'!F144-'IS 3Q2022'!F144</f>
        <v>0</v>
      </c>
      <c r="G144" s="27">
        <f>'IS (Before Changes)'!G144-'IS 3Q2022'!G144</f>
        <v>0</v>
      </c>
      <c r="H144" s="29">
        <f>'IS (Before Changes)'!H144-'IS 3Q2022'!H144</f>
        <v>0</v>
      </c>
      <c r="I144" s="27">
        <f>'IS (Before Changes)'!I144-'IS 3Q2022'!I144</f>
        <v>0</v>
      </c>
      <c r="J144" s="27">
        <f>'IS (Before Changes)'!J144-'IS 3Q2022'!J144</f>
        <v>0</v>
      </c>
      <c r="K144" s="27">
        <f>'IS (Before Changes)'!K144-'IS 3Q2022'!K144</f>
        <v>0</v>
      </c>
      <c r="L144" s="27">
        <f>'IS (Before Changes)'!L144-'IS 3Q2022'!L144</f>
        <v>0</v>
      </c>
      <c r="M144" s="29">
        <f>'IS (Before Changes)'!M144-'IS 3Q2022'!M144</f>
        <v>0</v>
      </c>
      <c r="N144" s="27">
        <f>'IS (Before Changes)'!N144-'IS 3Q2022'!N144</f>
        <v>0</v>
      </c>
      <c r="O144" s="27">
        <f>'IS (Before Changes)'!O144-'IS 3Q2022'!O144</f>
        <v>0</v>
      </c>
      <c r="P144" s="27">
        <f>'IS (Before Changes)'!P144-'IS 3Q2022'!P144</f>
        <v>0</v>
      </c>
      <c r="Q144" s="27">
        <f>'IS (Before Changes)'!Q144-'IS 3Q2022'!Q144</f>
        <v>0</v>
      </c>
      <c r="R144" s="137">
        <f>'IS (Before Changes)'!R144-'IS 3Q2022'!R144</f>
        <v>0</v>
      </c>
      <c r="S144" s="27">
        <f>'IS (Before Changes)'!S144-'IS 3Q2022'!S144</f>
        <v>0</v>
      </c>
      <c r="T144" s="27">
        <f>'IS (Before Changes)'!T144-'IS 3Q2022'!T144</f>
        <v>0</v>
      </c>
      <c r="U144" s="27">
        <f>'IS (Before Changes)'!U144-'IS 3Q2022'!U144</f>
        <v>0</v>
      </c>
      <c r="V144" s="35">
        <f>'IS (Before Changes)'!V144-'IS 3Q2022'!V144</f>
        <v>-6.0064176709098173E-5</v>
      </c>
      <c r="W144" s="137">
        <f>'IS (Before Changes)'!W144-'IS 3Q2022'!W144</f>
        <v>0</v>
      </c>
      <c r="X144" s="35">
        <f>'IS (Before Changes)'!X144-'IS 3Q2022'!X144</f>
        <v>-6.006417670909904E-5</v>
      </c>
      <c r="Y144" s="35">
        <f>'IS (Before Changes)'!Y144-'IS 3Q2022'!Y144</f>
        <v>-6.0064176709100775E-5</v>
      </c>
      <c r="Z144" s="35">
        <f>'IS (Before Changes)'!Z144-'IS 3Q2022'!Z144</f>
        <v>-6.0064176709100775E-5</v>
      </c>
      <c r="AA144" s="35">
        <f>'IS (Before Changes)'!AA144-'IS 3Q2022'!AA144</f>
        <v>-6.0064176709100775E-5</v>
      </c>
      <c r="AB144" s="137">
        <f>'IS (Before Changes)'!AB144-'IS 3Q2022'!AB144</f>
        <v>0</v>
      </c>
      <c r="AC144" s="35">
        <f>'IS (Before Changes)'!AC144-'IS 3Q2022'!AC144</f>
        <v>-6.0064176709100775E-5</v>
      </c>
      <c r="AD144" s="35">
        <f>'IS (Before Changes)'!AD144-'IS 3Q2022'!AD144</f>
        <v>-6.0064176709100775E-5</v>
      </c>
      <c r="AE144" s="35">
        <f>'IS (Before Changes)'!AE144-'IS 3Q2022'!AE144</f>
        <v>-6.0064176709100775E-5</v>
      </c>
      <c r="AF144" s="35">
        <f>'IS (Before Changes)'!AF144-'IS 3Q2022'!AF144</f>
        <v>-6.0064176709100775E-5</v>
      </c>
      <c r="AG144" s="29">
        <f>'IS (Before Changes)'!AG144-'IS 3Q2022'!AG144</f>
        <v>0</v>
      </c>
      <c r="AH144" s="35">
        <f>'IS (Before Changes)'!AH144-'IS 3Q2022'!AH144</f>
        <v>-6.0064176709100775E-5</v>
      </c>
      <c r="AI144" s="35">
        <f>'IS (Before Changes)'!AI144-'IS 3Q2022'!AI144</f>
        <v>-6.0064176709100775E-5</v>
      </c>
      <c r="AJ144" s="35">
        <f>'IS (Before Changes)'!AJ144-'IS 3Q2022'!AJ144</f>
        <v>-6.0064176709100775E-5</v>
      </c>
      <c r="AK144" s="35">
        <f>'IS (Before Changes)'!AK144-'IS 3Q2022'!AK144</f>
        <v>-6.0064176709100775E-5</v>
      </c>
      <c r="AL144" s="29">
        <f>'IS (Before Changes)'!AL144-'IS 3Q2022'!AL144</f>
        <v>0</v>
      </c>
      <c r="AM144" s="35">
        <f>'IS (Before Changes)'!AM144-'IS 3Q2022'!AM144</f>
        <v>-6.0064176709100775E-5</v>
      </c>
      <c r="AN144" s="35">
        <f>'IS (Before Changes)'!AN144-'IS 3Q2022'!AN144</f>
        <v>-6.0064176709100775E-5</v>
      </c>
      <c r="AO144" s="35">
        <f>'IS (Before Changes)'!AO144-'IS 3Q2022'!AO144</f>
        <v>-6.0064176709100775E-5</v>
      </c>
      <c r="AP144" s="35">
        <f>'IS (Before Changes)'!AP144-'IS 3Q2022'!AP144</f>
        <v>-6.0064176709100775E-5</v>
      </c>
      <c r="AQ144" s="29">
        <f>'IS (Before Changes)'!AQ144-'IS 3Q2022'!AQ144</f>
        <v>0</v>
      </c>
      <c r="AR144" s="35">
        <f>'IS (Before Changes)'!AR144-'IS 3Q2022'!AR144</f>
        <v>-6.0064176709100775E-5</v>
      </c>
      <c r="AS144" s="35">
        <f>'IS (Before Changes)'!AS144-'IS 3Q2022'!AS144</f>
        <v>-6.0064176709100775E-5</v>
      </c>
      <c r="AT144" s="35">
        <f>'IS (Before Changes)'!AT144-'IS 3Q2022'!AT144</f>
        <v>-6.0064176709100775E-5</v>
      </c>
      <c r="AU144" s="35">
        <f>'IS (Before Changes)'!AU144-'IS 3Q2022'!AU144</f>
        <v>-6.0064176709100775E-5</v>
      </c>
      <c r="AV144" s="29">
        <f>'IS (Before Changes)'!AV144-'IS 3Q2022'!AV144</f>
        <v>0</v>
      </c>
    </row>
    <row r="145" spans="2:48" s="23" customFormat="1" outlineLevel="1" x14ac:dyDescent="0.3">
      <c r="B145" s="486" t="s">
        <v>79</v>
      </c>
      <c r="C145" s="487"/>
      <c r="D145" s="101">
        <f>'IS (Before Changes)'!D145-'IS 3Q2022'!D145</f>
        <v>0</v>
      </c>
      <c r="E145" s="215">
        <f>'IS (Before Changes)'!E145-'IS 3Q2022'!E145</f>
        <v>0</v>
      </c>
      <c r="F145" s="215">
        <f>'IS (Before Changes)'!F145-'IS 3Q2022'!F145</f>
        <v>0</v>
      </c>
      <c r="G145" s="215">
        <f>'IS (Before Changes)'!G145-'IS 3Q2022'!G145</f>
        <v>0</v>
      </c>
      <c r="H145" s="29">
        <f>'IS (Before Changes)'!H145-'IS 3Q2022'!H145</f>
        <v>0</v>
      </c>
      <c r="I145" s="215">
        <f>'IS (Before Changes)'!I145-'IS 3Q2022'!I145</f>
        <v>0</v>
      </c>
      <c r="J145" s="215">
        <f>'IS (Before Changes)'!J145-'IS 3Q2022'!J145</f>
        <v>0</v>
      </c>
      <c r="K145" s="215">
        <f>'IS (Before Changes)'!K145-'IS 3Q2022'!K145</f>
        <v>0</v>
      </c>
      <c r="L145" s="215">
        <f>'IS (Before Changes)'!L145-'IS 3Q2022'!L145</f>
        <v>0</v>
      </c>
      <c r="M145" s="29">
        <f>'IS (Before Changes)'!M145-'IS 3Q2022'!M145</f>
        <v>0</v>
      </c>
      <c r="N145" s="215">
        <f>'IS (Before Changes)'!N145-'IS 3Q2022'!N145</f>
        <v>0</v>
      </c>
      <c r="O145" s="215">
        <f>'IS (Before Changes)'!O145-'IS 3Q2022'!O145</f>
        <v>0</v>
      </c>
      <c r="P145" s="215">
        <f>'IS (Before Changes)'!P145-'IS 3Q2022'!P145</f>
        <v>0</v>
      </c>
      <c r="Q145" s="215">
        <f>'IS (Before Changes)'!Q145-'IS 3Q2022'!Q145</f>
        <v>0</v>
      </c>
      <c r="R145" s="29">
        <f>'IS (Before Changes)'!R145-'IS 3Q2022'!R145</f>
        <v>0</v>
      </c>
      <c r="S145" s="215">
        <f>'IS (Before Changes)'!S145-'IS 3Q2022'!S145</f>
        <v>0</v>
      </c>
      <c r="T145" s="215">
        <f>'IS (Before Changes)'!T145-'IS 3Q2022'!T145</f>
        <v>0</v>
      </c>
      <c r="U145" s="215">
        <f>'IS (Before Changes)'!U145-'IS 3Q2022'!U145</f>
        <v>0</v>
      </c>
      <c r="V145" s="35">
        <f>'IS (Before Changes)'!V145-'IS 3Q2022'!V145</f>
        <v>3.9972472649974118E-4</v>
      </c>
      <c r="W145" s="137">
        <f>'IS (Before Changes)'!W145-'IS 3Q2022'!W145</f>
        <v>0</v>
      </c>
      <c r="X145" s="35">
        <f>'IS (Before Changes)'!X145-'IS 3Q2022'!X145</f>
        <v>1.134423467696169E-3</v>
      </c>
      <c r="Y145" s="35">
        <f>'IS (Before Changes)'!Y145-'IS 3Q2022'!Y145</f>
        <v>1.0344234676961696E-3</v>
      </c>
      <c r="Z145" s="35">
        <f>'IS (Before Changes)'!Z145-'IS 3Q2022'!Z145</f>
        <v>9.3442346769617018E-4</v>
      </c>
      <c r="AA145" s="35">
        <f>'IS (Before Changes)'!AA145-'IS 3Q2022'!AA145</f>
        <v>8.3442346769617079E-4</v>
      </c>
      <c r="AB145" s="137">
        <f>'IS (Before Changes)'!AB145-'IS 3Q2022'!AB145</f>
        <v>0</v>
      </c>
      <c r="AC145" s="35">
        <f>'IS (Before Changes)'!AC145-'IS 3Q2022'!AC145</f>
        <v>8.3442346769617079E-4</v>
      </c>
      <c r="AD145" s="35">
        <f>'IS (Before Changes)'!AD145-'IS 3Q2022'!AD145</f>
        <v>8.3442346769617079E-4</v>
      </c>
      <c r="AE145" s="35">
        <f>'IS (Before Changes)'!AE145-'IS 3Q2022'!AE145</f>
        <v>8.3442346769617079E-4</v>
      </c>
      <c r="AF145" s="35">
        <f>'IS (Before Changes)'!AF145-'IS 3Q2022'!AF145</f>
        <v>8.3442346769617079E-4</v>
      </c>
      <c r="AG145" s="29">
        <f>'IS (Before Changes)'!AG145-'IS 3Q2022'!AG145</f>
        <v>0</v>
      </c>
      <c r="AH145" s="35">
        <f>'IS (Before Changes)'!AH145-'IS 3Q2022'!AH145</f>
        <v>8.3442346769617079E-4</v>
      </c>
      <c r="AI145" s="35">
        <f>'IS (Before Changes)'!AI145-'IS 3Q2022'!AI145</f>
        <v>8.3442346769617079E-4</v>
      </c>
      <c r="AJ145" s="35">
        <f>'IS (Before Changes)'!AJ145-'IS 3Q2022'!AJ145</f>
        <v>8.3442346769617079E-4</v>
      </c>
      <c r="AK145" s="35">
        <f>'IS (Before Changes)'!AK145-'IS 3Q2022'!AK145</f>
        <v>8.3442346769617079E-4</v>
      </c>
      <c r="AL145" s="29">
        <f>'IS (Before Changes)'!AL145-'IS 3Q2022'!AL145</f>
        <v>0</v>
      </c>
      <c r="AM145" s="35">
        <f>'IS (Before Changes)'!AM145-'IS 3Q2022'!AM145</f>
        <v>8.3442346769617079E-4</v>
      </c>
      <c r="AN145" s="35">
        <f>'IS (Before Changes)'!AN145-'IS 3Q2022'!AN145</f>
        <v>8.3442346769617079E-4</v>
      </c>
      <c r="AO145" s="35">
        <f>'IS (Before Changes)'!AO145-'IS 3Q2022'!AO145</f>
        <v>8.3442346769617079E-4</v>
      </c>
      <c r="AP145" s="35">
        <f>'IS (Before Changes)'!AP145-'IS 3Q2022'!AP145</f>
        <v>8.3442346769617079E-4</v>
      </c>
      <c r="AQ145" s="29">
        <f>'IS (Before Changes)'!AQ145-'IS 3Q2022'!AQ145</f>
        <v>0</v>
      </c>
      <c r="AR145" s="35">
        <f>'IS (Before Changes)'!AR145-'IS 3Q2022'!AR145</f>
        <v>8.3442346769617079E-4</v>
      </c>
      <c r="AS145" s="35">
        <f>'IS (Before Changes)'!AS145-'IS 3Q2022'!AS145</f>
        <v>8.3442346769617079E-4</v>
      </c>
      <c r="AT145" s="35">
        <f>'IS (Before Changes)'!AT145-'IS 3Q2022'!AT145</f>
        <v>8.3442346769617079E-4</v>
      </c>
      <c r="AU145" s="35">
        <f>'IS (Before Changes)'!AU145-'IS 3Q2022'!AU145</f>
        <v>8.3442346769617079E-4</v>
      </c>
      <c r="AV145" s="29">
        <f>'IS (Before Changes)'!AV145-'IS 3Q2022'!AV145</f>
        <v>0</v>
      </c>
    </row>
    <row r="146" spans="2:48" s="23" customFormat="1" outlineLevel="1" x14ac:dyDescent="0.3">
      <c r="B146" s="200" t="s">
        <v>186</v>
      </c>
      <c r="C146" s="201"/>
      <c r="D146" s="101">
        <f>'IS (Before Changes)'!D146-'IS 3Q2022'!D146</f>
        <v>0</v>
      </c>
      <c r="E146" s="113">
        <f>'IS (Before Changes)'!E146-'IS 3Q2022'!E146</f>
        <v>0</v>
      </c>
      <c r="F146" s="113">
        <f>'IS (Before Changes)'!F146-'IS 3Q2022'!F146</f>
        <v>0</v>
      </c>
      <c r="G146" s="113">
        <f>'IS (Before Changes)'!G146-'IS 3Q2022'!G146</f>
        <v>0</v>
      </c>
      <c r="H146" s="137">
        <f>'IS (Before Changes)'!H146-'IS 3Q2022'!H146</f>
        <v>0</v>
      </c>
      <c r="I146" s="113">
        <f>'IS (Before Changes)'!I146-'IS 3Q2022'!I146</f>
        <v>0</v>
      </c>
      <c r="J146" s="113">
        <f>'IS (Before Changes)'!J146-'IS 3Q2022'!J146</f>
        <v>0</v>
      </c>
      <c r="K146" s="113">
        <f>'IS (Before Changes)'!K146-'IS 3Q2022'!K146</f>
        <v>0</v>
      </c>
      <c r="L146" s="113">
        <f>'IS (Before Changes)'!L146-'IS 3Q2022'!L146</f>
        <v>0</v>
      </c>
      <c r="M146" s="137">
        <f>'IS (Before Changes)'!M146-'IS 3Q2022'!M146</f>
        <v>0</v>
      </c>
      <c r="N146" s="113">
        <f>'IS (Before Changes)'!N146-'IS 3Q2022'!N146</f>
        <v>0</v>
      </c>
      <c r="O146" s="113">
        <f>'IS (Before Changes)'!O146-'IS 3Q2022'!O146</f>
        <v>0</v>
      </c>
      <c r="P146" s="113">
        <f>'IS (Before Changes)'!P146-'IS 3Q2022'!P146</f>
        <v>0</v>
      </c>
      <c r="Q146" s="113">
        <f>'IS (Before Changes)'!Q146-'IS 3Q2022'!Q146</f>
        <v>0</v>
      </c>
      <c r="R146" s="137">
        <f>'IS (Before Changes)'!R146-'IS 3Q2022'!R146</f>
        <v>0</v>
      </c>
      <c r="S146" s="113">
        <f>'IS (Before Changes)'!S146-'IS 3Q2022'!S146</f>
        <v>0</v>
      </c>
      <c r="T146" s="113">
        <f>'IS (Before Changes)'!T146-'IS 3Q2022'!T146</f>
        <v>0</v>
      </c>
      <c r="U146" s="113">
        <f>'IS (Before Changes)'!U146-'IS 3Q2022'!U146</f>
        <v>0</v>
      </c>
      <c r="V146" s="113">
        <f>'IS (Before Changes)'!V146-'IS 3Q2022'!V146</f>
        <v>6.5246895534440519E-2</v>
      </c>
      <c r="W146" s="137">
        <f>'IS (Before Changes)'!W146-'IS 3Q2022'!W146</f>
        <v>2.7374943139653052E-2</v>
      </c>
      <c r="X146" s="113">
        <f>'IS (Before Changes)'!X146-'IS 3Q2022'!X146</f>
        <v>3.0873570662127037E-2</v>
      </c>
      <c r="Y146" s="113">
        <f>'IS (Before Changes)'!Y146-'IS 3Q2022'!Y146</f>
        <v>6.5407922566505849E-2</v>
      </c>
      <c r="Z146" s="113">
        <f>'IS (Before Changes)'!Z146-'IS 3Q2022'!Z146</f>
        <v>5.7655579096754339E-2</v>
      </c>
      <c r="AA146" s="113">
        <f>'IS (Before Changes)'!AA146-'IS 3Q2022'!AA146</f>
        <v>-7.9293191558829967E-2</v>
      </c>
      <c r="AB146" s="137">
        <f>'IS (Before Changes)'!AB146-'IS 3Q2022'!AB146</f>
        <v>2.4086878954380886E-2</v>
      </c>
      <c r="AC146" s="113">
        <f>'IS (Before Changes)'!AC146-'IS 3Q2022'!AC146</f>
        <v>1.3321737102150788E-2</v>
      </c>
      <c r="AD146" s="113">
        <f>'IS (Before Changes)'!AD146-'IS 3Q2022'!AD146</f>
        <v>6.6312156642880371E-3</v>
      </c>
      <c r="AE146" s="113">
        <f>'IS (Before Changes)'!AE146-'IS 3Q2022'!AE146</f>
        <v>-1.7884378079746632E-4</v>
      </c>
      <c r="AF146" s="113">
        <f>'IS (Before Changes)'!AF146-'IS 3Q2022'!AF146</f>
        <v>-6.6973765220377235E-3</v>
      </c>
      <c r="AG146" s="137">
        <f>'IS (Before Changes)'!AG146-'IS 3Q2022'!AG146</f>
        <v>2.8226562849220649E-4</v>
      </c>
      <c r="AH146" s="113">
        <f>'IS (Before Changes)'!AH146-'IS 3Q2022'!AH146</f>
        <v>-7.7299859893937839E-3</v>
      </c>
      <c r="AI146" s="113">
        <f>'IS (Before Changes)'!AI146-'IS 3Q2022'!AI146</f>
        <v>-1.1373401119910698E-2</v>
      </c>
      <c r="AJ146" s="113">
        <f>'IS (Before Changes)'!AJ146-'IS 3Q2022'!AJ146</f>
        <v>-1.0684547480189321E-2</v>
      </c>
      <c r="AK146" s="113">
        <f>'IS (Before Changes)'!AK146-'IS 3Q2022'!AK146</f>
        <v>-1.6179052708132913E-2</v>
      </c>
      <c r="AL146" s="137">
        <f>'IS (Before Changes)'!AL146-'IS 3Q2022'!AL146</f>
        <v>-1.1358388372973316E-2</v>
      </c>
      <c r="AM146" s="113">
        <f>'IS (Before Changes)'!AM146-'IS 3Q2022'!AM146</f>
        <v>-7.9373870302617E-3</v>
      </c>
      <c r="AN146" s="113">
        <f>'IS (Before Changes)'!AN146-'IS 3Q2022'!AN146</f>
        <v>-8.5458721521123326E-3</v>
      </c>
      <c r="AO146" s="113">
        <f>'IS (Before Changes)'!AO146-'IS 3Q2022'!AO146</f>
        <v>-6.6792979344592052E-3</v>
      </c>
      <c r="AP146" s="113">
        <f>'IS (Before Changes)'!AP146-'IS 3Q2022'!AP146</f>
        <v>-7.0477073586034944E-3</v>
      </c>
      <c r="AQ146" s="137">
        <f>'IS (Before Changes)'!AQ146-'IS 3Q2022'!AQ146</f>
        <v>-7.6496221912587536E-3</v>
      </c>
      <c r="AR146" s="113">
        <f>'IS (Before Changes)'!AR146-'IS 3Q2022'!AR146</f>
        <v>-2.5902978621794581E-3</v>
      </c>
      <c r="AS146" s="113">
        <f>'IS (Before Changes)'!AS146-'IS 3Q2022'!AS146</f>
        <v>-3.4601512673320123E-3</v>
      </c>
      <c r="AT146" s="113">
        <f>'IS (Before Changes)'!AT146-'IS 3Q2022'!AT146</f>
        <v>-2.6356663807531877E-3</v>
      </c>
      <c r="AU146" s="113">
        <f>'IS (Before Changes)'!AU146-'IS 3Q2022'!AU146</f>
        <v>-5.1551478705540443E-3</v>
      </c>
      <c r="AV146" s="137">
        <f>'IS (Before Changes)'!AV146-'IS 3Q2022'!AV146</f>
        <v>-3.4525970144771989E-3</v>
      </c>
    </row>
    <row r="147" spans="2:48" s="23" customFormat="1" outlineLevel="1" x14ac:dyDescent="0.3">
      <c r="B147" s="200" t="s">
        <v>139</v>
      </c>
      <c r="C147" s="201"/>
      <c r="D147" s="101">
        <f>'IS (Before Changes)'!D147-'IS 3Q2022'!D147</f>
        <v>0</v>
      </c>
      <c r="E147" s="27">
        <f>'IS (Before Changes)'!E147-'IS 3Q2022'!E147</f>
        <v>0</v>
      </c>
      <c r="F147" s="27">
        <f>'IS (Before Changes)'!F147-'IS 3Q2022'!F147</f>
        <v>0</v>
      </c>
      <c r="G147" s="27">
        <f>'IS (Before Changes)'!G147-'IS 3Q2022'!G147</f>
        <v>0</v>
      </c>
      <c r="H147" s="29">
        <f>'IS (Before Changes)'!H147-'IS 3Q2022'!H147</f>
        <v>0</v>
      </c>
      <c r="I147" s="27">
        <f>'IS (Before Changes)'!I147-'IS 3Q2022'!I147</f>
        <v>0</v>
      </c>
      <c r="J147" s="27">
        <f>'IS (Before Changes)'!J147-'IS 3Q2022'!J147</f>
        <v>0</v>
      </c>
      <c r="K147" s="27">
        <f>'IS (Before Changes)'!K147-'IS 3Q2022'!K147</f>
        <v>0</v>
      </c>
      <c r="L147" s="113">
        <f>'IS (Before Changes)'!L147-'IS 3Q2022'!L147</f>
        <v>0</v>
      </c>
      <c r="M147" s="137">
        <f>'IS (Before Changes)'!M147-'IS 3Q2022'!M147</f>
        <v>0</v>
      </c>
      <c r="N147" s="113">
        <f>'IS (Before Changes)'!N147-'IS 3Q2022'!N147</f>
        <v>0</v>
      </c>
      <c r="O147" s="113">
        <f>'IS (Before Changes)'!O147-'IS 3Q2022'!O147</f>
        <v>0</v>
      </c>
      <c r="P147" s="113">
        <f>'IS (Before Changes)'!P147-'IS 3Q2022'!P147</f>
        <v>0</v>
      </c>
      <c r="Q147" s="113">
        <f>'IS (Before Changes)'!Q147-'IS 3Q2022'!Q147</f>
        <v>0</v>
      </c>
      <c r="R147" s="29">
        <f>'IS (Before Changes)'!R147-'IS 3Q2022'!R147</f>
        <v>0</v>
      </c>
      <c r="S147" s="113">
        <f>'IS (Before Changes)'!S147-'IS 3Q2022'!S147</f>
        <v>0</v>
      </c>
      <c r="T147" s="113">
        <f>'IS (Before Changes)'!T147-'IS 3Q2022'!T147</f>
        <v>0</v>
      </c>
      <c r="U147" s="113">
        <f>'IS (Before Changes)'!U147-'IS 3Q2022'!U147</f>
        <v>0</v>
      </c>
      <c r="V147" s="113">
        <f>'IS (Before Changes)'!V147-'IS 3Q2022'!V147</f>
        <v>7.4531183288443659E-2</v>
      </c>
      <c r="W147" s="137">
        <f>'IS (Before Changes)'!W147-'IS 3Q2022'!W147</f>
        <v>2.3984667118681746E-2</v>
      </c>
      <c r="X147" s="113">
        <f>'IS (Before Changes)'!X147-'IS 3Q2022'!X147</f>
        <v>-1.596487738818464E-2</v>
      </c>
      <c r="Y147" s="113">
        <f>'IS (Before Changes)'!Y147-'IS 3Q2022'!Y147</f>
        <v>9.3310682092750952E-3</v>
      </c>
      <c r="Z147" s="113">
        <f>'IS (Before Changes)'!Z147-'IS 3Q2022'!Z147</f>
        <v>1.5447922627051192E-2</v>
      </c>
      <c r="AA147" s="113">
        <f>'IS (Before Changes)'!AA147-'IS 3Q2022'!AA147</f>
        <v>-6.8377768278743645E-2</v>
      </c>
      <c r="AB147" s="137">
        <f>'IS (Before Changes)'!AB147-'IS 3Q2022'!AB147</f>
        <v>-1.2555398209114665E-2</v>
      </c>
      <c r="AC147" s="113">
        <f>'IS (Before Changes)'!AC147-'IS 3Q2022'!AC147</f>
        <v>2.7972361556483083E-2</v>
      </c>
      <c r="AD147" s="113">
        <f>'IS (Before Changes)'!AD147-'IS 3Q2022'!AD147</f>
        <v>4.0524167693592794E-2</v>
      </c>
      <c r="AE147" s="113">
        <f>'IS (Before Changes)'!AE147-'IS 3Q2022'!AE147</f>
        <v>2.4982592232393408E-2</v>
      </c>
      <c r="AF147" s="113">
        <f>'IS (Before Changes)'!AF147-'IS 3Q2022'!AF147</f>
        <v>1.3604495588148025E-2</v>
      </c>
      <c r="AG147" s="137">
        <f>'IS (Before Changes)'!AG147-'IS 3Q2022'!AG147</f>
        <v>2.3621859676934198E-2</v>
      </c>
      <c r="AH147" s="113">
        <f>'IS (Before Changes)'!AH147-'IS 3Q2022'!AH147</f>
        <v>1.72918025508908E-2</v>
      </c>
      <c r="AI147" s="113">
        <f>'IS (Before Changes)'!AI147-'IS 3Q2022'!AI147</f>
        <v>-7.6565197389715234E-3</v>
      </c>
      <c r="AJ147" s="113">
        <f>'IS (Before Changes)'!AJ147-'IS 3Q2022'!AJ147</f>
        <v>-7.0881535293305653E-3</v>
      </c>
      <c r="AK147" s="113">
        <f>'IS (Before Changes)'!AK147-'IS 3Q2022'!AK147</f>
        <v>-1.3213319099107501E-2</v>
      </c>
      <c r="AL147" s="137">
        <f>'IS (Before Changes)'!AL147-'IS 3Q2022'!AL147</f>
        <v>-2.3020690104114117E-3</v>
      </c>
      <c r="AM147" s="113">
        <f>'IS (Before Changes)'!AM147-'IS 3Q2022'!AM147</f>
        <v>-6.6989973374764755E-3</v>
      </c>
      <c r="AN147" s="113">
        <f>'IS (Before Changes)'!AN147-'IS 3Q2022'!AN147</f>
        <v>-7.2090741457266905E-3</v>
      </c>
      <c r="AO147" s="113">
        <f>'IS (Before Changes)'!AO147-'IS 3Q2022'!AO147</f>
        <v>-5.7926766111950911E-3</v>
      </c>
      <c r="AP147" s="113">
        <f>'IS (Before Changes)'!AP147-'IS 3Q2022'!AP147</f>
        <v>-5.8497515067432726E-3</v>
      </c>
      <c r="AQ147" s="29">
        <f>'IS (Before Changes)'!AQ147-'IS 3Q2022'!AQ147</f>
        <v>-6.4996257915632683E-3</v>
      </c>
      <c r="AR147" s="113">
        <f>'IS (Before Changes)'!AR147-'IS 3Q2022'!AR147</f>
        <v>-1.719117892546862E-3</v>
      </c>
      <c r="AS147" s="113">
        <f>'IS (Before Changes)'!AS147-'IS 3Q2022'!AS147</f>
        <v>-2.3307243502366237E-3</v>
      </c>
      <c r="AT147" s="113">
        <f>'IS (Before Changes)'!AT147-'IS 3Q2022'!AT147</f>
        <v>-1.8028805636318701E-3</v>
      </c>
      <c r="AU147" s="113">
        <f>'IS (Before Changes)'!AU147-'IS 3Q2022'!AU147</f>
        <v>-4.1835761847339725E-3</v>
      </c>
      <c r="AV147" s="29">
        <f>'IS (Before Changes)'!AV147-'IS 3Q2022'!AV147</f>
        <v>-2.5120548659616215E-3</v>
      </c>
    </row>
    <row r="148" spans="2:48" s="23" customFormat="1" outlineLevel="1" x14ac:dyDescent="0.3">
      <c r="B148" s="200" t="s">
        <v>140</v>
      </c>
      <c r="C148" s="201"/>
      <c r="D148" s="101">
        <f>'IS (Before Changes)'!D148-'IS 3Q2022'!D148</f>
        <v>0</v>
      </c>
      <c r="E148" s="27">
        <f>'IS (Before Changes)'!E148-'IS 3Q2022'!E148</f>
        <v>0</v>
      </c>
      <c r="F148" s="27">
        <f>'IS (Before Changes)'!F148-'IS 3Q2022'!F148</f>
        <v>0</v>
      </c>
      <c r="G148" s="27">
        <f>'IS (Before Changes)'!G148-'IS 3Q2022'!G148</f>
        <v>0</v>
      </c>
      <c r="H148" s="29">
        <f>'IS (Before Changes)'!H148-'IS 3Q2022'!H148</f>
        <v>0</v>
      </c>
      <c r="I148" s="27">
        <f>'IS (Before Changes)'!I148-'IS 3Q2022'!I148</f>
        <v>0</v>
      </c>
      <c r="J148" s="27">
        <f>'IS (Before Changes)'!J148-'IS 3Q2022'!J148</f>
        <v>0</v>
      </c>
      <c r="K148" s="27">
        <f>'IS (Before Changes)'!K148-'IS 3Q2022'!K148</f>
        <v>0</v>
      </c>
      <c r="L148" s="113">
        <f>'IS (Before Changes)'!L148-'IS 3Q2022'!L148</f>
        <v>0</v>
      </c>
      <c r="M148" s="137">
        <f>'IS (Before Changes)'!M148-'IS 3Q2022'!M148</f>
        <v>0</v>
      </c>
      <c r="N148" s="113">
        <f>'IS (Before Changes)'!N148-'IS 3Q2022'!N148</f>
        <v>0</v>
      </c>
      <c r="O148" s="113">
        <f>'IS (Before Changes)'!O148-'IS 3Q2022'!O148</f>
        <v>0</v>
      </c>
      <c r="P148" s="113">
        <f>'IS (Before Changes)'!P148-'IS 3Q2022'!P148</f>
        <v>0</v>
      </c>
      <c r="Q148" s="113">
        <f>'IS (Before Changes)'!Q148-'IS 3Q2022'!Q148</f>
        <v>0</v>
      </c>
      <c r="R148" s="29">
        <f>'IS (Before Changes)'!R148-'IS 3Q2022'!R148</f>
        <v>0</v>
      </c>
      <c r="S148" s="113">
        <f>'IS (Before Changes)'!S148-'IS 3Q2022'!S148</f>
        <v>0</v>
      </c>
      <c r="T148" s="113">
        <f>'IS (Before Changes)'!T148-'IS 3Q2022'!T148</f>
        <v>0</v>
      </c>
      <c r="U148" s="113">
        <f>'IS (Before Changes)'!U148-'IS 3Q2022'!U148</f>
        <v>0</v>
      </c>
      <c r="V148" s="113">
        <f>'IS (Before Changes)'!V148-'IS 3Q2022'!V148</f>
        <v>-0.15626954285548189</v>
      </c>
      <c r="W148" s="137">
        <f>'IS (Before Changes)'!W148-'IS 3Q2022'!W148</f>
        <v>-3.9677935921380358E-2</v>
      </c>
      <c r="X148" s="113">
        <f>'IS (Before Changes)'!X148-'IS 3Q2022'!X148</f>
        <v>0.18322958196685502</v>
      </c>
      <c r="Y148" s="113">
        <f>'IS (Before Changes)'!Y148-'IS 3Q2022'!Y148</f>
        <v>0.26322184581532326</v>
      </c>
      <c r="Z148" s="113">
        <f>'IS (Before Changes)'!Z148-'IS 3Q2022'!Z148</f>
        <v>2.4472729908002755E-2</v>
      </c>
      <c r="AA148" s="113">
        <f>'IS (Before Changes)'!AA148-'IS 3Q2022'!AA148</f>
        <v>0.2627554749761567</v>
      </c>
      <c r="AB148" s="137">
        <f>'IS (Before Changes)'!AB148-'IS 3Q2022'!AB148</f>
        <v>0.14491676223952399</v>
      </c>
      <c r="AC148" s="113">
        <f>'IS (Before Changes)'!AC148-'IS 3Q2022'!AC148</f>
        <v>-0.14979530303604038</v>
      </c>
      <c r="AD148" s="113">
        <f>'IS (Before Changes)'!AD148-'IS 3Q2022'!AD148</f>
        <v>-1.5794115846756274E-2</v>
      </c>
      <c r="AE148" s="113">
        <f>'IS (Before Changes)'!AE148-'IS 3Q2022'!AE148</f>
        <v>-6.3142458095544196E-3</v>
      </c>
      <c r="AF148" s="113">
        <f>'IS (Before Changes)'!AF148-'IS 3Q2022'!AF148</f>
        <v>-2.1155945286110089E-2</v>
      </c>
      <c r="AG148" s="137">
        <f>'IS (Before Changes)'!AG148-'IS 3Q2022'!AG148</f>
        <v>-5.472685082699269E-2</v>
      </c>
      <c r="AH148" s="113">
        <f>'IS (Before Changes)'!AH148-'IS 3Q2022'!AH148</f>
        <v>9.9677195452421152E-3</v>
      </c>
      <c r="AI148" s="113">
        <f>'IS (Before Changes)'!AI148-'IS 3Q2022'!AI148</f>
        <v>-1.982115354209002E-3</v>
      </c>
      <c r="AJ148" s="113">
        <f>'IS (Before Changes)'!AJ148-'IS 3Q2022'!AJ148</f>
        <v>-1.624348560298472E-4</v>
      </c>
      <c r="AK148" s="113">
        <f>'IS (Before Changes)'!AK148-'IS 3Q2022'!AK148</f>
        <v>-4.0231421252715949E-2</v>
      </c>
      <c r="AL148" s="29">
        <f>'IS (Before Changes)'!AL148-'IS 3Q2022'!AL148</f>
        <v>-8.9407232174085749E-3</v>
      </c>
      <c r="AM148" s="113">
        <f>'IS (Before Changes)'!AM148-'IS 3Q2022'!AM148</f>
        <v>2.3660677028637167E-2</v>
      </c>
      <c r="AN148" s="113">
        <f>'IS (Before Changes)'!AN148-'IS 3Q2022'!AN148</f>
        <v>-6.0727792854802232E-3</v>
      </c>
      <c r="AO148" s="113">
        <f>'IS (Before Changes)'!AO148-'IS 3Q2022'!AO148</f>
        <v>-3.9221447691479838E-3</v>
      </c>
      <c r="AP148" s="113">
        <f>'IS (Before Changes)'!AP148-'IS 3Q2022'!AP148</f>
        <v>2.9124667592020259E-2</v>
      </c>
      <c r="AQ148" s="29">
        <f>'IS (Before Changes)'!AQ148-'IS 3Q2022'!AQ148</f>
        <v>1.4277228280397791E-2</v>
      </c>
      <c r="AR148" s="113">
        <f>'IS (Before Changes)'!AR148-'IS 3Q2022'!AR148</f>
        <v>-2.2626300044731096E-2</v>
      </c>
      <c r="AS148" s="113">
        <f>'IS (Before Changes)'!AS148-'IS 3Q2022'!AS148</f>
        <v>-9.3095529937503585E-4</v>
      </c>
      <c r="AT148" s="113">
        <f>'IS (Before Changes)'!AT148-'IS 3Q2022'!AT148</f>
        <v>-8.6133285141731797E-4</v>
      </c>
      <c r="AU148" s="113">
        <f>'IS (Before Changes)'!AU148-'IS 3Q2022'!AU148</f>
        <v>-8.6577758112367231E-3</v>
      </c>
      <c r="AV148" s="29">
        <f>'IS (Before Changes)'!AV148-'IS 3Q2022'!AV148</f>
        <v>-9.746681273650637E-3</v>
      </c>
    </row>
    <row r="149" spans="2:48" s="23" customFormat="1" outlineLevel="1" x14ac:dyDescent="0.3">
      <c r="B149" s="200" t="s">
        <v>334</v>
      </c>
      <c r="C149" s="201"/>
      <c r="D149" s="101">
        <f>'IS (Before Changes)'!D149-'IS 3Q2022'!D149</f>
        <v>0</v>
      </c>
      <c r="E149" s="27">
        <f>'IS (Before Changes)'!E149-'IS 3Q2022'!E149</f>
        <v>0</v>
      </c>
      <c r="F149" s="27">
        <f>'IS (Before Changes)'!F149-'IS 3Q2022'!F149</f>
        <v>0</v>
      </c>
      <c r="G149" s="27">
        <f>'IS (Before Changes)'!G149-'IS 3Q2022'!G149</f>
        <v>0</v>
      </c>
      <c r="H149" s="29">
        <f>'IS (Before Changes)'!H149-'IS 3Q2022'!H149</f>
        <v>0</v>
      </c>
      <c r="I149" s="27">
        <f>'IS (Before Changes)'!I149-'IS 3Q2022'!I149</f>
        <v>0</v>
      </c>
      <c r="J149" s="27">
        <f>'IS (Before Changes)'!J149-'IS 3Q2022'!J149</f>
        <v>0</v>
      </c>
      <c r="K149" s="27">
        <f>'IS (Before Changes)'!K149-'IS 3Q2022'!K149</f>
        <v>0</v>
      </c>
      <c r="L149" s="113">
        <f>'IS (Before Changes)'!L149-'IS 3Q2022'!L149</f>
        <v>0</v>
      </c>
      <c r="M149" s="137">
        <f>'IS (Before Changes)'!M149-'IS 3Q2022'!M149</f>
        <v>0</v>
      </c>
      <c r="N149" s="113">
        <f>'IS (Before Changes)'!N149-'IS 3Q2022'!N149</f>
        <v>0</v>
      </c>
      <c r="O149" s="113">
        <f>'IS (Before Changes)'!O149-'IS 3Q2022'!O149</f>
        <v>0</v>
      </c>
      <c r="P149" s="113">
        <f>'IS (Before Changes)'!P149-'IS 3Q2022'!P149</f>
        <v>0</v>
      </c>
      <c r="Q149" s="113">
        <f>'IS (Before Changes)'!Q149-'IS 3Q2022'!Q149</f>
        <v>0</v>
      </c>
      <c r="R149" s="29">
        <f>'IS (Before Changes)'!R149-'IS 3Q2022'!R149</f>
        <v>0</v>
      </c>
      <c r="S149" s="113">
        <f>'IS (Before Changes)'!S149-'IS 3Q2022'!S149</f>
        <v>0</v>
      </c>
      <c r="T149" s="113">
        <f>'IS (Before Changes)'!T149-'IS 3Q2022'!T149</f>
        <v>0</v>
      </c>
      <c r="U149" s="113">
        <f>'IS (Before Changes)'!U149-'IS 3Q2022'!U149</f>
        <v>0</v>
      </c>
      <c r="V149" s="113">
        <f>'IS (Before Changes)'!V149-'IS 3Q2022'!V149</f>
        <v>0</v>
      </c>
      <c r="W149" s="137">
        <f>'IS (Before Changes)'!W149-'IS 3Q2022'!W149</f>
        <v>0</v>
      </c>
      <c r="X149" s="113">
        <f>'IS (Before Changes)'!X149-'IS 3Q2022'!X149</f>
        <v>0</v>
      </c>
      <c r="Y149" s="113">
        <f>'IS (Before Changes)'!Y149-'IS 3Q2022'!Y149</f>
        <v>0</v>
      </c>
      <c r="Z149" s="113">
        <f>'IS (Before Changes)'!Z149-'IS 3Q2022'!Z149</f>
        <v>0</v>
      </c>
      <c r="AA149" s="113">
        <f>'IS (Before Changes)'!AA149-'IS 3Q2022'!AA149</f>
        <v>0</v>
      </c>
      <c r="AB149" s="137">
        <f>'IS (Before Changes)'!AB149-'IS 3Q2022'!AB149</f>
        <v>0</v>
      </c>
      <c r="AC149" s="113">
        <f>'IS (Before Changes)'!AC149-'IS 3Q2022'!AC149</f>
        <v>0</v>
      </c>
      <c r="AD149" s="113">
        <f>'IS (Before Changes)'!AD149-'IS 3Q2022'!AD149</f>
        <v>0</v>
      </c>
      <c r="AE149" s="113">
        <f>'IS (Before Changes)'!AE149-'IS 3Q2022'!AE149</f>
        <v>0</v>
      </c>
      <c r="AF149" s="113">
        <f>'IS (Before Changes)'!AF149-'IS 3Q2022'!AF149</f>
        <v>0</v>
      </c>
      <c r="AG149" s="137">
        <f>'IS (Before Changes)'!AG149-'IS 3Q2022'!AG149</f>
        <v>0</v>
      </c>
      <c r="AH149" s="113">
        <f>'IS (Before Changes)'!AH149-'IS 3Q2022'!AH149</f>
        <v>0</v>
      </c>
      <c r="AI149" s="113">
        <f>'IS (Before Changes)'!AI149-'IS 3Q2022'!AI149</f>
        <v>0</v>
      </c>
      <c r="AJ149" s="113">
        <f>'IS (Before Changes)'!AJ149-'IS 3Q2022'!AJ149</f>
        <v>0</v>
      </c>
      <c r="AK149" s="113">
        <f>'IS (Before Changes)'!AK149-'IS 3Q2022'!AK149</f>
        <v>0</v>
      </c>
      <c r="AL149" s="406">
        <f>'IS (Before Changes)'!AL149-'IS 3Q2022'!AL149</f>
        <v>3.0733034525494141E-3</v>
      </c>
      <c r="AM149" s="113">
        <f>'IS (Before Changes)'!AM149-'IS 3Q2022'!AM149</f>
        <v>0</v>
      </c>
      <c r="AN149" s="113">
        <f>'IS (Before Changes)'!AN149-'IS 3Q2022'!AN149</f>
        <v>0</v>
      </c>
      <c r="AO149" s="113">
        <f>'IS (Before Changes)'!AO149-'IS 3Q2022'!AO149</f>
        <v>0</v>
      </c>
      <c r="AP149" s="113">
        <f>'IS (Before Changes)'!AP149-'IS 3Q2022'!AP149</f>
        <v>0</v>
      </c>
      <c r="AQ149" s="29">
        <f>'IS (Before Changes)'!AQ149-'IS 3Q2022'!AQ149</f>
        <v>0</v>
      </c>
      <c r="AR149" s="113">
        <f>'IS (Before Changes)'!AR149-'IS 3Q2022'!AR149</f>
        <v>0</v>
      </c>
      <c r="AS149" s="113">
        <f>'IS (Before Changes)'!AS149-'IS 3Q2022'!AS149</f>
        <v>0</v>
      </c>
      <c r="AT149" s="113">
        <f>'IS (Before Changes)'!AT149-'IS 3Q2022'!AT149</f>
        <v>0</v>
      </c>
      <c r="AU149" s="113">
        <f>'IS (Before Changes)'!AU149-'IS 3Q2022'!AU149</f>
        <v>0</v>
      </c>
      <c r="AV149" s="29">
        <f>'IS (Before Changes)'!AV149-'IS 3Q2022'!AV149</f>
        <v>0</v>
      </c>
    </row>
    <row r="150" spans="2:48" ht="17.399999999999999" x14ac:dyDescent="0.45">
      <c r="B150" s="494" t="s">
        <v>130</v>
      </c>
      <c r="C150" s="495"/>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2" t="s">
        <v>25</v>
      </c>
      <c r="W150" s="255" t="s">
        <v>26</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486" t="s">
        <v>208</v>
      </c>
      <c r="C151" s="487"/>
      <c r="D151" s="101">
        <f>'IS (Before Changes)'!D151-'IS 3Q2022'!D151</f>
        <v>0</v>
      </c>
      <c r="E151" s="27">
        <f>'IS (Before Changes)'!E151-'IS 3Q2022'!E151</f>
        <v>0</v>
      </c>
      <c r="F151" s="27">
        <f>'IS (Before Changes)'!F151-'IS 3Q2022'!F151</f>
        <v>0</v>
      </c>
      <c r="G151" s="27">
        <f>'IS (Before Changes)'!G151-'IS 3Q2022'!G151</f>
        <v>0</v>
      </c>
      <c r="H151" s="9">
        <f>'IS (Before Changes)'!H151-'IS 3Q2022'!H151</f>
        <v>0</v>
      </c>
      <c r="I151" s="27">
        <f>'IS (Before Changes)'!I151-'IS 3Q2022'!I151</f>
        <v>0</v>
      </c>
      <c r="J151" s="27">
        <f>'IS (Before Changes)'!J151-'IS 3Q2022'!J151</f>
        <v>0</v>
      </c>
      <c r="K151" s="27">
        <f>'IS (Before Changes)'!K151-'IS 3Q2022'!K151</f>
        <v>0</v>
      </c>
      <c r="L151" s="27">
        <f>'IS (Before Changes)'!L151-'IS 3Q2022'!L151</f>
        <v>0</v>
      </c>
      <c r="M151" s="9">
        <f>'IS (Before Changes)'!M151-'IS 3Q2022'!M151</f>
        <v>0</v>
      </c>
      <c r="N151" s="27">
        <f>'IS (Before Changes)'!N151-'IS 3Q2022'!N151</f>
        <v>0</v>
      </c>
      <c r="O151" s="27">
        <f>'IS (Before Changes)'!O151-'IS 3Q2022'!O151</f>
        <v>0</v>
      </c>
      <c r="P151" s="27">
        <f>'IS (Before Changes)'!P151-'IS 3Q2022'!P151</f>
        <v>0</v>
      </c>
      <c r="Q151" s="27">
        <f>'IS (Before Changes)'!Q151-'IS 3Q2022'!Q151</f>
        <v>0</v>
      </c>
      <c r="R151" s="9">
        <f>'IS (Before Changes)'!R151-'IS 3Q2022'!R151</f>
        <v>0</v>
      </c>
      <c r="S151" s="27">
        <f>'IS (Before Changes)'!S151-'IS 3Q2022'!S151</f>
        <v>0</v>
      </c>
      <c r="T151" s="27">
        <f>'IS (Before Changes)'!T151-'IS 3Q2022'!T151</f>
        <v>0</v>
      </c>
      <c r="U151" s="27">
        <f>'IS (Before Changes)'!U151-'IS 3Q2022'!U151</f>
        <v>0</v>
      </c>
      <c r="V151" s="35">
        <f>'IS (Before Changes)'!V151-'IS 3Q2022'!V151</f>
        <v>-1.2538689060230795E-3</v>
      </c>
      <c r="W151" s="256">
        <f>'IS (Before Changes)'!W151-'IS 3Q2022'!W151</f>
        <v>0</v>
      </c>
      <c r="X151" s="35">
        <f>'IS (Before Changes)'!X151-'IS 3Q2022'!X151</f>
        <v>0</v>
      </c>
      <c r="Y151" s="35">
        <f>'IS (Before Changes)'!Y151-'IS 3Q2022'!Y151</f>
        <v>0</v>
      </c>
      <c r="Z151" s="35">
        <f>'IS (Before Changes)'!Z151-'IS 3Q2022'!Z151</f>
        <v>0</v>
      </c>
      <c r="AA151" s="35">
        <f>'IS (Before Changes)'!AA151-'IS 3Q2022'!AA151</f>
        <v>0</v>
      </c>
      <c r="AB151" s="9">
        <f>'IS (Before Changes)'!AB151-'IS 3Q2022'!AB151</f>
        <v>0</v>
      </c>
      <c r="AC151" s="35">
        <f>'IS (Before Changes)'!AC151-'IS 3Q2022'!AC151</f>
        <v>0</v>
      </c>
      <c r="AD151" s="35">
        <f>'IS (Before Changes)'!AD151-'IS 3Q2022'!AD151</f>
        <v>0</v>
      </c>
      <c r="AE151" s="35">
        <f>'IS (Before Changes)'!AE151-'IS 3Q2022'!AE151</f>
        <v>0</v>
      </c>
      <c r="AF151" s="35">
        <f>'IS (Before Changes)'!AF151-'IS 3Q2022'!AF151</f>
        <v>0</v>
      </c>
      <c r="AG151" s="9">
        <f>'IS (Before Changes)'!AG151-'IS 3Q2022'!AG151</f>
        <v>0</v>
      </c>
      <c r="AH151" s="35">
        <f>'IS (Before Changes)'!AH151-'IS 3Q2022'!AH151</f>
        <v>0</v>
      </c>
      <c r="AI151" s="35">
        <f>'IS (Before Changes)'!AI151-'IS 3Q2022'!AI151</f>
        <v>0</v>
      </c>
      <c r="AJ151" s="35">
        <f>'IS (Before Changes)'!AJ151-'IS 3Q2022'!AJ151</f>
        <v>0</v>
      </c>
      <c r="AK151" s="35">
        <f>'IS (Before Changes)'!AK151-'IS 3Q2022'!AK151</f>
        <v>0</v>
      </c>
      <c r="AL151" s="9">
        <f>'IS (Before Changes)'!AL151-'IS 3Q2022'!AL151</f>
        <v>0</v>
      </c>
      <c r="AM151" s="35">
        <f>'IS (Before Changes)'!AM151-'IS 3Q2022'!AM151</f>
        <v>0</v>
      </c>
      <c r="AN151" s="35">
        <f>'IS (Before Changes)'!AN151-'IS 3Q2022'!AN151</f>
        <v>0</v>
      </c>
      <c r="AO151" s="35">
        <f>'IS (Before Changes)'!AO151-'IS 3Q2022'!AO151</f>
        <v>0</v>
      </c>
      <c r="AP151" s="35">
        <f>'IS (Before Changes)'!AP151-'IS 3Q2022'!AP151</f>
        <v>0</v>
      </c>
      <c r="AQ151" s="9">
        <f>'IS (Before Changes)'!AQ151-'IS 3Q2022'!AQ151</f>
        <v>0</v>
      </c>
      <c r="AR151" s="35">
        <f>'IS (Before Changes)'!AR151-'IS 3Q2022'!AR151</f>
        <v>0</v>
      </c>
      <c r="AS151" s="35">
        <f>'IS (Before Changes)'!AS151-'IS 3Q2022'!AS151</f>
        <v>0</v>
      </c>
      <c r="AT151" s="35">
        <f>'IS (Before Changes)'!AT151-'IS 3Q2022'!AT151</f>
        <v>0</v>
      </c>
      <c r="AU151" s="35">
        <f>'IS (Before Changes)'!AU151-'IS 3Q2022'!AU151</f>
        <v>0</v>
      </c>
      <c r="AV151" s="9">
        <f>'IS (Before Changes)'!AV151-'IS 3Q2022'!AV151</f>
        <v>0</v>
      </c>
    </row>
    <row r="152" spans="2:48" outlineLevel="1" x14ac:dyDescent="0.3">
      <c r="B152" s="486" t="s">
        <v>209</v>
      </c>
      <c r="C152" s="487"/>
      <c r="D152" s="27">
        <f>'IS (Before Changes)'!D152-'IS 3Q2022'!D152</f>
        <v>0</v>
      </c>
      <c r="E152" s="27">
        <f>'IS (Before Changes)'!E152-'IS 3Q2022'!E152</f>
        <v>0</v>
      </c>
      <c r="F152" s="27">
        <f>'IS (Before Changes)'!F152-'IS 3Q2022'!F152</f>
        <v>0</v>
      </c>
      <c r="G152" s="27">
        <f>'IS (Before Changes)'!G152-'IS 3Q2022'!G152</f>
        <v>0</v>
      </c>
      <c r="H152" s="9">
        <f>'IS (Before Changes)'!H152-'IS 3Q2022'!H152</f>
        <v>0</v>
      </c>
      <c r="I152" s="27">
        <f>'IS (Before Changes)'!I152-'IS 3Q2022'!I152</f>
        <v>0</v>
      </c>
      <c r="J152" s="27">
        <f>'IS (Before Changes)'!J152-'IS 3Q2022'!J152</f>
        <v>0</v>
      </c>
      <c r="K152" s="27">
        <f>'IS (Before Changes)'!K152-'IS 3Q2022'!K152</f>
        <v>0</v>
      </c>
      <c r="L152" s="27">
        <f>'IS (Before Changes)'!L152-'IS 3Q2022'!L152</f>
        <v>0</v>
      </c>
      <c r="M152" s="9">
        <f>'IS (Before Changes)'!M152-'IS 3Q2022'!M152</f>
        <v>0</v>
      </c>
      <c r="N152" s="27">
        <f>'IS (Before Changes)'!N152-'IS 3Q2022'!N152</f>
        <v>0</v>
      </c>
      <c r="O152" s="27">
        <f>'IS (Before Changes)'!O152-'IS 3Q2022'!O152</f>
        <v>0</v>
      </c>
      <c r="P152" s="27">
        <f>'IS (Before Changes)'!P152-'IS 3Q2022'!P152</f>
        <v>0</v>
      </c>
      <c r="Q152" s="27">
        <f>'IS (Before Changes)'!Q152-'IS 3Q2022'!Q152</f>
        <v>0</v>
      </c>
      <c r="R152" s="9">
        <f>'IS (Before Changes)'!R152-'IS 3Q2022'!R152</f>
        <v>0</v>
      </c>
      <c r="S152" s="27">
        <f>'IS (Before Changes)'!S152-'IS 3Q2022'!S152</f>
        <v>0</v>
      </c>
      <c r="T152" s="27">
        <f>'IS (Before Changes)'!T152-'IS 3Q2022'!T152</f>
        <v>0</v>
      </c>
      <c r="U152" s="27">
        <f>'IS (Before Changes)'!U152-'IS 3Q2022'!U152</f>
        <v>0</v>
      </c>
      <c r="V152" s="35">
        <f>'IS (Before Changes)'!V152-'IS 3Q2022'!V152</f>
        <v>3.0321459600346577E-4</v>
      </c>
      <c r="W152" s="256">
        <f>'IS (Before Changes)'!W152-'IS 3Q2022'!W152</f>
        <v>0</v>
      </c>
      <c r="X152" s="35">
        <f>'IS (Before Changes)'!X152-'IS 3Q2022'!X152</f>
        <v>0</v>
      </c>
      <c r="Y152" s="35">
        <f>'IS (Before Changes)'!Y152-'IS 3Q2022'!Y152</f>
        <v>0</v>
      </c>
      <c r="Z152" s="35">
        <f>'IS (Before Changes)'!Z152-'IS 3Q2022'!Z152</f>
        <v>0</v>
      </c>
      <c r="AA152" s="35">
        <f>'IS (Before Changes)'!AA152-'IS 3Q2022'!AA152</f>
        <v>0</v>
      </c>
      <c r="AB152" s="9">
        <f>'IS (Before Changes)'!AB152-'IS 3Q2022'!AB152</f>
        <v>0</v>
      </c>
      <c r="AC152" s="35">
        <f>'IS (Before Changes)'!AC152-'IS 3Q2022'!AC152</f>
        <v>0</v>
      </c>
      <c r="AD152" s="35">
        <f>'IS (Before Changes)'!AD152-'IS 3Q2022'!AD152</f>
        <v>0</v>
      </c>
      <c r="AE152" s="35">
        <f>'IS (Before Changes)'!AE152-'IS 3Q2022'!AE152</f>
        <v>0</v>
      </c>
      <c r="AF152" s="35">
        <f>'IS (Before Changes)'!AF152-'IS 3Q2022'!AF152</f>
        <v>0</v>
      </c>
      <c r="AG152" s="9">
        <f>'IS (Before Changes)'!AG152-'IS 3Q2022'!AG152</f>
        <v>0</v>
      </c>
      <c r="AH152" s="35">
        <f>'IS (Before Changes)'!AH152-'IS 3Q2022'!AH152</f>
        <v>0</v>
      </c>
      <c r="AI152" s="35">
        <f>'IS (Before Changes)'!AI152-'IS 3Q2022'!AI152</f>
        <v>0</v>
      </c>
      <c r="AJ152" s="35">
        <f>'IS (Before Changes)'!AJ152-'IS 3Q2022'!AJ152</f>
        <v>0</v>
      </c>
      <c r="AK152" s="35">
        <f>'IS (Before Changes)'!AK152-'IS 3Q2022'!AK152</f>
        <v>0</v>
      </c>
      <c r="AL152" s="9">
        <f>'IS (Before Changes)'!AL152-'IS 3Q2022'!AL152</f>
        <v>0</v>
      </c>
      <c r="AM152" s="35">
        <f>'IS (Before Changes)'!AM152-'IS 3Q2022'!AM152</f>
        <v>0</v>
      </c>
      <c r="AN152" s="35">
        <f>'IS (Before Changes)'!AN152-'IS 3Q2022'!AN152</f>
        <v>0</v>
      </c>
      <c r="AO152" s="35">
        <f>'IS (Before Changes)'!AO152-'IS 3Q2022'!AO152</f>
        <v>0</v>
      </c>
      <c r="AP152" s="35">
        <f>'IS (Before Changes)'!AP152-'IS 3Q2022'!AP152</f>
        <v>0</v>
      </c>
      <c r="AQ152" s="9">
        <f>'IS (Before Changes)'!AQ152-'IS 3Q2022'!AQ152</f>
        <v>0</v>
      </c>
      <c r="AR152" s="35">
        <f>'IS (Before Changes)'!AR152-'IS 3Q2022'!AR152</f>
        <v>0</v>
      </c>
      <c r="AS152" s="35">
        <f>'IS (Before Changes)'!AS152-'IS 3Q2022'!AS152</f>
        <v>0</v>
      </c>
      <c r="AT152" s="35">
        <f>'IS (Before Changes)'!AT152-'IS 3Q2022'!AT152</f>
        <v>0</v>
      </c>
      <c r="AU152" s="35">
        <f>'IS (Before Changes)'!AU152-'IS 3Q2022'!AU152</f>
        <v>0</v>
      </c>
      <c r="AV152" s="9">
        <f>'IS (Before Changes)'!AV152-'IS 3Q2022'!AV152</f>
        <v>0</v>
      </c>
    </row>
    <row r="153" spans="2:48" outlineLevel="1" x14ac:dyDescent="0.3">
      <c r="B153" s="496" t="s">
        <v>137</v>
      </c>
      <c r="C153" s="497"/>
      <c r="D153" s="245">
        <f>'IS (Before Changes)'!D153-'IS 3Q2022'!D153</f>
        <v>0</v>
      </c>
      <c r="E153" s="144">
        <f>'IS (Before Changes)'!E153-'IS 3Q2022'!E153</f>
        <v>0</v>
      </c>
      <c r="F153" s="144">
        <f>'IS (Before Changes)'!F153-'IS 3Q2022'!F153</f>
        <v>0</v>
      </c>
      <c r="G153" s="144">
        <f>'IS (Before Changes)'!G153-'IS 3Q2022'!G153</f>
        <v>0</v>
      </c>
      <c r="H153" s="246">
        <f>'IS (Before Changes)'!H153-'IS 3Q2022'!H153</f>
        <v>0</v>
      </c>
      <c r="I153" s="144">
        <f>'IS (Before Changes)'!I153-'IS 3Q2022'!I153</f>
        <v>0</v>
      </c>
      <c r="J153" s="144">
        <f>'IS (Before Changes)'!J153-'IS 3Q2022'!J153</f>
        <v>0</v>
      </c>
      <c r="K153" s="144">
        <f>'IS (Before Changes)'!K153-'IS 3Q2022'!K153</f>
        <v>0</v>
      </c>
      <c r="L153" s="144">
        <f>'IS (Before Changes)'!L153-'IS 3Q2022'!L153</f>
        <v>0</v>
      </c>
      <c r="M153" s="246">
        <f>'IS (Before Changes)'!M153-'IS 3Q2022'!M153</f>
        <v>0</v>
      </c>
      <c r="N153" s="144">
        <f>'IS (Before Changes)'!N153-'IS 3Q2022'!N153</f>
        <v>0</v>
      </c>
      <c r="O153" s="144">
        <f>'IS (Before Changes)'!O153-'IS 3Q2022'!O153</f>
        <v>0</v>
      </c>
      <c r="P153" s="144">
        <f>'IS (Before Changes)'!P153-'IS 3Q2022'!P153</f>
        <v>0</v>
      </c>
      <c r="Q153" s="144">
        <f>'IS (Before Changes)'!Q153-'IS 3Q2022'!Q153</f>
        <v>0</v>
      </c>
      <c r="R153" s="246">
        <f>'IS (Before Changes)'!R153-'IS 3Q2022'!R153</f>
        <v>0</v>
      </c>
      <c r="S153" s="144">
        <f>'IS (Before Changes)'!S153-'IS 3Q2022'!S153</f>
        <v>0</v>
      </c>
      <c r="T153" s="144">
        <f>'IS (Before Changes)'!T153-'IS 3Q2022'!T153</f>
        <v>0</v>
      </c>
      <c r="U153" s="144">
        <f>'IS (Before Changes)'!U153-'IS 3Q2022'!U153</f>
        <v>0</v>
      </c>
      <c r="V153" s="247">
        <f>'IS (Before Changes)'!V153-'IS 3Q2022'!V153</f>
        <v>0</v>
      </c>
      <c r="W153" s="257">
        <f>'IS (Before Changes)'!W153-'IS 3Q2022'!W153</f>
        <v>0</v>
      </c>
      <c r="X153" s="247">
        <f>'IS (Before Changes)'!X153-'IS 3Q2022'!X153</f>
        <v>0</v>
      </c>
      <c r="Y153" s="247">
        <f>'IS (Before Changes)'!Y153-'IS 3Q2022'!Y153</f>
        <v>0</v>
      </c>
      <c r="Z153" s="247">
        <f>'IS (Before Changes)'!Z153-'IS 3Q2022'!Z153</f>
        <v>0</v>
      </c>
      <c r="AA153" s="247">
        <f>'IS (Before Changes)'!AA153-'IS 3Q2022'!AA153</f>
        <v>0</v>
      </c>
      <c r="AB153" s="246">
        <f>'IS (Before Changes)'!AB153-'IS 3Q2022'!AB153</f>
        <v>0</v>
      </c>
      <c r="AC153" s="393">
        <f>'IS (Before Changes)'!AC153-'IS 3Q2022'!AC153</f>
        <v>3.2956875000000281</v>
      </c>
      <c r="AD153" s="247">
        <f>'IS (Before Changes)'!AD153-'IS 3Q2022'!AD153</f>
        <v>3.2956875000000281</v>
      </c>
      <c r="AE153" s="247">
        <f>'IS (Before Changes)'!AE153-'IS 3Q2022'!AE153</f>
        <v>3.2956875000000281</v>
      </c>
      <c r="AF153" s="247">
        <f>'IS (Before Changes)'!AF153-'IS 3Q2022'!AF153</f>
        <v>3.2956875000000281</v>
      </c>
      <c r="AG153" s="390">
        <f>'IS (Before Changes)'!AG153-'IS 3Q2022'!AG153</f>
        <v>0</v>
      </c>
      <c r="AH153" s="393">
        <f>'IS (Before Changes)'!AH153-'IS 3Q2022'!AH153</f>
        <v>3.4604718749999961</v>
      </c>
      <c r="AI153" s="247">
        <f>'IS (Before Changes)'!AI153-'IS 3Q2022'!AI153</f>
        <v>3.4604718749999961</v>
      </c>
      <c r="AJ153" s="247">
        <f>'IS (Before Changes)'!AJ153-'IS 3Q2022'!AJ153</f>
        <v>3.4604718749999961</v>
      </c>
      <c r="AK153" s="247">
        <f>'IS (Before Changes)'!AK153-'IS 3Q2022'!AK153</f>
        <v>3.4604718749999961</v>
      </c>
      <c r="AL153" s="390">
        <f>'IS (Before Changes)'!AL153-'IS 3Q2022'!AL153</f>
        <v>0</v>
      </c>
      <c r="AM153" s="247">
        <f>'IS (Before Changes)'!AM153-'IS 3Q2022'!AM153</f>
        <v>3.6065806875000135</v>
      </c>
      <c r="AN153" s="247">
        <f>'IS (Before Changes)'!AN153-'IS 3Q2022'!AN153</f>
        <v>3.6065806875000135</v>
      </c>
      <c r="AO153" s="247">
        <f>'IS (Before Changes)'!AO153-'IS 3Q2022'!AO153</f>
        <v>3.6065806875000135</v>
      </c>
      <c r="AP153" s="247">
        <f>'IS (Before Changes)'!AP153-'IS 3Q2022'!AP153</f>
        <v>3.6065806875000135</v>
      </c>
      <c r="AQ153" s="246">
        <f>'IS (Before Changes)'!AQ153-'IS 3Q2022'!AQ153</f>
        <v>0</v>
      </c>
      <c r="AR153" s="247">
        <f>'IS (Before Changes)'!AR153-'IS 3Q2022'!AR153</f>
        <v>3.6787123012500018</v>
      </c>
      <c r="AS153" s="247">
        <f>'IS (Before Changes)'!AS153-'IS 3Q2022'!AS153</f>
        <v>3.6787123012500018</v>
      </c>
      <c r="AT153" s="247">
        <f>'IS (Before Changes)'!AT153-'IS 3Q2022'!AT153</f>
        <v>3.6787123012500018</v>
      </c>
      <c r="AU153" s="247">
        <f>'IS (Before Changes)'!AU153-'IS 3Q2022'!AU153</f>
        <v>3.6787123012500018</v>
      </c>
      <c r="AV153" s="246">
        <f>'IS (Before Changes)'!AV153-'IS 3Q2022'!AV153</f>
        <v>0</v>
      </c>
    </row>
    <row r="154" spans="2:48" outlineLevel="1" x14ac:dyDescent="0.3">
      <c r="B154" s="486" t="s">
        <v>138</v>
      </c>
      <c r="C154" s="487"/>
      <c r="D154" s="16">
        <f>'IS (Before Changes)'!D154-'IS 3Q2022'!D154</f>
        <v>0</v>
      </c>
      <c r="E154" s="105">
        <f>'IS (Before Changes)'!E154-'IS 3Q2022'!E154</f>
        <v>0</v>
      </c>
      <c r="F154" s="105">
        <f>'IS (Before Changes)'!F154-'IS 3Q2022'!F154</f>
        <v>0</v>
      </c>
      <c r="G154" s="101">
        <f>'IS (Before Changes)'!G154-'IS 3Q2022'!G154</f>
        <v>0</v>
      </c>
      <c r="H154" s="17">
        <f>'IS (Before Changes)'!H154-'IS 3Q2022'!H154</f>
        <v>0</v>
      </c>
      <c r="I154" s="101">
        <f>'IS (Before Changes)'!I154-'IS 3Q2022'!I154</f>
        <v>0</v>
      </c>
      <c r="J154" s="101">
        <f>'IS (Before Changes)'!J154-'IS 3Q2022'!J154</f>
        <v>0</v>
      </c>
      <c r="K154" s="101">
        <f>'IS (Before Changes)'!K154-'IS 3Q2022'!K154</f>
        <v>0</v>
      </c>
      <c r="L154" s="101">
        <f>'IS (Before Changes)'!L154-'IS 3Q2022'!L154</f>
        <v>0</v>
      </c>
      <c r="M154" s="17">
        <f>'IS (Before Changes)'!M154-'IS 3Q2022'!M154</f>
        <v>0</v>
      </c>
      <c r="N154" s="101">
        <f>'IS (Before Changes)'!N154-'IS 3Q2022'!N154</f>
        <v>0</v>
      </c>
      <c r="O154" s="101">
        <f>'IS (Before Changes)'!O154-'IS 3Q2022'!O154</f>
        <v>0</v>
      </c>
      <c r="P154" s="101">
        <f>'IS (Before Changes)'!P154-'IS 3Q2022'!P154</f>
        <v>0</v>
      </c>
      <c r="Q154" s="101">
        <f>'IS (Before Changes)'!Q154-'IS 3Q2022'!Q154</f>
        <v>0</v>
      </c>
      <c r="R154" s="17">
        <f>'IS (Before Changes)'!R154-'IS 3Q2022'!R154</f>
        <v>0</v>
      </c>
      <c r="S154" s="101">
        <f>'IS (Before Changes)'!S154-'IS 3Q2022'!S154</f>
        <v>0</v>
      </c>
      <c r="T154" s="101">
        <f>'IS (Before Changes)'!T154-'IS 3Q2022'!T154</f>
        <v>0</v>
      </c>
      <c r="U154" s="101">
        <f>'IS (Before Changes)'!U154-'IS 3Q2022'!U154</f>
        <v>0</v>
      </c>
      <c r="V154" s="33">
        <f>'IS (Before Changes)'!V154-'IS 3Q2022'!V154</f>
        <v>0</v>
      </c>
      <c r="W154" s="169">
        <f>'IS (Before Changes)'!W154-'IS 3Q2022'!W154</f>
        <v>0</v>
      </c>
      <c r="X154" s="33">
        <f>'IS (Before Changes)'!X154-'IS 3Q2022'!X154</f>
        <v>0</v>
      </c>
      <c r="Y154" s="33">
        <f>'IS (Before Changes)'!Y154-'IS 3Q2022'!Y154</f>
        <v>0</v>
      </c>
      <c r="Z154" s="33">
        <f>'IS (Before Changes)'!Z154-'IS 3Q2022'!Z154</f>
        <v>0</v>
      </c>
      <c r="AA154" s="33">
        <f>'IS (Before Changes)'!AA154-'IS 3Q2022'!AA154</f>
        <v>0</v>
      </c>
      <c r="AB154" s="17">
        <f>'IS (Before Changes)'!AB154-'IS 3Q2022'!AB154</f>
        <v>0</v>
      </c>
      <c r="AC154" s="33">
        <f>'IS (Before Changes)'!AC154-'IS 3Q2022'!AC154</f>
        <v>0</v>
      </c>
      <c r="AD154" s="33">
        <f>'IS (Before Changes)'!AD154-'IS 3Q2022'!AD154</f>
        <v>0</v>
      </c>
      <c r="AE154" s="33">
        <f>'IS (Before Changes)'!AE154-'IS 3Q2022'!AE154</f>
        <v>0</v>
      </c>
      <c r="AF154" s="33">
        <f>'IS (Before Changes)'!AF154-'IS 3Q2022'!AF154</f>
        <v>0</v>
      </c>
      <c r="AG154" s="17">
        <f>'IS (Before Changes)'!AG154-'IS 3Q2022'!AG154</f>
        <v>0</v>
      </c>
      <c r="AH154" s="33">
        <f>'IS (Before Changes)'!AH154-'IS 3Q2022'!AH154</f>
        <v>0</v>
      </c>
      <c r="AI154" s="33">
        <f>'IS (Before Changes)'!AI154-'IS 3Q2022'!AI154</f>
        <v>0</v>
      </c>
      <c r="AJ154" s="33">
        <f>'IS (Before Changes)'!AJ154-'IS 3Q2022'!AJ154</f>
        <v>251.38281446409837</v>
      </c>
      <c r="AK154" s="33">
        <f>'IS (Before Changes)'!AK154-'IS 3Q2022'!AK154</f>
        <v>251.38281446409837</v>
      </c>
      <c r="AL154" s="17">
        <f>'IS (Before Changes)'!AL154-'IS 3Q2022'!AL154</f>
        <v>502.76562892819675</v>
      </c>
      <c r="AM154" s="33">
        <f>'IS (Before Changes)'!AM154-'IS 3Q2022'!AM154</f>
        <v>0</v>
      </c>
      <c r="AN154" s="33">
        <f>'IS (Before Changes)'!AN154-'IS 3Q2022'!AN154</f>
        <v>0</v>
      </c>
      <c r="AO154" s="33">
        <f>'IS (Before Changes)'!AO154-'IS 3Q2022'!AO154</f>
        <v>0</v>
      </c>
      <c r="AP154" s="33">
        <f>'IS (Before Changes)'!AP154-'IS 3Q2022'!AP154</f>
        <v>0</v>
      </c>
      <c r="AQ154" s="17">
        <f>'IS (Before Changes)'!AQ154-'IS 3Q2022'!AQ154</f>
        <v>0</v>
      </c>
      <c r="AR154" s="33">
        <f>'IS (Before Changes)'!AR154-'IS 3Q2022'!AR154</f>
        <v>0</v>
      </c>
      <c r="AS154" s="33">
        <f>'IS (Before Changes)'!AS154-'IS 3Q2022'!AS154</f>
        <v>0</v>
      </c>
      <c r="AT154" s="33">
        <f>'IS (Before Changes)'!AT154-'IS 3Q2022'!AT154</f>
        <v>0</v>
      </c>
      <c r="AU154" s="33">
        <f>'IS (Before Changes)'!AU154-'IS 3Q2022'!AU154</f>
        <v>0</v>
      </c>
      <c r="AV154" s="17">
        <f>'IS (Before Changes)'!AV154-'IS 3Q2022'!AV154</f>
        <v>0</v>
      </c>
    </row>
    <row r="155" spans="2:48" outlineLevel="1" x14ac:dyDescent="0.3">
      <c r="B155" s="486" t="s">
        <v>207</v>
      </c>
      <c r="C155" s="487"/>
      <c r="D155" s="139">
        <f>'IS (Before Changes)'!D155-'IS 3Q2022'!D155</f>
        <v>0</v>
      </c>
      <c r="E155" s="139">
        <f>'IS (Before Changes)'!E155-'IS 3Q2022'!E155</f>
        <v>0</v>
      </c>
      <c r="F155" s="142">
        <f>'IS (Before Changes)'!F155-'IS 3Q2022'!F155</f>
        <v>0</v>
      </c>
      <c r="G155" s="142">
        <f>'IS (Before Changes)'!G155-'IS 3Q2022'!G155</f>
        <v>0</v>
      </c>
      <c r="H155" s="49">
        <f>'IS (Before Changes)'!H155-'IS 3Q2022'!H155</f>
        <v>0</v>
      </c>
      <c r="I155" s="139">
        <f>'IS (Before Changes)'!I155-'IS 3Q2022'!I155</f>
        <v>0</v>
      </c>
      <c r="J155" s="142">
        <f>'IS (Before Changes)'!J155-'IS 3Q2022'!J155</f>
        <v>0</v>
      </c>
      <c r="K155" s="139">
        <f>'IS (Before Changes)'!K155-'IS 3Q2022'!K155</f>
        <v>0</v>
      </c>
      <c r="L155" s="139">
        <f>'IS (Before Changes)'!L155-'IS 3Q2022'!L155</f>
        <v>0</v>
      </c>
      <c r="M155" s="49">
        <f>'IS (Before Changes)'!M155-'IS 3Q2022'!M155</f>
        <v>0</v>
      </c>
      <c r="N155" s="139">
        <f>'IS (Before Changes)'!N155-'IS 3Q2022'!N155</f>
        <v>0</v>
      </c>
      <c r="O155" s="139">
        <f>'IS (Before Changes)'!O155-'IS 3Q2022'!O155</f>
        <v>0</v>
      </c>
      <c r="P155" s="139">
        <f>'IS (Before Changes)'!P155-'IS 3Q2022'!P155</f>
        <v>0</v>
      </c>
      <c r="Q155" s="139">
        <f>'IS (Before Changes)'!Q155-'IS 3Q2022'!Q155</f>
        <v>0</v>
      </c>
      <c r="R155" s="49">
        <f>'IS (Before Changes)'!R155-'IS 3Q2022'!R155</f>
        <v>0</v>
      </c>
      <c r="S155" s="139">
        <f>'IS (Before Changes)'!S155-'IS 3Q2022'!S155</f>
        <v>0</v>
      </c>
      <c r="T155" s="142">
        <f>'IS (Before Changes)'!T155-'IS 3Q2022'!T155</f>
        <v>0</v>
      </c>
      <c r="U155" s="142">
        <f>'IS (Before Changes)'!U155-'IS 3Q2022'!U155</f>
        <v>0</v>
      </c>
      <c r="V155" s="139">
        <f>'IS (Before Changes)'!V155-'IS 3Q2022'!V155</f>
        <v>0</v>
      </c>
      <c r="W155" s="49">
        <f>'IS (Before Changes)'!W155-'IS 3Q2022'!W155</f>
        <v>0</v>
      </c>
      <c r="X155" s="139">
        <f>'IS (Before Changes)'!X155-'IS 3Q2022'!X155</f>
        <v>0</v>
      </c>
      <c r="Y155" s="139">
        <f>'IS (Before Changes)'!Y155-'IS 3Q2022'!Y155</f>
        <v>0</v>
      </c>
      <c r="Z155" s="139">
        <f>'IS (Before Changes)'!Z155-'IS 3Q2022'!Z155</f>
        <v>0</v>
      </c>
      <c r="AA155" s="139">
        <f>'IS (Before Changes)'!AA155-'IS 3Q2022'!AA155</f>
        <v>0</v>
      </c>
      <c r="AB155" s="49">
        <f>'IS (Before Changes)'!AB155-'IS 3Q2022'!AB155</f>
        <v>0</v>
      </c>
      <c r="AC155" s="139">
        <f>'IS (Before Changes)'!AC155-'IS 3Q2022'!AC155</f>
        <v>0</v>
      </c>
      <c r="AD155" s="139">
        <f>'IS (Before Changes)'!AD155-'IS 3Q2022'!AD155</f>
        <v>0</v>
      </c>
      <c r="AE155" s="139">
        <f>'IS (Before Changes)'!AE155-'IS 3Q2022'!AE155</f>
        <v>-2.6733518572902071E-2</v>
      </c>
      <c r="AF155" s="139">
        <f>'IS (Before Changes)'!AF155-'IS 3Q2022'!AF155</f>
        <v>-2.6733518572902071E-2</v>
      </c>
      <c r="AG155" s="49">
        <f>'IS (Before Changes)'!AG155-'IS 3Q2022'!AG155</f>
        <v>-5.3467037145804142E-2</v>
      </c>
      <c r="AH155" s="139">
        <f>'IS (Before Changes)'!AH155-'IS 3Q2022'!AH155</f>
        <v>-2.5460493878954105E-2</v>
      </c>
      <c r="AI155" s="139">
        <f>'IS (Before Changes)'!AI155-'IS 3Q2022'!AI155</f>
        <v>-2.5460493878954105E-2</v>
      </c>
      <c r="AJ155" s="139">
        <f>'IS (Before Changes)'!AJ155-'IS 3Q2022'!AJ155</f>
        <v>0.80294485406491845</v>
      </c>
      <c r="AK155" s="139">
        <f>'IS (Before Changes)'!AK155-'IS 3Q2022'!AK155</f>
        <v>0.80294485406491845</v>
      </c>
      <c r="AL155" s="49">
        <f>'IS (Before Changes)'!AL155-'IS 3Q2022'!AL155</f>
        <v>1.5549687203719174</v>
      </c>
      <c r="AM155" s="139">
        <f>'IS (Before Changes)'!AM155-'IS 3Q2022'!AM155</f>
        <v>-6.1072613249090413E-2</v>
      </c>
      <c r="AN155" s="139">
        <f>'IS (Before Changes)'!AN155-'IS 3Q2022'!AN155</f>
        <v>-6.1072613249090413E-2</v>
      </c>
      <c r="AO155" s="139">
        <f>'IS (Before Changes)'!AO155-'IS 3Q2022'!AO155</f>
        <v>-6.1072613249090413E-2</v>
      </c>
      <c r="AP155" s="139">
        <f>'IS (Before Changes)'!AP155-'IS 3Q2022'!AP155</f>
        <v>-6.1072613249090413E-2</v>
      </c>
      <c r="AQ155" s="49">
        <f>'IS (Before Changes)'!AQ155-'IS 3Q2022'!AQ155</f>
        <v>-0.24429045299636165</v>
      </c>
      <c r="AR155" s="139">
        <f>'IS (Before Changes)'!AR155-'IS 3Q2022'!AR155</f>
        <v>-5.9875111028519834E-2</v>
      </c>
      <c r="AS155" s="139">
        <f>'IS (Before Changes)'!AS155-'IS 3Q2022'!AS155</f>
        <v>-5.9875111028519834E-2</v>
      </c>
      <c r="AT155" s="139">
        <f>'IS (Before Changes)'!AT155-'IS 3Q2022'!AT155</f>
        <v>-5.9875111028519834E-2</v>
      </c>
      <c r="AU155" s="139">
        <f>'IS (Before Changes)'!AU155-'IS 3Q2022'!AU155</f>
        <v>-5.9875111028519834E-2</v>
      </c>
      <c r="AV155" s="49">
        <f>'IS (Before Changes)'!AV155-'IS 3Q2022'!AV155</f>
        <v>-0.23950044411407934</v>
      </c>
    </row>
    <row r="156" spans="2:48" outlineLevel="1" x14ac:dyDescent="0.3">
      <c r="B156" s="488" t="s">
        <v>131</v>
      </c>
      <c r="C156" s="489"/>
      <c r="D156" s="143">
        <f>'IS (Before Changes)'!D156-'IS 3Q2022'!D156</f>
        <v>0</v>
      </c>
      <c r="E156" s="144">
        <f>'IS (Before Changes)'!E156-'IS 3Q2022'!E156</f>
        <v>0</v>
      </c>
      <c r="F156" s="96">
        <f>'IS (Before Changes)'!F156-'IS 3Q2022'!F156</f>
        <v>0</v>
      </c>
      <c r="G156" s="96">
        <f>'IS (Before Changes)'!G156-'IS 3Q2022'!G156</f>
        <v>0</v>
      </c>
      <c r="H156" s="76">
        <f>'IS (Before Changes)'!H156-'IS 3Q2022'!H156</f>
        <v>0</v>
      </c>
      <c r="I156" s="96">
        <f>'IS (Before Changes)'!I156-'IS 3Q2022'!I156</f>
        <v>0</v>
      </c>
      <c r="J156" s="96">
        <f>'IS (Before Changes)'!J156-'IS 3Q2022'!J156</f>
        <v>0</v>
      </c>
      <c r="K156" s="96">
        <f>'IS (Before Changes)'!K156-'IS 3Q2022'!K156</f>
        <v>0</v>
      </c>
      <c r="L156" s="96">
        <f>'IS (Before Changes)'!L156-'IS 3Q2022'!L156</f>
        <v>0</v>
      </c>
      <c r="M156" s="76">
        <f>'IS (Before Changes)'!M156-'IS 3Q2022'!M156</f>
        <v>0</v>
      </c>
      <c r="N156" s="96">
        <f>'IS (Before Changes)'!N156-'IS 3Q2022'!N156</f>
        <v>0</v>
      </c>
      <c r="O156" s="96">
        <f>'IS (Before Changes)'!O156-'IS 3Q2022'!O156</f>
        <v>0</v>
      </c>
      <c r="P156" s="96">
        <f>'IS (Before Changes)'!P156-'IS 3Q2022'!P156</f>
        <v>0</v>
      </c>
      <c r="Q156" s="96">
        <f>'IS (Before Changes)'!Q156-'IS 3Q2022'!Q156</f>
        <v>0</v>
      </c>
      <c r="R156" s="76">
        <f>'IS (Before Changes)'!R156-'IS 3Q2022'!R156</f>
        <v>0</v>
      </c>
      <c r="S156" s="96">
        <f>'IS (Before Changes)'!S156-'IS 3Q2022'!S156</f>
        <v>0</v>
      </c>
      <c r="T156" s="96">
        <f>'IS (Before Changes)'!T156-'IS 3Q2022'!T156</f>
        <v>0</v>
      </c>
      <c r="U156" s="96">
        <f>'IS (Before Changes)'!U156-'IS 3Q2022'!U156</f>
        <v>0</v>
      </c>
      <c r="V156" s="96">
        <f>'IS (Before Changes)'!V156-'IS 3Q2022'!V156</f>
        <v>0</v>
      </c>
      <c r="W156" s="76">
        <f>'IS (Before Changes)'!W156-'IS 3Q2022'!W156</f>
        <v>0</v>
      </c>
      <c r="X156" s="96">
        <f>'IS (Before Changes)'!X156-'IS 3Q2022'!X156</f>
        <v>0</v>
      </c>
      <c r="Y156" s="96">
        <f>'IS (Before Changes)'!Y156-'IS 3Q2022'!Y156</f>
        <v>0</v>
      </c>
      <c r="Z156" s="96">
        <f>'IS (Before Changes)'!Z156-'IS 3Q2022'!Z156</f>
        <v>0</v>
      </c>
      <c r="AA156" s="96">
        <f>'IS (Before Changes)'!AA156-'IS 3Q2022'!AA156</f>
        <v>0</v>
      </c>
      <c r="AB156" s="76">
        <f>'IS (Before Changes)'!AB156-'IS 3Q2022'!AB156</f>
        <v>0</v>
      </c>
      <c r="AC156" s="96">
        <f>'IS (Before Changes)'!AC156-'IS 3Q2022'!AC156</f>
        <v>0</v>
      </c>
      <c r="AD156" s="96">
        <f>'IS (Before Changes)'!AD156-'IS 3Q2022'!AD156</f>
        <v>0</v>
      </c>
      <c r="AE156" s="96">
        <f>'IS (Before Changes)'!AE156-'IS 3Q2022'!AE156</f>
        <v>0</v>
      </c>
      <c r="AF156" s="96">
        <f>'IS (Before Changes)'!AF156-'IS 3Q2022'!AF156</f>
        <v>0</v>
      </c>
      <c r="AG156" s="76">
        <f>'IS (Before Changes)'!AG156-'IS 3Q2022'!AG156</f>
        <v>0</v>
      </c>
      <c r="AH156" s="96">
        <f>'IS (Before Changes)'!AH156-'IS 3Q2022'!AH156</f>
        <v>0</v>
      </c>
      <c r="AI156" s="96">
        <f>'IS (Before Changes)'!AI156-'IS 3Q2022'!AI156</f>
        <v>0</v>
      </c>
      <c r="AJ156" s="96">
        <f>'IS (Before Changes)'!AJ156-'IS 3Q2022'!AJ156</f>
        <v>0</v>
      </c>
      <c r="AK156" s="96">
        <f>'IS (Before Changes)'!AK156-'IS 3Q2022'!AK156</f>
        <v>0</v>
      </c>
      <c r="AL156" s="76">
        <f>'IS (Before Changes)'!AL156-'IS 3Q2022'!AL156</f>
        <v>0</v>
      </c>
      <c r="AM156" s="96">
        <f>'IS (Before Changes)'!AM156-'IS 3Q2022'!AM156</f>
        <v>0</v>
      </c>
      <c r="AN156" s="96">
        <f>'IS (Before Changes)'!AN156-'IS 3Q2022'!AN156</f>
        <v>0</v>
      </c>
      <c r="AO156" s="96">
        <f>'IS (Before Changes)'!AO156-'IS 3Q2022'!AO156</f>
        <v>0</v>
      </c>
      <c r="AP156" s="96">
        <f>'IS (Before Changes)'!AP156-'IS 3Q2022'!AP156</f>
        <v>0</v>
      </c>
      <c r="AQ156" s="76">
        <f>'IS (Before Changes)'!AQ156-'IS 3Q2022'!AQ156</f>
        <v>0</v>
      </c>
      <c r="AR156" s="96">
        <f>'IS (Before Changes)'!AR156-'IS 3Q2022'!AR156</f>
        <v>0</v>
      </c>
      <c r="AS156" s="96">
        <f>'IS (Before Changes)'!AS156-'IS 3Q2022'!AS156</f>
        <v>0</v>
      </c>
      <c r="AT156" s="96">
        <f>'IS (Before Changes)'!AT156-'IS 3Q2022'!AT156</f>
        <v>0</v>
      </c>
      <c r="AU156" s="96">
        <f>'IS (Before Changes)'!AU156-'IS 3Q2022'!AU156</f>
        <v>0</v>
      </c>
      <c r="AV156" s="76">
        <f>'IS (Before Changes)'!AV156-'IS 3Q2022'!AV156</f>
        <v>0</v>
      </c>
    </row>
    <row r="157" spans="2:48" outlineLevel="1" x14ac:dyDescent="0.3">
      <c r="B157" s="490" t="s">
        <v>132</v>
      </c>
      <c r="C157" s="491"/>
      <c r="D157" s="145">
        <f>'IS (Before Changes)'!D157-'IS 3Q2022'!D157</f>
        <v>0</v>
      </c>
      <c r="E157" s="146">
        <f>'IS (Before Changes)'!E157-'IS 3Q2022'!E157</f>
        <v>0</v>
      </c>
      <c r="F157" s="139">
        <f>'IS (Before Changes)'!F157-'IS 3Q2022'!F157</f>
        <v>0</v>
      </c>
      <c r="G157" s="139">
        <f>'IS (Before Changes)'!G157-'IS 3Q2022'!G157</f>
        <v>0</v>
      </c>
      <c r="H157" s="49">
        <f>'IS (Before Changes)'!H157-'IS 3Q2022'!H157</f>
        <v>0</v>
      </c>
      <c r="I157" s="139">
        <f>'IS (Before Changes)'!I157-'IS 3Q2022'!I157</f>
        <v>0</v>
      </c>
      <c r="J157" s="139">
        <f>'IS (Before Changes)'!J157-'IS 3Q2022'!J157</f>
        <v>0</v>
      </c>
      <c r="K157" s="139">
        <f>'IS (Before Changes)'!K157-'IS 3Q2022'!K157</f>
        <v>0</v>
      </c>
      <c r="L157" s="139">
        <f>'IS (Before Changes)'!L157-'IS 3Q2022'!L157</f>
        <v>0</v>
      </c>
      <c r="M157" s="49">
        <f>'IS (Before Changes)'!M157-'IS 3Q2022'!M157</f>
        <v>0</v>
      </c>
      <c r="N157" s="139">
        <f>'IS (Before Changes)'!N157-'IS 3Q2022'!N157</f>
        <v>0</v>
      </c>
      <c r="O157" s="139">
        <f>'IS (Before Changes)'!O157-'IS 3Q2022'!O157</f>
        <v>0</v>
      </c>
      <c r="P157" s="139">
        <f>'IS (Before Changes)'!P157-'IS 3Q2022'!P157</f>
        <v>0</v>
      </c>
      <c r="Q157" s="139">
        <f>'IS (Before Changes)'!Q157-'IS 3Q2022'!Q157</f>
        <v>0</v>
      </c>
      <c r="R157" s="49">
        <f>'IS (Before Changes)'!R157-'IS 3Q2022'!R157</f>
        <v>0</v>
      </c>
      <c r="S157" s="139">
        <f>'IS (Before Changes)'!S157-'IS 3Q2022'!S157</f>
        <v>0</v>
      </c>
      <c r="T157" s="139">
        <f>'IS (Before Changes)'!T157-'IS 3Q2022'!T157</f>
        <v>0</v>
      </c>
      <c r="U157" s="142">
        <f>'IS (Before Changes)'!U157-'IS 3Q2022'!U157</f>
        <v>0</v>
      </c>
      <c r="V157" s="139">
        <f>'IS (Before Changes)'!V157-'IS 3Q2022'!V157</f>
        <v>0</v>
      </c>
      <c r="W157" s="137">
        <f>'IS (Before Changes)'!W157-'IS 3Q2022'!W157</f>
        <v>0</v>
      </c>
      <c r="X157" s="139">
        <f>'IS (Before Changes)'!X157-'IS 3Q2022'!X157</f>
        <v>0</v>
      </c>
      <c r="Y157" s="139">
        <f>'IS (Before Changes)'!Y157-'IS 3Q2022'!Y157</f>
        <v>0</v>
      </c>
      <c r="Z157" s="139">
        <f>'IS (Before Changes)'!Z157-'IS 3Q2022'!Z157</f>
        <v>0</v>
      </c>
      <c r="AA157" s="139">
        <f>'IS (Before Changes)'!AA157-'IS 3Q2022'!AA157</f>
        <v>0</v>
      </c>
      <c r="AB157" s="49">
        <f>'IS (Before Changes)'!AB157-'IS 3Q2022'!AB157</f>
        <v>0</v>
      </c>
      <c r="AC157" s="139">
        <f>'IS (Before Changes)'!AC157-'IS 3Q2022'!AC157</f>
        <v>0</v>
      </c>
      <c r="AD157" s="139">
        <f>'IS (Before Changes)'!AD157-'IS 3Q2022'!AD157</f>
        <v>0</v>
      </c>
      <c r="AE157" s="139">
        <f>'IS (Before Changes)'!AE157-'IS 3Q2022'!AE157</f>
        <v>0</v>
      </c>
      <c r="AF157" s="139">
        <f>'IS (Before Changes)'!AF157-'IS 3Q2022'!AF157</f>
        <v>0</v>
      </c>
      <c r="AG157" s="49">
        <f>'IS (Before Changes)'!AG157-'IS 3Q2022'!AG157</f>
        <v>0</v>
      </c>
      <c r="AH157" s="139">
        <f>'IS (Before Changes)'!AH157-'IS 3Q2022'!AH157</f>
        <v>0</v>
      </c>
      <c r="AI157" s="139">
        <f>'IS (Before Changes)'!AI157-'IS 3Q2022'!AI157</f>
        <v>0</v>
      </c>
      <c r="AJ157" s="139">
        <f>'IS (Before Changes)'!AJ157-'IS 3Q2022'!AJ157</f>
        <v>0</v>
      </c>
      <c r="AK157" s="139">
        <f>'IS (Before Changes)'!AK157-'IS 3Q2022'!AK157</f>
        <v>0</v>
      </c>
      <c r="AL157" s="49">
        <f>'IS (Before Changes)'!AL157-'IS 3Q2022'!AL157</f>
        <v>0</v>
      </c>
      <c r="AM157" s="139">
        <f>'IS (Before Changes)'!AM157-'IS 3Q2022'!AM157</f>
        <v>0</v>
      </c>
      <c r="AN157" s="139">
        <f>'IS (Before Changes)'!AN157-'IS 3Q2022'!AN157</f>
        <v>0</v>
      </c>
      <c r="AO157" s="139">
        <f>'IS (Before Changes)'!AO157-'IS 3Q2022'!AO157</f>
        <v>0</v>
      </c>
      <c r="AP157" s="139">
        <f>'IS (Before Changes)'!AP157-'IS 3Q2022'!AP157</f>
        <v>0</v>
      </c>
      <c r="AQ157" s="49">
        <f>'IS (Before Changes)'!AQ157-'IS 3Q2022'!AQ157</f>
        <v>0</v>
      </c>
      <c r="AR157" s="139">
        <f>'IS (Before Changes)'!AR157-'IS 3Q2022'!AR157</f>
        <v>0</v>
      </c>
      <c r="AS157" s="139">
        <f>'IS (Before Changes)'!AS157-'IS 3Q2022'!AS157</f>
        <v>0</v>
      </c>
      <c r="AT157" s="139">
        <f>'IS (Before Changes)'!AT157-'IS 3Q2022'!AT157</f>
        <v>0</v>
      </c>
      <c r="AU157" s="139">
        <f>'IS (Before Changes)'!AU157-'IS 3Q2022'!AU157</f>
        <v>0</v>
      </c>
      <c r="AV157" s="49">
        <f>'IS (Before Changes)'!AV157-'IS 3Q2022'!AV157</f>
        <v>0</v>
      </c>
    </row>
    <row r="158" spans="2:48" outlineLevel="1" x14ac:dyDescent="0.3">
      <c r="B158" s="492" t="s">
        <v>133</v>
      </c>
      <c r="C158" s="493"/>
      <c r="D158" s="147">
        <f>'IS (Before Changes)'!D158-'IS 3Q2022'!D158</f>
        <v>0</v>
      </c>
      <c r="E158" s="140">
        <f>'IS (Before Changes)'!E158-'IS 3Q2022'!E158</f>
        <v>0</v>
      </c>
      <c r="F158" s="140">
        <f>'IS (Before Changes)'!F158-'IS 3Q2022'!F158</f>
        <v>0</v>
      </c>
      <c r="G158" s="140">
        <f>'IS (Before Changes)'!G158-'IS 3Q2022'!G158</f>
        <v>0</v>
      </c>
      <c r="H158" s="141">
        <f>'IS (Before Changes)'!H158-'IS 3Q2022'!H158</f>
        <v>0</v>
      </c>
      <c r="I158" s="140">
        <f>'IS (Before Changes)'!I158-'IS 3Q2022'!I158</f>
        <v>0</v>
      </c>
      <c r="J158" s="140">
        <f>'IS (Before Changes)'!J158-'IS 3Q2022'!J158</f>
        <v>0</v>
      </c>
      <c r="K158" s="140">
        <f>'IS (Before Changes)'!K158-'IS 3Q2022'!K158</f>
        <v>0</v>
      </c>
      <c r="L158" s="140">
        <f>'IS (Before Changes)'!L158-'IS 3Q2022'!L158</f>
        <v>0</v>
      </c>
      <c r="M158" s="141">
        <f>'IS (Before Changes)'!M158-'IS 3Q2022'!M158</f>
        <v>0</v>
      </c>
      <c r="N158" s="140">
        <f>'IS (Before Changes)'!N158-'IS 3Q2022'!N158</f>
        <v>0</v>
      </c>
      <c r="O158" s="140">
        <f>'IS (Before Changes)'!O158-'IS 3Q2022'!O158</f>
        <v>0</v>
      </c>
      <c r="P158" s="140">
        <f>'IS (Before Changes)'!P158-'IS 3Q2022'!P158</f>
        <v>0</v>
      </c>
      <c r="Q158" s="140">
        <f>'IS (Before Changes)'!Q158-'IS 3Q2022'!Q158</f>
        <v>0</v>
      </c>
      <c r="R158" s="141">
        <f>'IS (Before Changes)'!R158-'IS 3Q2022'!R158</f>
        <v>0</v>
      </c>
      <c r="S158" s="140">
        <f>'IS (Before Changes)'!S158-'IS 3Q2022'!S158</f>
        <v>0</v>
      </c>
      <c r="T158" s="140">
        <f>'IS (Before Changes)'!T158-'IS 3Q2022'!T158</f>
        <v>0</v>
      </c>
      <c r="U158" s="140">
        <f>'IS (Before Changes)'!U158-'IS 3Q2022'!U158</f>
        <v>0</v>
      </c>
      <c r="V158" s="140">
        <f>'IS (Before Changes)'!V158-'IS 3Q2022'!V158</f>
        <v>0</v>
      </c>
      <c r="W158" s="199">
        <f>'IS (Before Changes)'!W158-'IS 3Q2022'!W158</f>
        <v>0</v>
      </c>
      <c r="X158" s="140">
        <f>'IS (Before Changes)'!X158-'IS 3Q2022'!X158</f>
        <v>0</v>
      </c>
      <c r="Y158" s="140">
        <f>'IS (Before Changes)'!Y158-'IS 3Q2022'!Y158</f>
        <v>0</v>
      </c>
      <c r="Z158" s="140">
        <f>'IS (Before Changes)'!Z158-'IS 3Q2022'!Z158</f>
        <v>0</v>
      </c>
      <c r="AA158" s="140">
        <f>'IS (Before Changes)'!AA158-'IS 3Q2022'!AA158</f>
        <v>0</v>
      </c>
      <c r="AB158" s="141">
        <f>'IS (Before Changes)'!AB158-'IS 3Q2022'!AB158</f>
        <v>0</v>
      </c>
      <c r="AC158" s="140">
        <f>'IS (Before Changes)'!AC158-'IS 3Q2022'!AC158</f>
        <v>0</v>
      </c>
      <c r="AD158" s="140">
        <f>'IS (Before Changes)'!AD158-'IS 3Q2022'!AD158</f>
        <v>0</v>
      </c>
      <c r="AE158" s="140">
        <f>'IS (Before Changes)'!AE158-'IS 3Q2022'!AE158</f>
        <v>0</v>
      </c>
      <c r="AF158" s="140">
        <f>'IS (Before Changes)'!AF158-'IS 3Q2022'!AF158</f>
        <v>0</v>
      </c>
      <c r="AG158" s="141">
        <f>'IS (Before Changes)'!AG158-'IS 3Q2022'!AG158</f>
        <v>0</v>
      </c>
      <c r="AH158" s="140">
        <f>'IS (Before Changes)'!AH158-'IS 3Q2022'!AH158</f>
        <v>0</v>
      </c>
      <c r="AI158" s="140">
        <f>'IS (Before Changes)'!AI158-'IS 3Q2022'!AI158</f>
        <v>0</v>
      </c>
      <c r="AJ158" s="140">
        <f>'IS (Before Changes)'!AJ158-'IS 3Q2022'!AJ158</f>
        <v>0</v>
      </c>
      <c r="AK158" s="140">
        <f>'IS (Before Changes)'!AK158-'IS 3Q2022'!AK158</f>
        <v>0</v>
      </c>
      <c r="AL158" s="141">
        <f>'IS (Before Changes)'!AL158-'IS 3Q2022'!AL158</f>
        <v>0</v>
      </c>
      <c r="AM158" s="140">
        <f>'IS (Before Changes)'!AM158-'IS 3Q2022'!AM158</f>
        <v>0</v>
      </c>
      <c r="AN158" s="140">
        <f>'IS (Before Changes)'!AN158-'IS 3Q2022'!AN158</f>
        <v>0</v>
      </c>
      <c r="AO158" s="140">
        <f>'IS (Before Changes)'!AO158-'IS 3Q2022'!AO158</f>
        <v>0</v>
      </c>
      <c r="AP158" s="140">
        <f>'IS (Before Changes)'!AP158-'IS 3Q2022'!AP158</f>
        <v>0</v>
      </c>
      <c r="AQ158" s="141">
        <f>'IS (Before Changes)'!AQ158-'IS 3Q2022'!AQ158</f>
        <v>0</v>
      </c>
      <c r="AR158" s="140">
        <f>'IS (Before Changes)'!AR158-'IS 3Q2022'!AR158</f>
        <v>0</v>
      </c>
      <c r="AS158" s="140">
        <f>'IS (Before Changes)'!AS158-'IS 3Q2022'!AS158</f>
        <v>0</v>
      </c>
      <c r="AT158" s="140">
        <f>'IS (Before Changes)'!AT158-'IS 3Q2022'!AT158</f>
        <v>0</v>
      </c>
      <c r="AU158" s="140">
        <f>'IS (Before Changes)'!AU158-'IS 3Q2022'!AU158</f>
        <v>0</v>
      </c>
      <c r="AV158" s="141">
        <f>'IS (Before Changes)'!AV158-'IS 3Q2022'!AV158</f>
        <v>0</v>
      </c>
    </row>
    <row r="159" spans="2:48" outlineLevel="1" x14ac:dyDescent="0.3">
      <c r="B159" s="200" t="s">
        <v>134</v>
      </c>
      <c r="C159" s="201"/>
      <c r="D159" s="139">
        <f>'IS (Before Changes)'!D159-'IS 3Q2022'!D159</f>
        <v>0</v>
      </c>
      <c r="E159" s="36">
        <f>'IS (Before Changes)'!E159-'IS 3Q2022'!E159</f>
        <v>0</v>
      </c>
      <c r="F159" s="36">
        <f>'IS (Before Changes)'!F159-'IS 3Q2022'!F159</f>
        <v>0</v>
      </c>
      <c r="G159" s="139">
        <f>'IS (Before Changes)'!G159-'IS 3Q2022'!G159</f>
        <v>0</v>
      </c>
      <c r="H159" s="49">
        <f>'IS (Before Changes)'!H159-'IS 3Q2022'!H159</f>
        <v>0</v>
      </c>
      <c r="I159" s="139">
        <f>'IS (Before Changes)'!I159-'IS 3Q2022'!I159</f>
        <v>0</v>
      </c>
      <c r="J159" s="139">
        <f>'IS (Before Changes)'!J159-'IS 3Q2022'!J159</f>
        <v>0</v>
      </c>
      <c r="K159" s="139">
        <f>'IS (Before Changes)'!K159-'IS 3Q2022'!K159</f>
        <v>0</v>
      </c>
      <c r="L159" s="139">
        <f>'IS (Before Changes)'!L159-'IS 3Q2022'!L159</f>
        <v>0</v>
      </c>
      <c r="M159" s="49">
        <f>'IS (Before Changes)'!M159-'IS 3Q2022'!M159</f>
        <v>0</v>
      </c>
      <c r="N159" s="139">
        <f>'IS (Before Changes)'!N159-'IS 3Q2022'!N159</f>
        <v>0</v>
      </c>
      <c r="O159" s="139">
        <f>'IS (Before Changes)'!O159-'IS 3Q2022'!O159</f>
        <v>0</v>
      </c>
      <c r="P159" s="139">
        <f>'IS (Before Changes)'!P159-'IS 3Q2022'!P159</f>
        <v>0</v>
      </c>
      <c r="Q159" s="139">
        <f>'IS (Before Changes)'!Q159-'IS 3Q2022'!Q159</f>
        <v>0</v>
      </c>
      <c r="R159" s="49">
        <f>'IS (Before Changes)'!R159-'IS 3Q2022'!R159</f>
        <v>0</v>
      </c>
      <c r="S159" s="139">
        <f>'IS (Before Changes)'!S159-'IS 3Q2022'!S159</f>
        <v>0</v>
      </c>
      <c r="T159" s="139">
        <f>'IS (Before Changes)'!T159-'IS 3Q2022'!T159</f>
        <v>0</v>
      </c>
      <c r="U159" s="139">
        <f>'IS (Before Changes)'!U159-'IS 3Q2022'!U159</f>
        <v>0</v>
      </c>
      <c r="V159" s="139">
        <f>'IS (Before Changes)'!V159-'IS 3Q2022'!V159</f>
        <v>0</v>
      </c>
      <c r="W159" s="49">
        <f>'IS (Before Changes)'!W159-'IS 3Q2022'!W159</f>
        <v>0</v>
      </c>
      <c r="X159" s="139">
        <f>'IS (Before Changes)'!X159-'IS 3Q2022'!X159</f>
        <v>0</v>
      </c>
      <c r="Y159" s="139">
        <f>'IS (Before Changes)'!Y159-'IS 3Q2022'!Y159</f>
        <v>0</v>
      </c>
      <c r="Z159" s="139">
        <f>'IS (Before Changes)'!Z159-'IS 3Q2022'!Z159</f>
        <v>0</v>
      </c>
      <c r="AA159" s="139">
        <f>'IS (Before Changes)'!AA159-'IS 3Q2022'!AA159</f>
        <v>0</v>
      </c>
      <c r="AB159" s="49">
        <f>'IS (Before Changes)'!AB159-'IS 3Q2022'!AB159</f>
        <v>0</v>
      </c>
      <c r="AC159" s="139">
        <f>'IS (Before Changes)'!AC159-'IS 3Q2022'!AC159</f>
        <v>0</v>
      </c>
      <c r="AD159" s="139">
        <f>'IS (Before Changes)'!AD159-'IS 3Q2022'!AD159</f>
        <v>0</v>
      </c>
      <c r="AE159" s="139">
        <f>'IS (Before Changes)'!AE159-'IS 3Q2022'!AE159</f>
        <v>0</v>
      </c>
      <c r="AF159" s="139">
        <f>'IS (Before Changes)'!AF159-'IS 3Q2022'!AF159</f>
        <v>0</v>
      </c>
      <c r="AG159" s="49">
        <f>'IS (Before Changes)'!AG159-'IS 3Q2022'!AG159</f>
        <v>0</v>
      </c>
      <c r="AH159" s="139">
        <f>'IS (Before Changes)'!AH159-'IS 3Q2022'!AH159</f>
        <v>0</v>
      </c>
      <c r="AI159" s="139">
        <f>'IS (Before Changes)'!AI159-'IS 3Q2022'!AI159</f>
        <v>0</v>
      </c>
      <c r="AJ159" s="139">
        <f>'IS (Before Changes)'!AJ159-'IS 3Q2022'!AJ159</f>
        <v>0</v>
      </c>
      <c r="AK159" s="139">
        <f>'IS (Before Changes)'!AK159-'IS 3Q2022'!AK159</f>
        <v>0</v>
      </c>
      <c r="AL159" s="49">
        <f>'IS (Before Changes)'!AL159-'IS 3Q2022'!AL159</f>
        <v>0</v>
      </c>
      <c r="AM159" s="139">
        <f>'IS (Before Changes)'!AM159-'IS 3Q2022'!AM159</f>
        <v>0</v>
      </c>
      <c r="AN159" s="139">
        <f>'IS (Before Changes)'!AN159-'IS 3Q2022'!AN159</f>
        <v>0</v>
      </c>
      <c r="AO159" s="139">
        <f>'IS (Before Changes)'!AO159-'IS 3Q2022'!AO159</f>
        <v>0</v>
      </c>
      <c r="AP159" s="139">
        <f>'IS (Before Changes)'!AP159-'IS 3Q2022'!AP159</f>
        <v>0</v>
      </c>
      <c r="AQ159" s="49">
        <f>'IS (Before Changes)'!AQ159-'IS 3Q2022'!AQ159</f>
        <v>0</v>
      </c>
      <c r="AR159" s="139">
        <f>'IS (Before Changes)'!AR159-'IS 3Q2022'!AR159</f>
        <v>0</v>
      </c>
      <c r="AS159" s="139">
        <f>'IS (Before Changes)'!AS159-'IS 3Q2022'!AS159</f>
        <v>0</v>
      </c>
      <c r="AT159" s="139">
        <f>'IS (Before Changes)'!AT159-'IS 3Q2022'!AT159</f>
        <v>0</v>
      </c>
      <c r="AU159" s="139">
        <f>'IS (Before Changes)'!AU159-'IS 3Q2022'!AU159</f>
        <v>0</v>
      </c>
      <c r="AV159" s="49">
        <f>'IS (Before Changes)'!AV159-'IS 3Q2022'!AV159</f>
        <v>0</v>
      </c>
    </row>
    <row r="160" spans="2:48" outlineLevel="1" x14ac:dyDescent="0.3">
      <c r="B160" s="200" t="s">
        <v>135</v>
      </c>
      <c r="C160" s="201"/>
      <c r="D160" s="139">
        <f>'IS (Before Changes)'!D160-'IS 3Q2022'!D160</f>
        <v>0</v>
      </c>
      <c r="E160" s="16">
        <f>'IS (Before Changes)'!E160-'IS 3Q2022'!E160</f>
        <v>0</v>
      </c>
      <c r="F160" s="16">
        <f>'IS (Before Changes)'!F160-'IS 3Q2022'!F160</f>
        <v>0</v>
      </c>
      <c r="G160" s="139">
        <f>'IS (Before Changes)'!G160-'IS 3Q2022'!G160</f>
        <v>0</v>
      </c>
      <c r="H160" s="49">
        <f>'IS (Before Changes)'!H160-'IS 3Q2022'!H160</f>
        <v>0</v>
      </c>
      <c r="I160" s="139">
        <f>'IS (Before Changes)'!I160-'IS 3Q2022'!I160</f>
        <v>0</v>
      </c>
      <c r="J160" s="139">
        <f>'IS (Before Changes)'!J160-'IS 3Q2022'!J160</f>
        <v>0</v>
      </c>
      <c r="K160" s="139">
        <f>'IS (Before Changes)'!K160-'IS 3Q2022'!K160</f>
        <v>0</v>
      </c>
      <c r="L160" s="139">
        <f>'IS (Before Changes)'!L160-'IS 3Q2022'!L160</f>
        <v>0</v>
      </c>
      <c r="M160" s="49">
        <f>'IS (Before Changes)'!M160-'IS 3Q2022'!M160</f>
        <v>0</v>
      </c>
      <c r="N160" s="179">
        <f>'IS (Before Changes)'!N160-'IS 3Q2022'!N160</f>
        <v>0</v>
      </c>
      <c r="O160" s="139">
        <f>'IS (Before Changes)'!O160-'IS 3Q2022'!O160</f>
        <v>0</v>
      </c>
      <c r="P160" s="139">
        <f>'IS (Before Changes)'!P160-'IS 3Q2022'!P160</f>
        <v>0</v>
      </c>
      <c r="Q160" s="139">
        <f>'IS (Before Changes)'!Q160-'IS 3Q2022'!Q160</f>
        <v>0</v>
      </c>
      <c r="R160" s="49">
        <f>'IS (Before Changes)'!R160-'IS 3Q2022'!R160</f>
        <v>0</v>
      </c>
      <c r="S160" s="139">
        <f>'IS (Before Changes)'!S160-'IS 3Q2022'!S160</f>
        <v>0</v>
      </c>
      <c r="T160" s="139">
        <f>'IS (Before Changes)'!T160-'IS 3Q2022'!T160</f>
        <v>0</v>
      </c>
      <c r="U160" s="139">
        <f>'IS (Before Changes)'!U160-'IS 3Q2022'!U160</f>
        <v>0</v>
      </c>
      <c r="V160" s="139">
        <f>'IS (Before Changes)'!V160-'IS 3Q2022'!V160</f>
        <v>0</v>
      </c>
      <c r="W160" s="49">
        <f>'IS (Before Changes)'!W160-'IS 3Q2022'!W160</f>
        <v>0</v>
      </c>
      <c r="X160" s="139">
        <f>'IS (Before Changes)'!X160-'IS 3Q2022'!X160</f>
        <v>0</v>
      </c>
      <c r="Y160" s="139">
        <f>'IS (Before Changes)'!Y160-'IS 3Q2022'!Y160</f>
        <v>0</v>
      </c>
      <c r="Z160" s="139">
        <f>'IS (Before Changes)'!Z160-'IS 3Q2022'!Z160</f>
        <v>0</v>
      </c>
      <c r="AA160" s="139">
        <f>'IS (Before Changes)'!AA160-'IS 3Q2022'!AA160</f>
        <v>0</v>
      </c>
      <c r="AB160" s="49">
        <f>'IS (Before Changes)'!AB160-'IS 3Q2022'!AB160</f>
        <v>0</v>
      </c>
      <c r="AC160" s="139">
        <f>'IS (Before Changes)'!AC160-'IS 3Q2022'!AC160</f>
        <v>0</v>
      </c>
      <c r="AD160" s="139">
        <f>'IS (Before Changes)'!AD160-'IS 3Q2022'!AD160</f>
        <v>0</v>
      </c>
      <c r="AE160" s="139">
        <f>'IS (Before Changes)'!AE160-'IS 3Q2022'!AE160</f>
        <v>0</v>
      </c>
      <c r="AF160" s="139">
        <f>'IS (Before Changes)'!AF160-'IS 3Q2022'!AF160</f>
        <v>0</v>
      </c>
      <c r="AG160" s="49">
        <f>'IS (Before Changes)'!AG160-'IS 3Q2022'!AG160</f>
        <v>0</v>
      </c>
      <c r="AH160" s="139">
        <f>'IS (Before Changes)'!AH160-'IS 3Q2022'!AH160</f>
        <v>0</v>
      </c>
      <c r="AI160" s="139">
        <f>'IS (Before Changes)'!AI160-'IS 3Q2022'!AI160</f>
        <v>0</v>
      </c>
      <c r="AJ160" s="139">
        <f>'IS (Before Changes)'!AJ160-'IS 3Q2022'!AJ160</f>
        <v>0</v>
      </c>
      <c r="AK160" s="139">
        <f>'IS (Before Changes)'!AK160-'IS 3Q2022'!AK160</f>
        <v>0</v>
      </c>
      <c r="AL160" s="49">
        <f>'IS (Before Changes)'!AL160-'IS 3Q2022'!AL160</f>
        <v>0</v>
      </c>
      <c r="AM160" s="139">
        <f>'IS (Before Changes)'!AM160-'IS 3Q2022'!AM160</f>
        <v>0</v>
      </c>
      <c r="AN160" s="139">
        <f>'IS (Before Changes)'!AN160-'IS 3Q2022'!AN160</f>
        <v>0</v>
      </c>
      <c r="AO160" s="139">
        <f>'IS (Before Changes)'!AO160-'IS 3Q2022'!AO160</f>
        <v>0</v>
      </c>
      <c r="AP160" s="139">
        <f>'IS (Before Changes)'!AP160-'IS 3Q2022'!AP160</f>
        <v>0</v>
      </c>
      <c r="AQ160" s="49">
        <f>'IS (Before Changes)'!AQ160-'IS 3Q2022'!AQ160</f>
        <v>0</v>
      </c>
      <c r="AR160" s="139">
        <f>'IS (Before Changes)'!AR160-'IS 3Q2022'!AR160</f>
        <v>0</v>
      </c>
      <c r="AS160" s="139">
        <f>'IS (Before Changes)'!AS160-'IS 3Q2022'!AS160</f>
        <v>0</v>
      </c>
      <c r="AT160" s="139">
        <f>'IS (Before Changes)'!AT160-'IS 3Q2022'!AT160</f>
        <v>0</v>
      </c>
      <c r="AU160" s="139">
        <f>'IS (Before Changes)'!AU160-'IS 3Q2022'!AU160</f>
        <v>0</v>
      </c>
      <c r="AV160" s="49">
        <f>'IS (Before Changes)'!AV160-'IS 3Q2022'!AV160</f>
        <v>0</v>
      </c>
    </row>
    <row r="161" spans="2:48" outlineLevel="1" x14ac:dyDescent="0.3">
      <c r="B161" s="200" t="s">
        <v>136</v>
      </c>
      <c r="C161" s="201"/>
      <c r="D161" s="139">
        <f>'IS (Before Changes)'!D161-'IS 3Q2022'!D161</f>
        <v>0</v>
      </c>
      <c r="E161" s="139">
        <f>'IS (Before Changes)'!E161-'IS 3Q2022'!E161</f>
        <v>0</v>
      </c>
      <c r="F161" s="139">
        <f>'IS (Before Changes)'!F161-'IS 3Q2022'!F161</f>
        <v>0</v>
      </c>
      <c r="G161" s="139">
        <f>'IS (Before Changes)'!G161-'IS 3Q2022'!G161</f>
        <v>0</v>
      </c>
      <c r="H161" s="49">
        <f>'IS (Before Changes)'!H161-'IS 3Q2022'!H161</f>
        <v>0</v>
      </c>
      <c r="I161" s="139">
        <f>'IS (Before Changes)'!I161-'IS 3Q2022'!I161</f>
        <v>0</v>
      </c>
      <c r="J161" s="139">
        <f>'IS (Before Changes)'!J161-'IS 3Q2022'!J161</f>
        <v>0</v>
      </c>
      <c r="K161" s="139">
        <f>'IS (Before Changes)'!K161-'IS 3Q2022'!K161</f>
        <v>0</v>
      </c>
      <c r="L161" s="139">
        <f>'IS (Before Changes)'!L161-'IS 3Q2022'!L161</f>
        <v>0</v>
      </c>
      <c r="M161" s="49">
        <f>'IS (Before Changes)'!M161-'IS 3Q2022'!M161</f>
        <v>0</v>
      </c>
      <c r="N161" s="139">
        <f>'IS (Before Changes)'!N161-'IS 3Q2022'!N161</f>
        <v>0</v>
      </c>
      <c r="O161" s="139">
        <f>'IS (Before Changes)'!O161-'IS 3Q2022'!O161</f>
        <v>0</v>
      </c>
      <c r="P161" s="139">
        <f>'IS (Before Changes)'!P161-'IS 3Q2022'!P161</f>
        <v>0</v>
      </c>
      <c r="Q161" s="139">
        <f>'IS (Before Changes)'!Q161-'IS 3Q2022'!Q161</f>
        <v>0</v>
      </c>
      <c r="R161" s="49">
        <f>'IS (Before Changes)'!R161-'IS 3Q2022'!R161</f>
        <v>0</v>
      </c>
      <c r="S161" s="139">
        <f>'IS (Before Changes)'!S161-'IS 3Q2022'!S161</f>
        <v>0</v>
      </c>
      <c r="T161" s="139">
        <f>'IS (Before Changes)'!T161-'IS 3Q2022'!T161</f>
        <v>0</v>
      </c>
      <c r="U161" s="139">
        <f>'IS (Before Changes)'!U161-'IS 3Q2022'!U161</f>
        <v>0</v>
      </c>
      <c r="V161" s="139">
        <f>'IS (Before Changes)'!V161-'IS 3Q2022'!V161</f>
        <v>0</v>
      </c>
      <c r="W161" s="49">
        <f>'IS (Before Changes)'!W161-'IS 3Q2022'!W161</f>
        <v>0</v>
      </c>
      <c r="X161" s="139">
        <f>'IS (Before Changes)'!X161-'IS 3Q2022'!X161</f>
        <v>0</v>
      </c>
      <c r="Y161" s="139">
        <f>'IS (Before Changes)'!Y161-'IS 3Q2022'!Y161</f>
        <v>0</v>
      </c>
      <c r="Z161" s="139">
        <f>'IS (Before Changes)'!Z161-'IS 3Q2022'!Z161</f>
        <v>0</v>
      </c>
      <c r="AA161" s="139">
        <f>'IS (Before Changes)'!AA161-'IS 3Q2022'!AA161</f>
        <v>0</v>
      </c>
      <c r="AB161" s="49">
        <f>'IS (Before Changes)'!AB161-'IS 3Q2022'!AB161</f>
        <v>0</v>
      </c>
      <c r="AC161" s="139">
        <f>'IS (Before Changes)'!AC161-'IS 3Q2022'!AC161</f>
        <v>0</v>
      </c>
      <c r="AD161" s="139">
        <f>'IS (Before Changes)'!AD161-'IS 3Q2022'!AD161</f>
        <v>0</v>
      </c>
      <c r="AE161" s="139">
        <f>'IS (Before Changes)'!AE161-'IS 3Q2022'!AE161</f>
        <v>0</v>
      </c>
      <c r="AF161" s="139">
        <f>'IS (Before Changes)'!AF161-'IS 3Q2022'!AF161</f>
        <v>0</v>
      </c>
      <c r="AG161" s="49">
        <f>'IS (Before Changes)'!AG161-'IS 3Q2022'!AG161</f>
        <v>0</v>
      </c>
      <c r="AH161" s="139">
        <f>'IS (Before Changes)'!AH161-'IS 3Q2022'!AH161</f>
        <v>0</v>
      </c>
      <c r="AI161" s="139">
        <f>'IS (Before Changes)'!AI161-'IS 3Q2022'!AI161</f>
        <v>0</v>
      </c>
      <c r="AJ161" s="139">
        <f>'IS (Before Changes)'!AJ161-'IS 3Q2022'!AJ161</f>
        <v>0</v>
      </c>
      <c r="AK161" s="139">
        <f>'IS (Before Changes)'!AK161-'IS 3Q2022'!AK161</f>
        <v>0</v>
      </c>
      <c r="AL161" s="49">
        <f>'IS (Before Changes)'!AL161-'IS 3Q2022'!AL161</f>
        <v>0</v>
      </c>
      <c r="AM161" s="139">
        <f>'IS (Before Changes)'!AM161-'IS 3Q2022'!AM161</f>
        <v>0</v>
      </c>
      <c r="AN161" s="139">
        <f>'IS (Before Changes)'!AN161-'IS 3Q2022'!AN161</f>
        <v>0</v>
      </c>
      <c r="AO161" s="139">
        <f>'IS (Before Changes)'!AO161-'IS 3Q2022'!AO161</f>
        <v>0</v>
      </c>
      <c r="AP161" s="139">
        <f>'IS (Before Changes)'!AP161-'IS 3Q2022'!AP161</f>
        <v>0</v>
      </c>
      <c r="AQ161" s="49">
        <f>'IS (Before Changes)'!AQ161-'IS 3Q2022'!AQ161</f>
        <v>0</v>
      </c>
      <c r="AR161" s="139">
        <f>'IS (Before Changes)'!AR161-'IS 3Q2022'!AR161</f>
        <v>0</v>
      </c>
      <c r="AS161" s="139">
        <f>'IS (Before Changes)'!AS161-'IS 3Q2022'!AS161</f>
        <v>0</v>
      </c>
      <c r="AT161" s="139">
        <f>'IS (Before Changes)'!AT161-'IS 3Q2022'!AT161</f>
        <v>0</v>
      </c>
      <c r="AU161" s="139">
        <f>'IS (Before Changes)'!AU161-'IS 3Q2022'!AU161</f>
        <v>0</v>
      </c>
      <c r="AV161" s="49">
        <f>'IS (Before Changes)'!AV161-'IS 3Q2022'!AV161</f>
        <v>0</v>
      </c>
    </row>
    <row r="162" spans="2:48" ht="17.399999999999999" x14ac:dyDescent="0.45">
      <c r="B162" s="494" t="s">
        <v>12</v>
      </c>
      <c r="C162" s="495"/>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2" t="s">
        <v>25</v>
      </c>
      <c r="W162" s="42" t="s">
        <v>26</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486" t="s">
        <v>65</v>
      </c>
      <c r="C163" s="487"/>
      <c r="D163" s="101">
        <f>'IS (Before Changes)'!D163-'IS 3Q2022'!D163</f>
        <v>0</v>
      </c>
      <c r="E163" s="102">
        <f>'IS (Before Changes)'!E163-'IS 3Q2022'!E163</f>
        <v>0</v>
      </c>
      <c r="F163" s="102">
        <f>'IS (Before Changes)'!F163-'IS 3Q2022'!F163</f>
        <v>0</v>
      </c>
      <c r="G163" s="102">
        <f>'IS (Before Changes)'!G163-'IS 3Q2022'!G163</f>
        <v>0</v>
      </c>
      <c r="H163" s="159">
        <f>'IS (Before Changes)'!H163-'IS 3Q2022'!H163</f>
        <v>0</v>
      </c>
      <c r="I163" s="102">
        <f>'IS (Before Changes)'!I163-'IS 3Q2022'!I163</f>
        <v>0</v>
      </c>
      <c r="J163" s="102">
        <f>'IS (Before Changes)'!J163-'IS 3Q2022'!J163</f>
        <v>0</v>
      </c>
      <c r="K163" s="105">
        <f>'IS (Before Changes)'!K163-'IS 3Q2022'!K163</f>
        <v>0</v>
      </c>
      <c r="L163" s="101">
        <f>'IS (Before Changes)'!L163-'IS 3Q2022'!L163</f>
        <v>0</v>
      </c>
      <c r="M163" s="169">
        <f>'IS (Before Changes)'!M163-'IS 3Q2022'!M163</f>
        <v>0</v>
      </c>
      <c r="N163" s="101">
        <f>'IS (Before Changes)'!N163-'IS 3Q2022'!N163</f>
        <v>0</v>
      </c>
      <c r="O163" s="101">
        <f>'IS (Before Changes)'!O163-'IS 3Q2022'!O163</f>
        <v>0</v>
      </c>
      <c r="P163" s="101">
        <f>'IS (Before Changes)'!P163-'IS 3Q2022'!P163</f>
        <v>0</v>
      </c>
      <c r="Q163" s="101">
        <f>'IS (Before Changes)'!Q163-'IS 3Q2022'!Q163</f>
        <v>0</v>
      </c>
      <c r="R163" s="17">
        <f>'IS (Before Changes)'!R163-'IS 3Q2022'!R163</f>
        <v>0</v>
      </c>
      <c r="S163" s="16">
        <f>'IS (Before Changes)'!S163-'IS 3Q2022'!S163</f>
        <v>0</v>
      </c>
      <c r="T163" s="16">
        <f>'IS (Before Changes)'!T163-'IS 3Q2022'!T163</f>
        <v>0</v>
      </c>
      <c r="U163" s="16">
        <f>'IS (Before Changes)'!U163-'IS 3Q2022'!U163</f>
        <v>0</v>
      </c>
      <c r="V163" s="33">
        <f>'IS (Before Changes)'!V163-'IS 3Q2022'!V163</f>
        <v>14.899999999999999</v>
      </c>
      <c r="W163" s="17">
        <f>'IS (Before Changes)'!W163-'IS 3Q2022'!W163</f>
        <v>0</v>
      </c>
      <c r="X163" s="33">
        <f>'IS (Before Changes)'!X163-'IS 3Q2022'!X163</f>
        <v>0</v>
      </c>
      <c r="Y163" s="33">
        <f>'IS (Before Changes)'!Y163-'IS 3Q2022'!Y163</f>
        <v>0</v>
      </c>
      <c r="Z163" s="33">
        <f>'IS (Before Changes)'!Z163-'IS 3Q2022'!Z163</f>
        <v>0</v>
      </c>
      <c r="AA163" s="33">
        <f>'IS (Before Changes)'!AA163-'IS 3Q2022'!AA163</f>
        <v>0</v>
      </c>
      <c r="AB163" s="17">
        <f>'IS (Before Changes)'!AB163-'IS 3Q2022'!AB163</f>
        <v>0</v>
      </c>
      <c r="AC163" s="33">
        <f>'IS (Before Changes)'!AC163-'IS 3Q2022'!AC163</f>
        <v>0</v>
      </c>
      <c r="AD163" s="33">
        <f>'IS (Before Changes)'!AD163-'IS 3Q2022'!AD163</f>
        <v>0</v>
      </c>
      <c r="AE163" s="33">
        <f>'IS (Before Changes)'!AE163-'IS 3Q2022'!AE163</f>
        <v>0</v>
      </c>
      <c r="AF163" s="33">
        <f>'IS (Before Changes)'!AF163-'IS 3Q2022'!AF163</f>
        <v>0</v>
      </c>
      <c r="AG163" s="17">
        <f>'IS (Before Changes)'!AG163-'IS 3Q2022'!AG163</f>
        <v>0</v>
      </c>
      <c r="AH163" s="33">
        <f>'IS (Before Changes)'!AH163-'IS 3Q2022'!AH163</f>
        <v>0</v>
      </c>
      <c r="AI163" s="33">
        <f>'IS (Before Changes)'!AI163-'IS 3Q2022'!AI163</f>
        <v>0</v>
      </c>
      <c r="AJ163" s="33">
        <f>'IS (Before Changes)'!AJ163-'IS 3Q2022'!AJ163</f>
        <v>0</v>
      </c>
      <c r="AK163" s="33">
        <f>'IS (Before Changes)'!AK163-'IS 3Q2022'!AK163</f>
        <v>0</v>
      </c>
      <c r="AL163" s="17">
        <f>'IS (Before Changes)'!AL163-'IS 3Q2022'!AL163</f>
        <v>0</v>
      </c>
      <c r="AM163" s="33">
        <f>'IS (Before Changes)'!AM163-'IS 3Q2022'!AM163</f>
        <v>0</v>
      </c>
      <c r="AN163" s="33">
        <f>'IS (Before Changes)'!AN163-'IS 3Q2022'!AN163</f>
        <v>0</v>
      </c>
      <c r="AO163" s="33">
        <f>'IS (Before Changes)'!AO163-'IS 3Q2022'!AO163</f>
        <v>0</v>
      </c>
      <c r="AP163" s="33">
        <f>'IS (Before Changes)'!AP163-'IS 3Q2022'!AP163</f>
        <v>0</v>
      </c>
      <c r="AQ163" s="17">
        <f>'IS (Before Changes)'!AQ163-'IS 3Q2022'!AQ163</f>
        <v>0</v>
      </c>
      <c r="AR163" s="33">
        <f>'IS (Before Changes)'!AR163-'IS 3Q2022'!AR163</f>
        <v>0</v>
      </c>
      <c r="AS163" s="33">
        <f>'IS (Before Changes)'!AS163-'IS 3Q2022'!AS163</f>
        <v>0</v>
      </c>
      <c r="AT163" s="33">
        <f>'IS (Before Changes)'!AT163-'IS 3Q2022'!AT163</f>
        <v>0</v>
      </c>
      <c r="AU163" s="33">
        <f>'IS (Before Changes)'!AU163-'IS 3Q2022'!AU163</f>
        <v>0</v>
      </c>
      <c r="AV163" s="17">
        <f>'IS (Before Changes)'!AV163-'IS 3Q2022'!AV163</f>
        <v>0</v>
      </c>
    </row>
    <row r="164" spans="2:48" outlineLevel="1" x14ac:dyDescent="0.3">
      <c r="B164" s="200" t="s">
        <v>64</v>
      </c>
      <c r="C164" s="201"/>
      <c r="D164" s="102">
        <f>'IS (Before Changes)'!D164-'IS 3Q2022'!D164</f>
        <v>0</v>
      </c>
      <c r="E164" s="102">
        <f>'IS (Before Changes)'!E164-'IS 3Q2022'!E164</f>
        <v>0</v>
      </c>
      <c r="F164" s="102">
        <f>'IS (Before Changes)'!F164-'IS 3Q2022'!F164</f>
        <v>0</v>
      </c>
      <c r="G164" s="102">
        <f>'IS (Before Changes)'!G164-'IS 3Q2022'!G164</f>
        <v>0</v>
      </c>
      <c r="H164" s="159">
        <f>'IS (Before Changes)'!H164-'IS 3Q2022'!H164</f>
        <v>0</v>
      </c>
      <c r="I164" s="102">
        <f>'IS (Before Changes)'!I164-'IS 3Q2022'!I164</f>
        <v>0</v>
      </c>
      <c r="J164" s="102">
        <f>'IS (Before Changes)'!J164-'IS 3Q2022'!J164</f>
        <v>0</v>
      </c>
      <c r="K164" s="105">
        <f>'IS (Before Changes)'!K164-'IS 3Q2022'!K164</f>
        <v>0</v>
      </c>
      <c r="L164" s="101">
        <f>'IS (Before Changes)'!L164-'IS 3Q2022'!L164</f>
        <v>0</v>
      </c>
      <c r="M164" s="169">
        <f>'IS (Before Changes)'!M164-'IS 3Q2022'!M164</f>
        <v>0</v>
      </c>
      <c r="N164" s="101">
        <f>'IS (Before Changes)'!N164-'IS 3Q2022'!N164</f>
        <v>0</v>
      </c>
      <c r="O164" s="101">
        <f>'IS (Before Changes)'!O164-'IS 3Q2022'!O164</f>
        <v>0</v>
      </c>
      <c r="P164" s="101">
        <f>'IS (Before Changes)'!P164-'IS 3Q2022'!P164</f>
        <v>0</v>
      </c>
      <c r="Q164" s="101">
        <f>'IS (Before Changes)'!Q164-'IS 3Q2022'!Q164</f>
        <v>0</v>
      </c>
      <c r="R164" s="17">
        <f>'IS (Before Changes)'!R164-'IS 3Q2022'!R164</f>
        <v>0</v>
      </c>
      <c r="S164" s="16">
        <f>'IS (Before Changes)'!S164-'IS 3Q2022'!S164</f>
        <v>0</v>
      </c>
      <c r="T164" s="16">
        <f>'IS (Before Changes)'!T164-'IS 3Q2022'!T164</f>
        <v>0</v>
      </c>
      <c r="U164" s="16">
        <f>'IS (Before Changes)'!U164-'IS 3Q2022'!U164</f>
        <v>0</v>
      </c>
      <c r="V164" s="33">
        <f>'IS (Before Changes)'!V164-'IS 3Q2022'!V164</f>
        <v>0</v>
      </c>
      <c r="W164" s="17">
        <f>'IS (Before Changes)'!W164-'IS 3Q2022'!W164</f>
        <v>0</v>
      </c>
      <c r="X164" s="33">
        <f>'IS (Before Changes)'!X164-'IS 3Q2022'!X164</f>
        <v>0</v>
      </c>
      <c r="Y164" s="33">
        <f>'IS (Before Changes)'!Y164-'IS 3Q2022'!Y164</f>
        <v>0</v>
      </c>
      <c r="Z164" s="33">
        <f>'IS (Before Changes)'!Z164-'IS 3Q2022'!Z164</f>
        <v>0</v>
      </c>
      <c r="AA164" s="33">
        <f>'IS (Before Changes)'!AA164-'IS 3Q2022'!AA164</f>
        <v>0</v>
      </c>
      <c r="AB164" s="17">
        <f>'IS (Before Changes)'!AB164-'IS 3Q2022'!AB164</f>
        <v>0</v>
      </c>
      <c r="AC164" s="33">
        <f>'IS (Before Changes)'!AC164-'IS 3Q2022'!AC164</f>
        <v>0</v>
      </c>
      <c r="AD164" s="33">
        <f>'IS (Before Changes)'!AD164-'IS 3Q2022'!AD164</f>
        <v>0</v>
      </c>
      <c r="AE164" s="33">
        <f>'IS (Before Changes)'!AE164-'IS 3Q2022'!AE164</f>
        <v>0</v>
      </c>
      <c r="AF164" s="33">
        <f>'IS (Before Changes)'!AF164-'IS 3Q2022'!AF164</f>
        <v>0</v>
      </c>
      <c r="AG164" s="17">
        <f>'IS (Before Changes)'!AG164-'IS 3Q2022'!AG164</f>
        <v>0</v>
      </c>
      <c r="AH164" s="33">
        <f>'IS (Before Changes)'!AH164-'IS 3Q2022'!AH164</f>
        <v>0</v>
      </c>
      <c r="AI164" s="33">
        <f>'IS (Before Changes)'!AI164-'IS 3Q2022'!AI164</f>
        <v>0</v>
      </c>
      <c r="AJ164" s="33">
        <f>'IS (Before Changes)'!AJ164-'IS 3Q2022'!AJ164</f>
        <v>0</v>
      </c>
      <c r="AK164" s="33">
        <f>'IS (Before Changes)'!AK164-'IS 3Q2022'!AK164</f>
        <v>0</v>
      </c>
      <c r="AL164" s="17">
        <f>'IS (Before Changes)'!AL164-'IS 3Q2022'!AL164</f>
        <v>0</v>
      </c>
      <c r="AM164" s="33">
        <f>'IS (Before Changes)'!AM164-'IS 3Q2022'!AM164</f>
        <v>0</v>
      </c>
      <c r="AN164" s="33">
        <f>'IS (Before Changes)'!AN164-'IS 3Q2022'!AN164</f>
        <v>0</v>
      </c>
      <c r="AO164" s="33">
        <f>'IS (Before Changes)'!AO164-'IS 3Q2022'!AO164</f>
        <v>0</v>
      </c>
      <c r="AP164" s="33">
        <f>'IS (Before Changes)'!AP164-'IS 3Q2022'!AP164</f>
        <v>0</v>
      </c>
      <c r="AQ164" s="17">
        <f>'IS (Before Changes)'!AQ164-'IS 3Q2022'!AQ164</f>
        <v>0</v>
      </c>
      <c r="AR164" s="33">
        <f>'IS (Before Changes)'!AR164-'IS 3Q2022'!AR164</f>
        <v>0</v>
      </c>
      <c r="AS164" s="33">
        <f>'IS (Before Changes)'!AS164-'IS 3Q2022'!AS164</f>
        <v>0</v>
      </c>
      <c r="AT164" s="33">
        <f>'IS (Before Changes)'!AT164-'IS 3Q2022'!AT164</f>
        <v>0</v>
      </c>
      <c r="AU164" s="33">
        <f>'IS (Before Changes)'!AU164-'IS 3Q2022'!AU164</f>
        <v>0</v>
      </c>
      <c r="AV164" s="17">
        <f>'IS (Before Changes)'!AV164-'IS 3Q2022'!AV164</f>
        <v>0</v>
      </c>
    </row>
    <row r="165" spans="2:48" outlineLevel="1" x14ac:dyDescent="0.3">
      <c r="B165" s="486" t="s">
        <v>129</v>
      </c>
      <c r="C165" s="487"/>
      <c r="D165" s="102">
        <f>'IS (Before Changes)'!D165-'IS 3Q2022'!D165</f>
        <v>0</v>
      </c>
      <c r="E165" s="102">
        <f>'IS (Before Changes)'!E165-'IS 3Q2022'!E165</f>
        <v>0</v>
      </c>
      <c r="F165" s="102">
        <f>'IS (Before Changes)'!F165-'IS 3Q2022'!F165</f>
        <v>0</v>
      </c>
      <c r="G165" s="102">
        <f>'IS (Before Changes)'!G165-'IS 3Q2022'!G165</f>
        <v>0</v>
      </c>
      <c r="H165" s="159">
        <f>'IS (Before Changes)'!H165-'IS 3Q2022'!H165</f>
        <v>0</v>
      </c>
      <c r="I165" s="102">
        <f>'IS (Before Changes)'!I165-'IS 3Q2022'!I165</f>
        <v>0</v>
      </c>
      <c r="J165" s="102">
        <f>'IS (Before Changes)'!J165-'IS 3Q2022'!J165</f>
        <v>0</v>
      </c>
      <c r="K165" s="105">
        <f>'IS (Before Changes)'!K165-'IS 3Q2022'!K165</f>
        <v>0</v>
      </c>
      <c r="L165" s="101">
        <f>'IS (Before Changes)'!L165-'IS 3Q2022'!L165</f>
        <v>0</v>
      </c>
      <c r="M165" s="169">
        <f>'IS (Before Changes)'!M165-'IS 3Q2022'!M165</f>
        <v>0</v>
      </c>
      <c r="N165" s="101">
        <f>'IS (Before Changes)'!N165-'IS 3Q2022'!N165</f>
        <v>0</v>
      </c>
      <c r="O165" s="101">
        <f>'IS (Before Changes)'!O165-'IS 3Q2022'!O165</f>
        <v>0</v>
      </c>
      <c r="P165" s="101">
        <f>'IS (Before Changes)'!P165-'IS 3Q2022'!P165</f>
        <v>0</v>
      </c>
      <c r="Q165" s="101">
        <f>'IS (Before Changes)'!Q165-'IS 3Q2022'!Q165</f>
        <v>0</v>
      </c>
      <c r="R165" s="17">
        <f>'IS (Before Changes)'!R165-'IS 3Q2022'!R165</f>
        <v>0</v>
      </c>
      <c r="S165" s="16">
        <f>'IS (Before Changes)'!S165-'IS 3Q2022'!S165</f>
        <v>0</v>
      </c>
      <c r="T165" s="16">
        <f>'IS (Before Changes)'!T165-'IS 3Q2022'!T165</f>
        <v>0</v>
      </c>
      <c r="U165" s="16">
        <f>'IS (Before Changes)'!U165-'IS 3Q2022'!U165</f>
        <v>0</v>
      </c>
      <c r="V165" s="33">
        <f>'IS (Before Changes)'!V165-'IS 3Q2022'!V165</f>
        <v>22</v>
      </c>
      <c r="W165" s="17">
        <f>'IS (Before Changes)'!W165-'IS 3Q2022'!W165</f>
        <v>0</v>
      </c>
      <c r="X165" s="33">
        <f>'IS (Before Changes)'!X165-'IS 3Q2022'!X165</f>
        <v>22</v>
      </c>
      <c r="Y165" s="33">
        <f>'IS (Before Changes)'!Y165-'IS 3Q2022'!Y165</f>
        <v>22</v>
      </c>
      <c r="Z165" s="33">
        <f>'IS (Before Changes)'!Z165-'IS 3Q2022'!Z165</f>
        <v>22</v>
      </c>
      <c r="AA165" s="33">
        <f>'IS (Before Changes)'!AA165-'IS 3Q2022'!AA165</f>
        <v>22</v>
      </c>
      <c r="AB165" s="17">
        <f>'IS (Before Changes)'!AB165-'IS 3Q2022'!AB165</f>
        <v>0</v>
      </c>
      <c r="AC165" s="33">
        <f>'IS (Before Changes)'!AC165-'IS 3Q2022'!AC165</f>
        <v>22</v>
      </c>
      <c r="AD165" s="33">
        <f>'IS (Before Changes)'!AD165-'IS 3Q2022'!AD165</f>
        <v>22</v>
      </c>
      <c r="AE165" s="33">
        <f>'IS (Before Changes)'!AE165-'IS 3Q2022'!AE165</f>
        <v>22</v>
      </c>
      <c r="AF165" s="33">
        <f>'IS (Before Changes)'!AF165-'IS 3Q2022'!AF165</f>
        <v>22</v>
      </c>
      <c r="AG165" s="17">
        <f>'IS (Before Changes)'!AG165-'IS 3Q2022'!AG165</f>
        <v>0</v>
      </c>
      <c r="AH165" s="33">
        <f>'IS (Before Changes)'!AH165-'IS 3Q2022'!AH165</f>
        <v>22</v>
      </c>
      <c r="AI165" s="33">
        <f>'IS (Before Changes)'!AI165-'IS 3Q2022'!AI165</f>
        <v>22</v>
      </c>
      <c r="AJ165" s="33">
        <f>'IS (Before Changes)'!AJ165-'IS 3Q2022'!AJ165</f>
        <v>22</v>
      </c>
      <c r="AK165" s="33">
        <f>'IS (Before Changes)'!AK165-'IS 3Q2022'!AK165</f>
        <v>22</v>
      </c>
      <c r="AL165" s="17">
        <f>'IS (Before Changes)'!AL165-'IS 3Q2022'!AL165</f>
        <v>0</v>
      </c>
      <c r="AM165" s="33">
        <f>'IS (Before Changes)'!AM165-'IS 3Q2022'!AM165</f>
        <v>22</v>
      </c>
      <c r="AN165" s="33">
        <f>'IS (Before Changes)'!AN165-'IS 3Q2022'!AN165</f>
        <v>22</v>
      </c>
      <c r="AO165" s="33">
        <f>'IS (Before Changes)'!AO165-'IS 3Q2022'!AO165</f>
        <v>22</v>
      </c>
      <c r="AP165" s="33">
        <f>'IS (Before Changes)'!AP165-'IS 3Q2022'!AP165</f>
        <v>22</v>
      </c>
      <c r="AQ165" s="17">
        <f>'IS (Before Changes)'!AQ165-'IS 3Q2022'!AQ165</f>
        <v>0</v>
      </c>
      <c r="AR165" s="33">
        <f>'IS (Before Changes)'!AR165-'IS 3Q2022'!AR165</f>
        <v>22</v>
      </c>
      <c r="AS165" s="33">
        <f>'IS (Before Changes)'!AS165-'IS 3Q2022'!AS165</f>
        <v>22</v>
      </c>
      <c r="AT165" s="33">
        <f>'IS (Before Changes)'!AT165-'IS 3Q2022'!AT165</f>
        <v>22</v>
      </c>
      <c r="AU165" s="33">
        <f>'IS (Before Changes)'!AU165-'IS 3Q2022'!AU165</f>
        <v>22</v>
      </c>
      <c r="AV165" s="17">
        <f>'IS (Before Changes)'!AV165-'IS 3Q2022'!AV165</f>
        <v>0</v>
      </c>
    </row>
    <row r="166" spans="2:48" outlineLevel="1" x14ac:dyDescent="0.3">
      <c r="B166" s="200" t="s">
        <v>66</v>
      </c>
      <c r="C166" s="201"/>
      <c r="D166" s="102">
        <f>'IS (Before Changes)'!D166-'IS 3Q2022'!D166</f>
        <v>0</v>
      </c>
      <c r="E166" s="102">
        <f>'IS (Before Changes)'!E166-'IS 3Q2022'!E166</f>
        <v>0</v>
      </c>
      <c r="F166" s="102">
        <f>'IS (Before Changes)'!F166-'IS 3Q2022'!F166</f>
        <v>0</v>
      </c>
      <c r="G166" s="102">
        <f>'IS (Before Changes)'!G166-'IS 3Q2022'!G166</f>
        <v>0</v>
      </c>
      <c r="H166" s="159">
        <f>'IS (Before Changes)'!H166-'IS 3Q2022'!H166</f>
        <v>0</v>
      </c>
      <c r="I166" s="102">
        <f>'IS (Before Changes)'!I166-'IS 3Q2022'!I166</f>
        <v>0</v>
      </c>
      <c r="J166" s="102">
        <f>'IS (Before Changes)'!J166-'IS 3Q2022'!J166</f>
        <v>0</v>
      </c>
      <c r="K166" s="101">
        <f>'IS (Before Changes)'!K166-'IS 3Q2022'!K166</f>
        <v>0</v>
      </c>
      <c r="L166" s="101">
        <f>'IS (Before Changes)'!L166-'IS 3Q2022'!L166</f>
        <v>0</v>
      </c>
      <c r="M166" s="169">
        <f>'IS (Before Changes)'!M166-'IS 3Q2022'!M166</f>
        <v>0</v>
      </c>
      <c r="N166" s="101">
        <f>'IS (Before Changes)'!N166-'IS 3Q2022'!N166</f>
        <v>0</v>
      </c>
      <c r="O166" s="101">
        <f>'IS (Before Changes)'!O166-'IS 3Q2022'!O166</f>
        <v>0</v>
      </c>
      <c r="P166" s="101">
        <f>'IS (Before Changes)'!P166-'IS 3Q2022'!P166</f>
        <v>0</v>
      </c>
      <c r="Q166" s="101">
        <f>'IS (Before Changes)'!Q166-'IS 3Q2022'!Q166</f>
        <v>0</v>
      </c>
      <c r="R166" s="17">
        <f>'IS (Before Changes)'!R166-'IS 3Q2022'!R166</f>
        <v>0</v>
      </c>
      <c r="S166" s="16">
        <f>'IS (Before Changes)'!S166-'IS 3Q2022'!S166</f>
        <v>0</v>
      </c>
      <c r="T166" s="16">
        <f>'IS (Before Changes)'!T166-'IS 3Q2022'!T166</f>
        <v>0</v>
      </c>
      <c r="U166" s="16">
        <f>'IS (Before Changes)'!U166-'IS 3Q2022'!U166</f>
        <v>0</v>
      </c>
      <c r="V166" s="33">
        <f>'IS (Before Changes)'!V166-'IS 3Q2022'!V166</f>
        <v>0</v>
      </c>
      <c r="W166" s="17">
        <f>'IS (Before Changes)'!W166-'IS 3Q2022'!W166</f>
        <v>0</v>
      </c>
      <c r="X166" s="33">
        <f>'IS (Before Changes)'!X166-'IS 3Q2022'!X166</f>
        <v>0</v>
      </c>
      <c r="Y166" s="33">
        <f>'IS (Before Changes)'!Y166-'IS 3Q2022'!Y166</f>
        <v>0</v>
      </c>
      <c r="Z166" s="33">
        <f>'IS (Before Changes)'!Z166-'IS 3Q2022'!Z166</f>
        <v>0</v>
      </c>
      <c r="AA166" s="33">
        <f>'IS (Before Changes)'!AA166-'IS 3Q2022'!AA166</f>
        <v>0</v>
      </c>
      <c r="AB166" s="17">
        <f>'IS (Before Changes)'!AB166-'IS 3Q2022'!AB166</f>
        <v>0</v>
      </c>
      <c r="AC166" s="33">
        <f>'IS (Before Changes)'!AC166-'IS 3Q2022'!AC166</f>
        <v>0</v>
      </c>
      <c r="AD166" s="33">
        <f>'IS (Before Changes)'!AD166-'IS 3Q2022'!AD166</f>
        <v>0</v>
      </c>
      <c r="AE166" s="33">
        <f>'IS (Before Changes)'!AE166-'IS 3Q2022'!AE166</f>
        <v>0</v>
      </c>
      <c r="AF166" s="33">
        <f>'IS (Before Changes)'!AF166-'IS 3Q2022'!AF166</f>
        <v>0</v>
      </c>
      <c r="AG166" s="17">
        <f>'IS (Before Changes)'!AG166-'IS 3Q2022'!AG166</f>
        <v>0</v>
      </c>
      <c r="AH166" s="33">
        <f>'IS (Before Changes)'!AH166-'IS 3Q2022'!AH166</f>
        <v>0</v>
      </c>
      <c r="AI166" s="33">
        <f>'IS (Before Changes)'!AI166-'IS 3Q2022'!AI166</f>
        <v>0</v>
      </c>
      <c r="AJ166" s="33">
        <f>'IS (Before Changes)'!AJ166-'IS 3Q2022'!AJ166</f>
        <v>0</v>
      </c>
      <c r="AK166" s="33">
        <f>'IS (Before Changes)'!AK166-'IS 3Q2022'!AK166</f>
        <v>0</v>
      </c>
      <c r="AL166" s="17">
        <f>'IS (Before Changes)'!AL166-'IS 3Q2022'!AL166</f>
        <v>0</v>
      </c>
      <c r="AM166" s="33">
        <f>'IS (Before Changes)'!AM166-'IS 3Q2022'!AM166</f>
        <v>0</v>
      </c>
      <c r="AN166" s="33">
        <f>'IS (Before Changes)'!AN166-'IS 3Q2022'!AN166</f>
        <v>0</v>
      </c>
      <c r="AO166" s="33">
        <f>'IS (Before Changes)'!AO166-'IS 3Q2022'!AO166</f>
        <v>0</v>
      </c>
      <c r="AP166" s="33">
        <f>'IS (Before Changes)'!AP166-'IS 3Q2022'!AP166</f>
        <v>0</v>
      </c>
      <c r="AQ166" s="17">
        <f>'IS (Before Changes)'!AQ166-'IS 3Q2022'!AQ166</f>
        <v>0</v>
      </c>
      <c r="AR166" s="33">
        <f>'IS (Before Changes)'!AR166-'IS 3Q2022'!AR166</f>
        <v>0</v>
      </c>
      <c r="AS166" s="33">
        <f>'IS (Before Changes)'!AS166-'IS 3Q2022'!AS166</f>
        <v>0</v>
      </c>
      <c r="AT166" s="33">
        <f>'IS (Before Changes)'!AT166-'IS 3Q2022'!AT166</f>
        <v>0</v>
      </c>
      <c r="AU166" s="33">
        <f>'IS (Before Changes)'!AU166-'IS 3Q2022'!AU166</f>
        <v>0</v>
      </c>
      <c r="AV166" s="17">
        <f>'IS (Before Changes)'!AV166-'IS 3Q2022'!AV166</f>
        <v>0</v>
      </c>
    </row>
    <row r="167" spans="2:48" ht="16.2" outlineLevel="1" x14ac:dyDescent="0.45">
      <c r="B167" s="200" t="s">
        <v>80</v>
      </c>
      <c r="C167" s="201"/>
      <c r="D167" s="138">
        <f>'IS (Before Changes)'!D167-'IS 3Q2022'!D167</f>
        <v>0</v>
      </c>
      <c r="E167" s="138">
        <f>'IS (Before Changes)'!E167-'IS 3Q2022'!E167</f>
        <v>0</v>
      </c>
      <c r="F167" s="138">
        <f>'IS (Before Changes)'!F167-'IS 3Q2022'!F167</f>
        <v>0</v>
      </c>
      <c r="G167" s="138">
        <f>'IS (Before Changes)'!G167-'IS 3Q2022'!G167</f>
        <v>0</v>
      </c>
      <c r="H167" s="160">
        <f>'IS (Before Changes)'!H167-'IS 3Q2022'!H167</f>
        <v>0</v>
      </c>
      <c r="I167" s="138">
        <f>'IS (Before Changes)'!I167-'IS 3Q2022'!I167</f>
        <v>0</v>
      </c>
      <c r="J167" s="138">
        <f>'IS (Before Changes)'!J167-'IS 3Q2022'!J167</f>
        <v>0</v>
      </c>
      <c r="K167" s="112">
        <f>'IS (Before Changes)'!K167-'IS 3Q2022'!K167</f>
        <v>0</v>
      </c>
      <c r="L167" s="112">
        <f>'IS (Before Changes)'!L167-'IS 3Q2022'!L167</f>
        <v>0</v>
      </c>
      <c r="M167" s="169">
        <f>'IS (Before Changes)'!M167-'IS 3Q2022'!M167</f>
        <v>0</v>
      </c>
      <c r="N167" s="112">
        <f>'IS (Before Changes)'!N167-'IS 3Q2022'!N167</f>
        <v>0</v>
      </c>
      <c r="O167" s="112">
        <f>'IS (Before Changes)'!O167-'IS 3Q2022'!O167</f>
        <v>0</v>
      </c>
      <c r="P167" s="112">
        <f>'IS (Before Changes)'!P167-'IS 3Q2022'!P167</f>
        <v>0</v>
      </c>
      <c r="Q167" s="112">
        <f>'IS (Before Changes)'!Q167-'IS 3Q2022'!Q167</f>
        <v>0</v>
      </c>
      <c r="R167" s="17">
        <f>'IS (Before Changes)'!R167-'IS 3Q2022'!R167</f>
        <v>0</v>
      </c>
      <c r="S167" s="112">
        <f>'IS (Before Changes)'!S167-'IS 3Q2022'!S167</f>
        <v>0</v>
      </c>
      <c r="T167" s="112">
        <f>'IS (Before Changes)'!T167-'IS 3Q2022'!T167</f>
        <v>0</v>
      </c>
      <c r="U167" s="112">
        <f>'IS (Before Changes)'!U167-'IS 3Q2022'!U167</f>
        <v>0</v>
      </c>
      <c r="V167" s="32">
        <f>'IS (Before Changes)'!V167-'IS 3Q2022'!V167</f>
        <v>0</v>
      </c>
      <c r="W167" s="17">
        <f>'IS (Before Changes)'!W167-'IS 3Q2022'!W167</f>
        <v>0</v>
      </c>
      <c r="X167" s="32">
        <f>'IS (Before Changes)'!X167-'IS 3Q2022'!X167</f>
        <v>31.798908368811873</v>
      </c>
      <c r="Y167" s="32">
        <f>'IS (Before Changes)'!Y167-'IS 3Q2022'!Y167</f>
        <v>31.798908368811873</v>
      </c>
      <c r="Z167" s="32">
        <f>'IS (Before Changes)'!Z167-'IS 3Q2022'!Z167</f>
        <v>31.798908368811873</v>
      </c>
      <c r="AA167" s="32">
        <f>'IS (Before Changes)'!AA167-'IS 3Q2022'!AA167</f>
        <v>31.798908368811873</v>
      </c>
      <c r="AB167" s="17">
        <f>'IS (Before Changes)'!AB167-'IS 3Q2022'!AB167</f>
        <v>0</v>
      </c>
      <c r="AC167" s="32">
        <f>'IS (Before Changes)'!AC167-'IS 3Q2022'!AC167</f>
        <v>31.798908368811873</v>
      </c>
      <c r="AD167" s="32">
        <f>'IS (Before Changes)'!AD167-'IS 3Q2022'!AD167</f>
        <v>0</v>
      </c>
      <c r="AE167" s="32">
        <f>'IS (Before Changes)'!AE167-'IS 3Q2022'!AE167</f>
        <v>0</v>
      </c>
      <c r="AF167" s="32">
        <f>'IS (Before Changes)'!AF167-'IS 3Q2022'!AF167</f>
        <v>0</v>
      </c>
      <c r="AG167" s="17">
        <f>'IS (Before Changes)'!AG167-'IS 3Q2022'!AG167</f>
        <v>0</v>
      </c>
      <c r="AH167" s="32">
        <f>'IS (Before Changes)'!AH167-'IS 3Q2022'!AH167</f>
        <v>0</v>
      </c>
      <c r="AI167" s="32">
        <f>'IS (Before Changes)'!AI167-'IS 3Q2022'!AI167</f>
        <v>0</v>
      </c>
      <c r="AJ167" s="32">
        <f>'IS (Before Changes)'!AJ167-'IS 3Q2022'!AJ167</f>
        <v>0</v>
      </c>
      <c r="AK167" s="32">
        <f>'IS (Before Changes)'!AK167-'IS 3Q2022'!AK167</f>
        <v>0</v>
      </c>
      <c r="AL167" s="17">
        <f>'IS (Before Changes)'!AL167-'IS 3Q2022'!AL167</f>
        <v>0</v>
      </c>
      <c r="AM167" s="32">
        <f>'IS (Before Changes)'!AM167-'IS 3Q2022'!AM167</f>
        <v>0</v>
      </c>
      <c r="AN167" s="32">
        <f>'IS (Before Changes)'!AN167-'IS 3Q2022'!AN167</f>
        <v>0</v>
      </c>
      <c r="AO167" s="32">
        <f>'IS (Before Changes)'!AO167-'IS 3Q2022'!AO167</f>
        <v>0</v>
      </c>
      <c r="AP167" s="32">
        <f>'IS (Before Changes)'!AP167-'IS 3Q2022'!AP167</f>
        <v>0</v>
      </c>
      <c r="AQ167" s="17">
        <f>'IS (Before Changes)'!AQ167-'IS 3Q2022'!AQ167</f>
        <v>0</v>
      </c>
      <c r="AR167" s="32">
        <f>'IS (Before Changes)'!AR167-'IS 3Q2022'!AR167</f>
        <v>0</v>
      </c>
      <c r="AS167" s="32">
        <f>'IS (Before Changes)'!AS167-'IS 3Q2022'!AS167</f>
        <v>0</v>
      </c>
      <c r="AT167" s="32">
        <f>'IS (Before Changes)'!AT167-'IS 3Q2022'!AT167</f>
        <v>0</v>
      </c>
      <c r="AU167" s="32">
        <f>'IS (Before Changes)'!AU167-'IS 3Q2022'!AU167</f>
        <v>0</v>
      </c>
      <c r="AV167" s="17">
        <f>'IS (Before Changes)'!AV167-'IS 3Q2022'!AV167</f>
        <v>0</v>
      </c>
    </row>
    <row r="168" spans="2:48" s="8" customFormat="1" outlineLevel="1" x14ac:dyDescent="0.3">
      <c r="B168" s="205" t="s">
        <v>67</v>
      </c>
      <c r="C168" s="202"/>
      <c r="D168" s="103">
        <f>'IS (Before Changes)'!D168-'IS 3Q2022'!D168</f>
        <v>0</v>
      </c>
      <c r="E168" s="103">
        <f>'IS (Before Changes)'!E168-'IS 3Q2022'!E168</f>
        <v>0</v>
      </c>
      <c r="F168" s="103">
        <f>'IS (Before Changes)'!F168-'IS 3Q2022'!F168</f>
        <v>0</v>
      </c>
      <c r="G168" s="103">
        <f>'IS (Before Changes)'!G168-'IS 3Q2022'!G168</f>
        <v>0</v>
      </c>
      <c r="H168" s="171">
        <f>'IS (Before Changes)'!H168-'IS 3Q2022'!H168</f>
        <v>0</v>
      </c>
      <c r="I168" s="103">
        <f>'IS (Before Changes)'!I168-'IS 3Q2022'!I168</f>
        <v>0</v>
      </c>
      <c r="J168" s="103">
        <f>'IS (Before Changes)'!J168-'IS 3Q2022'!J168</f>
        <v>0</v>
      </c>
      <c r="K168" s="103">
        <f>'IS (Before Changes)'!K168-'IS 3Q2022'!K168</f>
        <v>0</v>
      </c>
      <c r="L168" s="103">
        <f>'IS (Before Changes)'!L168-'IS 3Q2022'!L168</f>
        <v>0</v>
      </c>
      <c r="M168" s="150">
        <f>'IS (Before Changes)'!M168-'IS 3Q2022'!M168</f>
        <v>0</v>
      </c>
      <c r="N168" s="103">
        <f>'IS (Before Changes)'!N168-'IS 3Q2022'!N168</f>
        <v>0</v>
      </c>
      <c r="O168" s="103">
        <f>'IS (Before Changes)'!O168-'IS 3Q2022'!O168</f>
        <v>0</v>
      </c>
      <c r="P168" s="103">
        <f>'IS (Before Changes)'!P168-'IS 3Q2022'!P168</f>
        <v>0</v>
      </c>
      <c r="Q168" s="103">
        <f>'IS (Before Changes)'!Q168-'IS 3Q2022'!Q168</f>
        <v>0</v>
      </c>
      <c r="R168" s="22">
        <f>'IS (Before Changes)'!R168-'IS 3Q2022'!R168</f>
        <v>0</v>
      </c>
      <c r="S168" s="103">
        <f>'IS (Before Changes)'!S168-'IS 3Q2022'!S168</f>
        <v>0</v>
      </c>
      <c r="T168" s="50">
        <f>'IS (Before Changes)'!T168-'IS 3Q2022'!T168</f>
        <v>0</v>
      </c>
      <c r="U168" s="50">
        <f>'IS (Before Changes)'!U168-'IS 3Q2022'!U168</f>
        <v>0</v>
      </c>
      <c r="V168" s="50">
        <f>'IS (Before Changes)'!V168-'IS 3Q2022'!V168</f>
        <v>36.900000000000006</v>
      </c>
      <c r="W168" s="22">
        <f>'IS (Before Changes)'!W168-'IS 3Q2022'!W168</f>
        <v>0</v>
      </c>
      <c r="X168" s="50">
        <f>'IS (Before Changes)'!X168-'IS 3Q2022'!X168</f>
        <v>53.798908368811873</v>
      </c>
      <c r="Y168" s="50">
        <f>'IS (Before Changes)'!Y168-'IS 3Q2022'!Y168</f>
        <v>53.798908368811873</v>
      </c>
      <c r="Z168" s="50">
        <f>'IS (Before Changes)'!Z168-'IS 3Q2022'!Z168</f>
        <v>53.798908368811873</v>
      </c>
      <c r="AA168" s="50">
        <f>'IS (Before Changes)'!AA168-'IS 3Q2022'!AA168</f>
        <v>53.798908368811873</v>
      </c>
      <c r="AB168" s="22">
        <f>'IS (Before Changes)'!AB168-'IS 3Q2022'!AB168</f>
        <v>0</v>
      </c>
      <c r="AC168" s="50">
        <f>'IS (Before Changes)'!AC168-'IS 3Q2022'!AC168</f>
        <v>53.798908368811873</v>
      </c>
      <c r="AD168" s="50">
        <f>'IS (Before Changes)'!AD168-'IS 3Q2022'!AD168</f>
        <v>22</v>
      </c>
      <c r="AE168" s="50">
        <f>'IS (Before Changes)'!AE168-'IS 3Q2022'!AE168</f>
        <v>22</v>
      </c>
      <c r="AF168" s="50">
        <f>'IS (Before Changes)'!AF168-'IS 3Q2022'!AF168</f>
        <v>22</v>
      </c>
      <c r="AG168" s="22">
        <f>'IS (Before Changes)'!AG168-'IS 3Q2022'!AG168</f>
        <v>0</v>
      </c>
      <c r="AH168" s="50">
        <f>'IS (Before Changes)'!AH168-'IS 3Q2022'!AH168</f>
        <v>22</v>
      </c>
      <c r="AI168" s="50">
        <f>'IS (Before Changes)'!AI168-'IS 3Q2022'!AI168</f>
        <v>22</v>
      </c>
      <c r="AJ168" s="50">
        <f>'IS (Before Changes)'!AJ168-'IS 3Q2022'!AJ168</f>
        <v>22</v>
      </c>
      <c r="AK168" s="50">
        <f>'IS (Before Changes)'!AK168-'IS 3Q2022'!AK168</f>
        <v>22</v>
      </c>
      <c r="AL168" s="22">
        <f>'IS (Before Changes)'!AL168-'IS 3Q2022'!AL168</f>
        <v>0</v>
      </c>
      <c r="AM168" s="50">
        <f>'IS (Before Changes)'!AM168-'IS 3Q2022'!AM168</f>
        <v>22</v>
      </c>
      <c r="AN168" s="50">
        <f>'IS (Before Changes)'!AN168-'IS 3Q2022'!AN168</f>
        <v>22</v>
      </c>
      <c r="AO168" s="50">
        <f>'IS (Before Changes)'!AO168-'IS 3Q2022'!AO168</f>
        <v>22</v>
      </c>
      <c r="AP168" s="50">
        <f>'IS (Before Changes)'!AP168-'IS 3Q2022'!AP168</f>
        <v>22</v>
      </c>
      <c r="AQ168" s="22">
        <f>'IS (Before Changes)'!AQ168-'IS 3Q2022'!AQ168</f>
        <v>0</v>
      </c>
      <c r="AR168" s="50">
        <f>'IS (Before Changes)'!AR168-'IS 3Q2022'!AR168</f>
        <v>22</v>
      </c>
      <c r="AS168" s="50">
        <f>'IS (Before Changes)'!AS168-'IS 3Q2022'!AS168</f>
        <v>22</v>
      </c>
      <c r="AT168" s="50">
        <f>'IS (Before Changes)'!AT168-'IS 3Q2022'!AT168</f>
        <v>22</v>
      </c>
      <c r="AU168" s="50">
        <f>'IS (Before Changes)'!AU168-'IS 3Q2022'!AU168</f>
        <v>22</v>
      </c>
      <c r="AV168" s="22">
        <f>'IS (Before Changes)'!AV168-'IS 3Q2022'!AV168</f>
        <v>0</v>
      </c>
    </row>
    <row r="169" spans="2:48" ht="16.2" outlineLevel="1" x14ac:dyDescent="0.45">
      <c r="B169" s="200" t="s">
        <v>155</v>
      </c>
      <c r="C169" s="201"/>
      <c r="D169" s="104">
        <f>'IS (Before Changes)'!D169-'IS 3Q2022'!D169</f>
        <v>0</v>
      </c>
      <c r="E169" s="104">
        <f>'IS (Before Changes)'!E169-'IS 3Q2022'!E169</f>
        <v>0</v>
      </c>
      <c r="F169" s="104">
        <f>'IS (Before Changes)'!F169-'IS 3Q2022'!F169</f>
        <v>0</v>
      </c>
      <c r="G169" s="104">
        <f>'IS (Before Changes)'!G169-'IS 3Q2022'!G169</f>
        <v>0</v>
      </c>
      <c r="H169" s="169">
        <f>'IS (Before Changes)'!H169-'IS 3Q2022'!H169</f>
        <v>0</v>
      </c>
      <c r="I169" s="104">
        <f>'IS (Before Changes)'!I169-'IS 3Q2022'!I169</f>
        <v>0</v>
      </c>
      <c r="J169" s="104">
        <f>'IS (Before Changes)'!J169-'IS 3Q2022'!J169</f>
        <v>0</v>
      </c>
      <c r="K169" s="104">
        <f>'IS (Before Changes)'!K169-'IS 3Q2022'!K169</f>
        <v>0</v>
      </c>
      <c r="L169" s="104">
        <f>'IS (Before Changes)'!L169-'IS 3Q2022'!L169</f>
        <v>0</v>
      </c>
      <c r="M169" s="169">
        <f>'IS (Before Changes)'!M169-'IS 3Q2022'!M169</f>
        <v>0</v>
      </c>
      <c r="N169" s="104">
        <f>'IS (Before Changes)'!N169-'IS 3Q2022'!N169</f>
        <v>0</v>
      </c>
      <c r="O169" s="104">
        <f>'IS (Before Changes)'!O169-'IS 3Q2022'!O169</f>
        <v>0</v>
      </c>
      <c r="P169" s="104">
        <f>'IS (Before Changes)'!P169-'IS 3Q2022'!P169</f>
        <v>0</v>
      </c>
      <c r="Q169" s="104">
        <f>'IS (Before Changes)'!Q169-'IS 3Q2022'!Q169</f>
        <v>0</v>
      </c>
      <c r="R169" s="17">
        <f>'IS (Before Changes)'!R169-'IS 3Q2022'!R169</f>
        <v>0</v>
      </c>
      <c r="S169" s="104">
        <f>'IS (Before Changes)'!S169-'IS 3Q2022'!S169</f>
        <v>0</v>
      </c>
      <c r="T169" s="52">
        <f>'IS (Before Changes)'!T169-'IS 3Q2022'!T169</f>
        <v>0</v>
      </c>
      <c r="U169" s="52">
        <f>'IS (Before Changes)'!U169-'IS 3Q2022'!U169</f>
        <v>0</v>
      </c>
      <c r="V169" s="52">
        <f>'IS (Before Changes)'!V169-'IS 3Q2022'!V169</f>
        <v>0</v>
      </c>
      <c r="W169" s="17">
        <f>'IS (Before Changes)'!W169-'IS 3Q2022'!W169</f>
        <v>0</v>
      </c>
      <c r="X169" s="52">
        <f>'IS (Before Changes)'!X169-'IS 3Q2022'!X169</f>
        <v>0</v>
      </c>
      <c r="Y169" s="52">
        <f>'IS (Before Changes)'!Y169-'IS 3Q2022'!Y169</f>
        <v>0</v>
      </c>
      <c r="Z169" s="52">
        <f>'IS (Before Changes)'!Z169-'IS 3Q2022'!Z169</f>
        <v>0</v>
      </c>
      <c r="AA169" s="52">
        <f>'IS (Before Changes)'!AA169-'IS 3Q2022'!AA169</f>
        <v>0</v>
      </c>
      <c r="AB169" s="17">
        <f>'IS (Before Changes)'!AB169-'IS 3Q2022'!AB169</f>
        <v>0</v>
      </c>
      <c r="AC169" s="52">
        <f>'IS (Before Changes)'!AC169-'IS 3Q2022'!AC169</f>
        <v>0</v>
      </c>
      <c r="AD169" s="52">
        <f>'IS (Before Changes)'!AD169-'IS 3Q2022'!AD169</f>
        <v>0</v>
      </c>
      <c r="AE169" s="52">
        <f>'IS (Before Changes)'!AE169-'IS 3Q2022'!AE169</f>
        <v>0</v>
      </c>
      <c r="AF169" s="52">
        <f>'IS (Before Changes)'!AF169-'IS 3Q2022'!AF169</f>
        <v>0</v>
      </c>
      <c r="AG169" s="17">
        <f>'IS (Before Changes)'!AG169-'IS 3Q2022'!AG169</f>
        <v>0</v>
      </c>
      <c r="AH169" s="52">
        <f>'IS (Before Changes)'!AH169-'IS 3Q2022'!AH169</f>
        <v>0</v>
      </c>
      <c r="AI169" s="52">
        <f>'IS (Before Changes)'!AI169-'IS 3Q2022'!AI169</f>
        <v>0</v>
      </c>
      <c r="AJ169" s="52">
        <f>'IS (Before Changes)'!AJ169-'IS 3Q2022'!AJ169</f>
        <v>0</v>
      </c>
      <c r="AK169" s="52">
        <f>'IS (Before Changes)'!AK169-'IS 3Q2022'!AK169</f>
        <v>0</v>
      </c>
      <c r="AL169" s="17">
        <f>'IS (Before Changes)'!AL169-'IS 3Q2022'!AL169</f>
        <v>0</v>
      </c>
      <c r="AM169" s="52">
        <f>'IS (Before Changes)'!AM169-'IS 3Q2022'!AM169</f>
        <v>0</v>
      </c>
      <c r="AN169" s="52">
        <f>'IS (Before Changes)'!AN169-'IS 3Q2022'!AN169</f>
        <v>0</v>
      </c>
      <c r="AO169" s="52">
        <f>'IS (Before Changes)'!AO169-'IS 3Q2022'!AO169</f>
        <v>0</v>
      </c>
      <c r="AP169" s="52">
        <f>'IS (Before Changes)'!AP169-'IS 3Q2022'!AP169</f>
        <v>0</v>
      </c>
      <c r="AQ169" s="17">
        <f>'IS (Before Changes)'!AQ169-'IS 3Q2022'!AQ169</f>
        <v>0</v>
      </c>
      <c r="AR169" s="52">
        <f>'IS (Before Changes)'!AR169-'IS 3Q2022'!AR169</f>
        <v>0</v>
      </c>
      <c r="AS169" s="52">
        <f>'IS (Before Changes)'!AS169-'IS 3Q2022'!AS169</f>
        <v>0</v>
      </c>
      <c r="AT169" s="52">
        <f>'IS (Before Changes)'!AT169-'IS 3Q2022'!AT169</f>
        <v>0</v>
      </c>
      <c r="AU169" s="52">
        <f>'IS (Before Changes)'!AU169-'IS 3Q2022'!AU169</f>
        <v>0</v>
      </c>
      <c r="AV169" s="17">
        <f>'IS (Before Changes)'!AV169-'IS 3Q2022'!AV169</f>
        <v>0</v>
      </c>
    </row>
    <row r="170" spans="2:48" s="8" customFormat="1" outlineLevel="1" x14ac:dyDescent="0.3">
      <c r="B170" s="205" t="s">
        <v>68</v>
      </c>
      <c r="C170" s="202"/>
      <c r="D170" s="103">
        <f>'IS (Before Changes)'!D170-'IS 3Q2022'!D170</f>
        <v>0</v>
      </c>
      <c r="E170" s="103">
        <f>'IS (Before Changes)'!E170-'IS 3Q2022'!E170</f>
        <v>0</v>
      </c>
      <c r="F170" s="103">
        <f>'IS (Before Changes)'!F170-'IS 3Q2022'!F170</f>
        <v>0</v>
      </c>
      <c r="G170" s="103">
        <f>'IS (Before Changes)'!G170-'IS 3Q2022'!G170</f>
        <v>0</v>
      </c>
      <c r="H170" s="150">
        <f>'IS (Before Changes)'!H170-'IS 3Q2022'!H170</f>
        <v>0</v>
      </c>
      <c r="I170" s="103">
        <f>'IS (Before Changes)'!I170-'IS 3Q2022'!I170</f>
        <v>0</v>
      </c>
      <c r="J170" s="103">
        <f>'IS (Before Changes)'!J170-'IS 3Q2022'!J170</f>
        <v>0</v>
      </c>
      <c r="K170" s="103">
        <f>'IS (Before Changes)'!K170-'IS 3Q2022'!K170</f>
        <v>0</v>
      </c>
      <c r="L170" s="103">
        <f>'IS (Before Changes)'!L170-'IS 3Q2022'!L170</f>
        <v>0</v>
      </c>
      <c r="M170" s="150">
        <f>'IS (Before Changes)'!M170-'IS 3Q2022'!M170</f>
        <v>0</v>
      </c>
      <c r="N170" s="103">
        <f>'IS (Before Changes)'!N170-'IS 3Q2022'!N170</f>
        <v>0</v>
      </c>
      <c r="O170" s="103">
        <f>'IS (Before Changes)'!O170-'IS 3Q2022'!O170</f>
        <v>0</v>
      </c>
      <c r="P170" s="103">
        <f>'IS (Before Changes)'!P170-'IS 3Q2022'!P170</f>
        <v>0</v>
      </c>
      <c r="Q170" s="103">
        <f>'IS (Before Changes)'!Q170-'IS 3Q2022'!Q170</f>
        <v>0</v>
      </c>
      <c r="R170" s="22">
        <f>'IS (Before Changes)'!R170-'IS 3Q2022'!R170</f>
        <v>0</v>
      </c>
      <c r="S170" s="103">
        <f>'IS (Before Changes)'!S170-'IS 3Q2022'!S170</f>
        <v>0</v>
      </c>
      <c r="T170" s="50">
        <f>'IS (Before Changes)'!T170-'IS 3Q2022'!T170</f>
        <v>0</v>
      </c>
      <c r="U170" s="50">
        <f>'IS (Before Changes)'!U170-'IS 3Q2022'!U170</f>
        <v>0</v>
      </c>
      <c r="V170" s="50">
        <f>'IS (Before Changes)'!V170-'IS 3Q2022'!V170</f>
        <v>-36.900000000000006</v>
      </c>
      <c r="W170" s="22">
        <f>'IS (Before Changes)'!W170-'IS 3Q2022'!W170</f>
        <v>0</v>
      </c>
      <c r="X170" s="50">
        <f>'IS (Before Changes)'!X170-'IS 3Q2022'!X170</f>
        <v>-53.798908368811873</v>
      </c>
      <c r="Y170" s="50">
        <f>'IS (Before Changes)'!Y170-'IS 3Q2022'!Y170</f>
        <v>-53.798908368811873</v>
      </c>
      <c r="Z170" s="50">
        <f>'IS (Before Changes)'!Z170-'IS 3Q2022'!Z170</f>
        <v>-53.798908368811873</v>
      </c>
      <c r="AA170" s="50">
        <f>'IS (Before Changes)'!AA170-'IS 3Q2022'!AA170</f>
        <v>-53.798908368811873</v>
      </c>
      <c r="AB170" s="22">
        <f>'IS (Before Changes)'!AB170-'IS 3Q2022'!AB170</f>
        <v>0</v>
      </c>
      <c r="AC170" s="50">
        <f>'IS (Before Changes)'!AC170-'IS 3Q2022'!AC170</f>
        <v>-53.798908368811873</v>
      </c>
      <c r="AD170" s="50">
        <f>'IS (Before Changes)'!AD170-'IS 3Q2022'!AD170</f>
        <v>-22</v>
      </c>
      <c r="AE170" s="50">
        <f>'IS (Before Changes)'!AE170-'IS 3Q2022'!AE170</f>
        <v>-22</v>
      </c>
      <c r="AF170" s="50">
        <f>'IS (Before Changes)'!AF170-'IS 3Q2022'!AF170</f>
        <v>-22</v>
      </c>
      <c r="AG170" s="22">
        <f>'IS (Before Changes)'!AG170-'IS 3Q2022'!AG170</f>
        <v>0</v>
      </c>
      <c r="AH170" s="50">
        <f>'IS (Before Changes)'!AH170-'IS 3Q2022'!AH170</f>
        <v>-22</v>
      </c>
      <c r="AI170" s="50">
        <f>'IS (Before Changes)'!AI170-'IS 3Q2022'!AI170</f>
        <v>-22</v>
      </c>
      <c r="AJ170" s="50">
        <f>'IS (Before Changes)'!AJ170-'IS 3Q2022'!AJ170</f>
        <v>-22</v>
      </c>
      <c r="AK170" s="50">
        <f>'IS (Before Changes)'!AK170-'IS 3Q2022'!AK170</f>
        <v>-22</v>
      </c>
      <c r="AL170" s="22">
        <f>'IS (Before Changes)'!AL170-'IS 3Q2022'!AL170</f>
        <v>0</v>
      </c>
      <c r="AM170" s="50">
        <f>'IS (Before Changes)'!AM170-'IS 3Q2022'!AM170</f>
        <v>-22</v>
      </c>
      <c r="AN170" s="50">
        <f>'IS (Before Changes)'!AN170-'IS 3Q2022'!AN170</f>
        <v>-22</v>
      </c>
      <c r="AO170" s="50">
        <f>'IS (Before Changes)'!AO170-'IS 3Q2022'!AO170</f>
        <v>-22</v>
      </c>
      <c r="AP170" s="50">
        <f>'IS (Before Changes)'!AP170-'IS 3Q2022'!AP170</f>
        <v>-22</v>
      </c>
      <c r="AQ170" s="22">
        <f>'IS (Before Changes)'!AQ170-'IS 3Q2022'!AQ170</f>
        <v>0</v>
      </c>
      <c r="AR170" s="50">
        <f>'IS (Before Changes)'!AR170-'IS 3Q2022'!AR170</f>
        <v>-22</v>
      </c>
      <c r="AS170" s="50">
        <f>'IS (Before Changes)'!AS170-'IS 3Q2022'!AS170</f>
        <v>-22</v>
      </c>
      <c r="AT170" s="50">
        <f>'IS (Before Changes)'!AT170-'IS 3Q2022'!AT170</f>
        <v>-22</v>
      </c>
      <c r="AU170" s="50">
        <f>'IS (Before Changes)'!AU170-'IS 3Q2022'!AU170</f>
        <v>-22</v>
      </c>
      <c r="AV170" s="22">
        <f>'IS (Before Changes)'!AV170-'IS 3Q2022'!AV170</f>
        <v>0</v>
      </c>
    </row>
    <row r="171" spans="2:48" outlineLevel="1" x14ac:dyDescent="0.3">
      <c r="B171" s="200" t="s">
        <v>69</v>
      </c>
      <c r="C171" s="201"/>
      <c r="D171" s="105">
        <f>'IS (Before Changes)'!D171-'IS 3Q2022'!D171</f>
        <v>0</v>
      </c>
      <c r="E171" s="101">
        <f>'IS (Before Changes)'!E171-'IS 3Q2022'!E171</f>
        <v>0</v>
      </c>
      <c r="F171" s="101">
        <f>'IS (Before Changes)'!F171-'IS 3Q2022'!F171</f>
        <v>0</v>
      </c>
      <c r="G171" s="101">
        <f>'IS (Before Changes)'!G171-'IS 3Q2022'!G171</f>
        <v>0</v>
      </c>
      <c r="H171" s="169">
        <f>'IS (Before Changes)'!H171-'IS 3Q2022'!H171</f>
        <v>0</v>
      </c>
      <c r="I171" s="101">
        <f>'IS (Before Changes)'!I171-'IS 3Q2022'!I171</f>
        <v>0</v>
      </c>
      <c r="J171" s="101">
        <f>'IS (Before Changes)'!J171-'IS 3Q2022'!J171</f>
        <v>0</v>
      </c>
      <c r="K171" s="101">
        <f>'IS (Before Changes)'!K171-'IS 3Q2022'!K171</f>
        <v>0</v>
      </c>
      <c r="L171" s="101">
        <f>'IS (Before Changes)'!L171-'IS 3Q2022'!L171</f>
        <v>0</v>
      </c>
      <c r="M171" s="169">
        <f>'IS (Before Changes)'!M171-'IS 3Q2022'!M171</f>
        <v>0</v>
      </c>
      <c r="N171" s="101">
        <f>'IS (Before Changes)'!N171-'IS 3Q2022'!N171</f>
        <v>0</v>
      </c>
      <c r="O171" s="101">
        <f>'IS (Before Changes)'!O171-'IS 3Q2022'!O171</f>
        <v>0</v>
      </c>
      <c r="P171" s="101">
        <f>'IS (Before Changes)'!P171-'IS 3Q2022'!P171</f>
        <v>0</v>
      </c>
      <c r="Q171" s="101">
        <f>'IS (Before Changes)'!Q171-'IS 3Q2022'!Q171</f>
        <v>0</v>
      </c>
      <c r="R171" s="17">
        <f>'IS (Before Changes)'!R171-'IS 3Q2022'!R171</f>
        <v>0</v>
      </c>
      <c r="S171" s="101">
        <f>'IS (Before Changes)'!S171-'IS 3Q2022'!S171</f>
        <v>0</v>
      </c>
      <c r="T171" s="101">
        <f>'IS (Before Changes)'!T171-'IS 3Q2022'!T171</f>
        <v>0</v>
      </c>
      <c r="U171" s="101">
        <f>'IS (Before Changes)'!U171-'IS 3Q2022'!U171</f>
        <v>0</v>
      </c>
      <c r="V171" s="33">
        <f>'IS (Before Changes)'!V171-'IS 3Q2022'!V171</f>
        <v>0</v>
      </c>
      <c r="W171" s="17">
        <f>'IS (Before Changes)'!W171-'IS 3Q2022'!W171</f>
        <v>0</v>
      </c>
      <c r="X171" s="33">
        <f>'IS (Before Changes)'!X171-'IS 3Q2022'!X171</f>
        <v>0</v>
      </c>
      <c r="Y171" s="33">
        <f>'IS (Before Changes)'!Y171-'IS 3Q2022'!Y171</f>
        <v>0</v>
      </c>
      <c r="Z171" s="33">
        <f>'IS (Before Changes)'!Z171-'IS 3Q2022'!Z171</f>
        <v>0</v>
      </c>
      <c r="AA171" s="33">
        <f>'IS (Before Changes)'!AA171-'IS 3Q2022'!AA171</f>
        <v>0</v>
      </c>
      <c r="AB171" s="17">
        <f>'IS (Before Changes)'!AB171-'IS 3Q2022'!AB171</f>
        <v>0</v>
      </c>
      <c r="AC171" s="33">
        <f>'IS (Before Changes)'!AC171-'IS 3Q2022'!AC171</f>
        <v>0</v>
      </c>
      <c r="AD171" s="33">
        <f>'IS (Before Changes)'!AD171-'IS 3Q2022'!AD171</f>
        <v>0</v>
      </c>
      <c r="AE171" s="33">
        <f>'IS (Before Changes)'!AE171-'IS 3Q2022'!AE171</f>
        <v>0</v>
      </c>
      <c r="AF171" s="33">
        <f>'IS (Before Changes)'!AF171-'IS 3Q2022'!AF171</f>
        <v>0</v>
      </c>
      <c r="AG171" s="17">
        <f>'IS (Before Changes)'!AG171-'IS 3Q2022'!AG171</f>
        <v>0</v>
      </c>
      <c r="AH171" s="33">
        <f>'IS (Before Changes)'!AH171-'IS 3Q2022'!AH171</f>
        <v>0</v>
      </c>
      <c r="AI171" s="33">
        <f>'IS (Before Changes)'!AI171-'IS 3Q2022'!AI171</f>
        <v>0</v>
      </c>
      <c r="AJ171" s="33">
        <f>'IS (Before Changes)'!AJ171-'IS 3Q2022'!AJ171</f>
        <v>0</v>
      </c>
      <c r="AK171" s="33">
        <f>'IS (Before Changes)'!AK171-'IS 3Q2022'!AK171</f>
        <v>0</v>
      </c>
      <c r="AL171" s="17">
        <f>'IS (Before Changes)'!AL171-'IS 3Q2022'!AL171</f>
        <v>0</v>
      </c>
      <c r="AM171" s="33">
        <f>'IS (Before Changes)'!AM171-'IS 3Q2022'!AM171</f>
        <v>0</v>
      </c>
      <c r="AN171" s="33">
        <f>'IS (Before Changes)'!AN171-'IS 3Q2022'!AN171</f>
        <v>0</v>
      </c>
      <c r="AO171" s="33">
        <f>'IS (Before Changes)'!AO171-'IS 3Q2022'!AO171</f>
        <v>0</v>
      </c>
      <c r="AP171" s="33">
        <f>'IS (Before Changes)'!AP171-'IS 3Q2022'!AP171</f>
        <v>0</v>
      </c>
      <c r="AQ171" s="17">
        <f>'IS (Before Changes)'!AQ171-'IS 3Q2022'!AQ171</f>
        <v>0</v>
      </c>
      <c r="AR171" s="33">
        <f>'IS (Before Changes)'!AR171-'IS 3Q2022'!AR171</f>
        <v>0</v>
      </c>
      <c r="AS171" s="33">
        <f>'IS (Before Changes)'!AS171-'IS 3Q2022'!AS171</f>
        <v>0</v>
      </c>
      <c r="AT171" s="33">
        <f>'IS (Before Changes)'!AT171-'IS 3Q2022'!AT171</f>
        <v>0</v>
      </c>
      <c r="AU171" s="33">
        <f>'IS (Before Changes)'!AU171-'IS 3Q2022'!AU171</f>
        <v>0</v>
      </c>
      <c r="AV171" s="17">
        <f>'IS (Before Changes)'!AV171-'IS 3Q2022'!AV171</f>
        <v>0</v>
      </c>
    </row>
    <row r="172" spans="2:48" outlineLevel="1" x14ac:dyDescent="0.3">
      <c r="B172" s="486" t="s">
        <v>75</v>
      </c>
      <c r="C172" s="487"/>
      <c r="D172" s="105">
        <f>'IS (Before Changes)'!D172-'IS 3Q2022'!D172</f>
        <v>0</v>
      </c>
      <c r="E172" s="101">
        <f>'IS (Before Changes)'!E172-'IS 3Q2022'!E172</f>
        <v>0</v>
      </c>
      <c r="F172" s="101">
        <f>'IS (Before Changes)'!F172-'IS 3Q2022'!F172</f>
        <v>0</v>
      </c>
      <c r="G172" s="101">
        <f>'IS (Before Changes)'!G172-'IS 3Q2022'!G172</f>
        <v>0</v>
      </c>
      <c r="H172" s="169">
        <f>'IS (Before Changes)'!H172-'IS 3Q2022'!H172</f>
        <v>0</v>
      </c>
      <c r="I172" s="101">
        <f>'IS (Before Changes)'!I172-'IS 3Q2022'!I172</f>
        <v>0</v>
      </c>
      <c r="J172" s="101">
        <f>'IS (Before Changes)'!J172-'IS 3Q2022'!J172</f>
        <v>0</v>
      </c>
      <c r="K172" s="101">
        <f>'IS (Before Changes)'!K172-'IS 3Q2022'!K172</f>
        <v>0</v>
      </c>
      <c r="L172" s="101">
        <f>'IS (Before Changes)'!L172-'IS 3Q2022'!L172</f>
        <v>0</v>
      </c>
      <c r="M172" s="169">
        <f>'IS (Before Changes)'!M172-'IS 3Q2022'!M172</f>
        <v>0</v>
      </c>
      <c r="N172" s="101">
        <f>'IS (Before Changes)'!N172-'IS 3Q2022'!N172</f>
        <v>0</v>
      </c>
      <c r="O172" s="101">
        <f>'IS (Before Changes)'!O172-'IS 3Q2022'!O172</f>
        <v>0</v>
      </c>
      <c r="P172" s="101">
        <f>'IS (Before Changes)'!P172-'IS 3Q2022'!P172</f>
        <v>0</v>
      </c>
      <c r="Q172" s="101">
        <f>'IS (Before Changes)'!Q172-'IS 3Q2022'!Q172</f>
        <v>0</v>
      </c>
      <c r="R172" s="17">
        <f>'IS (Before Changes)'!R172-'IS 3Q2022'!R172</f>
        <v>0</v>
      </c>
      <c r="S172" s="101">
        <f>'IS (Before Changes)'!S172-'IS 3Q2022'!S172</f>
        <v>0</v>
      </c>
      <c r="T172" s="16">
        <f>'IS (Before Changes)'!T172-'IS 3Q2022'!T172</f>
        <v>0</v>
      </c>
      <c r="U172" s="16">
        <f>'IS (Before Changes)'!U172-'IS 3Q2022'!U172</f>
        <v>0</v>
      </c>
      <c r="V172" s="16">
        <f>'IS (Before Changes)'!V172-'IS 3Q2022'!V172</f>
        <v>-10.811677419354833</v>
      </c>
      <c r="W172" s="17">
        <f>'IS (Before Changes)'!W172-'IS 3Q2022'!W172</f>
        <v>0</v>
      </c>
      <c r="X172" s="16">
        <f>'IS (Before Changes)'!X172-'IS 3Q2022'!X172</f>
        <v>-15.863815394725954</v>
      </c>
      <c r="Y172" s="16">
        <f>'IS (Before Changes)'!Y172-'IS 3Q2022'!Y172</f>
        <v>-15.960321817051387</v>
      </c>
      <c r="Z172" s="16">
        <f>'IS (Before Changes)'!Z172-'IS 3Q2022'!Z172</f>
        <v>-15.960321817051387</v>
      </c>
      <c r="AA172" s="16">
        <f>'IS (Before Changes)'!AA172-'IS 3Q2022'!AA172</f>
        <v>-15.960321817051387</v>
      </c>
      <c r="AB172" s="17">
        <f>'IS (Before Changes)'!AB172-'IS 3Q2022'!AB172</f>
        <v>0</v>
      </c>
      <c r="AC172" s="16">
        <f>'IS (Before Changes)'!AC172-'IS 3Q2022'!AC172</f>
        <v>-15.960321817051387</v>
      </c>
      <c r="AD172" s="16">
        <f>'IS (Before Changes)'!AD172-'IS 3Q2022'!AD172</f>
        <v>-6.4536442826659943</v>
      </c>
      <c r="AE172" s="16">
        <f>'IS (Before Changes)'!AE172-'IS 3Q2022'!AE172</f>
        <v>-6.4536442826659943</v>
      </c>
      <c r="AF172" s="16">
        <f>'IS (Before Changes)'!AF172-'IS 3Q2022'!AF172</f>
        <v>-6.4536442826659943</v>
      </c>
      <c r="AG172" s="17">
        <f>'IS (Before Changes)'!AG172-'IS 3Q2022'!AG172</f>
        <v>0</v>
      </c>
      <c r="AH172" s="16">
        <f>'IS (Before Changes)'!AH172-'IS 3Q2022'!AH172</f>
        <v>-6.4536442826659943</v>
      </c>
      <c r="AI172" s="16">
        <f>'IS (Before Changes)'!AI172-'IS 3Q2022'!AI172</f>
        <v>-6.4536442826659943</v>
      </c>
      <c r="AJ172" s="16">
        <f>'IS (Before Changes)'!AJ172-'IS 3Q2022'!AJ172</f>
        <v>-6.4536442826659943</v>
      </c>
      <c r="AK172" s="16">
        <f>'IS (Before Changes)'!AK172-'IS 3Q2022'!AK172</f>
        <v>-6.4536442826659943</v>
      </c>
      <c r="AL172" s="17">
        <f>'IS (Before Changes)'!AL172-'IS 3Q2022'!AL172</f>
        <v>0</v>
      </c>
      <c r="AM172" s="16">
        <f>'IS (Before Changes)'!AM172-'IS 3Q2022'!AM172</f>
        <v>-6.4536442826659943</v>
      </c>
      <c r="AN172" s="16">
        <f>'IS (Before Changes)'!AN172-'IS 3Q2022'!AN172</f>
        <v>-6.4536442826659943</v>
      </c>
      <c r="AO172" s="16">
        <f>'IS (Before Changes)'!AO172-'IS 3Q2022'!AO172</f>
        <v>-6.4536442826659943</v>
      </c>
      <c r="AP172" s="16">
        <f>'IS (Before Changes)'!AP172-'IS 3Q2022'!AP172</f>
        <v>-6.4536442826659943</v>
      </c>
      <c r="AQ172" s="17">
        <f>'IS (Before Changes)'!AQ172-'IS 3Q2022'!AQ172</f>
        <v>0</v>
      </c>
      <c r="AR172" s="16">
        <f>'IS (Before Changes)'!AR172-'IS 3Q2022'!AR172</f>
        <v>-6.4536442826659943</v>
      </c>
      <c r="AS172" s="16">
        <f>'IS (Before Changes)'!AS172-'IS 3Q2022'!AS172</f>
        <v>-6.4536442826659943</v>
      </c>
      <c r="AT172" s="16">
        <f>'IS (Before Changes)'!AT172-'IS 3Q2022'!AT172</f>
        <v>-6.4536442826659943</v>
      </c>
      <c r="AU172" s="16">
        <f>'IS (Before Changes)'!AU172-'IS 3Q2022'!AU172</f>
        <v>-6.4536442826659943</v>
      </c>
      <c r="AV172" s="17">
        <f>'IS (Before Changes)'!AV172-'IS 3Q2022'!AV172</f>
        <v>0</v>
      </c>
    </row>
    <row r="173" spans="2:48" outlineLevel="1" x14ac:dyDescent="0.3">
      <c r="B173" s="203" t="s">
        <v>76</v>
      </c>
      <c r="C173" s="204"/>
      <c r="D173" s="211">
        <f>'IS (Before Changes)'!D173-'IS 3Q2022'!D173</f>
        <v>0</v>
      </c>
      <c r="E173" s="211">
        <f>'IS (Before Changes)'!E173-'IS 3Q2022'!E173</f>
        <v>0</v>
      </c>
      <c r="F173" s="211">
        <f>'IS (Before Changes)'!F173-'IS 3Q2022'!F173</f>
        <v>0</v>
      </c>
      <c r="G173" s="211">
        <f>'IS (Before Changes)'!G173-'IS 3Q2022'!G173</f>
        <v>0</v>
      </c>
      <c r="H173" s="212">
        <f>'IS (Before Changes)'!H173-'IS 3Q2022'!H173</f>
        <v>0</v>
      </c>
      <c r="I173" s="211">
        <f>'IS (Before Changes)'!I173-'IS 3Q2022'!I173</f>
        <v>0</v>
      </c>
      <c r="J173" s="211">
        <f>'IS (Before Changes)'!J173-'IS 3Q2022'!J173</f>
        <v>0</v>
      </c>
      <c r="K173" s="211">
        <f>'IS (Before Changes)'!K173-'IS 3Q2022'!K173</f>
        <v>0</v>
      </c>
      <c r="L173" s="211">
        <f>'IS (Before Changes)'!L173-'IS 3Q2022'!L173</f>
        <v>0</v>
      </c>
      <c r="M173" s="212">
        <f>'IS (Before Changes)'!M173-'IS 3Q2022'!M173</f>
        <v>0</v>
      </c>
      <c r="N173" s="211">
        <f>'IS (Before Changes)'!N173-'IS 3Q2022'!N173</f>
        <v>0</v>
      </c>
      <c r="O173" s="211">
        <f>'IS (Before Changes)'!O173-'IS 3Q2022'!O173</f>
        <v>0</v>
      </c>
      <c r="P173" s="211">
        <f>'IS (Before Changes)'!P173-'IS 3Q2022'!P173</f>
        <v>0</v>
      </c>
      <c r="Q173" s="211">
        <f>'IS (Before Changes)'!Q173-'IS 3Q2022'!Q173</f>
        <v>0</v>
      </c>
      <c r="R173" s="37">
        <f>'IS (Before Changes)'!R173-'IS 3Q2022'!R173</f>
        <v>0</v>
      </c>
      <c r="S173" s="211">
        <f>'IS (Before Changes)'!S173-'IS 3Q2022'!S173</f>
        <v>0</v>
      </c>
      <c r="T173" s="211">
        <f>'IS (Before Changes)'!T173-'IS 3Q2022'!T173</f>
        <v>0</v>
      </c>
      <c r="U173" s="211">
        <f>'IS (Before Changes)'!U173-'IS 3Q2022'!U173</f>
        <v>0</v>
      </c>
      <c r="V173" s="94">
        <f>'IS (Before Changes)'!V173-'IS 3Q2022'!V173</f>
        <v>1.9301284465085833E-3</v>
      </c>
      <c r="W173" s="37">
        <f>'IS (Before Changes)'!W173-'IS 3Q2022'!W173</f>
        <v>0</v>
      </c>
      <c r="X173" s="94">
        <f>'IS (Before Changes)'!X173-'IS 3Q2022'!X173</f>
        <v>1.9301284465085833E-3</v>
      </c>
      <c r="Y173" s="94">
        <f>'IS (Before Changes)'!Y173-'IS 3Q2022'!Y173</f>
        <v>1.9301284465085833E-3</v>
      </c>
      <c r="Z173" s="94">
        <f>'IS (Before Changes)'!Z173-'IS 3Q2022'!Z173</f>
        <v>1.9301284465085833E-3</v>
      </c>
      <c r="AA173" s="94">
        <f>'IS (Before Changes)'!AA173-'IS 3Q2022'!AA173</f>
        <v>1.9301284465085833E-3</v>
      </c>
      <c r="AB173" s="37">
        <f>'IS (Before Changes)'!AB173-'IS 3Q2022'!AB173</f>
        <v>0</v>
      </c>
      <c r="AC173" s="94">
        <f>'IS (Before Changes)'!AC173-'IS 3Q2022'!AC173</f>
        <v>1.9301284465085833E-3</v>
      </c>
      <c r="AD173" s="94">
        <f>'IS (Before Changes)'!AD173-'IS 3Q2022'!AD173</f>
        <v>1.9301284465085833E-3</v>
      </c>
      <c r="AE173" s="94">
        <f>'IS (Before Changes)'!AE173-'IS 3Q2022'!AE173</f>
        <v>1.9301284465085833E-3</v>
      </c>
      <c r="AF173" s="94">
        <f>'IS (Before Changes)'!AF173-'IS 3Q2022'!AF173</f>
        <v>1.9301284465085833E-3</v>
      </c>
      <c r="AG173" s="37">
        <f>'IS (Before Changes)'!AG173-'IS 3Q2022'!AG173</f>
        <v>0</v>
      </c>
      <c r="AH173" s="94">
        <f>'IS (Before Changes)'!AH173-'IS 3Q2022'!AH173</f>
        <v>1.9301284465085833E-3</v>
      </c>
      <c r="AI173" s="94">
        <f>'IS (Before Changes)'!AI173-'IS 3Q2022'!AI173</f>
        <v>1.9301284465085833E-3</v>
      </c>
      <c r="AJ173" s="94">
        <f>'IS (Before Changes)'!AJ173-'IS 3Q2022'!AJ173</f>
        <v>1.9301284465085833E-3</v>
      </c>
      <c r="AK173" s="94">
        <f>'IS (Before Changes)'!AK173-'IS 3Q2022'!AK173</f>
        <v>1.9301284465085833E-3</v>
      </c>
      <c r="AL173" s="37">
        <f>'IS (Before Changes)'!AL173-'IS 3Q2022'!AL173</f>
        <v>0</v>
      </c>
      <c r="AM173" s="94">
        <f>'IS (Before Changes)'!AM173-'IS 3Q2022'!AM173</f>
        <v>1.9301284465085833E-3</v>
      </c>
      <c r="AN173" s="94">
        <f>'IS (Before Changes)'!AN173-'IS 3Q2022'!AN173</f>
        <v>1.9301284465085833E-3</v>
      </c>
      <c r="AO173" s="94">
        <f>'IS (Before Changes)'!AO173-'IS 3Q2022'!AO173</f>
        <v>1.9301284465085833E-3</v>
      </c>
      <c r="AP173" s="94">
        <f>'IS (Before Changes)'!AP173-'IS 3Q2022'!AP173</f>
        <v>1.9301284465085833E-3</v>
      </c>
      <c r="AQ173" s="37">
        <f>'IS (Before Changes)'!AQ173-'IS 3Q2022'!AQ173</f>
        <v>0</v>
      </c>
      <c r="AR173" s="94">
        <f>'IS (Before Changes)'!AR173-'IS 3Q2022'!AR173</f>
        <v>1.9301284465085833E-3</v>
      </c>
      <c r="AS173" s="94">
        <f>'IS (Before Changes)'!AS173-'IS 3Q2022'!AS173</f>
        <v>1.9301284465085833E-3</v>
      </c>
      <c r="AT173" s="94">
        <f>'IS (Before Changes)'!AT173-'IS 3Q2022'!AT173</f>
        <v>1.9301284465085833E-3</v>
      </c>
      <c r="AU173" s="94">
        <f>'IS (Before Changes)'!AU173-'IS 3Q2022'!AU173</f>
        <v>1.9301284465085833E-3</v>
      </c>
      <c r="AV173" s="37">
        <f>'IS (Before Changes)'!AV173-'IS 3Q2022'!AV173</f>
        <v>0</v>
      </c>
    </row>
    <row r="175" spans="2:48" x14ac:dyDescent="0.3">
      <c r="B175" s="382" t="s">
        <v>314</v>
      </c>
      <c r="Q175" s="383">
        <f>Q61-L61</f>
        <v>0</v>
      </c>
      <c r="R175" s="383"/>
      <c r="S175" s="383">
        <f>S61-N61</f>
        <v>0</v>
      </c>
      <c r="T175" s="383">
        <f t="shared" ref="T175" si="0">T61-O61</f>
        <v>0</v>
      </c>
      <c r="U175" s="383">
        <f>U61-P61</f>
        <v>0</v>
      </c>
      <c r="V175" s="383">
        <f>V61-Q61</f>
        <v>1.9197666186837048E-3</v>
      </c>
      <c r="W175" s="383"/>
      <c r="X175" s="383">
        <f t="shared" ref="X175:AA175" si="1">X61-S61</f>
        <v>0</v>
      </c>
      <c r="Y175" s="383">
        <f t="shared" si="1"/>
        <v>-2.5000000000000022E-3</v>
      </c>
      <c r="Z175" s="383">
        <f t="shared" si="1"/>
        <v>-2.5000000000000022E-3</v>
      </c>
      <c r="AA175" s="383">
        <f t="shared" si="1"/>
        <v>-2.5000000000000022E-3</v>
      </c>
      <c r="AB175" s="383"/>
      <c r="AC175" s="383">
        <f t="shared" ref="AC175:AF175" si="2">AC61-X61</f>
        <v>0</v>
      </c>
      <c r="AD175" s="383">
        <f t="shared" si="2"/>
        <v>0</v>
      </c>
      <c r="AE175" s="383">
        <f t="shared" si="2"/>
        <v>0</v>
      </c>
      <c r="AF175" s="383">
        <f t="shared" si="2"/>
        <v>0</v>
      </c>
      <c r="AH175" s="383">
        <f t="shared" ref="AH175:AK175" si="3">AH61-AC61</f>
        <v>0</v>
      </c>
      <c r="AI175" s="383">
        <f t="shared" si="3"/>
        <v>0</v>
      </c>
      <c r="AJ175" s="383">
        <f t="shared" si="3"/>
        <v>0</v>
      </c>
      <c r="AK175" s="383">
        <f t="shared" si="3"/>
        <v>0</v>
      </c>
    </row>
    <row r="176" spans="2:48" ht="14.55" customHeight="1" x14ac:dyDescent="0.3">
      <c r="B176" s="382" t="s">
        <v>315</v>
      </c>
      <c r="Q176" s="383">
        <f t="shared" ref="Q176:T176" si="4">Q63-L63</f>
        <v>0</v>
      </c>
      <c r="R176" s="383"/>
      <c r="S176" s="383">
        <f t="shared" si="4"/>
        <v>0</v>
      </c>
      <c r="T176" s="383">
        <f t="shared" si="4"/>
        <v>0</v>
      </c>
      <c r="U176" s="383">
        <f>U63-P63</f>
        <v>0</v>
      </c>
      <c r="V176" s="383">
        <f>V63-Q63</f>
        <v>1.3889804799066208E-2</v>
      </c>
      <c r="W176" s="383"/>
      <c r="X176" s="383">
        <f t="shared" ref="X176:AA176" si="5">X63-S63</f>
        <v>0</v>
      </c>
      <c r="Y176" s="383">
        <f>Y63-T63</f>
        <v>0</v>
      </c>
      <c r="Z176" s="383">
        <f t="shared" si="5"/>
        <v>0</v>
      </c>
      <c r="AA176" s="383">
        <f t="shared" si="5"/>
        <v>0</v>
      </c>
      <c r="AB176" s="383"/>
      <c r="AC176" s="383">
        <f t="shared" ref="AC176:AF176" si="6">AC63-X63</f>
        <v>0</v>
      </c>
      <c r="AD176" s="383">
        <f t="shared" si="6"/>
        <v>0</v>
      </c>
      <c r="AE176" s="383">
        <f t="shared" si="6"/>
        <v>0</v>
      </c>
      <c r="AF176" s="383">
        <f t="shared" si="6"/>
        <v>0</v>
      </c>
      <c r="AH176" s="383">
        <f t="shared" ref="AH176:AK176" si="7">AH63-AC63</f>
        <v>0</v>
      </c>
      <c r="AI176" s="383">
        <f t="shared" si="7"/>
        <v>0</v>
      </c>
      <c r="AJ176" s="383">
        <f t="shared" si="7"/>
        <v>0</v>
      </c>
      <c r="AK176" s="383">
        <f t="shared" si="7"/>
        <v>0</v>
      </c>
    </row>
    <row r="177" spans="1:48" ht="14.55" customHeight="1" x14ac:dyDescent="0.3">
      <c r="B177" s="382" t="s">
        <v>316</v>
      </c>
      <c r="Q177" s="383">
        <f t="shared" ref="Q177:T177" si="8">Q65-L65</f>
        <v>0</v>
      </c>
      <c r="R177" s="383"/>
      <c r="S177" s="383">
        <f t="shared" si="8"/>
        <v>0</v>
      </c>
      <c r="T177" s="383">
        <f t="shared" si="8"/>
        <v>0</v>
      </c>
      <c r="U177" s="383">
        <f>U65-P65</f>
        <v>0</v>
      </c>
      <c r="V177" s="383">
        <f t="shared" ref="V177:AA177" si="9">V65-Q65</f>
        <v>-6.2102243088158447E-4</v>
      </c>
      <c r="W177" s="383"/>
      <c r="X177" s="383">
        <f t="shared" si="9"/>
        <v>0</v>
      </c>
      <c r="Y177" s="383">
        <f t="shared" si="9"/>
        <v>0</v>
      </c>
      <c r="Z177" s="383">
        <f t="shared" si="9"/>
        <v>0</v>
      </c>
      <c r="AA177" s="383">
        <f t="shared" si="9"/>
        <v>0</v>
      </c>
      <c r="AB177" s="383"/>
      <c r="AC177" s="383">
        <f t="shared" ref="AC177:AF177" si="10">AC65-X65</f>
        <v>0</v>
      </c>
      <c r="AD177" s="383">
        <f t="shared" si="10"/>
        <v>0</v>
      </c>
      <c r="AE177" s="383">
        <f t="shared" si="10"/>
        <v>0</v>
      </c>
      <c r="AF177" s="383">
        <f t="shared" si="10"/>
        <v>0</v>
      </c>
      <c r="AH177" s="383">
        <f t="shared" ref="AH177:AK177" si="11">AH65-AC65</f>
        <v>0</v>
      </c>
      <c r="AI177" s="383">
        <f t="shared" si="11"/>
        <v>0</v>
      </c>
      <c r="AJ177" s="383">
        <f t="shared" si="11"/>
        <v>0</v>
      </c>
      <c r="AK177" s="383">
        <f t="shared" si="11"/>
        <v>0</v>
      </c>
    </row>
    <row r="178" spans="1:48" ht="14.55" customHeight="1" x14ac:dyDescent="0.3">
      <c r="A178" s="161"/>
      <c r="B178" s="382" t="s">
        <v>317</v>
      </c>
      <c r="Q178" s="383">
        <f t="shared" ref="Q178:T178" si="12">Q68-L68</f>
        <v>0</v>
      </c>
      <c r="R178" s="383"/>
      <c r="S178" s="383">
        <f t="shared" si="12"/>
        <v>0</v>
      </c>
      <c r="T178" s="383">
        <f t="shared" si="12"/>
        <v>0</v>
      </c>
      <c r="U178" s="383">
        <f>U68-P68</f>
        <v>0</v>
      </c>
      <c r="V178" s="383">
        <f t="shared" ref="V178:AA178" si="13">V68-Q68</f>
        <v>-1.3258433610124708E-2</v>
      </c>
      <c r="W178" s="383"/>
      <c r="X178" s="383">
        <f t="shared" si="13"/>
        <v>0</v>
      </c>
      <c r="Y178" s="383">
        <f t="shared" si="13"/>
        <v>0</v>
      </c>
      <c r="Z178" s="383">
        <f t="shared" si="13"/>
        <v>0</v>
      </c>
      <c r="AA178" s="383">
        <f t="shared" si="13"/>
        <v>0</v>
      </c>
      <c r="AB178" s="383"/>
      <c r="AC178" s="383">
        <f t="shared" ref="AC178:AF178" si="14">AC68-X68</f>
        <v>0</v>
      </c>
      <c r="AD178" s="383">
        <f t="shared" si="14"/>
        <v>0</v>
      </c>
      <c r="AE178" s="383">
        <f t="shared" si="14"/>
        <v>0</v>
      </c>
      <c r="AF178" s="383">
        <f t="shared" si="14"/>
        <v>0</v>
      </c>
      <c r="AH178" s="383">
        <f t="shared" ref="AH178:AK178" si="15">AH68-AC68</f>
        <v>0</v>
      </c>
      <c r="AI178" s="383">
        <f t="shared" si="15"/>
        <v>0</v>
      </c>
      <c r="AJ178" s="383">
        <f t="shared" si="15"/>
        <v>0</v>
      </c>
      <c r="AK178" s="383">
        <f t="shared" si="15"/>
        <v>0</v>
      </c>
    </row>
    <row r="179" spans="1:48" s="23" customFormat="1" ht="14.55" customHeight="1" x14ac:dyDescent="0.3">
      <c r="A179" s="161"/>
    </row>
    <row r="180" spans="1:48" s="23" customFormat="1" ht="14.55" customHeight="1" x14ac:dyDescent="0.3">
      <c r="A180" s="161"/>
      <c r="B180" s="382" t="s">
        <v>318</v>
      </c>
      <c r="Q180" s="384">
        <f t="shared" ref="Q180:U180" si="16">Q94-L94</f>
        <v>0</v>
      </c>
      <c r="R180" s="384"/>
      <c r="S180" s="384">
        <f t="shared" si="16"/>
        <v>0</v>
      </c>
      <c r="T180" s="384">
        <f t="shared" si="16"/>
        <v>0</v>
      </c>
      <c r="U180" s="384">
        <f t="shared" si="16"/>
        <v>0</v>
      </c>
      <c r="V180" s="384">
        <f>V94-Q94</f>
        <v>-2.2071978254823987E-3</v>
      </c>
      <c r="W180" s="384"/>
      <c r="X180" s="384">
        <f t="shared" ref="X180:AA180" si="17">X94-S94</f>
        <v>0</v>
      </c>
      <c r="Y180" s="384">
        <f t="shared" si="17"/>
        <v>0</v>
      </c>
      <c r="Z180" s="384">
        <f t="shared" si="17"/>
        <v>0</v>
      </c>
      <c r="AA180" s="384">
        <f t="shared" si="17"/>
        <v>0</v>
      </c>
      <c r="AB180" s="384"/>
      <c r="AC180" s="384">
        <f t="shared" ref="AC180:AF180" si="18">AC94-X94</f>
        <v>0</v>
      </c>
      <c r="AD180" s="384">
        <f t="shared" si="18"/>
        <v>0</v>
      </c>
      <c r="AE180" s="384">
        <f t="shared" si="18"/>
        <v>0</v>
      </c>
      <c r="AF180" s="384">
        <f t="shared" si="18"/>
        <v>0</v>
      </c>
      <c r="AG180" s="384"/>
      <c r="AH180" s="384">
        <f t="shared" ref="AH180:AK180" si="19">AH94-AC94</f>
        <v>0</v>
      </c>
      <c r="AI180" s="384">
        <f t="shared" si="19"/>
        <v>0</v>
      </c>
      <c r="AJ180" s="384">
        <f t="shared" si="19"/>
        <v>0</v>
      </c>
      <c r="AK180" s="384">
        <f t="shared" si="19"/>
        <v>0</v>
      </c>
      <c r="AL180" s="384"/>
      <c r="AM180" s="384">
        <f t="shared" ref="AM180:AP180" si="20">AM94-AH94</f>
        <v>0</v>
      </c>
      <c r="AN180" s="384">
        <f t="shared" si="20"/>
        <v>0</v>
      </c>
      <c r="AO180" s="384">
        <f t="shared" si="20"/>
        <v>0</v>
      </c>
      <c r="AP180" s="384">
        <f t="shared" si="20"/>
        <v>0</v>
      </c>
      <c r="AQ180" s="384"/>
      <c r="AR180" s="384">
        <f t="shared" ref="AR180:AU180" si="21">AR94-AM94</f>
        <v>0</v>
      </c>
      <c r="AS180" s="384">
        <f t="shared" si="21"/>
        <v>0</v>
      </c>
      <c r="AT180" s="384">
        <f t="shared" si="21"/>
        <v>0</v>
      </c>
      <c r="AU180" s="384">
        <f t="shared" si="21"/>
        <v>0</v>
      </c>
    </row>
    <row r="181" spans="1:48" ht="16.2" customHeight="1" x14ac:dyDescent="0.3">
      <c r="A181" s="161"/>
      <c r="B181" s="382" t="s">
        <v>319</v>
      </c>
      <c r="Q181" s="384">
        <f t="shared" ref="Q181:U181" si="22">Q96-L96</f>
        <v>0</v>
      </c>
      <c r="R181" s="384"/>
      <c r="S181" s="384">
        <f t="shared" si="22"/>
        <v>0</v>
      </c>
      <c r="T181" s="384">
        <f t="shared" si="22"/>
        <v>0</v>
      </c>
      <c r="U181" s="384">
        <f t="shared" si="22"/>
        <v>0</v>
      </c>
      <c r="V181" s="384">
        <f>V96-Q96</f>
        <v>1.882122753223181E-2</v>
      </c>
      <c r="W181" s="384"/>
      <c r="X181" s="384">
        <f t="shared" ref="X181:AA181" si="23">X96-S96</f>
        <v>0</v>
      </c>
      <c r="Y181" s="384">
        <f t="shared" si="23"/>
        <v>0</v>
      </c>
      <c r="Z181" s="384">
        <f t="shared" si="23"/>
        <v>0</v>
      </c>
      <c r="AA181" s="384">
        <f t="shared" si="23"/>
        <v>0</v>
      </c>
      <c r="AB181" s="384"/>
      <c r="AC181" s="384">
        <f t="shared" ref="AC181:AF181" si="24">AC96-X96</f>
        <v>0</v>
      </c>
      <c r="AD181" s="384">
        <f t="shared" si="24"/>
        <v>0</v>
      </c>
      <c r="AE181" s="384">
        <f t="shared" si="24"/>
        <v>0</v>
      </c>
      <c r="AF181" s="384">
        <f t="shared" si="24"/>
        <v>0</v>
      </c>
      <c r="AG181" s="384"/>
      <c r="AH181" s="384">
        <f t="shared" ref="AH181:AK181" si="25">AH96-AC96</f>
        <v>0</v>
      </c>
      <c r="AI181" s="384">
        <f t="shared" si="25"/>
        <v>0</v>
      </c>
      <c r="AJ181" s="384">
        <f t="shared" si="25"/>
        <v>0</v>
      </c>
      <c r="AK181" s="384">
        <f t="shared" si="25"/>
        <v>0</v>
      </c>
      <c r="AL181" s="384"/>
      <c r="AM181" s="384">
        <f t="shared" ref="AM181:AP181" si="26">AM96-AH96</f>
        <v>0</v>
      </c>
      <c r="AN181" s="384">
        <f t="shared" si="26"/>
        <v>0</v>
      </c>
      <c r="AO181" s="384">
        <f t="shared" si="26"/>
        <v>0</v>
      </c>
      <c r="AP181" s="384">
        <f t="shared" si="26"/>
        <v>0</v>
      </c>
      <c r="AQ181" s="384"/>
      <c r="AR181" s="384">
        <f t="shared" ref="AR181:AU181" si="27">AR96-AM96</f>
        <v>0</v>
      </c>
      <c r="AS181" s="384">
        <f t="shared" si="27"/>
        <v>0</v>
      </c>
      <c r="AT181" s="384">
        <f t="shared" si="27"/>
        <v>0</v>
      </c>
      <c r="AU181" s="384">
        <f t="shared" si="27"/>
        <v>0</v>
      </c>
    </row>
    <row r="182" spans="1:48" ht="14.55" customHeight="1" x14ac:dyDescent="0.3">
      <c r="A182" s="161"/>
      <c r="B182" s="382" t="s">
        <v>320</v>
      </c>
      <c r="Q182" s="384">
        <f t="shared" ref="Q182:U182" si="28">Q98-L98</f>
        <v>0</v>
      </c>
      <c r="R182" s="384"/>
      <c r="S182" s="384">
        <f t="shared" si="28"/>
        <v>0</v>
      </c>
      <c r="T182" s="384">
        <f t="shared" si="28"/>
        <v>0</v>
      </c>
      <c r="U182" s="384">
        <f t="shared" si="28"/>
        <v>0</v>
      </c>
      <c r="V182" s="384">
        <f>V98-Q98</f>
        <v>8.7002690753356267E-3</v>
      </c>
      <c r="W182" s="384"/>
      <c r="X182" s="384">
        <f t="shared" ref="X182:AA182" si="29">X98-S98</f>
        <v>0</v>
      </c>
      <c r="Y182" s="384">
        <f t="shared" si="29"/>
        <v>0</v>
      </c>
      <c r="Z182" s="384">
        <f t="shared" si="29"/>
        <v>0</v>
      </c>
      <c r="AA182" s="384">
        <f t="shared" si="29"/>
        <v>0</v>
      </c>
      <c r="AB182" s="384"/>
      <c r="AC182" s="384">
        <f t="shared" ref="AC182:AF182" si="30">AC98-X98</f>
        <v>0</v>
      </c>
      <c r="AD182" s="384">
        <f t="shared" si="30"/>
        <v>0</v>
      </c>
      <c r="AE182" s="384">
        <f t="shared" si="30"/>
        <v>0</v>
      </c>
      <c r="AF182" s="384">
        <f t="shared" si="30"/>
        <v>0</v>
      </c>
      <c r="AG182" s="384"/>
      <c r="AH182" s="384">
        <f t="shared" ref="AH182:AK182" si="31">AH98-AC98</f>
        <v>0</v>
      </c>
      <c r="AI182" s="384">
        <f t="shared" si="31"/>
        <v>0</v>
      </c>
      <c r="AJ182" s="384">
        <f t="shared" si="31"/>
        <v>0</v>
      </c>
      <c r="AK182" s="384">
        <f t="shared" si="31"/>
        <v>0</v>
      </c>
      <c r="AL182" s="384"/>
      <c r="AM182" s="384">
        <f t="shared" ref="AM182:AP182" si="32">AM98-AH98</f>
        <v>0</v>
      </c>
      <c r="AN182" s="384">
        <f t="shared" si="32"/>
        <v>0</v>
      </c>
      <c r="AO182" s="384">
        <f t="shared" si="32"/>
        <v>0</v>
      </c>
      <c r="AP182" s="384">
        <f t="shared" si="32"/>
        <v>0</v>
      </c>
      <c r="AQ182" s="384"/>
      <c r="AR182" s="384">
        <f t="shared" ref="AR182:AU182" si="33">AR98-AM98</f>
        <v>0</v>
      </c>
      <c r="AS182" s="384">
        <f t="shared" si="33"/>
        <v>0</v>
      </c>
      <c r="AT182" s="384">
        <f t="shared" si="33"/>
        <v>0</v>
      </c>
      <c r="AU182" s="384">
        <f t="shared" si="33"/>
        <v>0</v>
      </c>
    </row>
    <row r="183" spans="1:48" ht="14.55" customHeight="1" x14ac:dyDescent="0.3">
      <c r="A183" s="161"/>
      <c r="B183" s="382" t="s">
        <v>321</v>
      </c>
      <c r="Q183" s="384">
        <f t="shared" ref="Q183:U183" si="34">Q101-L101</f>
        <v>0</v>
      </c>
      <c r="R183" s="384"/>
      <c r="S183" s="384">
        <f t="shared" si="34"/>
        <v>0</v>
      </c>
      <c r="T183" s="384">
        <f t="shared" si="34"/>
        <v>0</v>
      </c>
      <c r="U183" s="384">
        <f t="shared" si="34"/>
        <v>0</v>
      </c>
      <c r="V183" s="384">
        <f>V101-Q101</f>
        <v>7.1575109158830003E-4</v>
      </c>
      <c r="W183" s="384"/>
      <c r="X183" s="384">
        <f t="shared" ref="X183:AA183" si="35">X101-S101</f>
        <v>0</v>
      </c>
      <c r="Y183" s="384">
        <f t="shared" si="35"/>
        <v>0</v>
      </c>
      <c r="Z183" s="384">
        <f t="shared" si="35"/>
        <v>0</v>
      </c>
      <c r="AA183" s="384">
        <f t="shared" si="35"/>
        <v>0</v>
      </c>
      <c r="AB183" s="384"/>
      <c r="AC183" s="384">
        <f t="shared" ref="AC183:AF183" si="36">AC101-X101</f>
        <v>0</v>
      </c>
      <c r="AD183" s="384">
        <f t="shared" si="36"/>
        <v>0</v>
      </c>
      <c r="AE183" s="384">
        <f t="shared" si="36"/>
        <v>0</v>
      </c>
      <c r="AF183" s="384">
        <f t="shared" si="36"/>
        <v>0</v>
      </c>
      <c r="AG183" s="384"/>
      <c r="AH183" s="384">
        <f t="shared" ref="AH183:AK183" si="37">AH101-AC101</f>
        <v>0</v>
      </c>
      <c r="AI183" s="384">
        <f t="shared" si="37"/>
        <v>0</v>
      </c>
      <c r="AJ183" s="384">
        <f t="shared" si="37"/>
        <v>0</v>
      </c>
      <c r="AK183" s="384">
        <f t="shared" si="37"/>
        <v>0</v>
      </c>
      <c r="AL183" s="384"/>
      <c r="AM183" s="384">
        <f t="shared" ref="AM183:AP183" si="38">AM101-AH101</f>
        <v>0</v>
      </c>
      <c r="AN183" s="384">
        <f t="shared" si="38"/>
        <v>0</v>
      </c>
      <c r="AO183" s="384">
        <f t="shared" si="38"/>
        <v>0</v>
      </c>
      <c r="AP183" s="384">
        <f t="shared" si="38"/>
        <v>0</v>
      </c>
      <c r="AQ183" s="384"/>
      <c r="AR183" s="384">
        <f t="shared" ref="AR183:AU183" si="39">AR101-AM101</f>
        <v>0</v>
      </c>
      <c r="AS183" s="384">
        <f t="shared" si="39"/>
        <v>0</v>
      </c>
      <c r="AT183" s="384">
        <f t="shared" si="39"/>
        <v>0</v>
      </c>
      <c r="AU183" s="384">
        <f t="shared" si="39"/>
        <v>0</v>
      </c>
    </row>
    <row r="184" spans="1:48" ht="14.55" customHeight="1" x14ac:dyDescent="0.3">
      <c r="A184" s="161"/>
    </row>
    <row r="185" spans="1:48" s="8" customFormat="1" x14ac:dyDescent="0.3">
      <c r="A185" s="161"/>
      <c r="B185" s="382" t="s">
        <v>322</v>
      </c>
      <c r="Q185" s="384">
        <f t="shared" ref="Q185:T185" si="40">Q111-L111</f>
        <v>0</v>
      </c>
      <c r="R185" s="384"/>
      <c r="S185" s="384">
        <f t="shared" si="40"/>
        <v>0</v>
      </c>
      <c r="T185" s="384">
        <f t="shared" si="40"/>
        <v>0</v>
      </c>
      <c r="U185" s="384">
        <f>U111-P111</f>
        <v>0</v>
      </c>
      <c r="V185" s="384">
        <f t="shared" ref="V185:AU185" si="41">V111-Q111</f>
        <v>-2.4302276103789766E-2</v>
      </c>
      <c r="W185" s="384"/>
      <c r="X185" s="384">
        <f t="shared" si="41"/>
        <v>0</v>
      </c>
      <c r="Y185" s="384">
        <f t="shared" si="41"/>
        <v>0</v>
      </c>
      <c r="Z185" s="384">
        <f t="shared" si="41"/>
        <v>0</v>
      </c>
      <c r="AA185" s="384">
        <f t="shared" si="41"/>
        <v>0</v>
      </c>
      <c r="AB185" s="384"/>
      <c r="AC185" s="384">
        <f t="shared" si="41"/>
        <v>0</v>
      </c>
      <c r="AD185" s="384">
        <f t="shared" si="41"/>
        <v>0</v>
      </c>
      <c r="AE185" s="384">
        <f t="shared" si="41"/>
        <v>0</v>
      </c>
      <c r="AF185" s="384">
        <f t="shared" si="41"/>
        <v>0</v>
      </c>
      <c r="AG185" s="384"/>
      <c r="AH185" s="384">
        <f t="shared" si="41"/>
        <v>0</v>
      </c>
      <c r="AI185" s="384">
        <f t="shared" si="41"/>
        <v>0</v>
      </c>
      <c r="AJ185" s="384">
        <f t="shared" si="41"/>
        <v>0</v>
      </c>
      <c r="AK185" s="384">
        <f t="shared" si="41"/>
        <v>0</v>
      </c>
      <c r="AL185" s="384"/>
      <c r="AM185" s="384">
        <f t="shared" si="41"/>
        <v>0</v>
      </c>
      <c r="AN185" s="384">
        <f t="shared" si="41"/>
        <v>0</v>
      </c>
      <c r="AO185" s="384">
        <f t="shared" si="41"/>
        <v>0</v>
      </c>
      <c r="AP185" s="384">
        <f t="shared" si="41"/>
        <v>0</v>
      </c>
      <c r="AQ185" s="384"/>
      <c r="AR185" s="384">
        <f t="shared" si="41"/>
        <v>0</v>
      </c>
      <c r="AS185" s="384">
        <f t="shared" si="41"/>
        <v>0</v>
      </c>
      <c r="AT185" s="384">
        <f t="shared" si="41"/>
        <v>0</v>
      </c>
      <c r="AU185" s="384">
        <f t="shared" si="41"/>
        <v>0</v>
      </c>
    </row>
    <row r="186" spans="1:48" s="8" customFormat="1" x14ac:dyDescent="0.3">
      <c r="A186" s="161"/>
      <c r="B186" s="382" t="s">
        <v>323</v>
      </c>
      <c r="Q186" s="384">
        <f t="shared" ref="Q186:T186" si="42">Q113-L113</f>
        <v>0</v>
      </c>
      <c r="R186" s="384"/>
      <c r="S186" s="384">
        <f t="shared" si="42"/>
        <v>0</v>
      </c>
      <c r="T186" s="384">
        <f t="shared" si="42"/>
        <v>0</v>
      </c>
      <c r="U186" s="384">
        <f>U113-P113</f>
        <v>0</v>
      </c>
      <c r="V186" s="384">
        <f t="shared" ref="V186:AU186" si="43">V113-Q113</f>
        <v>-4.5707865132500441E-2</v>
      </c>
      <c r="W186" s="384"/>
      <c r="X186" s="384">
        <f t="shared" si="43"/>
        <v>0</v>
      </c>
      <c r="Y186" s="384">
        <f t="shared" si="43"/>
        <v>0</v>
      </c>
      <c r="Z186" s="384">
        <f t="shared" si="43"/>
        <v>0</v>
      </c>
      <c r="AA186" s="384">
        <f t="shared" si="43"/>
        <v>0</v>
      </c>
      <c r="AB186" s="384"/>
      <c r="AC186" s="384">
        <f t="shared" si="43"/>
        <v>0</v>
      </c>
      <c r="AD186" s="384">
        <f t="shared" si="43"/>
        <v>0</v>
      </c>
      <c r="AE186" s="384">
        <f t="shared" si="43"/>
        <v>0</v>
      </c>
      <c r="AF186" s="384">
        <f t="shared" si="43"/>
        <v>0</v>
      </c>
      <c r="AG186" s="384"/>
      <c r="AH186" s="384">
        <f t="shared" si="43"/>
        <v>0</v>
      </c>
      <c r="AI186" s="384">
        <f t="shared" si="43"/>
        <v>0</v>
      </c>
      <c r="AJ186" s="384">
        <f t="shared" si="43"/>
        <v>0</v>
      </c>
      <c r="AK186" s="384">
        <f t="shared" si="43"/>
        <v>0</v>
      </c>
      <c r="AL186" s="384"/>
      <c r="AM186" s="384">
        <f t="shared" si="43"/>
        <v>0</v>
      </c>
      <c r="AN186" s="384">
        <f t="shared" si="43"/>
        <v>0</v>
      </c>
      <c r="AO186" s="384">
        <f t="shared" si="43"/>
        <v>0</v>
      </c>
      <c r="AP186" s="384">
        <f t="shared" si="43"/>
        <v>0</v>
      </c>
      <c r="AQ186" s="384"/>
      <c r="AR186" s="384">
        <f t="shared" si="43"/>
        <v>0</v>
      </c>
      <c r="AS186" s="384">
        <f t="shared" si="43"/>
        <v>0</v>
      </c>
      <c r="AT186" s="384">
        <f t="shared" si="43"/>
        <v>0</v>
      </c>
      <c r="AU186" s="384">
        <f t="shared" si="43"/>
        <v>0</v>
      </c>
    </row>
    <row r="187" spans="1:48" s="8" customFormat="1" x14ac:dyDescent="0.3">
      <c r="A187" s="161"/>
      <c r="B187" s="382" t="s">
        <v>324</v>
      </c>
      <c r="Q187" s="384">
        <f t="shared" ref="Q187:T187" si="44">Q116-L116</f>
        <v>0</v>
      </c>
      <c r="R187" s="384"/>
      <c r="S187" s="384">
        <f t="shared" si="44"/>
        <v>0</v>
      </c>
      <c r="T187" s="384">
        <f t="shared" si="44"/>
        <v>0</v>
      </c>
      <c r="U187" s="384">
        <f>U116-P116</f>
        <v>0</v>
      </c>
      <c r="V187" s="384">
        <f t="shared" ref="V187:AU187" si="45">V116-Q116</f>
        <v>7.190844057926556E-4</v>
      </c>
      <c r="W187" s="384"/>
      <c r="X187" s="384">
        <f t="shared" si="45"/>
        <v>0</v>
      </c>
      <c r="Y187" s="384">
        <f t="shared" si="45"/>
        <v>0</v>
      </c>
      <c r="Z187" s="384">
        <f t="shared" si="45"/>
        <v>0</v>
      </c>
      <c r="AA187" s="384">
        <f t="shared" si="45"/>
        <v>0</v>
      </c>
      <c r="AB187" s="384"/>
      <c r="AC187" s="384">
        <f t="shared" si="45"/>
        <v>0</v>
      </c>
      <c r="AD187" s="384">
        <f t="shared" si="45"/>
        <v>0</v>
      </c>
      <c r="AE187" s="384">
        <f t="shared" si="45"/>
        <v>0</v>
      </c>
      <c r="AF187" s="384">
        <f t="shared" si="45"/>
        <v>0</v>
      </c>
      <c r="AG187" s="384"/>
      <c r="AH187" s="384">
        <f t="shared" si="45"/>
        <v>0</v>
      </c>
      <c r="AI187" s="384">
        <f t="shared" si="45"/>
        <v>0</v>
      </c>
      <c r="AJ187" s="384">
        <f t="shared" si="45"/>
        <v>0</v>
      </c>
      <c r="AK187" s="384">
        <f t="shared" si="45"/>
        <v>0</v>
      </c>
      <c r="AL187" s="384"/>
      <c r="AM187" s="384">
        <f t="shared" si="45"/>
        <v>0</v>
      </c>
      <c r="AN187" s="384">
        <f t="shared" si="45"/>
        <v>0</v>
      </c>
      <c r="AO187" s="384">
        <f t="shared" si="45"/>
        <v>0</v>
      </c>
      <c r="AP187" s="384">
        <f t="shared" si="45"/>
        <v>0</v>
      </c>
      <c r="AQ187" s="384"/>
      <c r="AR187" s="384">
        <f t="shared" si="45"/>
        <v>0</v>
      </c>
      <c r="AS187" s="384">
        <f t="shared" si="45"/>
        <v>0</v>
      </c>
      <c r="AT187" s="384">
        <f t="shared" si="45"/>
        <v>0</v>
      </c>
      <c r="AU187" s="384">
        <f t="shared" si="45"/>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1FD1-D4DD-4569-8594-0CAC6D4B7E56}">
  <sheetPr>
    <tabColor theme="9" tint="0.79998168889431442"/>
    <pageSetUpPr fitToPage="1"/>
  </sheetPr>
  <dimension ref="A1:AV67"/>
  <sheetViews>
    <sheetView showGridLines="0" zoomScaleNormal="100" workbookViewId="0">
      <pane xSplit="3" ySplit="5" topLeftCell="D6"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494" t="s">
        <v>249</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494" t="s">
        <v>211</v>
      </c>
      <c r="C5" s="495"/>
      <c r="D5" s="13"/>
      <c r="E5" s="13"/>
      <c r="F5" s="13"/>
      <c r="G5" s="258"/>
      <c r="H5" s="259"/>
      <c r="I5" s="258"/>
      <c r="J5" s="13"/>
      <c r="K5" s="13"/>
      <c r="L5" s="258"/>
      <c r="M5" s="259"/>
      <c r="N5" s="258"/>
      <c r="O5" s="13"/>
      <c r="P5" s="13"/>
      <c r="Q5" s="258"/>
      <c r="R5" s="259"/>
      <c r="S5" s="258"/>
      <c r="T5" s="13"/>
      <c r="U5" s="13"/>
      <c r="V5" s="15"/>
      <c r="W5" s="41"/>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486" t="s">
        <v>212</v>
      </c>
      <c r="C6" s="487"/>
      <c r="D6" s="16">
        <f>'BS (Before Changes)'!D6-'BS 3Q2022'!D6</f>
        <v>0</v>
      </c>
      <c r="E6" s="16">
        <f>'BS (Before Changes)'!E6-'BS 3Q2022'!E6</f>
        <v>0</v>
      </c>
      <c r="F6" s="16">
        <f>'BS (Before Changes)'!F6-'BS 3Q2022'!F6</f>
        <v>0</v>
      </c>
      <c r="G6" s="101">
        <f>'BS (Before Changes)'!G6-'BS 3Q2022'!G6</f>
        <v>0</v>
      </c>
      <c r="H6" s="17">
        <f>'BS (Before Changes)'!H6-'BS 3Q2022'!H6</f>
        <v>0</v>
      </c>
      <c r="I6" s="16">
        <f>'BS (Before Changes)'!I6-'BS 3Q2022'!I6</f>
        <v>0</v>
      </c>
      <c r="J6" s="16">
        <f>'BS (Before Changes)'!J6-'BS 3Q2022'!J6</f>
        <v>0</v>
      </c>
      <c r="K6" s="16">
        <f>'BS (Before Changes)'!K6-'BS 3Q2022'!K6</f>
        <v>0</v>
      </c>
      <c r="L6" s="101">
        <f>'BS (Before Changes)'!L6-'BS 3Q2022'!L6</f>
        <v>0</v>
      </c>
      <c r="M6" s="17">
        <f>'BS (Before Changes)'!M6-'BS 3Q2022'!M6</f>
        <v>0</v>
      </c>
      <c r="N6" s="16">
        <f>'BS (Before Changes)'!N6-'BS 3Q2022'!N6</f>
        <v>0</v>
      </c>
      <c r="O6" s="16">
        <f>'BS (Before Changes)'!O6-'BS 3Q2022'!O6</f>
        <v>0</v>
      </c>
      <c r="P6" s="16">
        <f>'BS (Before Changes)'!P6-'BS 3Q2022'!P6</f>
        <v>0</v>
      </c>
      <c r="Q6" s="16">
        <f>'BS (Before Changes)'!Q6-'BS 3Q2022'!Q6</f>
        <v>0</v>
      </c>
      <c r="R6" s="17">
        <f>'BS (Before Changes)'!R6-'BS 3Q2022'!R6</f>
        <v>0</v>
      </c>
      <c r="S6" s="16">
        <f>'BS (Before Changes)'!S6-'BS 3Q2022'!S6</f>
        <v>0</v>
      </c>
      <c r="T6" s="16">
        <f>'BS (Before Changes)'!T6-'BS 3Q2022'!T6</f>
        <v>0</v>
      </c>
      <c r="U6" s="16">
        <f>'BS (Before Changes)'!U6-'BS 3Q2022'!U6</f>
        <v>0</v>
      </c>
      <c r="V6" s="16">
        <f>'BS (Before Changes)'!V6-'BS 3Q2022'!V6</f>
        <v>-434.39934483938805</v>
      </c>
      <c r="W6" s="17">
        <f>'BS (Before Changes)'!W6-'BS 3Q2022'!W6</f>
        <v>-434.39934483938805</v>
      </c>
      <c r="X6" s="16">
        <f>'BS (Before Changes)'!X6-'BS 3Q2022'!X6</f>
        <v>154.4556916443521</v>
      </c>
      <c r="Y6" s="16">
        <f>'BS (Before Changes)'!Y6-'BS 3Q2022'!Y6</f>
        <v>217.70642468700589</v>
      </c>
      <c r="Z6" s="16">
        <f>'BS (Before Changes)'!Z6-'BS 3Q2022'!Z6</f>
        <v>270.05214056827845</v>
      </c>
      <c r="AA6" s="16">
        <f>'BS (Before Changes)'!AA6-'BS 3Q2022'!AA6</f>
        <v>220.50003095051488</v>
      </c>
      <c r="AB6" s="17">
        <f>'BS (Before Changes)'!AB6-'BS 3Q2022'!AB6</f>
        <v>220.50003095051488</v>
      </c>
      <c r="AC6" s="16">
        <f>'BS (Before Changes)'!AC6-'BS 3Q2022'!AC6</f>
        <v>361.55023673530104</v>
      </c>
      <c r="AD6" s="16">
        <f>'BS (Before Changes)'!AD6-'BS 3Q2022'!AD6</f>
        <v>379.05415346538257</v>
      </c>
      <c r="AE6" s="16">
        <f>'BS (Before Changes)'!AE6-'BS 3Q2022'!AE6</f>
        <v>386.62173885718767</v>
      </c>
      <c r="AF6" s="16">
        <f>'BS (Before Changes)'!AF6-'BS 3Q2022'!AF6</f>
        <v>259.27319581171287</v>
      </c>
      <c r="AG6" s="17">
        <f>'BS (Before Changes)'!AG6-'BS 3Q2022'!AG6</f>
        <v>259.27319581171287</v>
      </c>
      <c r="AH6" s="16">
        <f>'BS (Before Changes)'!AH6-'BS 3Q2022'!AH6</f>
        <v>404.02758694741351</v>
      </c>
      <c r="AI6" s="16">
        <f>'BS (Before Changes)'!AI6-'BS 3Q2022'!AI6</f>
        <v>430.93116329243367</v>
      </c>
      <c r="AJ6" s="16">
        <f>'BS (Before Changes)'!AJ6-'BS 3Q2022'!AJ6</f>
        <v>445.83479653940685</v>
      </c>
      <c r="AK6" s="16">
        <f>'BS (Before Changes)'!AK6-'BS 3Q2022'!AK6</f>
        <v>-5.9305750568428266</v>
      </c>
      <c r="AL6" s="17">
        <f>'BS (Before Changes)'!AL6-'BS 3Q2022'!AL6</f>
        <v>-5.9305750568428266</v>
      </c>
      <c r="AM6" s="16">
        <f>'BS (Before Changes)'!AM6-'BS 3Q2022'!AM6</f>
        <v>210.67567649544435</v>
      </c>
      <c r="AN6" s="16">
        <f>'BS (Before Changes)'!AN6-'BS 3Q2022'!AN6</f>
        <v>236.76695004108637</v>
      </c>
      <c r="AO6" s="16">
        <f>'BS (Before Changes)'!AO6-'BS 3Q2022'!AO6</f>
        <v>249.71253491558173</v>
      </c>
      <c r="AP6" s="16">
        <f>'BS (Before Changes)'!AP6-'BS 3Q2022'!AP6</f>
        <v>77.510338405577386</v>
      </c>
      <c r="AQ6" s="17">
        <f>'BS (Before Changes)'!AQ6-'BS 3Q2022'!AQ6</f>
        <v>77.510338405577386</v>
      </c>
      <c r="AR6" s="16">
        <f>'BS (Before Changes)'!AR6-'BS 3Q2022'!AR6</f>
        <v>253.38809157876312</v>
      </c>
      <c r="AS6" s="16">
        <f>'BS (Before Changes)'!AS6-'BS 3Q2022'!AS6</f>
        <v>284.97190350430537</v>
      </c>
      <c r="AT6" s="16">
        <f>'BS (Before Changes)'!AT6-'BS 3Q2022'!AT6</f>
        <v>300.6323740191815</v>
      </c>
      <c r="AU6" s="16">
        <f>'BS (Before Changes)'!AU6-'BS 3Q2022'!AU6</f>
        <v>99.712912790698283</v>
      </c>
      <c r="AV6" s="17">
        <f>'BS (Before Changes)'!AV6-'BS 3Q2022'!AV6</f>
        <v>99.712912790698283</v>
      </c>
    </row>
    <row r="7" spans="1:48" ht="14.55" customHeight="1" outlineLevel="1" x14ac:dyDescent="0.3">
      <c r="A7" s="161"/>
      <c r="B7" s="200" t="s">
        <v>213</v>
      </c>
      <c r="C7" s="201"/>
      <c r="D7" s="16">
        <f>'BS (Before Changes)'!D7-'BS 3Q2022'!D7</f>
        <v>0</v>
      </c>
      <c r="E7" s="16">
        <f>'BS (Before Changes)'!E7-'BS 3Q2022'!E7</f>
        <v>0</v>
      </c>
      <c r="F7" s="16">
        <f>'BS (Before Changes)'!F7-'BS 3Q2022'!F7</f>
        <v>0</v>
      </c>
      <c r="G7" s="16">
        <f>'BS (Before Changes)'!G7-'BS 3Q2022'!G7</f>
        <v>0</v>
      </c>
      <c r="H7" s="17">
        <f>'BS (Before Changes)'!H7-'BS 3Q2022'!H7</f>
        <v>0</v>
      </c>
      <c r="I7" s="16">
        <f>'BS (Before Changes)'!I7-'BS 3Q2022'!I7</f>
        <v>0</v>
      </c>
      <c r="J7" s="16">
        <f>'BS (Before Changes)'!J7-'BS 3Q2022'!J7</f>
        <v>0</v>
      </c>
      <c r="K7" s="16">
        <f>'BS (Before Changes)'!K7-'BS 3Q2022'!K7</f>
        <v>0</v>
      </c>
      <c r="L7" s="16">
        <f>'BS (Before Changes)'!L7-'BS 3Q2022'!L7</f>
        <v>0</v>
      </c>
      <c r="M7" s="17">
        <f>'BS (Before Changes)'!M7-'BS 3Q2022'!M7</f>
        <v>0</v>
      </c>
      <c r="N7" s="16">
        <f>'BS (Before Changes)'!N7-'BS 3Q2022'!N7</f>
        <v>0</v>
      </c>
      <c r="O7" s="16">
        <f>'BS (Before Changes)'!O7-'BS 3Q2022'!O7</f>
        <v>0</v>
      </c>
      <c r="P7" s="16">
        <f>'BS (Before Changes)'!P7-'BS 3Q2022'!P7</f>
        <v>0</v>
      </c>
      <c r="Q7" s="101">
        <f>'BS (Before Changes)'!Q7-'BS 3Q2022'!Q7</f>
        <v>0</v>
      </c>
      <c r="R7" s="17">
        <f>'BS (Before Changes)'!R7-'BS 3Q2022'!R7</f>
        <v>0</v>
      </c>
      <c r="S7" s="16">
        <f>'BS (Before Changes)'!S7-'BS 3Q2022'!S7</f>
        <v>0</v>
      </c>
      <c r="T7" s="16">
        <f>'BS (Before Changes)'!T7-'BS 3Q2022'!T7</f>
        <v>0</v>
      </c>
      <c r="U7" s="16">
        <f>'BS (Before Changes)'!U7-'BS 3Q2022'!U7</f>
        <v>0</v>
      </c>
      <c r="V7" s="16">
        <f>'BS (Before Changes)'!V7-'BS 3Q2022'!V7</f>
        <v>268.99942435231253</v>
      </c>
      <c r="W7" s="17">
        <f>'BS (Before Changes)'!W7-'BS 3Q2022'!W7</f>
        <v>268.99942435231253</v>
      </c>
      <c r="X7" s="16">
        <f>'BS (Before Changes)'!X7-'BS 3Q2022'!X7</f>
        <v>50.152574341559983</v>
      </c>
      <c r="Y7" s="16">
        <f>'BS (Before Changes)'!Y7-'BS 3Q2022'!Y7</f>
        <v>64.115493724799705</v>
      </c>
      <c r="Z7" s="16">
        <f>'BS (Before Changes)'!Z7-'BS 3Q2022'!Z7</f>
        <v>85.353150549335638</v>
      </c>
      <c r="AA7" s="16">
        <f>'BS (Before Changes)'!AA7-'BS 3Q2022'!AA7</f>
        <v>113.49362126568144</v>
      </c>
      <c r="AB7" s="17">
        <f>'BS (Before Changes)'!AB7-'BS 3Q2022'!AB7</f>
        <v>113.49362126568144</v>
      </c>
      <c r="AC7" s="16">
        <f>'BS (Before Changes)'!AC7-'BS 3Q2022'!AC7</f>
        <v>82.009398385325213</v>
      </c>
      <c r="AD7" s="16">
        <f>'BS (Before Changes)'!AD7-'BS 3Q2022'!AD7</f>
        <v>89.444922278101316</v>
      </c>
      <c r="AE7" s="16">
        <f>'BS (Before Changes)'!AE7-'BS 3Q2022'!AE7</f>
        <v>96.905291397860566</v>
      </c>
      <c r="AF7" s="16">
        <f>'BS (Before Changes)'!AF7-'BS 3Q2022'!AF7</f>
        <v>99.939702160628585</v>
      </c>
      <c r="AG7" s="17">
        <f>'BS (Before Changes)'!AG7-'BS 3Q2022'!AG7</f>
        <v>99.939702160628585</v>
      </c>
      <c r="AH7" s="16">
        <f>'BS (Before Changes)'!AH7-'BS 3Q2022'!AH7</f>
        <v>97.886565403831753</v>
      </c>
      <c r="AI7" s="16">
        <f>'BS (Before Changes)'!AI7-'BS 3Q2022'!AI7</f>
        <v>100.35595108719453</v>
      </c>
      <c r="AJ7" s="16">
        <f>'BS (Before Changes)'!AJ7-'BS 3Q2022'!AJ7</f>
        <v>104.89254132974837</v>
      </c>
      <c r="AK7" s="16">
        <f>'BS (Before Changes)'!AK7-'BS 3Q2022'!AK7</f>
        <v>89.618130073229253</v>
      </c>
      <c r="AL7" s="17">
        <f>'BS (Before Changes)'!AL7-'BS 3Q2022'!AL7</f>
        <v>89.618130073229253</v>
      </c>
      <c r="AM7" s="16">
        <f>'BS (Before Changes)'!AM7-'BS 3Q2022'!AM7</f>
        <v>92.191794382620941</v>
      </c>
      <c r="AN7" s="16">
        <f>'BS (Before Changes)'!AN7-'BS 3Q2022'!AN7</f>
        <v>92.340157075554487</v>
      </c>
      <c r="AO7" s="16">
        <f>'BS (Before Changes)'!AO7-'BS 3Q2022'!AO7</f>
        <v>95.274345687318956</v>
      </c>
      <c r="AP7" s="16">
        <f>'BS (Before Changes)'!AP7-'BS 3Q2022'!AP7</f>
        <v>97.012552394550653</v>
      </c>
      <c r="AQ7" s="17">
        <f>'BS (Before Changes)'!AQ7-'BS 3Q2022'!AQ7</f>
        <v>97.012552394550653</v>
      </c>
      <c r="AR7" s="16">
        <f>'BS (Before Changes)'!AR7-'BS 3Q2022'!AR7</f>
        <v>100.70241063809324</v>
      </c>
      <c r="AS7" s="16">
        <f>'BS (Before Changes)'!AS7-'BS 3Q2022'!AS7</f>
        <v>100.71965796259896</v>
      </c>
      <c r="AT7" s="16">
        <f>'BS (Before Changes)'!AT7-'BS 3Q2022'!AT7</f>
        <v>103.93391816354877</v>
      </c>
      <c r="AU7" s="16">
        <f>'BS (Before Changes)'!AU7-'BS 3Q2022'!AU7</f>
        <v>106.0772287026673</v>
      </c>
      <c r="AV7" s="17">
        <f>'BS (Before Changes)'!AV7-'BS 3Q2022'!AV7</f>
        <v>106.0772287026673</v>
      </c>
    </row>
    <row r="8" spans="1:48" s="23" customFormat="1" ht="14.55" customHeight="1" outlineLevel="1" x14ac:dyDescent="0.3">
      <c r="A8" s="161"/>
      <c r="B8" s="486" t="s">
        <v>214</v>
      </c>
      <c r="C8" s="487"/>
      <c r="D8" s="16">
        <f>'BS (Before Changes)'!D8-'BS 3Q2022'!D8</f>
        <v>0</v>
      </c>
      <c r="E8" s="16">
        <f>'BS (Before Changes)'!E8-'BS 3Q2022'!E8</f>
        <v>0</v>
      </c>
      <c r="F8" s="16">
        <f>'BS (Before Changes)'!F8-'BS 3Q2022'!F8</f>
        <v>0</v>
      </c>
      <c r="G8" s="16">
        <f>'BS (Before Changes)'!G8-'BS 3Q2022'!G8</f>
        <v>0</v>
      </c>
      <c r="H8" s="17">
        <f>'BS (Before Changes)'!H8-'BS 3Q2022'!H8</f>
        <v>0</v>
      </c>
      <c r="I8" s="16">
        <f>'BS (Before Changes)'!I8-'BS 3Q2022'!I8</f>
        <v>0</v>
      </c>
      <c r="J8" s="16">
        <f>'BS (Before Changes)'!J8-'BS 3Q2022'!J8</f>
        <v>0</v>
      </c>
      <c r="K8" s="16">
        <f>'BS (Before Changes)'!K8-'BS 3Q2022'!K8</f>
        <v>0</v>
      </c>
      <c r="L8" s="16">
        <f>'BS (Before Changes)'!L8-'BS 3Q2022'!L8</f>
        <v>0</v>
      </c>
      <c r="M8" s="17">
        <f>'BS (Before Changes)'!M8-'BS 3Q2022'!M8</f>
        <v>0</v>
      </c>
      <c r="N8" s="16">
        <f>'BS (Before Changes)'!N8-'BS 3Q2022'!N8</f>
        <v>0</v>
      </c>
      <c r="O8" s="16">
        <f>'BS (Before Changes)'!O8-'BS 3Q2022'!O8</f>
        <v>0</v>
      </c>
      <c r="P8" s="16">
        <f>'BS (Before Changes)'!P8-'BS 3Q2022'!P8</f>
        <v>0</v>
      </c>
      <c r="Q8" s="101">
        <f>'BS (Before Changes)'!Q8-'BS 3Q2022'!Q8</f>
        <v>0</v>
      </c>
      <c r="R8" s="17">
        <f>'BS (Before Changes)'!R8-'BS 3Q2022'!R8</f>
        <v>0</v>
      </c>
      <c r="S8" s="16">
        <f>'BS (Before Changes)'!S8-'BS 3Q2022'!S8</f>
        <v>0</v>
      </c>
      <c r="T8" s="16">
        <f>'BS (Before Changes)'!T8-'BS 3Q2022'!T8</f>
        <v>0</v>
      </c>
      <c r="U8" s="16">
        <f>'BS (Before Changes)'!U8-'BS 3Q2022'!U8</f>
        <v>0</v>
      </c>
      <c r="V8" s="16">
        <f>'BS (Before Changes)'!V8-'BS 3Q2022'!V8</f>
        <v>111.34799272467512</v>
      </c>
      <c r="W8" s="17">
        <f>'BS (Before Changes)'!W8-'BS 3Q2022'!W8</f>
        <v>111.34799272467512</v>
      </c>
      <c r="X8" s="16">
        <f>'BS (Before Changes)'!X8-'BS 3Q2022'!X8</f>
        <v>7.4662642714963567</v>
      </c>
      <c r="Y8" s="16">
        <f>'BS (Before Changes)'!Y8-'BS 3Q2022'!Y8</f>
        <v>7.6660525490078726</v>
      </c>
      <c r="Z8" s="16">
        <f>'BS (Before Changes)'!Z8-'BS 3Q2022'!Z8</f>
        <v>8.9099895181775537</v>
      </c>
      <c r="AA8" s="16">
        <f>'BS (Before Changes)'!AA8-'BS 3Q2022'!AA8</f>
        <v>53.11453257412586</v>
      </c>
      <c r="AB8" s="17">
        <f>'BS (Before Changes)'!AB8-'BS 3Q2022'!AB8</f>
        <v>53.11453257412586</v>
      </c>
      <c r="AC8" s="16">
        <f>'BS (Before Changes)'!AC8-'BS 3Q2022'!AC8</f>
        <v>8.1011156481349644</v>
      </c>
      <c r="AD8" s="16">
        <f>'BS (Before Changes)'!AD8-'BS 3Q2022'!AD8</f>
        <v>7.7552971324744249</v>
      </c>
      <c r="AE8" s="16">
        <f>'BS (Before Changes)'!AE8-'BS 3Q2022'!AE8</f>
        <v>8.541571631212264</v>
      </c>
      <c r="AF8" s="16">
        <f>'BS (Before Changes)'!AF8-'BS 3Q2022'!AF8</f>
        <v>65.760896703412755</v>
      </c>
      <c r="AG8" s="17">
        <f>'BS (Before Changes)'!AG8-'BS 3Q2022'!AG8</f>
        <v>65.760896703412755</v>
      </c>
      <c r="AH8" s="16">
        <f>'BS (Before Changes)'!AH8-'BS 3Q2022'!AH8</f>
        <v>8.5820954741263904</v>
      </c>
      <c r="AI8" s="16">
        <f>'BS (Before Changes)'!AI8-'BS 3Q2022'!AI8</f>
        <v>8.3014410553232665</v>
      </c>
      <c r="AJ8" s="16">
        <f>'BS (Before Changes)'!AJ8-'BS 3Q2022'!AJ8</f>
        <v>9.473430055612198</v>
      </c>
      <c r="AK8" s="16">
        <f>'BS (Before Changes)'!AK8-'BS 3Q2022'!AK8</f>
        <v>94.486796954786996</v>
      </c>
      <c r="AL8" s="17">
        <f>'BS (Before Changes)'!AL8-'BS 3Q2022'!AL8</f>
        <v>94.486796954786996</v>
      </c>
      <c r="AM8" s="16">
        <f>'BS (Before Changes)'!AM8-'BS 3Q2022'!AM8</f>
        <v>9.0315790421079782</v>
      </c>
      <c r="AN8" s="16">
        <f>'BS (Before Changes)'!AN8-'BS 3Q2022'!AN8</f>
        <v>8.7942681388253732</v>
      </c>
      <c r="AO8" s="16">
        <f>'BS (Before Changes)'!AO8-'BS 3Q2022'!AO8</f>
        <v>9.9726769150101973</v>
      </c>
      <c r="AP8" s="16">
        <f>'BS (Before Changes)'!AP8-'BS 3Q2022'!AP8</f>
        <v>82.03464755105756</v>
      </c>
      <c r="AQ8" s="17">
        <f>'BS (Before Changes)'!AQ8-'BS 3Q2022'!AQ8</f>
        <v>82.03464755105756</v>
      </c>
      <c r="AR8" s="16">
        <f>'BS (Before Changes)'!AR8-'BS 3Q2022'!AR8</f>
        <v>9.3039718070210711</v>
      </c>
      <c r="AS8" s="16">
        <f>'BS (Before Changes)'!AS8-'BS 3Q2022'!AS8</f>
        <v>8.9892296392777098</v>
      </c>
      <c r="AT8" s="16">
        <f>'BS (Before Changes)'!AT8-'BS 3Q2022'!AT8</f>
        <v>10.114393594383728</v>
      </c>
      <c r="AU8" s="16">
        <f>'BS (Before Changes)'!AU8-'BS 3Q2022'!AU8</f>
        <v>91.596735921192931</v>
      </c>
      <c r="AV8" s="17">
        <f>'BS (Before Changes)'!AV8-'BS 3Q2022'!AV8</f>
        <v>91.596735921192931</v>
      </c>
    </row>
    <row r="9" spans="1:48" s="23" customFormat="1" ht="14.55" customHeight="1" outlineLevel="1" x14ac:dyDescent="0.3">
      <c r="A9" s="161"/>
      <c r="B9" s="200" t="s">
        <v>215</v>
      </c>
      <c r="C9" s="201"/>
      <c r="D9" s="16">
        <f>'BS (Before Changes)'!D9-'BS 3Q2022'!D9</f>
        <v>0</v>
      </c>
      <c r="E9" s="16">
        <f>'BS (Before Changes)'!E9-'BS 3Q2022'!E9</f>
        <v>0</v>
      </c>
      <c r="F9" s="16">
        <f>'BS (Before Changes)'!F9-'BS 3Q2022'!F9</f>
        <v>0</v>
      </c>
      <c r="G9" s="16">
        <f>'BS (Before Changes)'!G9-'BS 3Q2022'!G9</f>
        <v>0</v>
      </c>
      <c r="H9" s="17">
        <f>'BS (Before Changes)'!H9-'BS 3Q2022'!H9</f>
        <v>0</v>
      </c>
      <c r="I9" s="16">
        <f>'BS (Before Changes)'!I9-'BS 3Q2022'!I9</f>
        <v>0</v>
      </c>
      <c r="J9" s="16">
        <f>'BS (Before Changes)'!J9-'BS 3Q2022'!J9</f>
        <v>0</v>
      </c>
      <c r="K9" s="16">
        <f>'BS (Before Changes)'!K9-'BS 3Q2022'!K9</f>
        <v>0</v>
      </c>
      <c r="L9" s="16">
        <f>'BS (Before Changes)'!L9-'BS 3Q2022'!L9</f>
        <v>0</v>
      </c>
      <c r="M9" s="17">
        <f>'BS (Before Changes)'!M9-'BS 3Q2022'!M9</f>
        <v>0</v>
      </c>
      <c r="N9" s="16">
        <f>'BS (Before Changes)'!N9-'BS 3Q2022'!N9</f>
        <v>0</v>
      </c>
      <c r="O9" s="16">
        <f>'BS (Before Changes)'!O9-'BS 3Q2022'!O9</f>
        <v>0</v>
      </c>
      <c r="P9" s="16">
        <f>'BS (Before Changes)'!P9-'BS 3Q2022'!P9</f>
        <v>0</v>
      </c>
      <c r="Q9" s="101">
        <f>'BS (Before Changes)'!Q9-'BS 3Q2022'!Q9</f>
        <v>0</v>
      </c>
      <c r="R9" s="17">
        <f>'BS (Before Changes)'!R9-'BS 3Q2022'!R9</f>
        <v>0</v>
      </c>
      <c r="S9" s="16">
        <f>'BS (Before Changes)'!S9-'BS 3Q2022'!S9</f>
        <v>0</v>
      </c>
      <c r="T9" s="16">
        <f>'BS (Before Changes)'!T9-'BS 3Q2022'!T9</f>
        <v>0</v>
      </c>
      <c r="U9" s="16">
        <f>'BS (Before Changes)'!U9-'BS 3Q2022'!U9</f>
        <v>0</v>
      </c>
      <c r="V9" s="16">
        <f>'BS (Before Changes)'!V9-'BS 3Q2022'!V9</f>
        <v>273.87685105161609</v>
      </c>
      <c r="W9" s="17">
        <f>'BS (Before Changes)'!W9-'BS 3Q2022'!W9</f>
        <v>273.87685105161609</v>
      </c>
      <c r="X9" s="16">
        <f>'BS (Before Changes)'!X9-'BS 3Q2022'!X9</f>
        <v>11.639942794747185</v>
      </c>
      <c r="Y9" s="16">
        <f>'BS (Before Changes)'!Y9-'BS 3Q2022'!Y9</f>
        <v>1.054054583744346</v>
      </c>
      <c r="Z9" s="16">
        <f>'BS (Before Changes)'!Z9-'BS 3Q2022'!Z9</f>
        <v>1.1946196684075403</v>
      </c>
      <c r="AA9" s="16">
        <f>'BS (Before Changes)'!AA9-'BS 3Q2022'!AA9</f>
        <v>100.12791568859666</v>
      </c>
      <c r="AB9" s="17">
        <f>'BS (Before Changes)'!AB9-'BS 3Q2022'!AB9</f>
        <v>100.12791568859666</v>
      </c>
      <c r="AC9" s="16">
        <f>'BS (Before Changes)'!AC9-'BS 3Q2022'!AC9</f>
        <v>12.335623756217956</v>
      </c>
      <c r="AD9" s="16">
        <f>'BS (Before Changes)'!AD9-'BS 3Q2022'!AD9</f>
        <v>0.53494118300113769</v>
      </c>
      <c r="AE9" s="16">
        <f>'BS (Before Changes)'!AE9-'BS 3Q2022'!AE9</f>
        <v>0.76051269846266223</v>
      </c>
      <c r="AF9" s="16">
        <f>'BS (Before Changes)'!AF9-'BS 3Q2022'!AF9</f>
        <v>136.10663517267176</v>
      </c>
      <c r="AG9" s="17">
        <f>'BS (Before Changes)'!AG9-'BS 3Q2022'!AG9</f>
        <v>136.10663517267176</v>
      </c>
      <c r="AH9" s="16">
        <f>'BS (Before Changes)'!AH9-'BS 3Q2022'!AH9</f>
        <v>12.812598462672213</v>
      </c>
      <c r="AI9" s="16">
        <f>'BS (Before Changes)'!AI9-'BS 3Q2022'!AI9</f>
        <v>2.9706599341807305E-2</v>
      </c>
      <c r="AJ9" s="16">
        <f>'BS (Before Changes)'!AJ9-'BS 3Q2022'!AJ9</f>
        <v>8.6381645843175647E-2</v>
      </c>
      <c r="AK9" s="16">
        <f>'BS (Before Changes)'!AK9-'BS 3Q2022'!AK9</f>
        <v>205.78735675596226</v>
      </c>
      <c r="AL9" s="17">
        <f>'BS (Before Changes)'!AL9-'BS 3Q2022'!AL9</f>
        <v>205.78735675596226</v>
      </c>
      <c r="AM9" s="16">
        <f>'BS (Before Changes)'!AM9-'BS 3Q2022'!AM9</f>
        <v>13.55075641280564</v>
      </c>
      <c r="AN9" s="16">
        <f>'BS (Before Changes)'!AN9-'BS 3Q2022'!AN9</f>
        <v>-0.45028235381641935</v>
      </c>
      <c r="AO9" s="16">
        <f>'BS (Before Changes)'!AO9-'BS 3Q2022'!AO9</f>
        <v>-0.46035269436333692</v>
      </c>
      <c r="AP9" s="16">
        <f>'BS (Before Changes)'!AP9-'BS 3Q2022'!AP9</f>
        <v>171.09836648148985</v>
      </c>
      <c r="AQ9" s="17">
        <f>'BS (Before Changes)'!AQ9-'BS 3Q2022'!AQ9</f>
        <v>171.09836648148985</v>
      </c>
      <c r="AR9" s="16">
        <f>'BS (Before Changes)'!AR9-'BS 3Q2022'!AR9</f>
        <v>13.981653481868761</v>
      </c>
      <c r="AS9" s="16">
        <f>'BS (Before Changes)'!AS9-'BS 3Q2022'!AS9</f>
        <v>-0.96020746611475261</v>
      </c>
      <c r="AT9" s="16">
        <f>'BS (Before Changes)'!AT9-'BS 3Q2022'!AT9</f>
        <v>-1.0305799318698519</v>
      </c>
      <c r="AU9" s="16">
        <f>'BS (Before Changes)'!AU9-'BS 3Q2022'!AU9</f>
        <v>194.47576212589775</v>
      </c>
      <c r="AV9" s="17">
        <f>'BS (Before Changes)'!AV9-'BS 3Q2022'!AV9</f>
        <v>194.47576212589775</v>
      </c>
    </row>
    <row r="10" spans="1:48" ht="16.2" customHeight="1" outlineLevel="1" x14ac:dyDescent="0.45">
      <c r="A10" s="161"/>
      <c r="B10" s="486" t="s">
        <v>216</v>
      </c>
      <c r="C10" s="487"/>
      <c r="D10" s="260">
        <f>'BS (Before Changes)'!D10-'BS 3Q2022'!D10</f>
        <v>0</v>
      </c>
      <c r="E10" s="112">
        <f>'BS (Before Changes)'!E10-'BS 3Q2022'!E10</f>
        <v>0</v>
      </c>
      <c r="F10" s="112">
        <f>'BS (Before Changes)'!F10-'BS 3Q2022'!F10</f>
        <v>0</v>
      </c>
      <c r="G10" s="112">
        <f>'BS (Before Changes)'!G10-'BS 3Q2022'!G10</f>
        <v>0</v>
      </c>
      <c r="H10" s="261">
        <f>'BS (Before Changes)'!H10-'BS 3Q2022'!H10</f>
        <v>0</v>
      </c>
      <c r="I10" s="112">
        <f>'BS (Before Changes)'!I10-'BS 3Q2022'!I10</f>
        <v>0</v>
      </c>
      <c r="J10" s="112">
        <f>'BS (Before Changes)'!J10-'BS 3Q2022'!J10</f>
        <v>0</v>
      </c>
      <c r="K10" s="112">
        <f>'BS (Before Changes)'!K10-'BS 3Q2022'!K10</f>
        <v>0</v>
      </c>
      <c r="L10" s="112">
        <f>'BS (Before Changes)'!L10-'BS 3Q2022'!L10</f>
        <v>0</v>
      </c>
      <c r="M10" s="261">
        <f>'BS (Before Changes)'!M10-'BS 3Q2022'!M10</f>
        <v>0</v>
      </c>
      <c r="N10" s="112">
        <f>'BS (Before Changes)'!N10-'BS 3Q2022'!N10</f>
        <v>0</v>
      </c>
      <c r="O10" s="112">
        <f>'BS (Before Changes)'!O10-'BS 3Q2022'!O10</f>
        <v>0</v>
      </c>
      <c r="P10" s="112">
        <f>'BS (Before Changes)'!P10-'BS 3Q2022'!P10</f>
        <v>0</v>
      </c>
      <c r="Q10" s="112">
        <f>'BS (Before Changes)'!Q10-'BS 3Q2022'!Q10</f>
        <v>0</v>
      </c>
      <c r="R10" s="261">
        <f>'BS (Before Changes)'!R10-'BS 3Q2022'!R10</f>
        <v>0</v>
      </c>
      <c r="S10" s="112">
        <f>'BS (Before Changes)'!S10-'BS 3Q2022'!S10</f>
        <v>0</v>
      </c>
      <c r="T10" s="112">
        <f>'BS (Before Changes)'!T10-'BS 3Q2022'!T10</f>
        <v>0</v>
      </c>
      <c r="U10" s="112">
        <f>'BS (Before Changes)'!U10-'BS 3Q2022'!U10</f>
        <v>0</v>
      </c>
      <c r="V10" s="32">
        <f>'BS (Before Changes)'!V10-'BS 3Q2022'!V10</f>
        <v>-55.741000000000042</v>
      </c>
      <c r="W10" s="261">
        <f>'BS (Before Changes)'!W10-'BS 3Q2022'!W10</f>
        <v>-55.741000000000042</v>
      </c>
      <c r="X10" s="32">
        <f>'BS (Before Changes)'!X10-'BS 3Q2022'!X10</f>
        <v>-56.298410000000047</v>
      </c>
      <c r="Y10" s="32">
        <f>'BS (Before Changes)'!Y10-'BS 3Q2022'!Y10</f>
        <v>-56.861394099999984</v>
      </c>
      <c r="Z10" s="32">
        <f>'BS (Before Changes)'!Z10-'BS 3Q2022'!Z10</f>
        <v>-57.430008041000008</v>
      </c>
      <c r="AA10" s="32">
        <f>'BS (Before Changes)'!AA10-'BS 3Q2022'!AA10</f>
        <v>-58.00430812141002</v>
      </c>
      <c r="AB10" s="261">
        <f>'BS (Before Changes)'!AB10-'BS 3Q2022'!AB10</f>
        <v>-58.00430812141002</v>
      </c>
      <c r="AC10" s="32">
        <f>'BS (Before Changes)'!AC10-'BS 3Q2022'!AC10</f>
        <v>-58.584351202624077</v>
      </c>
      <c r="AD10" s="32">
        <f>'BS (Before Changes)'!AD10-'BS 3Q2022'!AD10</f>
        <v>-59.170194714650393</v>
      </c>
      <c r="AE10" s="32">
        <f>'BS (Before Changes)'!AE10-'BS 3Q2022'!AE10</f>
        <v>-59.761896661796868</v>
      </c>
      <c r="AF10" s="32">
        <f>'BS (Before Changes)'!AF10-'BS 3Q2022'!AF10</f>
        <v>-60.359515628414897</v>
      </c>
      <c r="AG10" s="261">
        <f>'BS (Before Changes)'!AG10-'BS 3Q2022'!AG10</f>
        <v>-60.359515628414897</v>
      </c>
      <c r="AH10" s="32">
        <f>'BS (Before Changes)'!AH10-'BS 3Q2022'!AH10</f>
        <v>-60.963110784699097</v>
      </c>
      <c r="AI10" s="32">
        <f>'BS (Before Changes)'!AI10-'BS 3Q2022'!AI10</f>
        <v>-61.572741892546105</v>
      </c>
      <c r="AJ10" s="32">
        <f>'BS (Before Changes)'!AJ10-'BS 3Q2022'!AJ10</f>
        <v>-62.188469311471522</v>
      </c>
      <c r="AK10" s="32">
        <f>'BS (Before Changes)'!AK10-'BS 3Q2022'!AK10</f>
        <v>-62.810354004586202</v>
      </c>
      <c r="AL10" s="261">
        <f>'BS (Before Changes)'!AL10-'BS 3Q2022'!AL10</f>
        <v>-62.810354004586202</v>
      </c>
      <c r="AM10" s="32">
        <f>'BS (Before Changes)'!AM10-'BS 3Q2022'!AM10</f>
        <v>-63.438457544632115</v>
      </c>
      <c r="AN10" s="32">
        <f>'BS (Before Changes)'!AN10-'BS 3Q2022'!AN10</f>
        <v>-64.072842120078462</v>
      </c>
      <c r="AO10" s="32">
        <f>'BS (Before Changes)'!AO10-'BS 3Q2022'!AO10</f>
        <v>-64.713570541279182</v>
      </c>
      <c r="AP10" s="32">
        <f>'BS (Before Changes)'!AP10-'BS 3Q2022'!AP10</f>
        <v>-65.360706246691961</v>
      </c>
      <c r="AQ10" s="261">
        <f>'BS (Before Changes)'!AQ10-'BS 3Q2022'!AQ10</f>
        <v>-65.360706246691961</v>
      </c>
      <c r="AR10" s="32">
        <f>'BS (Before Changes)'!AR10-'BS 3Q2022'!AR10</f>
        <v>-66.014313309158865</v>
      </c>
      <c r="AS10" s="32">
        <f>'BS (Before Changes)'!AS10-'BS 3Q2022'!AS10</f>
        <v>-66.674456442250516</v>
      </c>
      <c r="AT10" s="32">
        <f>'BS (Before Changes)'!AT10-'BS 3Q2022'!AT10</f>
        <v>-67.341201006673032</v>
      </c>
      <c r="AU10" s="32">
        <f>'BS (Before Changes)'!AU10-'BS 3Q2022'!AU10</f>
        <v>-68.014613016739759</v>
      </c>
      <c r="AV10" s="261">
        <f>'BS (Before Changes)'!AV10-'BS 3Q2022'!AV10</f>
        <v>-68.014613016739759</v>
      </c>
    </row>
    <row r="11" spans="1:48" ht="14.55" customHeight="1" outlineLevel="1" x14ac:dyDescent="0.3">
      <c r="A11" s="161"/>
      <c r="B11" s="205" t="s">
        <v>217</v>
      </c>
      <c r="C11" s="206"/>
      <c r="D11" s="21">
        <f>'BS (Before Changes)'!D11-'BS 3Q2022'!D11</f>
        <v>0</v>
      </c>
      <c r="E11" s="21">
        <f>'BS (Before Changes)'!E11-'BS 3Q2022'!E11</f>
        <v>0</v>
      </c>
      <c r="F11" s="21">
        <f>'BS (Before Changes)'!F11-'BS 3Q2022'!F11</f>
        <v>0</v>
      </c>
      <c r="G11" s="21">
        <f>'BS (Before Changes)'!G11-'BS 3Q2022'!G11</f>
        <v>0</v>
      </c>
      <c r="H11" s="22">
        <f>'BS (Before Changes)'!H11-'BS 3Q2022'!H11</f>
        <v>0</v>
      </c>
      <c r="I11" s="21">
        <f>'BS (Before Changes)'!I11-'BS 3Q2022'!I11</f>
        <v>0</v>
      </c>
      <c r="J11" s="21">
        <f>'BS (Before Changes)'!J11-'BS 3Q2022'!J11</f>
        <v>0</v>
      </c>
      <c r="K11" s="21">
        <f>'BS (Before Changes)'!K11-'BS 3Q2022'!K11</f>
        <v>0</v>
      </c>
      <c r="L11" s="116">
        <f>'BS (Before Changes)'!L11-'BS 3Q2022'!L11</f>
        <v>0</v>
      </c>
      <c r="M11" s="22">
        <f>'BS (Before Changes)'!M11-'BS 3Q2022'!M11</f>
        <v>0</v>
      </c>
      <c r="N11" s="21">
        <f>'BS (Before Changes)'!N11-'BS 3Q2022'!N11</f>
        <v>0</v>
      </c>
      <c r="O11" s="21">
        <f>'BS (Before Changes)'!O11-'BS 3Q2022'!O11</f>
        <v>0</v>
      </c>
      <c r="P11" s="21">
        <f>'BS (Before Changes)'!P11-'BS 3Q2022'!P11</f>
        <v>0</v>
      </c>
      <c r="Q11" s="116">
        <f>'BS (Before Changes)'!Q11-'BS 3Q2022'!Q11</f>
        <v>0</v>
      </c>
      <c r="R11" s="22">
        <f>'BS (Before Changes)'!R11-'BS 3Q2022'!R11</f>
        <v>0</v>
      </c>
      <c r="S11" s="21">
        <f>'BS (Before Changes)'!S11-'BS 3Q2022'!S11</f>
        <v>0</v>
      </c>
      <c r="T11" s="21">
        <f>'BS (Before Changes)'!T11-'BS 3Q2022'!T11</f>
        <v>0</v>
      </c>
      <c r="U11" s="21">
        <f>'BS (Before Changes)'!U11-'BS 3Q2022'!U11</f>
        <v>0</v>
      </c>
      <c r="V11" s="21">
        <f>'BS (Before Changes)'!V11-'BS 3Q2022'!V11</f>
        <v>164.08392328921673</v>
      </c>
      <c r="W11" s="22">
        <f>'BS (Before Changes)'!W11-'BS 3Q2022'!W11</f>
        <v>164.08392328921673</v>
      </c>
      <c r="X11" s="21">
        <f>'BS (Before Changes)'!X11-'BS 3Q2022'!X11</f>
        <v>167.41606305215646</v>
      </c>
      <c r="Y11" s="21">
        <f>'BS (Before Changes)'!Y11-'BS 3Q2022'!Y11</f>
        <v>233.68063144455846</v>
      </c>
      <c r="Z11" s="21">
        <f>'BS (Before Changes)'!Z11-'BS 3Q2022'!Z11</f>
        <v>308.07989226320024</v>
      </c>
      <c r="AA11" s="21">
        <f>'BS (Before Changes)'!AA11-'BS 3Q2022'!AA11</f>
        <v>429.23179235751013</v>
      </c>
      <c r="AB11" s="22">
        <f>'BS (Before Changes)'!AB11-'BS 3Q2022'!AB11</f>
        <v>429.23179235751013</v>
      </c>
      <c r="AC11" s="21">
        <f>'BS (Before Changes)'!AC11-'BS 3Q2022'!AC11</f>
        <v>405.4120233223548</v>
      </c>
      <c r="AD11" s="21">
        <f>'BS (Before Changes)'!AD11-'BS 3Q2022'!AD11</f>
        <v>417.61911934431009</v>
      </c>
      <c r="AE11" s="21">
        <f>'BS (Before Changes)'!AE11-'BS 3Q2022'!AE11</f>
        <v>433.06721792292774</v>
      </c>
      <c r="AF11" s="21">
        <f>'BS (Before Changes)'!AF11-'BS 3Q2022'!AF11</f>
        <v>500.72091422001358</v>
      </c>
      <c r="AG11" s="22">
        <f>'BS (Before Changes)'!AG11-'BS 3Q2022'!AG11</f>
        <v>500.72091422001358</v>
      </c>
      <c r="AH11" s="21">
        <f>'BS (Before Changes)'!AH11-'BS 3Q2022'!AH11</f>
        <v>462.34573550334608</v>
      </c>
      <c r="AI11" s="21">
        <f>'BS (Before Changes)'!AI11-'BS 3Q2022'!AI11</f>
        <v>478.04552014174624</v>
      </c>
      <c r="AJ11" s="21">
        <f>'BS (Before Changes)'!AJ11-'BS 3Q2022'!AJ11</f>
        <v>498.09868025913966</v>
      </c>
      <c r="AK11" s="21">
        <f>'BS (Before Changes)'!AK11-'BS 3Q2022'!AK11</f>
        <v>321.15135472254951</v>
      </c>
      <c r="AL11" s="22">
        <f>'BS (Before Changes)'!AL11-'BS 3Q2022'!AL11</f>
        <v>321.15135472254951</v>
      </c>
      <c r="AM11" s="21">
        <f>'BS (Before Changes)'!AM11-'BS 3Q2022'!AM11</f>
        <v>262.01134878834728</v>
      </c>
      <c r="AN11" s="21">
        <f>'BS (Before Changes)'!AN11-'BS 3Q2022'!AN11</f>
        <v>273.3782507815713</v>
      </c>
      <c r="AO11" s="21">
        <f>'BS (Before Changes)'!AO11-'BS 3Q2022'!AO11</f>
        <v>289.7856342822688</v>
      </c>
      <c r="AP11" s="21">
        <f>'BS (Before Changes)'!AP11-'BS 3Q2022'!AP11</f>
        <v>362.29519858598269</v>
      </c>
      <c r="AQ11" s="22">
        <f>'BS (Before Changes)'!AQ11-'BS 3Q2022'!AQ11</f>
        <v>362.29519858598269</v>
      </c>
      <c r="AR11" s="21">
        <f>'BS (Before Changes)'!AR11-'BS 3Q2022'!AR11</f>
        <v>311.36181419658715</v>
      </c>
      <c r="AS11" s="21">
        <f>'BS (Before Changes)'!AS11-'BS 3Q2022'!AS11</f>
        <v>327.04612719781835</v>
      </c>
      <c r="AT11" s="21">
        <f>'BS (Before Changes)'!AT11-'BS 3Q2022'!AT11</f>
        <v>346.30890483857183</v>
      </c>
      <c r="AU11" s="21">
        <f>'BS (Before Changes)'!AU11-'BS 3Q2022'!AU11</f>
        <v>423.84802652371764</v>
      </c>
      <c r="AV11" s="22">
        <f>'BS (Before Changes)'!AV11-'BS 3Q2022'!AV11</f>
        <v>423.84802652371764</v>
      </c>
    </row>
    <row r="12" spans="1:48" ht="14.55" customHeight="1" outlineLevel="1" x14ac:dyDescent="0.3">
      <c r="A12" s="161"/>
      <c r="B12" s="200" t="s">
        <v>218</v>
      </c>
      <c r="C12" s="207"/>
      <c r="D12" s="16">
        <f>'BS (Before Changes)'!D12-'BS 3Q2022'!D12</f>
        <v>0</v>
      </c>
      <c r="E12" s="16">
        <f>'BS (Before Changes)'!E12-'BS 3Q2022'!E12</f>
        <v>0</v>
      </c>
      <c r="F12" s="16">
        <f>'BS (Before Changes)'!F12-'BS 3Q2022'!F12</f>
        <v>0</v>
      </c>
      <c r="G12" s="16">
        <f>'BS (Before Changes)'!G12-'BS 3Q2022'!G12</f>
        <v>0</v>
      </c>
      <c r="H12" s="17">
        <f>'BS (Before Changes)'!H12-'BS 3Q2022'!H12</f>
        <v>0</v>
      </c>
      <c r="I12" s="16">
        <f>'BS (Before Changes)'!I12-'BS 3Q2022'!I12</f>
        <v>0</v>
      </c>
      <c r="J12" s="16">
        <f>'BS (Before Changes)'!J12-'BS 3Q2022'!J12</f>
        <v>0</v>
      </c>
      <c r="K12" s="16">
        <f>'BS (Before Changes)'!K12-'BS 3Q2022'!K12</f>
        <v>0</v>
      </c>
      <c r="L12" s="101">
        <f>'BS (Before Changes)'!L12-'BS 3Q2022'!L12</f>
        <v>0</v>
      </c>
      <c r="M12" s="17">
        <f>'BS (Before Changes)'!M12-'BS 3Q2022'!M12</f>
        <v>0</v>
      </c>
      <c r="N12" s="16">
        <f>'BS (Before Changes)'!N12-'BS 3Q2022'!N12</f>
        <v>0</v>
      </c>
      <c r="O12" s="16">
        <f>'BS (Before Changes)'!O12-'BS 3Q2022'!O12</f>
        <v>0</v>
      </c>
      <c r="P12" s="16">
        <f>'BS (Before Changes)'!P12-'BS 3Q2022'!P12</f>
        <v>0</v>
      </c>
      <c r="Q12" s="101">
        <f>'BS (Before Changes)'!Q12-'BS 3Q2022'!Q12</f>
        <v>0</v>
      </c>
      <c r="R12" s="17">
        <f>'BS (Before Changes)'!R12-'BS 3Q2022'!R12</f>
        <v>0</v>
      </c>
      <c r="S12" s="16">
        <f>'BS (Before Changes)'!S12-'BS 3Q2022'!S12</f>
        <v>0</v>
      </c>
      <c r="T12" s="16">
        <f>'BS (Before Changes)'!T12-'BS 3Q2022'!T12</f>
        <v>0</v>
      </c>
      <c r="U12" s="16">
        <f>'BS (Before Changes)'!U12-'BS 3Q2022'!U12</f>
        <v>0</v>
      </c>
      <c r="V12" s="16">
        <f>'BS (Before Changes)'!V12-'BS 3Q2022'!V12</f>
        <v>1.0745762895226108</v>
      </c>
      <c r="W12" s="17">
        <f>'BS (Before Changes)'!W12-'BS 3Q2022'!W12</f>
        <v>1.0745762895226108</v>
      </c>
      <c r="X12" s="16">
        <f>'BS (Before Changes)'!X12-'BS 3Q2022'!X12</f>
        <v>17.85894135150852</v>
      </c>
      <c r="Y12" s="16">
        <f>'BS (Before Changes)'!Y12-'BS 3Q2022'!Y12</f>
        <v>21.229462993825393</v>
      </c>
      <c r="Z12" s="16">
        <f>'BS (Before Changes)'!Z12-'BS 3Q2022'!Z12</f>
        <v>24.490489358852983</v>
      </c>
      <c r="AA12" s="16">
        <f>'BS (Before Changes)'!AA12-'BS 3Q2022'!AA12</f>
        <v>26.994134261384147</v>
      </c>
      <c r="AB12" s="17">
        <f>'BS (Before Changes)'!AB12-'BS 3Q2022'!AB12</f>
        <v>26.994134261384147</v>
      </c>
      <c r="AC12" s="16">
        <f>'BS (Before Changes)'!AC12-'BS 3Q2022'!AC12</f>
        <v>25.592269053663131</v>
      </c>
      <c r="AD12" s="16">
        <f>'BS (Before Changes)'!AD12-'BS 3Q2022'!AD12</f>
        <v>26.860417435937279</v>
      </c>
      <c r="AE12" s="16">
        <f>'BS (Before Changes)'!AE12-'BS 3Q2022'!AE12</f>
        <v>28.264327599155706</v>
      </c>
      <c r="AF12" s="16">
        <f>'BS (Before Changes)'!AF12-'BS 3Q2022'!AF12</f>
        <v>29.753312264184558</v>
      </c>
      <c r="AG12" s="17">
        <f>'BS (Before Changes)'!AG12-'BS 3Q2022'!AG12</f>
        <v>29.753312264184558</v>
      </c>
      <c r="AH12" s="16">
        <f>'BS (Before Changes)'!AH12-'BS 3Q2022'!AH12</f>
        <v>30.06021752824023</v>
      </c>
      <c r="AI12" s="16">
        <f>'BS (Before Changes)'!AI12-'BS 3Q2022'!AI12</f>
        <v>30.686059853762686</v>
      </c>
      <c r="AJ12" s="16">
        <f>'BS (Before Changes)'!AJ12-'BS 3Q2022'!AJ12</f>
        <v>32.13379297626426</v>
      </c>
      <c r="AK12" s="16">
        <f>'BS (Before Changes)'!AK12-'BS 3Q2022'!AK12</f>
        <v>26.502768192442659</v>
      </c>
      <c r="AL12" s="17">
        <f>'BS (Before Changes)'!AL12-'BS 3Q2022'!AL12</f>
        <v>26.502768192442659</v>
      </c>
      <c r="AM12" s="16">
        <f>'BS (Before Changes)'!AM12-'BS 3Q2022'!AM12</f>
        <v>26.894769824561592</v>
      </c>
      <c r="AN12" s="16">
        <f>'BS (Before Changes)'!AN12-'BS 3Q2022'!AN12</f>
        <v>27.12986589548666</v>
      </c>
      <c r="AO12" s="16">
        <f>'BS (Before Changes)'!AO12-'BS 3Q2022'!AO12</f>
        <v>28.228267743179572</v>
      </c>
      <c r="AP12" s="16">
        <f>'BS (Before Changes)'!AP12-'BS 3Q2022'!AP12</f>
        <v>29.623107552438228</v>
      </c>
      <c r="AQ12" s="17">
        <f>'BS (Before Changes)'!AQ12-'BS 3Q2022'!AQ12</f>
        <v>29.623107552438228</v>
      </c>
      <c r="AR12" s="16">
        <f>'BS (Before Changes)'!AR12-'BS 3Q2022'!AR12</f>
        <v>30.256752202889402</v>
      </c>
      <c r="AS12" s="16">
        <f>'BS (Before Changes)'!AS12-'BS 3Q2022'!AS12</f>
        <v>30.54518332707579</v>
      </c>
      <c r="AT12" s="16">
        <f>'BS (Before Changes)'!AT12-'BS 3Q2022'!AT12</f>
        <v>31.740754218910809</v>
      </c>
      <c r="AU12" s="16">
        <f>'BS (Before Changes)'!AU12-'BS 3Q2022'!AU12</f>
        <v>33.257771650221969</v>
      </c>
      <c r="AV12" s="17">
        <f>'BS (Before Changes)'!AV12-'BS 3Q2022'!AV12</f>
        <v>33.257771650221969</v>
      </c>
    </row>
    <row r="13" spans="1:48" ht="14.55" customHeight="1" outlineLevel="1" x14ac:dyDescent="0.3">
      <c r="A13" s="161"/>
      <c r="B13" s="200" t="s">
        <v>219</v>
      </c>
      <c r="C13" s="207"/>
      <c r="D13" s="16">
        <f>'BS (Before Changes)'!D13-'BS 3Q2022'!D13</f>
        <v>0</v>
      </c>
      <c r="E13" s="16">
        <f>'BS (Before Changes)'!E13-'BS 3Q2022'!E13</f>
        <v>0</v>
      </c>
      <c r="F13" s="16">
        <f>'BS (Before Changes)'!F13-'BS 3Q2022'!F13</f>
        <v>0</v>
      </c>
      <c r="G13" s="16">
        <f>'BS (Before Changes)'!G13-'BS 3Q2022'!G13</f>
        <v>0</v>
      </c>
      <c r="H13" s="17">
        <f>'BS (Before Changes)'!H13-'BS 3Q2022'!H13</f>
        <v>0</v>
      </c>
      <c r="I13" s="16">
        <f>'BS (Before Changes)'!I13-'BS 3Q2022'!I13</f>
        <v>0</v>
      </c>
      <c r="J13" s="16">
        <f>'BS (Before Changes)'!J13-'BS 3Q2022'!J13</f>
        <v>0</v>
      </c>
      <c r="K13" s="16">
        <f>'BS (Before Changes)'!K13-'BS 3Q2022'!K13</f>
        <v>0</v>
      </c>
      <c r="L13" s="101">
        <f>'BS (Before Changes)'!L13-'BS 3Q2022'!L13</f>
        <v>0</v>
      </c>
      <c r="M13" s="17">
        <f>'BS (Before Changes)'!M13-'BS 3Q2022'!M13</f>
        <v>0</v>
      </c>
      <c r="N13" s="16">
        <f>'BS (Before Changes)'!N13-'BS 3Q2022'!N13</f>
        <v>0</v>
      </c>
      <c r="O13" s="16">
        <f>'BS (Before Changes)'!O13-'BS 3Q2022'!O13</f>
        <v>0</v>
      </c>
      <c r="P13" s="16">
        <f>'BS (Before Changes)'!P13-'BS 3Q2022'!P13</f>
        <v>0</v>
      </c>
      <c r="Q13" s="101">
        <f>'BS (Before Changes)'!Q13-'BS 3Q2022'!Q13</f>
        <v>0</v>
      </c>
      <c r="R13" s="17">
        <f>'BS (Before Changes)'!R13-'BS 3Q2022'!R13</f>
        <v>0</v>
      </c>
      <c r="S13" s="16">
        <f>'BS (Before Changes)'!S13-'BS 3Q2022'!S13</f>
        <v>0</v>
      </c>
      <c r="T13" s="16">
        <f>'BS (Before Changes)'!T13-'BS 3Q2022'!T13</f>
        <v>0</v>
      </c>
      <c r="U13" s="16">
        <f>'BS (Before Changes)'!U13-'BS 3Q2022'!U13</f>
        <v>0</v>
      </c>
      <c r="V13" s="33">
        <f>'BS (Before Changes)'!V13-'BS 3Q2022'!V13</f>
        <v>8.5</v>
      </c>
      <c r="W13" s="17">
        <f>'BS (Before Changes)'!W13-'BS 3Q2022'!W13</f>
        <v>8.5</v>
      </c>
      <c r="X13" s="33">
        <f>'BS (Before Changes)'!X13-'BS 3Q2022'!X13</f>
        <v>8.5</v>
      </c>
      <c r="Y13" s="33">
        <f>'BS (Before Changes)'!Y13-'BS 3Q2022'!Y13</f>
        <v>8.5</v>
      </c>
      <c r="Z13" s="33">
        <f>'BS (Before Changes)'!Z13-'BS 3Q2022'!Z13</f>
        <v>8.5</v>
      </c>
      <c r="AA13" s="33">
        <f>'BS (Before Changes)'!AA13-'BS 3Q2022'!AA13</f>
        <v>8.5</v>
      </c>
      <c r="AB13" s="17">
        <f>'BS (Before Changes)'!AB13-'BS 3Q2022'!AB13</f>
        <v>8.5</v>
      </c>
      <c r="AC13" s="33">
        <f>'BS (Before Changes)'!AC13-'BS 3Q2022'!AC13</f>
        <v>8.5</v>
      </c>
      <c r="AD13" s="33">
        <f>'BS (Before Changes)'!AD13-'BS 3Q2022'!AD13</f>
        <v>8.5</v>
      </c>
      <c r="AE13" s="33">
        <f>'BS (Before Changes)'!AE13-'BS 3Q2022'!AE13</f>
        <v>8.5</v>
      </c>
      <c r="AF13" s="33">
        <f>'BS (Before Changes)'!AF13-'BS 3Q2022'!AF13</f>
        <v>8.5</v>
      </c>
      <c r="AG13" s="17">
        <f>'BS (Before Changes)'!AG13-'BS 3Q2022'!AG13</f>
        <v>8.5</v>
      </c>
      <c r="AH13" s="33">
        <f>'BS (Before Changes)'!AH13-'BS 3Q2022'!AH13</f>
        <v>8.5</v>
      </c>
      <c r="AI13" s="33">
        <f>'BS (Before Changes)'!AI13-'BS 3Q2022'!AI13</f>
        <v>8.5</v>
      </c>
      <c r="AJ13" s="33">
        <f>'BS (Before Changes)'!AJ13-'BS 3Q2022'!AJ13</f>
        <v>8.5</v>
      </c>
      <c r="AK13" s="33">
        <f>'BS (Before Changes)'!AK13-'BS 3Q2022'!AK13</f>
        <v>8.5</v>
      </c>
      <c r="AL13" s="17">
        <f>'BS (Before Changes)'!AL13-'BS 3Q2022'!AL13</f>
        <v>8.5</v>
      </c>
      <c r="AM13" s="33">
        <f>'BS (Before Changes)'!AM13-'BS 3Q2022'!AM13</f>
        <v>8.5</v>
      </c>
      <c r="AN13" s="33">
        <f>'BS (Before Changes)'!AN13-'BS 3Q2022'!AN13</f>
        <v>8.5</v>
      </c>
      <c r="AO13" s="33">
        <f>'BS (Before Changes)'!AO13-'BS 3Q2022'!AO13</f>
        <v>8.5</v>
      </c>
      <c r="AP13" s="33">
        <f>'BS (Before Changes)'!AP13-'BS 3Q2022'!AP13</f>
        <v>8.5</v>
      </c>
      <c r="AQ13" s="17">
        <f>'BS (Before Changes)'!AQ13-'BS 3Q2022'!AQ13</f>
        <v>8.5</v>
      </c>
      <c r="AR13" s="33">
        <f>'BS (Before Changes)'!AR13-'BS 3Q2022'!AR13</f>
        <v>8.5</v>
      </c>
      <c r="AS13" s="33">
        <f>'BS (Before Changes)'!AS13-'BS 3Q2022'!AS13</f>
        <v>8.5</v>
      </c>
      <c r="AT13" s="33">
        <f>'BS (Before Changes)'!AT13-'BS 3Q2022'!AT13</f>
        <v>8.5</v>
      </c>
      <c r="AU13" s="33">
        <f>'BS (Before Changes)'!AU13-'BS 3Q2022'!AU13</f>
        <v>8.5</v>
      </c>
      <c r="AV13" s="17">
        <f>'BS (Before Changes)'!AV13-'BS 3Q2022'!AV13</f>
        <v>8.5</v>
      </c>
    </row>
    <row r="14" spans="1:48" s="8" customFormat="1" outlineLevel="1" x14ac:dyDescent="0.3">
      <c r="A14" s="161"/>
      <c r="B14" s="200" t="s">
        <v>220</v>
      </c>
      <c r="C14" s="206"/>
      <c r="D14" s="16">
        <f>'BS (Before Changes)'!D14-'BS 3Q2022'!D14</f>
        <v>0</v>
      </c>
      <c r="E14" s="16">
        <f>'BS (Before Changes)'!E14-'BS 3Q2022'!E14</f>
        <v>0</v>
      </c>
      <c r="F14" s="16">
        <f>'BS (Before Changes)'!F14-'BS 3Q2022'!F14</f>
        <v>0</v>
      </c>
      <c r="G14" s="16">
        <f>'BS (Before Changes)'!G14-'BS 3Q2022'!G14</f>
        <v>0</v>
      </c>
      <c r="H14" s="17">
        <f>'BS (Before Changes)'!H14-'BS 3Q2022'!H14</f>
        <v>0</v>
      </c>
      <c r="I14" s="16">
        <f>'BS (Before Changes)'!I14-'BS 3Q2022'!I14</f>
        <v>0</v>
      </c>
      <c r="J14" s="16">
        <f>'BS (Before Changes)'!J14-'BS 3Q2022'!J14</f>
        <v>0</v>
      </c>
      <c r="K14" s="16">
        <f>'BS (Before Changes)'!K14-'BS 3Q2022'!K14</f>
        <v>0</v>
      </c>
      <c r="L14" s="101">
        <f>'BS (Before Changes)'!L14-'BS 3Q2022'!L14</f>
        <v>0</v>
      </c>
      <c r="M14" s="17">
        <f>'BS (Before Changes)'!M14-'BS 3Q2022'!M14</f>
        <v>0</v>
      </c>
      <c r="N14" s="16">
        <f>'BS (Before Changes)'!N14-'BS 3Q2022'!N14</f>
        <v>0</v>
      </c>
      <c r="O14" s="16">
        <f>'BS (Before Changes)'!O14-'BS 3Q2022'!O14</f>
        <v>0</v>
      </c>
      <c r="P14" s="16">
        <f>'BS (Before Changes)'!P14-'BS 3Q2022'!P14</f>
        <v>0</v>
      </c>
      <c r="Q14" s="101">
        <f>'BS (Before Changes)'!Q14-'BS 3Q2022'!Q14</f>
        <v>0</v>
      </c>
      <c r="R14" s="17">
        <f>'BS (Before Changes)'!R14-'BS 3Q2022'!R14</f>
        <v>0</v>
      </c>
      <c r="S14" s="16">
        <f>'BS (Before Changes)'!S14-'BS 3Q2022'!S14</f>
        <v>0</v>
      </c>
      <c r="T14" s="16">
        <f>'BS (Before Changes)'!T14-'BS 3Q2022'!T14</f>
        <v>0</v>
      </c>
      <c r="U14" s="101">
        <f>'BS (Before Changes)'!U14-'BS 3Q2022'!U14</f>
        <v>0</v>
      </c>
      <c r="V14" s="16">
        <f>'BS (Before Changes)'!V14-'BS 3Q2022'!V14</f>
        <v>53.360547400304313</v>
      </c>
      <c r="W14" s="17">
        <f>'BS (Before Changes)'!W14-'BS 3Q2022'!W14</f>
        <v>53.360547400304313</v>
      </c>
      <c r="X14" s="16">
        <f>'BS (Before Changes)'!X14-'BS 3Q2022'!X14</f>
        <v>-3.8366335149657971</v>
      </c>
      <c r="Y14" s="16">
        <f>'BS (Before Changes)'!Y14-'BS 3Q2022'!Y14</f>
        <v>-53.224914090785205</v>
      </c>
      <c r="Z14" s="16">
        <f>'BS (Before Changes)'!Z14-'BS 3Q2022'!Z14</f>
        <v>-102.34172917824344</v>
      </c>
      <c r="AA14" s="16">
        <f>'BS (Before Changes)'!AA14-'BS 3Q2022'!AA14</f>
        <v>-139.62763900869413</v>
      </c>
      <c r="AB14" s="17">
        <f>'BS (Before Changes)'!AB14-'BS 3Q2022'!AB14</f>
        <v>-139.62763900869413</v>
      </c>
      <c r="AC14" s="16">
        <f>'BS (Before Changes)'!AC14-'BS 3Q2022'!AC14</f>
        <v>-119.04903085203841</v>
      </c>
      <c r="AD14" s="16">
        <f>'BS (Before Changes)'!AD14-'BS 3Q2022'!AD14</f>
        <v>-98.214078037643958</v>
      </c>
      <c r="AE14" s="16">
        <f>'BS (Before Changes)'!AE14-'BS 3Q2022'!AE14</f>
        <v>-77.707653921709607</v>
      </c>
      <c r="AF14" s="16">
        <f>'BS (Before Changes)'!AF14-'BS 3Q2022'!AF14</f>
        <v>-51.504750570406031</v>
      </c>
      <c r="AG14" s="17">
        <f>'BS (Before Changes)'!AG14-'BS 3Q2022'!AG14</f>
        <v>-51.504750570406031</v>
      </c>
      <c r="AH14" s="16">
        <f>'BS (Before Changes)'!AH14-'BS 3Q2022'!AH14</f>
        <v>-33.195834037749592</v>
      </c>
      <c r="AI14" s="16">
        <f>'BS (Before Changes)'!AI14-'BS 3Q2022'!AI14</f>
        <v>-15.291858198210321</v>
      </c>
      <c r="AJ14" s="16">
        <f>'BS (Before Changes)'!AJ14-'BS 3Q2022'!AJ14</f>
        <v>1.7493206278886646</v>
      </c>
      <c r="AK14" s="16">
        <f>'BS (Before Changes)'!AK14-'BS 3Q2022'!AK14</f>
        <v>24.024354612694879</v>
      </c>
      <c r="AL14" s="17">
        <f>'BS (Before Changes)'!AL14-'BS 3Q2022'!AL14</f>
        <v>24.024354612694879</v>
      </c>
      <c r="AM14" s="16">
        <f>'BS (Before Changes)'!AM14-'BS 3Q2022'!AM14</f>
        <v>39.157609589954518</v>
      </c>
      <c r="AN14" s="16">
        <f>'BS (Before Changes)'!AN14-'BS 3Q2022'!AN14</f>
        <v>53.92605387886033</v>
      </c>
      <c r="AO14" s="16">
        <f>'BS (Before Changes)'!AO14-'BS 3Q2022'!AO14</f>
        <v>67.933760624790011</v>
      </c>
      <c r="AP14" s="16">
        <f>'BS (Before Changes)'!AP14-'BS 3Q2022'!AP14</f>
        <v>87.662781161601742</v>
      </c>
      <c r="AQ14" s="17">
        <f>'BS (Before Changes)'!AQ14-'BS 3Q2022'!AQ14</f>
        <v>87.662781161601742</v>
      </c>
      <c r="AR14" s="16">
        <f>'BS (Before Changes)'!AR14-'BS 3Q2022'!AR14</f>
        <v>100.35043465742638</v>
      </c>
      <c r="AS14" s="16">
        <f>'BS (Before Changes)'!AS14-'BS 3Q2022'!AS14</f>
        <v>112.77928158610484</v>
      </c>
      <c r="AT14" s="16">
        <f>'BS (Before Changes)'!AT14-'BS 3Q2022'!AT14</f>
        <v>124.5501480477742</v>
      </c>
      <c r="AU14" s="16">
        <f>'BS (Before Changes)'!AU14-'BS 3Q2022'!AU14</f>
        <v>142.29156556547059</v>
      </c>
      <c r="AV14" s="17">
        <f>'BS (Before Changes)'!AV14-'BS 3Q2022'!AV14</f>
        <v>142.29156556547059</v>
      </c>
    </row>
    <row r="15" spans="1:48" s="8" customFormat="1" outlineLevel="1" x14ac:dyDescent="0.3">
      <c r="A15" s="161"/>
      <c r="B15" s="200" t="s">
        <v>221</v>
      </c>
      <c r="C15" s="206"/>
      <c r="D15" s="16">
        <f>'BS (Before Changes)'!D15-'BS 3Q2022'!D15</f>
        <v>0</v>
      </c>
      <c r="E15" s="16">
        <f>'BS (Before Changes)'!E15-'BS 3Q2022'!E15</f>
        <v>0</v>
      </c>
      <c r="F15" s="16">
        <f>'BS (Before Changes)'!F15-'BS 3Q2022'!F15</f>
        <v>0</v>
      </c>
      <c r="G15" s="16">
        <f>'BS (Before Changes)'!G15-'BS 3Q2022'!G15</f>
        <v>0</v>
      </c>
      <c r="H15" s="17">
        <f>'BS (Before Changes)'!H15-'BS 3Q2022'!H15</f>
        <v>0</v>
      </c>
      <c r="I15" s="16">
        <f>'BS (Before Changes)'!I15-'BS 3Q2022'!I15</f>
        <v>0</v>
      </c>
      <c r="J15" s="16">
        <f>'BS (Before Changes)'!J15-'BS 3Q2022'!J15</f>
        <v>0</v>
      </c>
      <c r="K15" s="16">
        <f>'BS (Before Changes)'!K15-'BS 3Q2022'!K15</f>
        <v>0</v>
      </c>
      <c r="L15" s="101">
        <f>'BS (Before Changes)'!L15-'BS 3Q2022'!L15</f>
        <v>0</v>
      </c>
      <c r="M15" s="17">
        <f>'BS (Before Changes)'!M15-'BS 3Q2022'!M15</f>
        <v>0</v>
      </c>
      <c r="N15" s="16">
        <f>'BS (Before Changes)'!N15-'BS 3Q2022'!N15</f>
        <v>0</v>
      </c>
      <c r="O15" s="16">
        <f>'BS (Before Changes)'!O15-'BS 3Q2022'!O15</f>
        <v>0</v>
      </c>
      <c r="P15" s="16">
        <f>'BS (Before Changes)'!P15-'BS 3Q2022'!P15</f>
        <v>0</v>
      </c>
      <c r="Q15" s="101">
        <f>'BS (Before Changes)'!Q15-'BS 3Q2022'!Q15</f>
        <v>0</v>
      </c>
      <c r="R15" s="17">
        <f>'BS (Before Changes)'!R15-'BS 3Q2022'!R15</f>
        <v>0</v>
      </c>
      <c r="S15" s="16">
        <f>'BS (Before Changes)'!S15-'BS 3Q2022'!S15</f>
        <v>0</v>
      </c>
      <c r="T15" s="16">
        <f>'BS (Before Changes)'!T15-'BS 3Q2022'!T15</f>
        <v>0</v>
      </c>
      <c r="U15" s="101">
        <f>'BS (Before Changes)'!U15-'BS 3Q2022'!U15</f>
        <v>0</v>
      </c>
      <c r="V15" s="33">
        <f>'BS (Before Changes)'!V15-'BS 3Q2022'!V15</f>
        <v>10.648400000000038</v>
      </c>
      <c r="W15" s="17">
        <f>'BS (Before Changes)'!W15-'BS 3Q2022'!W15</f>
        <v>10.648400000000038</v>
      </c>
      <c r="X15" s="33">
        <f>'BS (Before Changes)'!X15-'BS 3Q2022'!X15</f>
        <v>10.605806399999892</v>
      </c>
      <c r="Y15" s="33">
        <f>'BS (Before Changes)'!Y15-'BS 3Q2022'!Y15</f>
        <v>10.56338317439986</v>
      </c>
      <c r="Z15" s="33">
        <f>'BS (Before Changes)'!Z15-'BS 3Q2022'!Z15</f>
        <v>10.521129641701918</v>
      </c>
      <c r="AA15" s="33">
        <f>'BS (Before Changes)'!AA15-'BS 3Q2022'!AA15</f>
        <v>10.479045123134711</v>
      </c>
      <c r="AB15" s="17">
        <f>'BS (Before Changes)'!AB15-'BS 3Q2022'!AB15</f>
        <v>10.479045123134711</v>
      </c>
      <c r="AC15" s="33">
        <f>'BS (Before Changes)'!AC15-'BS 3Q2022'!AC15</f>
        <v>10.43712894264263</v>
      </c>
      <c r="AD15" s="33">
        <f>'BS (Before Changes)'!AD15-'BS 3Q2022'!AD15</f>
        <v>10.39538042687218</v>
      </c>
      <c r="AE15" s="33">
        <f>'BS (Before Changes)'!AE15-'BS 3Q2022'!AE15</f>
        <v>10.353798905164695</v>
      </c>
      <c r="AF15" s="33">
        <f>'BS (Before Changes)'!AF15-'BS 3Q2022'!AF15</f>
        <v>10.31238370954452</v>
      </c>
      <c r="AG15" s="17">
        <f>'BS (Before Changes)'!AG15-'BS 3Q2022'!AG15</f>
        <v>10.31238370954452</v>
      </c>
      <c r="AH15" s="33">
        <f>'BS (Before Changes)'!AH15-'BS 3Q2022'!AH15</f>
        <v>10.271134174706276</v>
      </c>
      <c r="AI15" s="33">
        <f>'BS (Before Changes)'!AI15-'BS 3Q2022'!AI15</f>
        <v>10.230049638007586</v>
      </c>
      <c r="AJ15" s="33">
        <f>'BS (Before Changes)'!AJ15-'BS 3Q2022'!AJ15</f>
        <v>10.189129439455428</v>
      </c>
      <c r="AK15" s="33">
        <f>'BS (Before Changes)'!AK15-'BS 3Q2022'!AK15</f>
        <v>10.148372921697955</v>
      </c>
      <c r="AL15" s="17">
        <f>'BS (Before Changes)'!AL15-'BS 3Q2022'!AL15</f>
        <v>10.148372921697955</v>
      </c>
      <c r="AM15" s="33">
        <f>'BS (Before Changes)'!AM15-'BS 3Q2022'!AM15</f>
        <v>10.107779430010851</v>
      </c>
      <c r="AN15" s="33">
        <f>'BS (Before Changes)'!AN15-'BS 3Q2022'!AN15</f>
        <v>10.067348312290051</v>
      </c>
      <c r="AO15" s="33">
        <f>'BS (Before Changes)'!AO15-'BS 3Q2022'!AO15</f>
        <v>10.027078919040832</v>
      </c>
      <c r="AP15" s="33">
        <f>'BS (Before Changes)'!AP15-'BS 3Q2022'!AP15</f>
        <v>9.98697060336508</v>
      </c>
      <c r="AQ15" s="17">
        <f>'BS (Before Changes)'!AQ15-'BS 3Q2022'!AQ15</f>
        <v>9.98697060336508</v>
      </c>
      <c r="AR15" s="33">
        <f>'BS (Before Changes)'!AR15-'BS 3Q2022'!AR15</f>
        <v>9.9470227209521909</v>
      </c>
      <c r="AS15" s="33">
        <f>'BS (Before Changes)'!AS15-'BS 3Q2022'!AS15</f>
        <v>9.9072346300690697</v>
      </c>
      <c r="AT15" s="33">
        <f>'BS (Before Changes)'!AT15-'BS 3Q2022'!AT15</f>
        <v>9.8676056915483059</v>
      </c>
      <c r="AU15" s="33">
        <f>'BS (Before Changes)'!AU15-'BS 3Q2022'!AU15</f>
        <v>9.8281352687827166</v>
      </c>
      <c r="AV15" s="17">
        <f>'BS (Before Changes)'!AV15-'BS 3Q2022'!AV15</f>
        <v>9.8281352687827166</v>
      </c>
    </row>
    <row r="16" spans="1:48" s="8" customFormat="1" outlineLevel="1" x14ac:dyDescent="0.3">
      <c r="A16" s="161"/>
      <c r="B16" s="200" t="s">
        <v>222</v>
      </c>
      <c r="C16" s="206"/>
      <c r="D16" s="16">
        <f>'BS (Before Changes)'!D16-'BS 3Q2022'!D16</f>
        <v>0</v>
      </c>
      <c r="E16" s="16">
        <f>'BS (Before Changes)'!E16-'BS 3Q2022'!E16</f>
        <v>0</v>
      </c>
      <c r="F16" s="16">
        <f>'BS (Before Changes)'!F16-'BS 3Q2022'!F16</f>
        <v>0</v>
      </c>
      <c r="G16" s="16">
        <f>'BS (Before Changes)'!G16-'BS 3Q2022'!G16</f>
        <v>0</v>
      </c>
      <c r="H16" s="17">
        <f>'BS (Before Changes)'!H16-'BS 3Q2022'!H16</f>
        <v>0</v>
      </c>
      <c r="I16" s="16">
        <f>'BS (Before Changes)'!I16-'BS 3Q2022'!I16</f>
        <v>0</v>
      </c>
      <c r="J16" s="16">
        <f>'BS (Before Changes)'!J16-'BS 3Q2022'!J16</f>
        <v>0</v>
      </c>
      <c r="K16" s="16">
        <f>'BS (Before Changes)'!K16-'BS 3Q2022'!K16</f>
        <v>0</v>
      </c>
      <c r="L16" s="101">
        <f>'BS (Before Changes)'!L16-'BS 3Q2022'!L16</f>
        <v>0</v>
      </c>
      <c r="M16" s="17">
        <f>'BS (Before Changes)'!M16-'BS 3Q2022'!M16</f>
        <v>0</v>
      </c>
      <c r="N16" s="16">
        <f>'BS (Before Changes)'!N16-'BS 3Q2022'!N16</f>
        <v>0</v>
      </c>
      <c r="O16" s="16">
        <f>'BS (Before Changes)'!O16-'BS 3Q2022'!O16</f>
        <v>0</v>
      </c>
      <c r="P16" s="16">
        <f>'BS (Before Changes)'!P16-'BS 3Q2022'!P16</f>
        <v>0</v>
      </c>
      <c r="Q16" s="101">
        <f>'BS (Before Changes)'!Q16-'BS 3Q2022'!Q16</f>
        <v>0</v>
      </c>
      <c r="R16" s="17">
        <f>'BS (Before Changes)'!R16-'BS 3Q2022'!R16</f>
        <v>0</v>
      </c>
      <c r="S16" s="16">
        <f>'BS (Before Changes)'!S16-'BS 3Q2022'!S16</f>
        <v>0</v>
      </c>
      <c r="T16" s="16">
        <f>'BS (Before Changes)'!T16-'BS 3Q2022'!T16</f>
        <v>0</v>
      </c>
      <c r="U16" s="101">
        <f>'BS (Before Changes)'!U16-'BS 3Q2022'!U16</f>
        <v>0</v>
      </c>
      <c r="V16" s="101">
        <f>'BS (Before Changes)'!V16-'BS 3Q2022'!V16</f>
        <v>17.738911444851738</v>
      </c>
      <c r="W16" s="169">
        <f>'BS (Before Changes)'!W16-'BS 3Q2022'!W16</f>
        <v>17.738911444851738</v>
      </c>
      <c r="X16" s="101">
        <f>'BS (Before Changes)'!X16-'BS 3Q2022'!X16</f>
        <v>-13.294031550710315</v>
      </c>
      <c r="Y16" s="101">
        <f>'BS (Before Changes)'!Y16-'BS 3Q2022'!Y16</f>
        <v>-8.6460324712081729</v>
      </c>
      <c r="Z16" s="101">
        <f>'BS (Before Changes)'!Z16-'BS 3Q2022'!Z16</f>
        <v>-5.6147386382751847</v>
      </c>
      <c r="AA16" s="101">
        <f>'BS (Before Changes)'!AA16-'BS 3Q2022'!AA16</f>
        <v>-1.9860234842249156</v>
      </c>
      <c r="AB16" s="169">
        <f>'BS (Before Changes)'!AB16-'BS 3Q2022'!AB16</f>
        <v>-1.9860234842249156</v>
      </c>
      <c r="AC16" s="101">
        <f>'BS (Before Changes)'!AC16-'BS 3Q2022'!AC16</f>
        <v>-10.367750556179089</v>
      </c>
      <c r="AD16" s="101">
        <f>'BS (Before Changes)'!AD16-'BS 3Q2022'!AD16</f>
        <v>-6.9792682292954851</v>
      </c>
      <c r="AE16" s="101">
        <f>'BS (Before Changes)'!AE16-'BS 3Q2022'!AE16</f>
        <v>-6.1760554559143657</v>
      </c>
      <c r="AF16" s="101">
        <f>'BS (Before Changes)'!AF16-'BS 3Q2022'!AF16</f>
        <v>-5.9374549463625499</v>
      </c>
      <c r="AG16" s="169">
        <f>'BS (Before Changes)'!AG16-'BS 3Q2022'!AG16</f>
        <v>-5.9374549463625499</v>
      </c>
      <c r="AH16" s="101">
        <f>'BS (Before Changes)'!AH16-'BS 3Q2022'!AH16</f>
        <v>-10.581567126328537</v>
      </c>
      <c r="AI16" s="101">
        <f>'BS (Before Changes)'!AI16-'BS 3Q2022'!AI16</f>
        <v>-7.7851021739386397</v>
      </c>
      <c r="AJ16" s="101">
        <f>'BS (Before Changes)'!AJ16-'BS 3Q2022'!AJ16</f>
        <v>-7.5691820341019138</v>
      </c>
      <c r="AK16" s="101">
        <f>'BS (Before Changes)'!AK16-'BS 3Q2022'!AK16</f>
        <v>-7.5048896696328029</v>
      </c>
      <c r="AL16" s="169">
        <f>'BS (Before Changes)'!AL16-'BS 3Q2022'!AL16</f>
        <v>-7.5048896696328029</v>
      </c>
      <c r="AM16" s="101">
        <f>'BS (Before Changes)'!AM16-'BS 3Q2022'!AM16</f>
        <v>-11.835937725190888</v>
      </c>
      <c r="AN16" s="101">
        <f>'BS (Before Changes)'!AN16-'BS 3Q2022'!AN16</f>
        <v>-9.0673825454266535</v>
      </c>
      <c r="AO16" s="101">
        <f>'BS (Before Changes)'!AO16-'BS 3Q2022'!AO16</f>
        <v>-8.9360960240162512</v>
      </c>
      <c r="AP16" s="101">
        <f>'BS (Before Changes)'!AP16-'BS 3Q2022'!AP16</f>
        <v>-8.8305647543497798</v>
      </c>
      <c r="AQ16" s="169">
        <f>'BS (Before Changes)'!AQ16-'BS 3Q2022'!AQ16</f>
        <v>-8.8305647543497798</v>
      </c>
      <c r="AR16" s="101">
        <f>'BS (Before Changes)'!AR16-'BS 3Q2022'!AR16</f>
        <v>-13.423950371237424</v>
      </c>
      <c r="AS16" s="101">
        <f>'BS (Before Changes)'!AS16-'BS 3Q2022'!AS16</f>
        <v>-10.483496313136584</v>
      </c>
      <c r="AT16" s="101">
        <f>'BS (Before Changes)'!AT16-'BS 3Q2022'!AT16</f>
        <v>-10.348172922818094</v>
      </c>
      <c r="AU16" s="101">
        <f>'BS (Before Changes)'!AU16-'BS 3Q2022'!AU16</f>
        <v>-10.216728614392196</v>
      </c>
      <c r="AV16" s="17">
        <f>'BS (Before Changes)'!AV16-'BS 3Q2022'!AV16</f>
        <v>-10.216728614392196</v>
      </c>
    </row>
    <row r="17" spans="1:48" s="8" customFormat="1" outlineLevel="1" x14ac:dyDescent="0.3">
      <c r="A17" s="161"/>
      <c r="B17" s="200" t="s">
        <v>223</v>
      </c>
      <c r="C17" s="206"/>
      <c r="D17" s="16">
        <f>'BS (Before Changes)'!D17-'BS 3Q2022'!D17</f>
        <v>0</v>
      </c>
      <c r="E17" s="16">
        <f>'BS (Before Changes)'!E17-'BS 3Q2022'!E17</f>
        <v>0</v>
      </c>
      <c r="F17" s="16">
        <f>'BS (Before Changes)'!F17-'BS 3Q2022'!F17</f>
        <v>0</v>
      </c>
      <c r="G17" s="16">
        <f>'BS (Before Changes)'!G17-'BS 3Q2022'!G17</f>
        <v>0</v>
      </c>
      <c r="H17" s="17">
        <f>'BS (Before Changes)'!H17-'BS 3Q2022'!H17</f>
        <v>0</v>
      </c>
      <c r="I17" s="16">
        <f>'BS (Before Changes)'!I17-'BS 3Q2022'!I17</f>
        <v>0</v>
      </c>
      <c r="J17" s="16">
        <f>'BS (Before Changes)'!J17-'BS 3Q2022'!J17</f>
        <v>0</v>
      </c>
      <c r="K17" s="16">
        <f>'BS (Before Changes)'!K17-'BS 3Q2022'!K17</f>
        <v>0</v>
      </c>
      <c r="L17" s="101">
        <f>'BS (Before Changes)'!L17-'BS 3Q2022'!L17</f>
        <v>0</v>
      </c>
      <c r="M17" s="17">
        <f>'BS (Before Changes)'!M17-'BS 3Q2022'!M17</f>
        <v>0</v>
      </c>
      <c r="N17" s="16">
        <f>'BS (Before Changes)'!N17-'BS 3Q2022'!N17</f>
        <v>0</v>
      </c>
      <c r="O17" s="16">
        <f>'BS (Before Changes)'!O17-'BS 3Q2022'!O17</f>
        <v>0</v>
      </c>
      <c r="P17" s="16">
        <f>'BS (Before Changes)'!P17-'BS 3Q2022'!P17</f>
        <v>0</v>
      </c>
      <c r="Q17" s="101">
        <f>'BS (Before Changes)'!Q17-'BS 3Q2022'!Q17</f>
        <v>0</v>
      </c>
      <c r="R17" s="17">
        <f>'BS (Before Changes)'!R17-'BS 3Q2022'!R17</f>
        <v>0</v>
      </c>
      <c r="S17" s="16">
        <f>'BS (Before Changes)'!S17-'BS 3Q2022'!S17</f>
        <v>0</v>
      </c>
      <c r="T17" s="16">
        <f>'BS (Before Changes)'!T17-'BS 3Q2022'!T17</f>
        <v>0</v>
      </c>
      <c r="U17" s="101">
        <f>'BS (Before Changes)'!U17-'BS 3Q2022'!U17</f>
        <v>0</v>
      </c>
      <c r="V17" s="33">
        <f>'BS (Before Changes)'!V17-'BS 3Q2022'!V17</f>
        <v>-83.056643919166049</v>
      </c>
      <c r="W17" s="17">
        <f>'BS (Before Changes)'!W17-'BS 3Q2022'!W17</f>
        <v>-83.056643919166049</v>
      </c>
      <c r="X17" s="33">
        <f>'BS (Before Changes)'!X17-'BS 3Q2022'!X17</f>
        <v>-86.659550413228772</v>
      </c>
      <c r="Y17" s="33">
        <f>'BS (Before Changes)'!Y17-'BS 3Q2022'!Y17</f>
        <v>-85.669539996441358</v>
      </c>
      <c r="Z17" s="33">
        <f>'BS (Before Changes)'!Z17-'BS 3Q2022'!Z17</f>
        <v>-86.900086385080385</v>
      </c>
      <c r="AA17" s="33">
        <f>'BS (Before Changes)'!AA17-'BS 3Q2022'!AA17</f>
        <v>-85.938543494023293</v>
      </c>
      <c r="AB17" s="17">
        <f>'BS (Before Changes)'!AB17-'BS 3Q2022'!AB17</f>
        <v>-85.938543494023293</v>
      </c>
      <c r="AC17" s="33">
        <f>'BS (Before Changes)'!AC17-'BS 3Q2022'!AC17</f>
        <v>-89.596086372661375</v>
      </c>
      <c r="AD17" s="33">
        <f>'BS (Before Changes)'!AD17-'BS 3Q2022'!AD17</f>
        <v>-88.665099994366415</v>
      </c>
      <c r="AE17" s="33">
        <f>'BS (Before Changes)'!AE17-'BS 3Q2022'!AE17</f>
        <v>-89.855877431792237</v>
      </c>
      <c r="AF17" s="33">
        <f>'BS (Before Changes)'!AF17-'BS 3Q2022'!AF17</f>
        <v>-89.125938810051593</v>
      </c>
      <c r="AG17" s="17">
        <f>'BS (Before Changes)'!AG17-'BS 3Q2022'!AG17</f>
        <v>-89.125938810051593</v>
      </c>
      <c r="AH17" s="33">
        <f>'BS (Before Changes)'!AH17-'BS 3Q2022'!AH17</f>
        <v>-93.323690293048685</v>
      </c>
      <c r="AI17" s="33">
        <f>'BS (Before Changes)'!AI17-'BS 3Q2022'!AI17</f>
        <v>-92.504421359364073</v>
      </c>
      <c r="AJ17" s="33">
        <f>'BS (Before Changes)'!AJ17-'BS 3Q2022'!AJ17</f>
        <v>-95.136927786666547</v>
      </c>
      <c r="AK17" s="33">
        <f>'BS (Before Changes)'!AK17-'BS 3Q2022'!AK17</f>
        <v>-84.400839581812306</v>
      </c>
      <c r="AL17" s="17">
        <f>'BS (Before Changes)'!AL17-'BS 3Q2022'!AL17</f>
        <v>-84.400839581812306</v>
      </c>
      <c r="AM17" s="33">
        <f>'BS (Before Changes)'!AM17-'BS 3Q2022'!AM17</f>
        <v>-88.904938302957476</v>
      </c>
      <c r="AN17" s="33">
        <f>'BS (Before Changes)'!AN17-'BS 3Q2022'!AN17</f>
        <v>-87.785855312557374</v>
      </c>
      <c r="AO17" s="33">
        <f>'BS (Before Changes)'!AO17-'BS 3Q2022'!AO17</f>
        <v>-89.810318889070686</v>
      </c>
      <c r="AP17" s="33">
        <f>'BS (Before Changes)'!AP17-'BS 3Q2022'!AP17</f>
        <v>-89.181126458294898</v>
      </c>
      <c r="AQ17" s="17">
        <f>'BS (Before Changes)'!AQ17-'BS 3Q2022'!AQ17</f>
        <v>-89.181126458294898</v>
      </c>
      <c r="AR17" s="33">
        <f>'BS (Before Changes)'!AR17-'BS 3Q2022'!AR17</f>
        <v>-94.056938670875638</v>
      </c>
      <c r="AS17" s="33">
        <f>'BS (Before Changes)'!AS17-'BS 3Q2022'!AS17</f>
        <v>-93.133298356959699</v>
      </c>
      <c r="AT17" s="33">
        <f>'BS (Before Changes)'!AT17-'BS 3Q2022'!AT17</f>
        <v>-95.500006970827826</v>
      </c>
      <c r="AU17" s="33">
        <f>'BS (Before Changes)'!AU17-'BS 3Q2022'!AU17</f>
        <v>-95.1069758796408</v>
      </c>
      <c r="AV17" s="17">
        <f>'BS (Before Changes)'!AV17-'BS 3Q2022'!AV17</f>
        <v>-95.1069758796408</v>
      </c>
    </row>
    <row r="18" spans="1:48" s="8" customFormat="1" outlineLevel="1" x14ac:dyDescent="0.3">
      <c r="A18" s="161"/>
      <c r="B18" s="200" t="s">
        <v>224</v>
      </c>
      <c r="C18" s="206"/>
      <c r="D18" s="16">
        <f>'BS (Before Changes)'!D18-'BS 3Q2022'!D18</f>
        <v>0</v>
      </c>
      <c r="E18" s="16">
        <f>'BS (Before Changes)'!E18-'BS 3Q2022'!E18</f>
        <v>0</v>
      </c>
      <c r="F18" s="16">
        <f>'BS (Before Changes)'!F18-'BS 3Q2022'!F18</f>
        <v>0</v>
      </c>
      <c r="G18" s="16">
        <f>'BS (Before Changes)'!G18-'BS 3Q2022'!G18</f>
        <v>0</v>
      </c>
      <c r="H18" s="17">
        <f>'BS (Before Changes)'!H18-'BS 3Q2022'!H18</f>
        <v>0</v>
      </c>
      <c r="I18" s="16">
        <f>'BS (Before Changes)'!I18-'BS 3Q2022'!I18</f>
        <v>0</v>
      </c>
      <c r="J18" s="16">
        <f>'BS (Before Changes)'!J18-'BS 3Q2022'!J18</f>
        <v>0</v>
      </c>
      <c r="K18" s="16">
        <f>'BS (Before Changes)'!K18-'BS 3Q2022'!K18</f>
        <v>0</v>
      </c>
      <c r="L18" s="101">
        <f>'BS (Before Changes)'!L18-'BS 3Q2022'!L18</f>
        <v>0</v>
      </c>
      <c r="M18" s="17">
        <f>'BS (Before Changes)'!M18-'BS 3Q2022'!M18</f>
        <v>0</v>
      </c>
      <c r="N18" s="16">
        <f>'BS (Before Changes)'!N18-'BS 3Q2022'!N18</f>
        <v>0</v>
      </c>
      <c r="O18" s="16">
        <f>'BS (Before Changes)'!O18-'BS 3Q2022'!O18</f>
        <v>0</v>
      </c>
      <c r="P18" s="16">
        <f>'BS (Before Changes)'!P18-'BS 3Q2022'!P18</f>
        <v>0</v>
      </c>
      <c r="Q18" s="101">
        <f>'BS (Before Changes)'!Q18-'BS 3Q2022'!Q18</f>
        <v>0</v>
      </c>
      <c r="R18" s="17">
        <f>'BS (Before Changes)'!R18-'BS 3Q2022'!R18</f>
        <v>0</v>
      </c>
      <c r="S18" s="16">
        <f>'BS (Before Changes)'!S18-'BS 3Q2022'!S18</f>
        <v>0</v>
      </c>
      <c r="T18" s="16">
        <f>'BS (Before Changes)'!T18-'BS 3Q2022'!T18</f>
        <v>0</v>
      </c>
      <c r="U18" s="101">
        <f>'BS (Before Changes)'!U18-'BS 3Q2022'!U18</f>
        <v>0</v>
      </c>
      <c r="V18" s="33">
        <f>'BS (Before Changes)'!V18-'BS 3Q2022'!V18</f>
        <v>-31.228000000000009</v>
      </c>
      <c r="W18" s="17">
        <f>'BS (Before Changes)'!W18-'BS 3Q2022'!W18</f>
        <v>-31.228000000000009</v>
      </c>
      <c r="X18" s="33">
        <f>'BS (Before Changes)'!X18-'BS 3Q2022'!X18</f>
        <v>-28.729760000000027</v>
      </c>
      <c r="Y18" s="33">
        <f>'BS (Before Changes)'!Y18-'BS 3Q2022'!Y18</f>
        <v>-26.431379200000009</v>
      </c>
      <c r="Z18" s="33">
        <f>'BS (Before Changes)'!Z18-'BS 3Q2022'!Z18</f>
        <v>-24.316868864000014</v>
      </c>
      <c r="AA18" s="33">
        <f>'BS (Before Changes)'!AA18-'BS 3Q2022'!AA18</f>
        <v>-22.371519354880007</v>
      </c>
      <c r="AB18" s="17">
        <f>'BS (Before Changes)'!AB18-'BS 3Q2022'!AB18</f>
        <v>-22.371519354880007</v>
      </c>
      <c r="AC18" s="33">
        <f>'BS (Before Changes)'!AC18-'BS 3Q2022'!AC18</f>
        <v>-20.581797806489618</v>
      </c>
      <c r="AD18" s="33">
        <f>'BS (Before Changes)'!AD18-'BS 3Q2022'!AD18</f>
        <v>-18.935253981970448</v>
      </c>
      <c r="AE18" s="33">
        <f>'BS (Before Changes)'!AE18-'BS 3Q2022'!AE18</f>
        <v>-17.420433663412808</v>
      </c>
      <c r="AF18" s="33">
        <f>'BS (Before Changes)'!AF18-'BS 3Q2022'!AF18</f>
        <v>-16.026798970339783</v>
      </c>
      <c r="AG18" s="17">
        <f>'BS (Before Changes)'!AG18-'BS 3Q2022'!AG18</f>
        <v>-16.026798970339783</v>
      </c>
      <c r="AH18" s="33">
        <f>'BS (Before Changes)'!AH18-'BS 3Q2022'!AH18</f>
        <v>-14.744655052712602</v>
      </c>
      <c r="AI18" s="33">
        <f>'BS (Before Changes)'!AI18-'BS 3Q2022'!AI18</f>
        <v>-13.56508264849559</v>
      </c>
      <c r="AJ18" s="33">
        <f>'BS (Before Changes)'!AJ18-'BS 3Q2022'!AJ18</f>
        <v>-12.479876036615948</v>
      </c>
      <c r="AK18" s="33">
        <f>'BS (Before Changes)'!AK18-'BS 3Q2022'!AK18</f>
        <v>-11.481485953686665</v>
      </c>
      <c r="AL18" s="17">
        <f>'BS (Before Changes)'!AL18-'BS 3Q2022'!AL18</f>
        <v>-11.481485953686665</v>
      </c>
      <c r="AM18" s="33">
        <f>'BS (Before Changes)'!AM18-'BS 3Q2022'!AM18</f>
        <v>-10.562967077391733</v>
      </c>
      <c r="AN18" s="33">
        <f>'BS (Before Changes)'!AN18-'BS 3Q2022'!AN18</f>
        <v>-9.7179297112003908</v>
      </c>
      <c r="AO18" s="33">
        <f>'BS (Before Changes)'!AO18-'BS 3Q2022'!AO18</f>
        <v>-8.9404953343043587</v>
      </c>
      <c r="AP18" s="33">
        <f>'BS (Before Changes)'!AP18-'BS 3Q2022'!AP18</f>
        <v>-8.2252557075600095</v>
      </c>
      <c r="AQ18" s="17">
        <f>'BS (Before Changes)'!AQ18-'BS 3Q2022'!AQ18</f>
        <v>-8.2252557075600095</v>
      </c>
      <c r="AR18" s="33">
        <f>'BS (Before Changes)'!AR18-'BS 3Q2022'!AR18</f>
        <v>-7.567235250955207</v>
      </c>
      <c r="AS18" s="33">
        <f>'BS (Before Changes)'!AS18-'BS 3Q2022'!AS18</f>
        <v>-6.9618564308787896</v>
      </c>
      <c r="AT18" s="33">
        <f>'BS (Before Changes)'!AT18-'BS 3Q2022'!AT18</f>
        <v>-6.4049079164084866</v>
      </c>
      <c r="AU18" s="33">
        <f>'BS (Before Changes)'!AU18-'BS 3Q2022'!AU18</f>
        <v>-5.8925152830958076</v>
      </c>
      <c r="AV18" s="17">
        <f>'BS (Before Changes)'!AV18-'BS 3Q2022'!AV18</f>
        <v>-5.8925152830958076</v>
      </c>
    </row>
    <row r="19" spans="1:48" ht="16.2" outlineLevel="1" x14ac:dyDescent="0.45">
      <c r="A19" s="161"/>
      <c r="B19" s="486" t="s">
        <v>225</v>
      </c>
      <c r="C19" s="487"/>
      <c r="D19" s="260">
        <f>'BS (Before Changes)'!D19-'BS 3Q2022'!D19</f>
        <v>0</v>
      </c>
      <c r="E19" s="260">
        <f>'BS (Before Changes)'!E19-'BS 3Q2022'!E19</f>
        <v>0</v>
      </c>
      <c r="F19" s="260">
        <f>'BS (Before Changes)'!F19-'BS 3Q2022'!F19</f>
        <v>0</v>
      </c>
      <c r="G19" s="260">
        <f>'BS (Before Changes)'!G19-'BS 3Q2022'!G19</f>
        <v>0</v>
      </c>
      <c r="H19" s="261">
        <f>'BS (Before Changes)'!H19-'BS 3Q2022'!H19</f>
        <v>0</v>
      </c>
      <c r="I19" s="260">
        <f>'BS (Before Changes)'!I19-'BS 3Q2022'!I19</f>
        <v>0</v>
      </c>
      <c r="J19" s="260">
        <f>'BS (Before Changes)'!J19-'BS 3Q2022'!J19</f>
        <v>0</v>
      </c>
      <c r="K19" s="260">
        <f>'BS (Before Changes)'!K19-'BS 3Q2022'!K19</f>
        <v>0</v>
      </c>
      <c r="L19" s="112">
        <f>'BS (Before Changes)'!L19-'BS 3Q2022'!L19</f>
        <v>0</v>
      </c>
      <c r="M19" s="261">
        <f>'BS (Before Changes)'!M19-'BS 3Q2022'!M19</f>
        <v>0</v>
      </c>
      <c r="N19" s="260">
        <f>'BS (Before Changes)'!N19-'BS 3Q2022'!N19</f>
        <v>0</v>
      </c>
      <c r="O19" s="260">
        <f>'BS (Before Changes)'!O19-'BS 3Q2022'!O19</f>
        <v>0</v>
      </c>
      <c r="P19" s="260">
        <f>'BS (Before Changes)'!P19-'BS 3Q2022'!P19</f>
        <v>0</v>
      </c>
      <c r="Q19" s="112">
        <f>'BS (Before Changes)'!Q19-'BS 3Q2022'!Q19</f>
        <v>0</v>
      </c>
      <c r="R19" s="261">
        <f>'BS (Before Changes)'!R19-'BS 3Q2022'!R19</f>
        <v>0</v>
      </c>
      <c r="S19" s="260">
        <f>'BS (Before Changes)'!S19-'BS 3Q2022'!S19</f>
        <v>0</v>
      </c>
      <c r="T19" s="260">
        <f>'BS (Before Changes)'!T19-'BS 3Q2022'!T19</f>
        <v>0</v>
      </c>
      <c r="U19" s="112">
        <f>'BS (Before Changes)'!U19-'BS 3Q2022'!U19</f>
        <v>0</v>
      </c>
      <c r="V19" s="32">
        <f>'BS (Before Changes)'!V19-'BS 3Q2022'!V19</f>
        <v>-167.69999999999982</v>
      </c>
      <c r="W19" s="261">
        <f>'BS (Before Changes)'!W19-'BS 3Q2022'!W19</f>
        <v>-167.69999999999982</v>
      </c>
      <c r="X19" s="32">
        <f>'BS (Before Changes)'!X19-'BS 3Q2022'!X19</f>
        <v>-167.69999999999982</v>
      </c>
      <c r="Y19" s="32">
        <f>'BS (Before Changes)'!Y19-'BS 3Q2022'!Y19</f>
        <v>-167.69999999999982</v>
      </c>
      <c r="Z19" s="32">
        <f>'BS (Before Changes)'!Z19-'BS 3Q2022'!Z19</f>
        <v>-167.69999999999982</v>
      </c>
      <c r="AA19" s="32">
        <f>'BS (Before Changes)'!AA19-'BS 3Q2022'!AA19</f>
        <v>-167.69999999999982</v>
      </c>
      <c r="AB19" s="261">
        <f>'BS (Before Changes)'!AB19-'BS 3Q2022'!AB19</f>
        <v>-167.69999999999982</v>
      </c>
      <c r="AC19" s="32">
        <f>'BS (Before Changes)'!AC19-'BS 3Q2022'!AC19</f>
        <v>-167.69999999999982</v>
      </c>
      <c r="AD19" s="32">
        <f>'BS (Before Changes)'!AD19-'BS 3Q2022'!AD19</f>
        <v>-167.69999999999982</v>
      </c>
      <c r="AE19" s="32">
        <f>'BS (Before Changes)'!AE19-'BS 3Q2022'!AE19</f>
        <v>-167.69999999999982</v>
      </c>
      <c r="AF19" s="32">
        <f>'BS (Before Changes)'!AF19-'BS 3Q2022'!AF19</f>
        <v>-167.69999999999982</v>
      </c>
      <c r="AG19" s="261">
        <f>'BS (Before Changes)'!AG19-'BS 3Q2022'!AG19</f>
        <v>-167.69999999999982</v>
      </c>
      <c r="AH19" s="32">
        <f>'BS (Before Changes)'!AH19-'BS 3Q2022'!AH19</f>
        <v>-167.69999999999982</v>
      </c>
      <c r="AI19" s="32">
        <f>'BS (Before Changes)'!AI19-'BS 3Q2022'!AI19</f>
        <v>-167.69999999999982</v>
      </c>
      <c r="AJ19" s="32">
        <f>'BS (Before Changes)'!AJ19-'BS 3Q2022'!AJ19</f>
        <v>-167.69999999999982</v>
      </c>
      <c r="AK19" s="32">
        <f>'BS (Before Changes)'!AK19-'BS 3Q2022'!AK19</f>
        <v>-167.69999999999982</v>
      </c>
      <c r="AL19" s="261">
        <f>'BS (Before Changes)'!AL19-'BS 3Q2022'!AL19</f>
        <v>-167.69999999999982</v>
      </c>
      <c r="AM19" s="32">
        <f>'BS (Before Changes)'!AM19-'BS 3Q2022'!AM19</f>
        <v>-167.69999999999982</v>
      </c>
      <c r="AN19" s="32">
        <f>'BS (Before Changes)'!AN19-'BS 3Q2022'!AN19</f>
        <v>-167.69999999999982</v>
      </c>
      <c r="AO19" s="32">
        <f>'BS (Before Changes)'!AO19-'BS 3Q2022'!AO19</f>
        <v>-167.69999999999982</v>
      </c>
      <c r="AP19" s="32">
        <f>'BS (Before Changes)'!AP19-'BS 3Q2022'!AP19</f>
        <v>-167.69999999999982</v>
      </c>
      <c r="AQ19" s="261">
        <f>'BS (Before Changes)'!AQ19-'BS 3Q2022'!AQ19</f>
        <v>-167.69999999999982</v>
      </c>
      <c r="AR19" s="32">
        <f>'BS (Before Changes)'!AR19-'BS 3Q2022'!AR19</f>
        <v>-167.69999999999982</v>
      </c>
      <c r="AS19" s="32">
        <f>'BS (Before Changes)'!AS19-'BS 3Q2022'!AS19</f>
        <v>-167.69999999999982</v>
      </c>
      <c r="AT19" s="32">
        <f>'BS (Before Changes)'!AT19-'BS 3Q2022'!AT19</f>
        <v>-167.69999999999982</v>
      </c>
      <c r="AU19" s="32">
        <f>'BS (Before Changes)'!AU19-'BS 3Q2022'!AU19</f>
        <v>-167.69999999999982</v>
      </c>
      <c r="AV19" s="261">
        <f>'BS (Before Changes)'!AV19-'BS 3Q2022'!AV19</f>
        <v>-167.69999999999982</v>
      </c>
    </row>
    <row r="20" spans="1:48" outlineLevel="1" x14ac:dyDescent="0.3">
      <c r="A20" s="161"/>
      <c r="B20" s="525" t="s">
        <v>226</v>
      </c>
      <c r="C20" s="526"/>
      <c r="D20" s="21">
        <f>'BS (Before Changes)'!D20-'BS 3Q2022'!D20</f>
        <v>0</v>
      </c>
      <c r="E20" s="21">
        <f>'BS (Before Changes)'!E20-'BS 3Q2022'!E20</f>
        <v>0</v>
      </c>
      <c r="F20" s="21">
        <f>'BS (Before Changes)'!F20-'BS 3Q2022'!F20</f>
        <v>0</v>
      </c>
      <c r="G20" s="21">
        <f>'BS (Before Changes)'!G20-'BS 3Q2022'!G20</f>
        <v>0</v>
      </c>
      <c r="H20" s="22">
        <f>'BS (Before Changes)'!H20-'BS 3Q2022'!H20</f>
        <v>0</v>
      </c>
      <c r="I20" s="21">
        <f>'BS (Before Changes)'!I20-'BS 3Q2022'!I20</f>
        <v>0</v>
      </c>
      <c r="J20" s="21">
        <f>'BS (Before Changes)'!J20-'BS 3Q2022'!J20</f>
        <v>0</v>
      </c>
      <c r="K20" s="21">
        <f>'BS (Before Changes)'!K20-'BS 3Q2022'!K20</f>
        <v>0</v>
      </c>
      <c r="L20" s="21">
        <f>'BS (Before Changes)'!L20-'BS 3Q2022'!L20</f>
        <v>0</v>
      </c>
      <c r="M20" s="22">
        <f>'BS (Before Changes)'!M20-'BS 3Q2022'!M20</f>
        <v>0</v>
      </c>
      <c r="N20" s="21">
        <f>'BS (Before Changes)'!N20-'BS 3Q2022'!N20</f>
        <v>0</v>
      </c>
      <c r="O20" s="21">
        <f>'BS (Before Changes)'!O20-'BS 3Q2022'!O20</f>
        <v>0</v>
      </c>
      <c r="P20" s="21">
        <f>'BS (Before Changes)'!P20-'BS 3Q2022'!P20</f>
        <v>0</v>
      </c>
      <c r="Q20" s="21">
        <f>'BS (Before Changes)'!Q20-'BS 3Q2022'!Q20</f>
        <v>0</v>
      </c>
      <c r="R20" s="22">
        <f>'BS (Before Changes)'!R20-'BS 3Q2022'!R20</f>
        <v>0</v>
      </c>
      <c r="S20" s="21">
        <f>'BS (Before Changes)'!S20-'BS 3Q2022'!S20</f>
        <v>0</v>
      </c>
      <c r="T20" s="21">
        <f>'BS (Before Changes)'!T20-'BS 3Q2022'!T20</f>
        <v>0</v>
      </c>
      <c r="U20" s="21">
        <f>'BS (Before Changes)'!U20-'BS 3Q2022'!U20</f>
        <v>0</v>
      </c>
      <c r="V20" s="21">
        <f>'BS (Before Changes)'!V20-'BS 3Q2022'!V20</f>
        <v>-26.578285495266755</v>
      </c>
      <c r="W20" s="22">
        <f>'BS (Before Changes)'!W20-'BS 3Q2022'!W20</f>
        <v>-26.578285495266755</v>
      </c>
      <c r="X20" s="21">
        <f>'BS (Before Changes)'!X20-'BS 3Q2022'!X20</f>
        <v>-95.8391646752425</v>
      </c>
      <c r="Y20" s="21">
        <f>'BS (Before Changes)'!Y20-'BS 3Q2022'!Y20</f>
        <v>-67.698388145650824</v>
      </c>
      <c r="Z20" s="21">
        <f>'BS (Before Changes)'!Z20-'BS 3Q2022'!Z20</f>
        <v>-35.281911801841488</v>
      </c>
      <c r="AA20" s="21">
        <f>'BS (Before Changes)'!AA20-'BS 3Q2022'!AA20</f>
        <v>57.581246400208329</v>
      </c>
      <c r="AB20" s="22">
        <f>'BS (Before Changes)'!AB20-'BS 3Q2022'!AB20</f>
        <v>57.581246400208329</v>
      </c>
      <c r="AC20" s="21">
        <f>'BS (Before Changes)'!AC20-'BS 3Q2022'!AC20</f>
        <v>42.646755731289886</v>
      </c>
      <c r="AD20" s="21">
        <f>'BS (Before Changes)'!AD20-'BS 3Q2022'!AD20</f>
        <v>82.881216963840416</v>
      </c>
      <c r="AE20" s="21">
        <f>'BS (Before Changes)'!AE20-'BS 3Q2022'!AE20</f>
        <v>121.3253239544174</v>
      </c>
      <c r="AF20" s="21">
        <f>'BS (Before Changes)'!AF20-'BS 3Q2022'!AF20</f>
        <v>218.99166689658159</v>
      </c>
      <c r="AG20" s="22">
        <f>'BS (Before Changes)'!AG20-'BS 3Q2022'!AG20</f>
        <v>218.99166689658159</v>
      </c>
      <c r="AH20" s="21">
        <f>'BS (Before Changes)'!AH20-'BS 3Q2022'!AH20</f>
        <v>191.6313406964473</v>
      </c>
      <c r="AI20" s="21">
        <f>'BS (Before Changes)'!AI20-'BS 3Q2022'!AI20</f>
        <v>230.6151652535118</v>
      </c>
      <c r="AJ20" s="21">
        <f>'BS (Before Changes)'!AJ20-'BS 3Q2022'!AJ20</f>
        <v>267.78493744536536</v>
      </c>
      <c r="AK20" s="21">
        <f>'BS (Before Changes)'!AK20-'BS 3Q2022'!AK20</f>
        <v>119.23963524424835</v>
      </c>
      <c r="AL20" s="22">
        <f>'BS (Before Changes)'!AL20-'BS 3Q2022'!AL20</f>
        <v>119.23963524424835</v>
      </c>
      <c r="AM20" s="21">
        <f>'BS (Before Changes)'!AM20-'BS 3Q2022'!AM20</f>
        <v>67.667664527332818</v>
      </c>
      <c r="AN20" s="21">
        <f>'BS (Before Changes)'!AN20-'BS 3Q2022'!AN20</f>
        <v>98.73035129902928</v>
      </c>
      <c r="AO20" s="21">
        <f>'BS (Before Changes)'!AO20-'BS 3Q2022'!AO20</f>
        <v>129.08783132188546</v>
      </c>
      <c r="AP20" s="21">
        <f>'BS (Before Changes)'!AP20-'BS 3Q2022'!AP20</f>
        <v>224.13111098318404</v>
      </c>
      <c r="AQ20" s="22">
        <f>'BS (Before Changes)'!AQ20-'BS 3Q2022'!AQ20</f>
        <v>224.13111098318404</v>
      </c>
      <c r="AR20" s="21">
        <f>'BS (Before Changes)'!AR20-'BS 3Q2022'!AR20</f>
        <v>177.66789948478981</v>
      </c>
      <c r="AS20" s="21">
        <f>'BS (Before Changes)'!AS20-'BS 3Q2022'!AS20</f>
        <v>210.49917564010684</v>
      </c>
      <c r="AT20" s="21">
        <f>'BS (Before Changes)'!AT20-'BS 3Q2022'!AT20</f>
        <v>241.01432498675422</v>
      </c>
      <c r="AU20" s="21">
        <f>'BS (Before Changes)'!AU20-'BS 3Q2022'!AU20</f>
        <v>338.80927923106356</v>
      </c>
      <c r="AV20" s="22">
        <f>'BS (Before Changes)'!AV20-'BS 3Q2022'!AV20</f>
        <v>338.80927923106356</v>
      </c>
    </row>
    <row r="21" spans="1:48" ht="17.399999999999999" x14ac:dyDescent="0.45">
      <c r="A21" s="161"/>
      <c r="B21" s="494" t="s">
        <v>227</v>
      </c>
      <c r="C21" s="495"/>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2" t="s">
        <v>25</v>
      </c>
      <c r="W21" s="42" t="s">
        <v>26</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486" t="s">
        <v>228</v>
      </c>
      <c r="C22" s="487"/>
      <c r="D22" s="16">
        <f>'BS (Before Changes)'!D22-'BS 3Q2022'!D22</f>
        <v>0</v>
      </c>
      <c r="E22" s="101">
        <f>'BS (Before Changes)'!E22-'BS 3Q2022'!E22</f>
        <v>0</v>
      </c>
      <c r="F22" s="101">
        <f>'BS (Before Changes)'!F22-'BS 3Q2022'!F22</f>
        <v>0</v>
      </c>
      <c r="G22" s="101">
        <f>'BS (Before Changes)'!G22-'BS 3Q2022'!G22</f>
        <v>0</v>
      </c>
      <c r="H22" s="169">
        <f>'BS (Before Changes)'!H22-'BS 3Q2022'!H22</f>
        <v>0</v>
      </c>
      <c r="I22" s="101">
        <f>'BS (Before Changes)'!I22-'BS 3Q2022'!I22</f>
        <v>0</v>
      </c>
      <c r="J22" s="101">
        <f>'BS (Before Changes)'!J22-'BS 3Q2022'!J22</f>
        <v>0</v>
      </c>
      <c r="K22" s="101">
        <f>'BS (Before Changes)'!K22-'BS 3Q2022'!K22</f>
        <v>0</v>
      </c>
      <c r="L22" s="101">
        <f>'BS (Before Changes)'!L22-'BS 3Q2022'!L22</f>
        <v>0</v>
      </c>
      <c r="M22" s="169">
        <f>'BS (Before Changes)'!M22-'BS 3Q2022'!M22</f>
        <v>0</v>
      </c>
      <c r="N22" s="101">
        <f>'BS (Before Changes)'!N22-'BS 3Q2022'!N22</f>
        <v>0</v>
      </c>
      <c r="O22" s="101">
        <f>'BS (Before Changes)'!O22-'BS 3Q2022'!O22</f>
        <v>0</v>
      </c>
      <c r="P22" s="101">
        <f>'BS (Before Changes)'!P22-'BS 3Q2022'!P22</f>
        <v>0</v>
      </c>
      <c r="Q22" s="101">
        <f>'BS (Before Changes)'!Q22-'BS 3Q2022'!Q22</f>
        <v>0</v>
      </c>
      <c r="R22" s="169">
        <f>'BS (Before Changes)'!R22-'BS 3Q2022'!R22</f>
        <v>0</v>
      </c>
      <c r="S22" s="101">
        <f>'BS (Before Changes)'!S22-'BS 3Q2022'!S22</f>
        <v>0</v>
      </c>
      <c r="T22" s="101">
        <f>'BS (Before Changes)'!T22-'BS 3Q2022'!T22</f>
        <v>0</v>
      </c>
      <c r="U22" s="101">
        <f>'BS (Before Changes)'!U22-'BS 3Q2022'!U22</f>
        <v>0</v>
      </c>
      <c r="V22" s="101">
        <f>'BS (Before Changes)'!V22-'BS 3Q2022'!V22</f>
        <v>63.347865455792544</v>
      </c>
      <c r="W22" s="169">
        <f>'BS (Before Changes)'!W22-'BS 3Q2022'!W22</f>
        <v>63.347865455792544</v>
      </c>
      <c r="X22" s="101">
        <f>'BS (Before Changes)'!X22-'BS 3Q2022'!X22</f>
        <v>8.8195384958269187</v>
      </c>
      <c r="Y22" s="101">
        <f>'BS (Before Changes)'!Y22-'BS 3Q2022'!Y22</f>
        <v>0.71941344922038297</v>
      </c>
      <c r="Z22" s="101">
        <f>'BS (Before Changes)'!Z22-'BS 3Q2022'!Z22</f>
        <v>0.78837617522458459</v>
      </c>
      <c r="AA22" s="101">
        <f>'BS (Before Changes)'!AA22-'BS 3Q2022'!AA22</f>
        <v>27.345487211497812</v>
      </c>
      <c r="AB22" s="169">
        <f>'BS (Before Changes)'!AB22-'BS 3Q2022'!AB22</f>
        <v>27.345487211497812</v>
      </c>
      <c r="AC22" s="101">
        <f>'BS (Before Changes)'!AC22-'BS 3Q2022'!AC22</f>
        <v>9.2909056727414736</v>
      </c>
      <c r="AD22" s="101">
        <f>'BS (Before Changes)'!AD22-'BS 3Q2022'!AD22</f>
        <v>0.36771719738317188</v>
      </c>
      <c r="AE22" s="101">
        <f>'BS (Before Changes)'!AE22-'BS 3Q2022'!AE22</f>
        <v>0.52952961372034224</v>
      </c>
      <c r="AF22" s="101">
        <f>'BS (Before Changes)'!AF22-'BS 3Q2022'!AF22</f>
        <v>36.040762557889593</v>
      </c>
      <c r="AG22" s="169">
        <f>'BS (Before Changes)'!AG22-'BS 3Q2022'!AG22</f>
        <v>36.040762557889593</v>
      </c>
      <c r="AH22" s="101">
        <f>'BS (Before Changes)'!AH22-'BS 3Q2022'!AH22</f>
        <v>9.8157695276754566</v>
      </c>
      <c r="AI22" s="101">
        <f>'BS (Before Changes)'!AI22-'BS 3Q2022'!AI22</f>
        <v>2.0420044536649584E-2</v>
      </c>
      <c r="AJ22" s="101">
        <f>'BS (Before Changes)'!AJ22-'BS 3Q2022'!AJ22</f>
        <v>5.9155751095431697E-2</v>
      </c>
      <c r="AK22" s="101">
        <f>'BS (Before Changes)'!AK22-'BS 3Q2022'!AK22</f>
        <v>48.849389513250344</v>
      </c>
      <c r="AL22" s="169">
        <f>'BS (Before Changes)'!AL22-'BS 3Q2022'!AL22</f>
        <v>48.849389513250344</v>
      </c>
      <c r="AM22" s="101">
        <f>'BS (Before Changes)'!AM22-'BS 3Q2022'!AM22</f>
        <v>10.284934165250888</v>
      </c>
      <c r="AN22" s="101">
        <f>'BS (Before Changes)'!AN22-'BS 3Q2022'!AN22</f>
        <v>-0.30878255345032812</v>
      </c>
      <c r="AO22" s="101">
        <f>'BS (Before Changes)'!AO22-'BS 3Q2022'!AO22</f>
        <v>-0.31323486674727974</v>
      </c>
      <c r="AP22" s="101">
        <f>'BS (Before Changes)'!AP22-'BS 3Q2022'!AP22</f>
        <v>42.463162121898449</v>
      </c>
      <c r="AQ22" s="169">
        <f>'BS (Before Changes)'!AQ22-'BS 3Q2022'!AQ22</f>
        <v>42.463162121898449</v>
      </c>
      <c r="AR22" s="101">
        <f>'BS (Before Changes)'!AR22-'BS 3Q2022'!AR22</f>
        <v>10.61808460898942</v>
      </c>
      <c r="AS22" s="101">
        <f>'BS (Before Changes)'!AS22-'BS 3Q2022'!AS22</f>
        <v>-0.65951400693325013</v>
      </c>
      <c r="AT22" s="101">
        <f>'BS (Before Changes)'!AT22-'BS 3Q2022'!AT22</f>
        <v>-0.70823382074968322</v>
      </c>
      <c r="AU22" s="101">
        <f>'BS (Before Changes)'!AU22-'BS 3Q2022'!AU22</f>
        <v>47.267471549230777</v>
      </c>
      <c r="AV22" s="169">
        <f>'BS (Before Changes)'!AV22-'BS 3Q2022'!AV22</f>
        <v>47.267471549230777</v>
      </c>
    </row>
    <row r="23" spans="1:48" outlineLevel="1" x14ac:dyDescent="0.3">
      <c r="A23" s="161"/>
      <c r="B23" s="486" t="s">
        <v>229</v>
      </c>
      <c r="C23" s="487"/>
      <c r="D23" s="101">
        <f>'BS (Before Changes)'!D23-'BS 3Q2022'!D23</f>
        <v>0</v>
      </c>
      <c r="E23" s="101">
        <f>'BS (Before Changes)'!E23-'BS 3Q2022'!E23</f>
        <v>0</v>
      </c>
      <c r="F23" s="101">
        <f>'BS (Before Changes)'!F23-'BS 3Q2022'!F23</f>
        <v>0</v>
      </c>
      <c r="G23" s="101">
        <f>'BS (Before Changes)'!G23-'BS 3Q2022'!G23</f>
        <v>0</v>
      </c>
      <c r="H23" s="169">
        <f>'BS (Before Changes)'!H23-'BS 3Q2022'!H23</f>
        <v>0</v>
      </c>
      <c r="I23" s="101">
        <f>'BS (Before Changes)'!I23-'BS 3Q2022'!I23</f>
        <v>0</v>
      </c>
      <c r="J23" s="101">
        <f>'BS (Before Changes)'!J23-'BS 3Q2022'!J23</f>
        <v>0</v>
      </c>
      <c r="K23" s="101">
        <f>'BS (Before Changes)'!K23-'BS 3Q2022'!K23</f>
        <v>0</v>
      </c>
      <c r="L23" s="101">
        <f>'BS (Before Changes)'!L23-'BS 3Q2022'!L23</f>
        <v>0</v>
      </c>
      <c r="M23" s="169">
        <f>'BS (Before Changes)'!M23-'BS 3Q2022'!M23</f>
        <v>0</v>
      </c>
      <c r="N23" s="101">
        <f>'BS (Before Changes)'!N23-'BS 3Q2022'!N23</f>
        <v>0</v>
      </c>
      <c r="O23" s="101">
        <f>'BS (Before Changes)'!O23-'BS 3Q2022'!O23</f>
        <v>0</v>
      </c>
      <c r="P23" s="101">
        <f>'BS (Before Changes)'!P23-'BS 3Q2022'!P23</f>
        <v>0</v>
      </c>
      <c r="Q23" s="101">
        <f>'BS (Before Changes)'!Q23-'BS 3Q2022'!Q23</f>
        <v>0</v>
      </c>
      <c r="R23" s="169">
        <f>'BS (Before Changes)'!R23-'BS 3Q2022'!R23</f>
        <v>0</v>
      </c>
      <c r="S23" s="101">
        <f>'BS (Before Changes)'!S23-'BS 3Q2022'!S23</f>
        <v>0</v>
      </c>
      <c r="T23" s="101">
        <f>'BS (Before Changes)'!T23-'BS 3Q2022'!T23</f>
        <v>0</v>
      </c>
      <c r="U23" s="101">
        <f>'BS (Before Changes)'!U23-'BS 3Q2022'!U23</f>
        <v>0</v>
      </c>
      <c r="V23" s="33">
        <f>'BS (Before Changes)'!V23-'BS 3Q2022'!V23</f>
        <v>68.199999999999818</v>
      </c>
      <c r="W23" s="169">
        <f>'BS (Before Changes)'!W23-'BS 3Q2022'!W23</f>
        <v>68.199999999999818</v>
      </c>
      <c r="X23" s="33">
        <f>'BS (Before Changes)'!X23-'BS 3Q2022'!X23</f>
        <v>68.199999999999818</v>
      </c>
      <c r="Y23" s="33">
        <f>'BS (Before Changes)'!Y23-'BS 3Q2022'!Y23</f>
        <v>68.199999999999818</v>
      </c>
      <c r="Z23" s="33">
        <f>'BS (Before Changes)'!Z23-'BS 3Q2022'!Z23</f>
        <v>68.199999999999818</v>
      </c>
      <c r="AA23" s="33">
        <f>'BS (Before Changes)'!AA23-'BS 3Q2022'!AA23</f>
        <v>68.199999999999818</v>
      </c>
      <c r="AB23" s="169">
        <f>'BS (Before Changes)'!AB23-'BS 3Q2022'!AB23</f>
        <v>68.199999999999818</v>
      </c>
      <c r="AC23" s="33">
        <f>'BS (Before Changes)'!AC23-'BS 3Q2022'!AC23</f>
        <v>68.199999999999818</v>
      </c>
      <c r="AD23" s="33">
        <f>'BS (Before Changes)'!AD23-'BS 3Q2022'!AD23</f>
        <v>68.199999999999818</v>
      </c>
      <c r="AE23" s="33">
        <f>'BS (Before Changes)'!AE23-'BS 3Q2022'!AE23</f>
        <v>68.199999999999818</v>
      </c>
      <c r="AF23" s="33">
        <f>'BS (Before Changes)'!AF23-'BS 3Q2022'!AF23</f>
        <v>68.199999999999818</v>
      </c>
      <c r="AG23" s="169">
        <f>'BS (Before Changes)'!AG23-'BS 3Q2022'!AG23</f>
        <v>68.199999999999818</v>
      </c>
      <c r="AH23" s="33">
        <f>'BS (Before Changes)'!AH23-'BS 3Q2022'!AH23</f>
        <v>68.199999999999818</v>
      </c>
      <c r="AI23" s="33">
        <f>'BS (Before Changes)'!AI23-'BS 3Q2022'!AI23</f>
        <v>68.199999999999818</v>
      </c>
      <c r="AJ23" s="33">
        <f>'BS (Before Changes)'!AJ23-'BS 3Q2022'!AJ23</f>
        <v>68.199999999999818</v>
      </c>
      <c r="AK23" s="33">
        <f>'BS (Before Changes)'!AK23-'BS 3Q2022'!AK23</f>
        <v>68.199999999999818</v>
      </c>
      <c r="AL23" s="169">
        <f>'BS (Before Changes)'!AL23-'BS 3Q2022'!AL23</f>
        <v>68.199999999999818</v>
      </c>
      <c r="AM23" s="33">
        <f>'BS (Before Changes)'!AM23-'BS 3Q2022'!AM23</f>
        <v>68.199999999999818</v>
      </c>
      <c r="AN23" s="33">
        <f>'BS (Before Changes)'!AN23-'BS 3Q2022'!AN23</f>
        <v>68.199999999999818</v>
      </c>
      <c r="AO23" s="33">
        <f>'BS (Before Changes)'!AO23-'BS 3Q2022'!AO23</f>
        <v>68.199999999999818</v>
      </c>
      <c r="AP23" s="33">
        <f>'BS (Before Changes)'!AP23-'BS 3Q2022'!AP23</f>
        <v>68.199999999999818</v>
      </c>
      <c r="AQ23" s="169">
        <f>'BS (Before Changes)'!AQ23-'BS 3Q2022'!AQ23</f>
        <v>68.199999999999818</v>
      </c>
      <c r="AR23" s="33">
        <f>'BS (Before Changes)'!AR23-'BS 3Q2022'!AR23</f>
        <v>68.199999999999818</v>
      </c>
      <c r="AS23" s="33">
        <f>'BS (Before Changes)'!AS23-'BS 3Q2022'!AS23</f>
        <v>68.199999999999818</v>
      </c>
      <c r="AT23" s="33">
        <f>'BS (Before Changes)'!AT23-'BS 3Q2022'!AT23</f>
        <v>68.199999999999818</v>
      </c>
      <c r="AU23" s="33">
        <f>'BS (Before Changes)'!AU23-'BS 3Q2022'!AU23</f>
        <v>68.199999999999818</v>
      </c>
      <c r="AV23" s="169">
        <f>'BS (Before Changes)'!AV23-'BS 3Q2022'!AV23</f>
        <v>68.199999999999818</v>
      </c>
    </row>
    <row r="24" spans="1:48" outlineLevel="1" x14ac:dyDescent="0.3">
      <c r="A24" s="161"/>
      <c r="B24" s="200" t="s">
        <v>230</v>
      </c>
      <c r="C24" s="201"/>
      <c r="D24" s="101">
        <f>'BS (Before Changes)'!D24-'BS 3Q2022'!D24</f>
        <v>0</v>
      </c>
      <c r="E24" s="101">
        <f>'BS (Before Changes)'!E24-'BS 3Q2022'!E24</f>
        <v>0</v>
      </c>
      <c r="F24" s="101">
        <f>'BS (Before Changes)'!F24-'BS 3Q2022'!F24</f>
        <v>0</v>
      </c>
      <c r="G24" s="101">
        <f>'BS (Before Changes)'!G24-'BS 3Q2022'!G24</f>
        <v>0</v>
      </c>
      <c r="H24" s="169">
        <f>'BS (Before Changes)'!H24-'BS 3Q2022'!H24</f>
        <v>0</v>
      </c>
      <c r="I24" s="101">
        <f>'BS (Before Changes)'!I24-'BS 3Q2022'!I24</f>
        <v>0</v>
      </c>
      <c r="J24" s="101">
        <f>'BS (Before Changes)'!J24-'BS 3Q2022'!J24</f>
        <v>0</v>
      </c>
      <c r="K24" s="101">
        <f>'BS (Before Changes)'!K24-'BS 3Q2022'!K24</f>
        <v>0</v>
      </c>
      <c r="L24" s="101">
        <f>'BS (Before Changes)'!L24-'BS 3Q2022'!L24</f>
        <v>0</v>
      </c>
      <c r="M24" s="169">
        <f>'BS (Before Changes)'!M24-'BS 3Q2022'!M24</f>
        <v>0</v>
      </c>
      <c r="N24" s="101">
        <f>'BS (Before Changes)'!N24-'BS 3Q2022'!N24</f>
        <v>0</v>
      </c>
      <c r="O24" s="101">
        <f>'BS (Before Changes)'!O24-'BS 3Q2022'!O24</f>
        <v>0</v>
      </c>
      <c r="P24" s="101">
        <f>'BS (Before Changes)'!P24-'BS 3Q2022'!P24</f>
        <v>0</v>
      </c>
      <c r="Q24" s="101">
        <f>'BS (Before Changes)'!Q24-'BS 3Q2022'!Q24</f>
        <v>0</v>
      </c>
      <c r="R24" s="169">
        <f>'BS (Before Changes)'!R24-'BS 3Q2022'!R24</f>
        <v>0</v>
      </c>
      <c r="S24" s="101">
        <f>'BS (Before Changes)'!S24-'BS 3Q2022'!S24</f>
        <v>0</v>
      </c>
      <c r="T24" s="101">
        <f>'BS (Before Changes)'!T24-'BS 3Q2022'!T24</f>
        <v>0</v>
      </c>
      <c r="U24" s="101">
        <f>'BS (Before Changes)'!U24-'BS 3Q2022'!U24</f>
        <v>0</v>
      </c>
      <c r="V24" s="33">
        <f>'BS (Before Changes)'!V24-'BS 3Q2022'!V24</f>
        <v>54.900000000000091</v>
      </c>
      <c r="W24" s="169">
        <f>'BS (Before Changes)'!W24-'BS 3Q2022'!W24</f>
        <v>54.900000000000091</v>
      </c>
      <c r="X24" s="33">
        <f>'BS (Before Changes)'!X24-'BS 3Q2022'!X24</f>
        <v>54.900000000000091</v>
      </c>
      <c r="Y24" s="33">
        <f>'BS (Before Changes)'!Y24-'BS 3Q2022'!Y24</f>
        <v>54.900000000000091</v>
      </c>
      <c r="Z24" s="33">
        <f>'BS (Before Changes)'!Z24-'BS 3Q2022'!Z24</f>
        <v>54.900000000000091</v>
      </c>
      <c r="AA24" s="33">
        <f>'BS (Before Changes)'!AA24-'BS 3Q2022'!AA24</f>
        <v>54.900000000000091</v>
      </c>
      <c r="AB24" s="169">
        <f>'BS (Before Changes)'!AB24-'BS 3Q2022'!AB24</f>
        <v>54.900000000000091</v>
      </c>
      <c r="AC24" s="33">
        <f>'BS (Before Changes)'!AC24-'BS 3Q2022'!AC24</f>
        <v>54.900000000000091</v>
      </c>
      <c r="AD24" s="33">
        <f>'BS (Before Changes)'!AD24-'BS 3Q2022'!AD24</f>
        <v>54.900000000000091</v>
      </c>
      <c r="AE24" s="33">
        <f>'BS (Before Changes)'!AE24-'BS 3Q2022'!AE24</f>
        <v>54.900000000000091</v>
      </c>
      <c r="AF24" s="33">
        <f>'BS (Before Changes)'!AF24-'BS 3Q2022'!AF24</f>
        <v>54.900000000000091</v>
      </c>
      <c r="AG24" s="169">
        <f>'BS (Before Changes)'!AG24-'BS 3Q2022'!AG24</f>
        <v>54.900000000000091</v>
      </c>
      <c r="AH24" s="33">
        <f>'BS (Before Changes)'!AH24-'BS 3Q2022'!AH24</f>
        <v>54.900000000000091</v>
      </c>
      <c r="AI24" s="33">
        <f>'BS (Before Changes)'!AI24-'BS 3Q2022'!AI24</f>
        <v>54.900000000000091</v>
      </c>
      <c r="AJ24" s="33">
        <f>'BS (Before Changes)'!AJ24-'BS 3Q2022'!AJ24</f>
        <v>54.900000000000091</v>
      </c>
      <c r="AK24" s="33">
        <f>'BS (Before Changes)'!AK24-'BS 3Q2022'!AK24</f>
        <v>54.900000000000091</v>
      </c>
      <c r="AL24" s="169">
        <f>'BS (Before Changes)'!AL24-'BS 3Q2022'!AL24</f>
        <v>54.900000000000091</v>
      </c>
      <c r="AM24" s="33">
        <f>'BS (Before Changes)'!AM24-'BS 3Q2022'!AM24</f>
        <v>54.900000000000091</v>
      </c>
      <c r="AN24" s="33">
        <f>'BS (Before Changes)'!AN24-'BS 3Q2022'!AN24</f>
        <v>54.900000000000091</v>
      </c>
      <c r="AO24" s="33">
        <f>'BS (Before Changes)'!AO24-'BS 3Q2022'!AO24</f>
        <v>54.900000000000091</v>
      </c>
      <c r="AP24" s="33">
        <f>'BS (Before Changes)'!AP24-'BS 3Q2022'!AP24</f>
        <v>54.900000000000091</v>
      </c>
      <c r="AQ24" s="169">
        <f>'BS (Before Changes)'!AQ24-'BS 3Q2022'!AQ24</f>
        <v>54.900000000000091</v>
      </c>
      <c r="AR24" s="33">
        <f>'BS (Before Changes)'!AR24-'BS 3Q2022'!AR24</f>
        <v>54.900000000000091</v>
      </c>
      <c r="AS24" s="33">
        <f>'BS (Before Changes)'!AS24-'BS 3Q2022'!AS24</f>
        <v>54.900000000000091</v>
      </c>
      <c r="AT24" s="33">
        <f>'BS (Before Changes)'!AT24-'BS 3Q2022'!AT24</f>
        <v>54.900000000000091</v>
      </c>
      <c r="AU24" s="33">
        <f>'BS (Before Changes)'!AU24-'BS 3Q2022'!AU24</f>
        <v>54.900000000000091</v>
      </c>
      <c r="AV24" s="169">
        <f>'BS (Before Changes)'!AV24-'BS 3Q2022'!AV24</f>
        <v>54.900000000000091</v>
      </c>
    </row>
    <row r="25" spans="1:48" outlineLevel="1" x14ac:dyDescent="0.3">
      <c r="A25" s="161"/>
      <c r="B25" s="200" t="s">
        <v>231</v>
      </c>
      <c r="C25" s="201"/>
      <c r="D25" s="101">
        <f>'BS (Before Changes)'!D25-'BS 3Q2022'!D25</f>
        <v>0</v>
      </c>
      <c r="E25" s="101">
        <f>'BS (Before Changes)'!E25-'BS 3Q2022'!E25</f>
        <v>0</v>
      </c>
      <c r="F25" s="101">
        <f>'BS (Before Changes)'!F25-'BS 3Q2022'!F25</f>
        <v>0</v>
      </c>
      <c r="G25" s="101">
        <f>'BS (Before Changes)'!G25-'BS 3Q2022'!G25</f>
        <v>0</v>
      </c>
      <c r="H25" s="169">
        <f>'BS (Before Changes)'!H25-'BS 3Q2022'!H25</f>
        <v>0</v>
      </c>
      <c r="I25" s="101">
        <f>'BS (Before Changes)'!I25-'BS 3Q2022'!I25</f>
        <v>0</v>
      </c>
      <c r="J25" s="101">
        <f>'BS (Before Changes)'!J25-'BS 3Q2022'!J25</f>
        <v>0</v>
      </c>
      <c r="K25" s="101">
        <f>'BS (Before Changes)'!K25-'BS 3Q2022'!K25</f>
        <v>0</v>
      </c>
      <c r="L25" s="101">
        <f>'BS (Before Changes)'!L25-'BS 3Q2022'!L25</f>
        <v>0</v>
      </c>
      <c r="M25" s="169">
        <f>'BS (Before Changes)'!M25-'BS 3Q2022'!M25</f>
        <v>0</v>
      </c>
      <c r="N25" s="101">
        <f>'BS (Before Changes)'!N25-'BS 3Q2022'!N25</f>
        <v>0</v>
      </c>
      <c r="O25" s="101">
        <f>'BS (Before Changes)'!O25-'BS 3Q2022'!O25</f>
        <v>0</v>
      </c>
      <c r="P25" s="101">
        <f>'BS (Before Changes)'!P25-'BS 3Q2022'!P25</f>
        <v>0</v>
      </c>
      <c r="Q25" s="101">
        <f>'BS (Before Changes)'!Q25-'BS 3Q2022'!Q25</f>
        <v>0</v>
      </c>
      <c r="R25" s="169">
        <f>'BS (Before Changes)'!R25-'BS 3Q2022'!R25</f>
        <v>0</v>
      </c>
      <c r="S25" s="101">
        <f>'BS (Before Changes)'!S25-'BS 3Q2022'!S25</f>
        <v>0</v>
      </c>
      <c r="T25" s="101">
        <f>'BS (Before Changes)'!T25-'BS 3Q2022'!T25</f>
        <v>0</v>
      </c>
      <c r="U25" s="101">
        <f>'BS (Before Changes)'!U25-'BS 3Q2022'!U25</f>
        <v>0</v>
      </c>
      <c r="V25" s="33">
        <f>'BS (Before Changes)'!V25-'BS 3Q2022'!V25</f>
        <v>0</v>
      </c>
      <c r="W25" s="169">
        <f>'BS (Before Changes)'!W25-'BS 3Q2022'!W25</f>
        <v>0</v>
      </c>
      <c r="X25" s="33">
        <f>'BS (Before Changes)'!X25-'BS 3Q2022'!X25</f>
        <v>0</v>
      </c>
      <c r="Y25" s="33">
        <f>'BS (Before Changes)'!Y25-'BS 3Q2022'!Y25</f>
        <v>0</v>
      </c>
      <c r="Z25" s="33">
        <f>'BS (Before Changes)'!Z25-'BS 3Q2022'!Z25</f>
        <v>0</v>
      </c>
      <c r="AA25" s="33">
        <f>'BS (Before Changes)'!AA25-'BS 3Q2022'!AA25</f>
        <v>0</v>
      </c>
      <c r="AB25" s="169">
        <f>'BS (Before Changes)'!AB25-'BS 3Q2022'!AB25</f>
        <v>0</v>
      </c>
      <c r="AC25" s="33">
        <f>'BS (Before Changes)'!AC25-'BS 3Q2022'!AC25</f>
        <v>0</v>
      </c>
      <c r="AD25" s="33">
        <f>'BS (Before Changes)'!AD25-'BS 3Q2022'!AD25</f>
        <v>0</v>
      </c>
      <c r="AE25" s="33">
        <f>'BS (Before Changes)'!AE25-'BS 3Q2022'!AE25</f>
        <v>0</v>
      </c>
      <c r="AF25" s="33">
        <f>'BS (Before Changes)'!AF25-'BS 3Q2022'!AF25</f>
        <v>0</v>
      </c>
      <c r="AG25" s="169">
        <f>'BS (Before Changes)'!AG25-'BS 3Q2022'!AG25</f>
        <v>0</v>
      </c>
      <c r="AH25" s="33">
        <f>'BS (Before Changes)'!AH25-'BS 3Q2022'!AH25</f>
        <v>0</v>
      </c>
      <c r="AI25" s="33">
        <f>'BS (Before Changes)'!AI25-'BS 3Q2022'!AI25</f>
        <v>0</v>
      </c>
      <c r="AJ25" s="33">
        <f>'BS (Before Changes)'!AJ25-'BS 3Q2022'!AJ25</f>
        <v>0</v>
      </c>
      <c r="AK25" s="33">
        <f>'BS (Before Changes)'!AK25-'BS 3Q2022'!AK25</f>
        <v>0</v>
      </c>
      <c r="AL25" s="169">
        <f>'BS (Before Changes)'!AL25-'BS 3Q2022'!AL25</f>
        <v>0</v>
      </c>
      <c r="AM25" s="33">
        <f>'BS (Before Changes)'!AM25-'BS 3Q2022'!AM25</f>
        <v>0</v>
      </c>
      <c r="AN25" s="33">
        <f>'BS (Before Changes)'!AN25-'BS 3Q2022'!AN25</f>
        <v>0</v>
      </c>
      <c r="AO25" s="33">
        <f>'BS (Before Changes)'!AO25-'BS 3Q2022'!AO25</f>
        <v>0</v>
      </c>
      <c r="AP25" s="33">
        <f>'BS (Before Changes)'!AP25-'BS 3Q2022'!AP25</f>
        <v>0</v>
      </c>
      <c r="AQ25" s="169">
        <f>'BS (Before Changes)'!AQ25-'BS 3Q2022'!AQ25</f>
        <v>0</v>
      </c>
      <c r="AR25" s="33">
        <f>'BS (Before Changes)'!AR25-'BS 3Q2022'!AR25</f>
        <v>0</v>
      </c>
      <c r="AS25" s="33">
        <f>'BS (Before Changes)'!AS25-'BS 3Q2022'!AS25</f>
        <v>0</v>
      </c>
      <c r="AT25" s="33">
        <f>'BS (Before Changes)'!AT25-'BS 3Q2022'!AT25</f>
        <v>0</v>
      </c>
      <c r="AU25" s="33">
        <f>'BS (Before Changes)'!AU25-'BS 3Q2022'!AU25</f>
        <v>0</v>
      </c>
      <c r="AV25" s="169">
        <f>'BS (Before Changes)'!AV25-'BS 3Q2022'!AV25</f>
        <v>0</v>
      </c>
    </row>
    <row r="26" spans="1:48" outlineLevel="1" x14ac:dyDescent="0.3">
      <c r="A26" s="161"/>
      <c r="B26" s="200" t="s">
        <v>232</v>
      </c>
      <c r="C26" s="201"/>
      <c r="D26" s="101">
        <f>'BS (Before Changes)'!D26-'BS 3Q2022'!D26</f>
        <v>0</v>
      </c>
      <c r="E26" s="101">
        <f>'BS (Before Changes)'!E26-'BS 3Q2022'!E26</f>
        <v>0</v>
      </c>
      <c r="F26" s="101">
        <f>'BS (Before Changes)'!F26-'BS 3Q2022'!F26</f>
        <v>0</v>
      </c>
      <c r="G26" s="101">
        <f>'BS (Before Changes)'!G26-'BS 3Q2022'!G26</f>
        <v>0</v>
      </c>
      <c r="H26" s="169">
        <f>'BS (Before Changes)'!H26-'BS 3Q2022'!H26</f>
        <v>0</v>
      </c>
      <c r="I26" s="101">
        <f>'BS (Before Changes)'!I26-'BS 3Q2022'!I26</f>
        <v>0</v>
      </c>
      <c r="J26" s="101">
        <f>'BS (Before Changes)'!J26-'BS 3Q2022'!J26</f>
        <v>0</v>
      </c>
      <c r="K26" s="101">
        <f>'BS (Before Changes)'!K26-'BS 3Q2022'!K26</f>
        <v>0</v>
      </c>
      <c r="L26" s="101">
        <f>'BS (Before Changes)'!L26-'BS 3Q2022'!L26</f>
        <v>0</v>
      </c>
      <c r="M26" s="169">
        <f>'BS (Before Changes)'!M26-'BS 3Q2022'!M26</f>
        <v>0</v>
      </c>
      <c r="N26" s="101">
        <f>'BS (Before Changes)'!N26-'BS 3Q2022'!N26</f>
        <v>0</v>
      </c>
      <c r="O26" s="101">
        <f>'BS (Before Changes)'!O26-'BS 3Q2022'!O26</f>
        <v>0</v>
      </c>
      <c r="P26" s="101">
        <f>'BS (Before Changes)'!P26-'BS 3Q2022'!P26</f>
        <v>0</v>
      </c>
      <c r="Q26" s="101">
        <f>'BS (Before Changes)'!Q26-'BS 3Q2022'!Q26</f>
        <v>0</v>
      </c>
      <c r="R26" s="169">
        <f>'BS (Before Changes)'!R26-'BS 3Q2022'!R26</f>
        <v>0</v>
      </c>
      <c r="S26" s="101">
        <f>'BS (Before Changes)'!S26-'BS 3Q2022'!S26</f>
        <v>0</v>
      </c>
      <c r="T26" s="101">
        <f>'BS (Before Changes)'!T26-'BS 3Q2022'!T26</f>
        <v>0</v>
      </c>
      <c r="U26" s="101">
        <f>'BS (Before Changes)'!U26-'BS 3Q2022'!U26</f>
        <v>0</v>
      </c>
      <c r="V26" s="33">
        <f>'BS (Before Changes)'!V26-'BS 3Q2022'!V26</f>
        <v>35.759200000000192</v>
      </c>
      <c r="W26" s="169">
        <f>'BS (Before Changes)'!W26-'BS 3Q2022'!W26</f>
        <v>35.759200000000192</v>
      </c>
      <c r="X26" s="33">
        <f>'BS (Before Changes)'!X26-'BS 3Q2022'!X26</f>
        <v>35.616163200000301</v>
      </c>
      <c r="Y26" s="33">
        <f>'BS (Before Changes)'!Y26-'BS 3Q2022'!Y26</f>
        <v>35.473698547200229</v>
      </c>
      <c r="Z26" s="33">
        <f>'BS (Before Changes)'!Z26-'BS 3Q2022'!Z26</f>
        <v>35.3318037530114</v>
      </c>
      <c r="AA26" s="33">
        <f>'BS (Before Changes)'!AA26-'BS 3Q2022'!AA26</f>
        <v>35.190476537999302</v>
      </c>
      <c r="AB26" s="169">
        <f>'BS (Before Changes)'!AB26-'BS 3Q2022'!AB26</f>
        <v>35.190476537999302</v>
      </c>
      <c r="AC26" s="33">
        <f>'BS (Before Changes)'!AC26-'BS 3Q2022'!AC26</f>
        <v>35.04971463184711</v>
      </c>
      <c r="AD26" s="33">
        <f>'BS (Before Changes)'!AD26-'BS 3Q2022'!AD26</f>
        <v>34.909515773319754</v>
      </c>
      <c r="AE26" s="33">
        <f>'BS (Before Changes)'!AE26-'BS 3Q2022'!AE26</f>
        <v>34.76987771022641</v>
      </c>
      <c r="AF26" s="33">
        <f>'BS (Before Changes)'!AF26-'BS 3Q2022'!AF26</f>
        <v>34.630798199385481</v>
      </c>
      <c r="AG26" s="169">
        <f>'BS (Before Changes)'!AG26-'BS 3Q2022'!AG26</f>
        <v>34.630798199385481</v>
      </c>
      <c r="AH26" s="33">
        <f>'BS (Before Changes)'!AH26-'BS 3Q2022'!AH26</f>
        <v>34.492275006587988</v>
      </c>
      <c r="AI26" s="33">
        <f>'BS (Before Changes)'!AI26-'BS 3Q2022'!AI26</f>
        <v>34.354305906561649</v>
      </c>
      <c r="AJ26" s="33">
        <f>'BS (Before Changes)'!AJ26-'BS 3Q2022'!AJ26</f>
        <v>34.216888682935405</v>
      </c>
      <c r="AK26" s="33">
        <f>'BS (Before Changes)'!AK26-'BS 3Q2022'!AK26</f>
        <v>34.080021128203725</v>
      </c>
      <c r="AL26" s="169">
        <f>'BS (Before Changes)'!AL26-'BS 3Q2022'!AL26</f>
        <v>34.080021128203725</v>
      </c>
      <c r="AM26" s="33">
        <f>'BS (Before Changes)'!AM26-'BS 3Q2022'!AM26</f>
        <v>33.943701043690908</v>
      </c>
      <c r="AN26" s="33">
        <f>'BS (Before Changes)'!AN26-'BS 3Q2022'!AN26</f>
        <v>33.807926239516064</v>
      </c>
      <c r="AO26" s="33">
        <f>'BS (Before Changes)'!AO26-'BS 3Q2022'!AO26</f>
        <v>33.672694534558104</v>
      </c>
      <c r="AP26" s="33">
        <f>'BS (Before Changes)'!AP26-'BS 3Q2022'!AP26</f>
        <v>33.538003756419812</v>
      </c>
      <c r="AQ26" s="169">
        <f>'BS (Before Changes)'!AQ26-'BS 3Q2022'!AQ26</f>
        <v>33.538003756419812</v>
      </c>
      <c r="AR26" s="33">
        <f>'BS (Before Changes)'!AR26-'BS 3Q2022'!AR26</f>
        <v>33.403851741394192</v>
      </c>
      <c r="AS26" s="33">
        <f>'BS (Before Changes)'!AS26-'BS 3Q2022'!AS26</f>
        <v>33.270236334428546</v>
      </c>
      <c r="AT26" s="33">
        <f>'BS (Before Changes)'!AT26-'BS 3Q2022'!AT26</f>
        <v>33.137155389090822</v>
      </c>
      <c r="AU26" s="33">
        <f>'BS (Before Changes)'!AU26-'BS 3Q2022'!AU26</f>
        <v>33.004606767534369</v>
      </c>
      <c r="AV26" s="169">
        <f>'BS (Before Changes)'!AV26-'BS 3Q2022'!AV26</f>
        <v>33.004606767534369</v>
      </c>
    </row>
    <row r="27" spans="1:48" outlineLevel="1" x14ac:dyDescent="0.3">
      <c r="A27" s="161"/>
      <c r="B27" s="200" t="s">
        <v>233</v>
      </c>
      <c r="C27" s="201"/>
      <c r="D27" s="101">
        <f>'BS (Before Changes)'!D27-'BS 3Q2022'!D27</f>
        <v>0</v>
      </c>
      <c r="E27" s="101">
        <f>'BS (Before Changes)'!E27-'BS 3Q2022'!E27</f>
        <v>0</v>
      </c>
      <c r="F27" s="101">
        <f>'BS (Before Changes)'!F27-'BS 3Q2022'!F27</f>
        <v>0</v>
      </c>
      <c r="G27" s="101">
        <f>'BS (Before Changes)'!G27-'BS 3Q2022'!G27</f>
        <v>0</v>
      </c>
      <c r="H27" s="169">
        <f>'BS (Before Changes)'!H27-'BS 3Q2022'!H27</f>
        <v>0</v>
      </c>
      <c r="I27" s="101">
        <f>'BS (Before Changes)'!I27-'BS 3Q2022'!I27</f>
        <v>0</v>
      </c>
      <c r="J27" s="101">
        <f>'BS (Before Changes)'!J27-'BS 3Q2022'!J27</f>
        <v>0</v>
      </c>
      <c r="K27" s="101">
        <f>'BS (Before Changes)'!K27-'BS 3Q2022'!K27</f>
        <v>0</v>
      </c>
      <c r="L27" s="101">
        <f>'BS (Before Changes)'!L27-'BS 3Q2022'!L27</f>
        <v>0</v>
      </c>
      <c r="M27" s="169">
        <f>'BS (Before Changes)'!M27-'BS 3Q2022'!M27</f>
        <v>0</v>
      </c>
      <c r="N27" s="101">
        <f>'BS (Before Changes)'!N27-'BS 3Q2022'!N27</f>
        <v>0</v>
      </c>
      <c r="O27" s="101">
        <f>'BS (Before Changes)'!O27-'BS 3Q2022'!O27</f>
        <v>0</v>
      </c>
      <c r="P27" s="101">
        <f>'BS (Before Changes)'!P27-'BS 3Q2022'!P27</f>
        <v>0</v>
      </c>
      <c r="Q27" s="101">
        <f>'BS (Before Changes)'!Q27-'BS 3Q2022'!Q27</f>
        <v>0</v>
      </c>
      <c r="R27" s="169">
        <f>'BS (Before Changes)'!R27-'BS 3Q2022'!R27</f>
        <v>0</v>
      </c>
      <c r="S27" s="101">
        <f>'BS (Before Changes)'!S27-'BS 3Q2022'!S27</f>
        <v>0</v>
      </c>
      <c r="T27" s="101">
        <f>'BS (Before Changes)'!T27-'BS 3Q2022'!T27</f>
        <v>0</v>
      </c>
      <c r="U27" s="101">
        <f>'BS (Before Changes)'!U27-'BS 3Q2022'!U27</f>
        <v>0</v>
      </c>
      <c r="V27" s="33">
        <f>'BS (Before Changes)'!V27-'BS 3Q2022'!V27</f>
        <v>-63.869999999999891</v>
      </c>
      <c r="W27" s="169">
        <f>'BS (Before Changes)'!W27-'BS 3Q2022'!W27</f>
        <v>-63.869999999999891</v>
      </c>
      <c r="X27" s="33">
        <f>'BS (Before Changes)'!X27-'BS 3Q2022'!X27</f>
        <v>-83.030999999999949</v>
      </c>
      <c r="Y27" s="33">
        <f>'BS (Before Changes)'!Y27-'BS 3Q2022'!Y27</f>
        <v>-70.576350000000048</v>
      </c>
      <c r="Z27" s="33">
        <f>'BS (Before Changes)'!Z27-'BS 3Q2022'!Z27</f>
        <v>-69.870586499999945</v>
      </c>
      <c r="AA27" s="33">
        <f>'BS (Before Changes)'!AA27-'BS 3Q2022'!AA27</f>
        <v>-69.17188063499998</v>
      </c>
      <c r="AB27" s="169">
        <f>'BS (Before Changes)'!AB27-'BS 3Q2022'!AB27</f>
        <v>-69.17188063499998</v>
      </c>
      <c r="AC27" s="33">
        <f>'BS (Before Changes)'!AC27-'BS 3Q2022'!AC27</f>
        <v>-89.923444825500155</v>
      </c>
      <c r="AD27" s="33">
        <f>'BS (Before Changes)'!AD27-'BS 3Q2022'!AD27</f>
        <v>-76.434928101675268</v>
      </c>
      <c r="AE27" s="33">
        <f>'BS (Before Changes)'!AE27-'BS 3Q2022'!AE27</f>
        <v>-75.67057882065842</v>
      </c>
      <c r="AF27" s="33">
        <f>'BS (Before Changes)'!AF27-'BS 3Q2022'!AF27</f>
        <v>-74.913873032451647</v>
      </c>
      <c r="AG27" s="169">
        <f>'BS (Before Changes)'!AG27-'BS 3Q2022'!AG27</f>
        <v>-74.913873032451647</v>
      </c>
      <c r="AH27" s="33">
        <f>'BS (Before Changes)'!AH27-'BS 3Q2022'!AH27</f>
        <v>-97.38803494218746</v>
      </c>
      <c r="AI27" s="33">
        <f>'BS (Before Changes)'!AI27-'BS 3Q2022'!AI27</f>
        <v>-82.779829700859409</v>
      </c>
      <c r="AJ27" s="33">
        <f>'BS (Before Changes)'!AJ27-'BS 3Q2022'!AJ27</f>
        <v>-81.952031403850469</v>
      </c>
      <c r="AK27" s="33">
        <f>'BS (Before Changes)'!AK27-'BS 3Q2022'!AK27</f>
        <v>-81.132511089811942</v>
      </c>
      <c r="AL27" s="169">
        <f>'BS (Before Changes)'!AL27-'BS 3Q2022'!AL27</f>
        <v>-81.132511089811942</v>
      </c>
      <c r="AM27" s="33">
        <f>'BS (Before Changes)'!AM27-'BS 3Q2022'!AM27</f>
        <v>-105.47226441675548</v>
      </c>
      <c r="AN27" s="33">
        <f>'BS (Before Changes)'!AN27-'BS 3Q2022'!AN27</f>
        <v>-89.651424754241816</v>
      </c>
      <c r="AO27" s="33">
        <f>'BS (Before Changes)'!AO27-'BS 3Q2022'!AO27</f>
        <v>-88.754910506699616</v>
      </c>
      <c r="AP27" s="33">
        <f>'BS (Before Changes)'!AP27-'BS 3Q2022'!AP27</f>
        <v>-87.867361401632479</v>
      </c>
      <c r="AQ27" s="169">
        <f>'BS (Before Changes)'!AQ27-'BS 3Q2022'!AQ27</f>
        <v>-87.867361401632479</v>
      </c>
      <c r="AR27" s="33">
        <f>'BS (Before Changes)'!AR27-'BS 3Q2022'!AR27</f>
        <v>-114.22756982212195</v>
      </c>
      <c r="AS27" s="33">
        <f>'BS (Before Changes)'!AS27-'BS 3Q2022'!AS27</f>
        <v>-97.093434348803385</v>
      </c>
      <c r="AT27" s="33">
        <f>'BS (Before Changes)'!AT27-'BS 3Q2022'!AT27</f>
        <v>-96.122500005315487</v>
      </c>
      <c r="AU27" s="33">
        <f>'BS (Before Changes)'!AU27-'BS 3Q2022'!AU27</f>
        <v>-95.161275005262269</v>
      </c>
      <c r="AV27" s="169">
        <f>'BS (Before Changes)'!AV27-'BS 3Q2022'!AV27</f>
        <v>-95.161275005262269</v>
      </c>
    </row>
    <row r="28" spans="1:48" outlineLevel="1" x14ac:dyDescent="0.3">
      <c r="A28" s="161"/>
      <c r="B28" s="200" t="s">
        <v>234</v>
      </c>
      <c r="C28" s="201"/>
      <c r="D28" s="101">
        <f>'BS (Before Changes)'!D28-'BS 3Q2022'!D28</f>
        <v>0</v>
      </c>
      <c r="E28" s="101">
        <f>'BS (Before Changes)'!E28-'BS 3Q2022'!E28</f>
        <v>0</v>
      </c>
      <c r="F28" s="101">
        <f>'BS (Before Changes)'!F28-'BS 3Q2022'!F28</f>
        <v>0</v>
      </c>
      <c r="G28" s="101">
        <f>'BS (Before Changes)'!G28-'BS 3Q2022'!G28</f>
        <v>0</v>
      </c>
      <c r="H28" s="169">
        <f>'BS (Before Changes)'!H28-'BS 3Q2022'!H28</f>
        <v>0</v>
      </c>
      <c r="I28" s="101">
        <f>'BS (Before Changes)'!I28-'BS 3Q2022'!I28</f>
        <v>0</v>
      </c>
      <c r="J28" s="101">
        <f>'BS (Before Changes)'!J28-'BS 3Q2022'!J28</f>
        <v>0</v>
      </c>
      <c r="K28" s="101">
        <f>'BS (Before Changes)'!K28-'BS 3Q2022'!K28</f>
        <v>0</v>
      </c>
      <c r="L28" s="101">
        <f>'BS (Before Changes)'!L28-'BS 3Q2022'!L28</f>
        <v>0</v>
      </c>
      <c r="M28" s="169">
        <f>'BS (Before Changes)'!M28-'BS 3Q2022'!M28</f>
        <v>0</v>
      </c>
      <c r="N28" s="101">
        <f>'BS (Before Changes)'!N28-'BS 3Q2022'!N28</f>
        <v>0</v>
      </c>
      <c r="O28" s="101">
        <f>'BS (Before Changes)'!O28-'BS 3Q2022'!O28</f>
        <v>0</v>
      </c>
      <c r="P28" s="101">
        <f>'BS (Before Changes)'!P28-'BS 3Q2022'!P28</f>
        <v>0</v>
      </c>
      <c r="Q28" s="101">
        <f>'BS (Before Changes)'!Q28-'BS 3Q2022'!Q28</f>
        <v>0</v>
      </c>
      <c r="R28" s="169">
        <f>'BS (Before Changes)'!R28-'BS 3Q2022'!R28</f>
        <v>0</v>
      </c>
      <c r="S28" s="101">
        <f>'BS (Before Changes)'!S28-'BS 3Q2022'!S28</f>
        <v>0</v>
      </c>
      <c r="T28" s="101">
        <f>'BS (Before Changes)'!T28-'BS 3Q2022'!T28</f>
        <v>0</v>
      </c>
      <c r="U28" s="101">
        <f>'BS (Before Changes)'!U28-'BS 3Q2022'!U28</f>
        <v>0</v>
      </c>
      <c r="V28" s="33">
        <f>'BS (Before Changes)'!V28-'BS 3Q2022'!V28</f>
        <v>923.90000000000009</v>
      </c>
      <c r="W28" s="169">
        <f>'BS (Before Changes)'!W28-'BS 3Q2022'!W28</f>
        <v>923.90000000000009</v>
      </c>
      <c r="X28" s="33">
        <f>'BS (Before Changes)'!X28-'BS 3Q2022'!X28</f>
        <v>923.90000000000009</v>
      </c>
      <c r="Y28" s="33">
        <f>'BS (Before Changes)'!Y28-'BS 3Q2022'!Y28</f>
        <v>923.90000000000009</v>
      </c>
      <c r="Z28" s="33">
        <f>'BS (Before Changes)'!Z28-'BS 3Q2022'!Z28</f>
        <v>923.90000000000032</v>
      </c>
      <c r="AA28" s="33">
        <f>'BS (Before Changes)'!AA28-'BS 3Q2022'!AA28</f>
        <v>923.90000000000032</v>
      </c>
      <c r="AB28" s="169">
        <f>'BS (Before Changes)'!AB28-'BS 3Q2022'!AB28</f>
        <v>923.90000000000032</v>
      </c>
      <c r="AC28" s="33">
        <f>'BS (Before Changes)'!AC28-'BS 3Q2022'!AC28</f>
        <v>923.90000000000032</v>
      </c>
      <c r="AD28" s="33">
        <f>'BS (Before Changes)'!AD28-'BS 3Q2022'!AD28</f>
        <v>923.90000000000032</v>
      </c>
      <c r="AE28" s="33">
        <f>'BS (Before Changes)'!AE28-'BS 3Q2022'!AE28</f>
        <v>923.90000000000032</v>
      </c>
      <c r="AF28" s="33">
        <f>'BS (Before Changes)'!AF28-'BS 3Q2022'!AF28</f>
        <v>923.90000000000032</v>
      </c>
      <c r="AG28" s="169">
        <f>'BS (Before Changes)'!AG28-'BS 3Q2022'!AG28</f>
        <v>923.90000000000032</v>
      </c>
      <c r="AH28" s="33">
        <f>'BS (Before Changes)'!AH28-'BS 3Q2022'!AH28</f>
        <v>923.90000000000009</v>
      </c>
      <c r="AI28" s="33">
        <f>'BS (Before Changes)'!AI28-'BS 3Q2022'!AI28</f>
        <v>923.90000000000009</v>
      </c>
      <c r="AJ28" s="33">
        <f>'BS (Before Changes)'!AJ28-'BS 3Q2022'!AJ28</f>
        <v>923.90000000000009</v>
      </c>
      <c r="AK28" s="33">
        <f>'BS (Before Changes)'!AK28-'BS 3Q2022'!AK28</f>
        <v>923.90000000000009</v>
      </c>
      <c r="AL28" s="169">
        <f>'BS (Before Changes)'!AL28-'BS 3Q2022'!AL28</f>
        <v>923.90000000000009</v>
      </c>
      <c r="AM28" s="33">
        <f>'BS (Before Changes)'!AM28-'BS 3Q2022'!AM28</f>
        <v>923.90000000000009</v>
      </c>
      <c r="AN28" s="33">
        <f>'BS (Before Changes)'!AN28-'BS 3Q2022'!AN28</f>
        <v>923.90000000000009</v>
      </c>
      <c r="AO28" s="33">
        <f>'BS (Before Changes)'!AO28-'BS 3Q2022'!AO28</f>
        <v>923.90000000000009</v>
      </c>
      <c r="AP28" s="33">
        <f>'BS (Before Changes)'!AP28-'BS 3Q2022'!AP28</f>
        <v>923.90000000000009</v>
      </c>
      <c r="AQ28" s="169">
        <f>'BS (Before Changes)'!AQ28-'BS 3Q2022'!AQ28</f>
        <v>923.90000000000009</v>
      </c>
      <c r="AR28" s="33">
        <f>'BS (Before Changes)'!AR28-'BS 3Q2022'!AR28</f>
        <v>923.90000000000009</v>
      </c>
      <c r="AS28" s="33">
        <f>'BS (Before Changes)'!AS28-'BS 3Q2022'!AS28</f>
        <v>923.90000000000009</v>
      </c>
      <c r="AT28" s="33">
        <f>'BS (Before Changes)'!AT28-'BS 3Q2022'!AT28</f>
        <v>923.90000000000009</v>
      </c>
      <c r="AU28" s="33">
        <f>'BS (Before Changes)'!AU28-'BS 3Q2022'!AU28</f>
        <v>923.90000000000009</v>
      </c>
      <c r="AV28" s="169">
        <f>'BS (Before Changes)'!AV28-'BS 3Q2022'!AV28</f>
        <v>923.90000000000009</v>
      </c>
    </row>
    <row r="29" spans="1:48" ht="16.2" outlineLevel="1" x14ac:dyDescent="0.45">
      <c r="A29" s="161"/>
      <c r="B29" s="200" t="s">
        <v>235</v>
      </c>
      <c r="C29" s="201"/>
      <c r="D29" s="112">
        <f>'BS (Before Changes)'!D29-'BS 3Q2022'!D29</f>
        <v>0</v>
      </c>
      <c r="E29" s="112">
        <f>'BS (Before Changes)'!E29-'BS 3Q2022'!E29</f>
        <v>0</v>
      </c>
      <c r="F29" s="112">
        <f>'BS (Before Changes)'!F29-'BS 3Q2022'!F29</f>
        <v>0</v>
      </c>
      <c r="G29" s="112">
        <f>'BS (Before Changes)'!G29-'BS 3Q2022'!G29</f>
        <v>0</v>
      </c>
      <c r="H29" s="262">
        <f>'BS (Before Changes)'!H29-'BS 3Q2022'!H29</f>
        <v>0</v>
      </c>
      <c r="I29" s="112">
        <f>'BS (Before Changes)'!I29-'BS 3Q2022'!I29</f>
        <v>0</v>
      </c>
      <c r="J29" s="112">
        <f>'BS (Before Changes)'!J29-'BS 3Q2022'!J29</f>
        <v>0</v>
      </c>
      <c r="K29" s="112">
        <f>'BS (Before Changes)'!K29-'BS 3Q2022'!K29</f>
        <v>0</v>
      </c>
      <c r="L29" s="112">
        <f>'BS (Before Changes)'!L29-'BS 3Q2022'!L29</f>
        <v>0</v>
      </c>
      <c r="M29" s="262">
        <f>'BS (Before Changes)'!M29-'BS 3Q2022'!M29</f>
        <v>0</v>
      </c>
      <c r="N29" s="112">
        <f>'BS (Before Changes)'!N29-'BS 3Q2022'!N29</f>
        <v>0</v>
      </c>
      <c r="O29" s="112">
        <f>'BS (Before Changes)'!O29-'BS 3Q2022'!O29</f>
        <v>0</v>
      </c>
      <c r="P29" s="112">
        <f>'BS (Before Changes)'!P29-'BS 3Q2022'!P29</f>
        <v>0</v>
      </c>
      <c r="Q29" s="112">
        <f>'BS (Before Changes)'!Q29-'BS 3Q2022'!Q29</f>
        <v>0</v>
      </c>
      <c r="R29" s="262">
        <f>'BS (Before Changes)'!R29-'BS 3Q2022'!R29</f>
        <v>0</v>
      </c>
      <c r="S29" s="112">
        <f>'BS (Before Changes)'!S29-'BS 3Q2022'!S29</f>
        <v>0</v>
      </c>
      <c r="T29" s="112">
        <f>'BS (Before Changes)'!T29-'BS 3Q2022'!T29</f>
        <v>0</v>
      </c>
      <c r="U29" s="112">
        <f>'BS (Before Changes)'!U29-'BS 3Q2022'!U29</f>
        <v>0</v>
      </c>
      <c r="V29" s="32">
        <f>'BS (Before Changes)'!V29-'BS 3Q2022'!V29</f>
        <v>0</v>
      </c>
      <c r="W29" s="262">
        <f>'BS (Before Changes)'!W29-'BS 3Q2022'!W29</f>
        <v>0</v>
      </c>
      <c r="X29" s="32">
        <f>'BS (Before Changes)'!X29-'BS 3Q2022'!X29</f>
        <v>0</v>
      </c>
      <c r="Y29" s="32">
        <f>'BS (Before Changes)'!Y29-'BS 3Q2022'!Y29</f>
        <v>0</v>
      </c>
      <c r="Z29" s="32">
        <f>'BS (Before Changes)'!Z29-'BS 3Q2022'!Z29</f>
        <v>0</v>
      </c>
      <c r="AA29" s="32">
        <f>'BS (Before Changes)'!AA29-'BS 3Q2022'!AA29</f>
        <v>0</v>
      </c>
      <c r="AB29" s="262">
        <f>'BS (Before Changes)'!AB29-'BS 3Q2022'!AB29</f>
        <v>0</v>
      </c>
      <c r="AC29" s="32">
        <f>'BS (Before Changes)'!AC29-'BS 3Q2022'!AC29</f>
        <v>0</v>
      </c>
      <c r="AD29" s="32">
        <f>'BS (Before Changes)'!AD29-'BS 3Q2022'!AD29</f>
        <v>0</v>
      </c>
      <c r="AE29" s="32">
        <f>'BS (Before Changes)'!AE29-'BS 3Q2022'!AE29</f>
        <v>0</v>
      </c>
      <c r="AF29" s="32">
        <f>'BS (Before Changes)'!AF29-'BS 3Q2022'!AF29</f>
        <v>0</v>
      </c>
      <c r="AG29" s="262">
        <f>'BS (Before Changes)'!AG29-'BS 3Q2022'!AG29</f>
        <v>0</v>
      </c>
      <c r="AH29" s="32">
        <f>'BS (Before Changes)'!AH29-'BS 3Q2022'!AH29</f>
        <v>0</v>
      </c>
      <c r="AI29" s="32">
        <f>'BS (Before Changes)'!AI29-'BS 3Q2022'!AI29</f>
        <v>0</v>
      </c>
      <c r="AJ29" s="32">
        <f>'BS (Before Changes)'!AJ29-'BS 3Q2022'!AJ29</f>
        <v>0</v>
      </c>
      <c r="AK29" s="32">
        <f>'BS (Before Changes)'!AK29-'BS 3Q2022'!AK29</f>
        <v>0</v>
      </c>
      <c r="AL29" s="262">
        <f>'BS (Before Changes)'!AL29-'BS 3Q2022'!AL29</f>
        <v>0</v>
      </c>
      <c r="AM29" s="32">
        <f>'BS (Before Changes)'!AM29-'BS 3Q2022'!AM29</f>
        <v>0</v>
      </c>
      <c r="AN29" s="32">
        <f>'BS (Before Changes)'!AN29-'BS 3Q2022'!AN29</f>
        <v>0</v>
      </c>
      <c r="AO29" s="32">
        <f>'BS (Before Changes)'!AO29-'BS 3Q2022'!AO29</f>
        <v>0</v>
      </c>
      <c r="AP29" s="32">
        <f>'BS (Before Changes)'!AP29-'BS 3Q2022'!AP29</f>
        <v>0</v>
      </c>
      <c r="AQ29" s="262">
        <f>'BS (Before Changes)'!AQ29-'BS 3Q2022'!AQ29</f>
        <v>0</v>
      </c>
      <c r="AR29" s="32">
        <f>'BS (Before Changes)'!AR29-'BS 3Q2022'!AR29</f>
        <v>0</v>
      </c>
      <c r="AS29" s="32">
        <f>'BS (Before Changes)'!AS29-'BS 3Q2022'!AS29</f>
        <v>0</v>
      </c>
      <c r="AT29" s="32">
        <f>'BS (Before Changes)'!AT29-'BS 3Q2022'!AT29</f>
        <v>0</v>
      </c>
      <c r="AU29" s="32">
        <f>'BS (Before Changes)'!AU29-'BS 3Q2022'!AU29</f>
        <v>0</v>
      </c>
      <c r="AV29" s="262">
        <f>'BS (Before Changes)'!AV29-'BS 3Q2022'!AV29</f>
        <v>0</v>
      </c>
    </row>
    <row r="30" spans="1:48" outlineLevel="1" x14ac:dyDescent="0.3">
      <c r="A30" s="161"/>
      <c r="B30" s="205" t="s">
        <v>236</v>
      </c>
      <c r="C30" s="201"/>
      <c r="D30" s="116">
        <f>'BS (Before Changes)'!D30-'BS 3Q2022'!D30</f>
        <v>0</v>
      </c>
      <c r="E30" s="116">
        <f>'BS (Before Changes)'!E30-'BS 3Q2022'!E30</f>
        <v>0</v>
      </c>
      <c r="F30" s="116">
        <f>'BS (Before Changes)'!F30-'BS 3Q2022'!F30</f>
        <v>0</v>
      </c>
      <c r="G30" s="116">
        <f>'BS (Before Changes)'!G30-'BS 3Q2022'!G30</f>
        <v>0</v>
      </c>
      <c r="H30" s="150">
        <f>'BS (Before Changes)'!H30-'BS 3Q2022'!H30</f>
        <v>0</v>
      </c>
      <c r="I30" s="116">
        <f>'BS (Before Changes)'!I30-'BS 3Q2022'!I30</f>
        <v>0</v>
      </c>
      <c r="J30" s="116">
        <f>'BS (Before Changes)'!J30-'BS 3Q2022'!J30</f>
        <v>0</v>
      </c>
      <c r="K30" s="116">
        <f>'BS (Before Changes)'!K30-'BS 3Q2022'!K30</f>
        <v>0</v>
      </c>
      <c r="L30" s="116">
        <f>'BS (Before Changes)'!L30-'BS 3Q2022'!L30</f>
        <v>0</v>
      </c>
      <c r="M30" s="150">
        <f>'BS (Before Changes)'!M30-'BS 3Q2022'!M30</f>
        <v>0</v>
      </c>
      <c r="N30" s="116">
        <f>'BS (Before Changes)'!N30-'BS 3Q2022'!N30</f>
        <v>0</v>
      </c>
      <c r="O30" s="116">
        <f>'BS (Before Changes)'!O30-'BS 3Q2022'!O30</f>
        <v>0</v>
      </c>
      <c r="P30" s="116">
        <f>'BS (Before Changes)'!P30-'BS 3Q2022'!P30</f>
        <v>0</v>
      </c>
      <c r="Q30" s="116">
        <f>'BS (Before Changes)'!Q30-'BS 3Q2022'!Q30</f>
        <v>0</v>
      </c>
      <c r="R30" s="150">
        <f>'BS (Before Changes)'!R30-'BS 3Q2022'!R30</f>
        <v>0</v>
      </c>
      <c r="S30" s="116">
        <f>'BS (Before Changes)'!S30-'BS 3Q2022'!S30</f>
        <v>0</v>
      </c>
      <c r="T30" s="116">
        <f>'BS (Before Changes)'!T30-'BS 3Q2022'!T30</f>
        <v>0</v>
      </c>
      <c r="U30" s="116">
        <f>'BS (Before Changes)'!U30-'BS 3Q2022'!U30</f>
        <v>0</v>
      </c>
      <c r="V30" s="116">
        <f>'BS (Before Changes)'!V30-'BS 3Q2022'!V30</f>
        <v>1082.2370654557908</v>
      </c>
      <c r="W30" s="150">
        <f>'BS (Before Changes)'!W30-'BS 3Q2022'!W30</f>
        <v>1082.2370654557908</v>
      </c>
      <c r="X30" s="116">
        <f>'BS (Before Changes)'!X30-'BS 3Q2022'!X30</f>
        <v>1008.4047016958266</v>
      </c>
      <c r="Y30" s="116">
        <f>'BS (Before Changes)'!Y30-'BS 3Q2022'!Y30</f>
        <v>1012.6167619964199</v>
      </c>
      <c r="Z30" s="116">
        <f>'BS (Before Changes)'!Z30-'BS 3Q2022'!Z30</f>
        <v>1013.249593428236</v>
      </c>
      <c r="AA30" s="116">
        <f>'BS (Before Changes)'!AA30-'BS 3Q2022'!AA30</f>
        <v>1040.3640831144967</v>
      </c>
      <c r="AB30" s="150">
        <f>'BS (Before Changes)'!AB30-'BS 3Q2022'!AB30</f>
        <v>1040.3640831144967</v>
      </c>
      <c r="AC30" s="116">
        <f>'BS (Before Changes)'!AC30-'BS 3Q2022'!AC30</f>
        <v>1001.4171754790896</v>
      </c>
      <c r="AD30" s="116">
        <f>'BS (Before Changes)'!AD30-'BS 3Q2022'!AD30</f>
        <v>1005.8423048690274</v>
      </c>
      <c r="AE30" s="116">
        <f>'BS (Before Changes)'!AE30-'BS 3Q2022'!AE30</f>
        <v>1006.6288285032897</v>
      </c>
      <c r="AF30" s="116">
        <f>'BS (Before Changes)'!AF30-'BS 3Q2022'!AF30</f>
        <v>1042.757687724823</v>
      </c>
      <c r="AG30" s="150">
        <f>'BS (Before Changes)'!AG30-'BS 3Q2022'!AG30</f>
        <v>1042.757687724823</v>
      </c>
      <c r="AH30" s="116">
        <f>'BS (Before Changes)'!AH30-'BS 3Q2022'!AH30</f>
        <v>993.92000959207326</v>
      </c>
      <c r="AI30" s="116">
        <f>'BS (Before Changes)'!AI30-'BS 3Q2022'!AI30</f>
        <v>998.59489625023889</v>
      </c>
      <c r="AJ30" s="116">
        <f>'BS (Before Changes)'!AJ30-'BS 3Q2022'!AJ30</f>
        <v>999.32401303018014</v>
      </c>
      <c r="AK30" s="116">
        <f>'BS (Before Changes)'!AK30-'BS 3Q2022'!AK30</f>
        <v>1048.7968995516421</v>
      </c>
      <c r="AL30" s="150">
        <f>'BS (Before Changes)'!AL30-'BS 3Q2022'!AL30</f>
        <v>1048.7968995516421</v>
      </c>
      <c r="AM30" s="116">
        <f>'BS (Before Changes)'!AM30-'BS 3Q2022'!AM30</f>
        <v>985.75637079218541</v>
      </c>
      <c r="AN30" s="116">
        <f>'BS (Before Changes)'!AN30-'BS 3Q2022'!AN30</f>
        <v>990.84771893182187</v>
      </c>
      <c r="AO30" s="116">
        <f>'BS (Before Changes)'!AO30-'BS 3Q2022'!AO30</f>
        <v>991.60454916111121</v>
      </c>
      <c r="AP30" s="116">
        <f>'BS (Before Changes)'!AP30-'BS 3Q2022'!AP30</f>
        <v>1035.1338044766853</v>
      </c>
      <c r="AQ30" s="150">
        <f>'BS (Before Changes)'!AQ30-'BS 3Q2022'!AQ30</f>
        <v>1035.1338044766853</v>
      </c>
      <c r="AR30" s="116">
        <f>'BS (Before Changes)'!AR30-'BS 3Q2022'!AR30</f>
        <v>976.79436652826189</v>
      </c>
      <c r="AS30" s="116">
        <f>'BS (Before Changes)'!AS30-'BS 3Q2022'!AS30</f>
        <v>982.51728797869146</v>
      </c>
      <c r="AT30" s="116">
        <f>'BS (Before Changes)'!AT30-'BS 3Q2022'!AT30</f>
        <v>983.30642156302565</v>
      </c>
      <c r="AU30" s="116">
        <f>'BS (Before Changes)'!AU30-'BS 3Q2022'!AU30</f>
        <v>1032.1108033115015</v>
      </c>
      <c r="AV30" s="150">
        <f>'BS (Before Changes)'!AV30-'BS 3Q2022'!AV30</f>
        <v>1032.1108033115015</v>
      </c>
    </row>
    <row r="31" spans="1:48" outlineLevel="1" x14ac:dyDescent="0.3">
      <c r="A31" s="161"/>
      <c r="B31" s="200" t="s">
        <v>237</v>
      </c>
      <c r="C31" s="201"/>
      <c r="D31" s="101">
        <f>'BS (Before Changes)'!D31-'BS 3Q2022'!D31</f>
        <v>0</v>
      </c>
      <c r="E31" s="101">
        <f>'BS (Before Changes)'!E31-'BS 3Q2022'!E31</f>
        <v>0</v>
      </c>
      <c r="F31" s="101">
        <f>'BS (Before Changes)'!F31-'BS 3Q2022'!F31</f>
        <v>0</v>
      </c>
      <c r="G31" s="101">
        <f>'BS (Before Changes)'!G31-'BS 3Q2022'!G31</f>
        <v>0</v>
      </c>
      <c r="H31" s="169">
        <f>'BS (Before Changes)'!H31-'BS 3Q2022'!H31</f>
        <v>0</v>
      </c>
      <c r="I31" s="101">
        <f>'BS (Before Changes)'!I31-'BS 3Q2022'!I31</f>
        <v>0</v>
      </c>
      <c r="J31" s="101">
        <f>'BS (Before Changes)'!J31-'BS 3Q2022'!J31</f>
        <v>0</v>
      </c>
      <c r="K31" s="101">
        <f>'BS (Before Changes)'!K31-'BS 3Q2022'!K31</f>
        <v>0</v>
      </c>
      <c r="L31" s="101">
        <f>'BS (Before Changes)'!L31-'BS 3Q2022'!L31</f>
        <v>0</v>
      </c>
      <c r="M31" s="169">
        <f>'BS (Before Changes)'!M31-'BS 3Q2022'!M31</f>
        <v>0</v>
      </c>
      <c r="N31" s="101">
        <f>'BS (Before Changes)'!N31-'BS 3Q2022'!N31</f>
        <v>0</v>
      </c>
      <c r="O31" s="101">
        <f>'BS (Before Changes)'!O31-'BS 3Q2022'!O31</f>
        <v>0</v>
      </c>
      <c r="P31" s="101">
        <f>'BS (Before Changes)'!P31-'BS 3Q2022'!P31</f>
        <v>0</v>
      </c>
      <c r="Q31" s="101">
        <f>'BS (Before Changes)'!Q31-'BS 3Q2022'!Q31</f>
        <v>0</v>
      </c>
      <c r="R31" s="169">
        <f>'BS (Before Changes)'!R31-'BS 3Q2022'!R31</f>
        <v>0</v>
      </c>
      <c r="S31" s="101">
        <f>'BS (Before Changes)'!S31-'BS 3Q2022'!S31</f>
        <v>0</v>
      </c>
      <c r="T31" s="101">
        <f>'BS (Before Changes)'!T31-'BS 3Q2022'!T31</f>
        <v>0</v>
      </c>
      <c r="U31" s="101">
        <f>'BS (Before Changes)'!U31-'BS 3Q2022'!U31</f>
        <v>0</v>
      </c>
      <c r="V31" s="33">
        <f>'BS (Before Changes)'!V31-'BS 3Q2022'!V31</f>
        <v>-810.89999999999964</v>
      </c>
      <c r="W31" s="169">
        <f>'BS (Before Changes)'!W31-'BS 3Q2022'!W31</f>
        <v>-810.89999999999964</v>
      </c>
      <c r="X31" s="33">
        <f>'BS (Before Changes)'!X31-'BS 3Q2022'!X31</f>
        <v>-810.89999999999964</v>
      </c>
      <c r="Y31" s="33">
        <f>'BS (Before Changes)'!Y31-'BS 3Q2022'!Y31</f>
        <v>-810.89999999999964</v>
      </c>
      <c r="Z31" s="33">
        <f>'BS (Before Changes)'!Z31-'BS 3Q2022'!Z31</f>
        <v>-810.89999999999964</v>
      </c>
      <c r="AA31" s="33">
        <f>'BS (Before Changes)'!AA31-'BS 3Q2022'!AA31</f>
        <v>-810.89999999999964</v>
      </c>
      <c r="AB31" s="169">
        <f>'BS (Before Changes)'!AB31-'BS 3Q2022'!AB31</f>
        <v>-810.89999999999964</v>
      </c>
      <c r="AC31" s="33">
        <f>'BS (Before Changes)'!AC31-'BS 3Q2022'!AC31</f>
        <v>-810.89999999999964</v>
      </c>
      <c r="AD31" s="33">
        <f>'BS (Before Changes)'!AD31-'BS 3Q2022'!AD31</f>
        <v>-810.89999999999964</v>
      </c>
      <c r="AE31" s="33">
        <f>'BS (Before Changes)'!AE31-'BS 3Q2022'!AE31</f>
        <v>-810.89999999999964</v>
      </c>
      <c r="AF31" s="33">
        <f>'BS (Before Changes)'!AF31-'BS 3Q2022'!AF31</f>
        <v>-810.89999999999964</v>
      </c>
      <c r="AG31" s="169">
        <f>'BS (Before Changes)'!AG31-'BS 3Q2022'!AG31</f>
        <v>-810.89999999999964</v>
      </c>
      <c r="AH31" s="33">
        <f>'BS (Before Changes)'!AH31-'BS 3Q2022'!AH31</f>
        <v>-810.89999999999964</v>
      </c>
      <c r="AI31" s="33">
        <f>'BS (Before Changes)'!AI31-'BS 3Q2022'!AI31</f>
        <v>-810.89999999999964</v>
      </c>
      <c r="AJ31" s="33">
        <f>'BS (Before Changes)'!AJ31-'BS 3Q2022'!AJ31</f>
        <v>-559.51718553590035</v>
      </c>
      <c r="AK31" s="33">
        <f>'BS (Before Changes)'!AK31-'BS 3Q2022'!AK31</f>
        <v>-559.51718553590035</v>
      </c>
      <c r="AL31" s="169">
        <f>'BS (Before Changes)'!AL31-'BS 3Q2022'!AL31</f>
        <v>-559.51718553590035</v>
      </c>
      <c r="AM31" s="33">
        <f>'BS (Before Changes)'!AM31-'BS 3Q2022'!AM31</f>
        <v>-559.51718553590035</v>
      </c>
      <c r="AN31" s="33">
        <f>'BS (Before Changes)'!AN31-'BS 3Q2022'!AN31</f>
        <v>-559.51718553590035</v>
      </c>
      <c r="AO31" s="33">
        <f>'BS (Before Changes)'!AO31-'BS 3Q2022'!AO31</f>
        <v>-559.51718553590035</v>
      </c>
      <c r="AP31" s="33">
        <f>'BS (Before Changes)'!AP31-'BS 3Q2022'!AP31</f>
        <v>-559.51718553590035</v>
      </c>
      <c r="AQ31" s="169">
        <f>'BS (Before Changes)'!AQ31-'BS 3Q2022'!AQ31</f>
        <v>-559.51718553590035</v>
      </c>
      <c r="AR31" s="33">
        <f>'BS (Before Changes)'!AR31-'BS 3Q2022'!AR31</f>
        <v>-559.51718553590035</v>
      </c>
      <c r="AS31" s="33">
        <f>'BS (Before Changes)'!AS31-'BS 3Q2022'!AS31</f>
        <v>-559.51718553590035</v>
      </c>
      <c r="AT31" s="33">
        <f>'BS (Before Changes)'!AT31-'BS 3Q2022'!AT31</f>
        <v>-559.51718553590035</v>
      </c>
      <c r="AU31" s="33">
        <f>'BS (Before Changes)'!AU31-'BS 3Q2022'!AU31</f>
        <v>-559.51718553590035</v>
      </c>
      <c r="AV31" s="169">
        <f>'BS (Before Changes)'!AV31-'BS 3Q2022'!AV31</f>
        <v>-559.51718553590035</v>
      </c>
    </row>
    <row r="32" spans="1:48" outlineLevel="1" x14ac:dyDescent="0.3">
      <c r="A32" s="161"/>
      <c r="B32" s="200" t="s">
        <v>238</v>
      </c>
      <c r="C32" s="207"/>
      <c r="D32" s="101">
        <f>'BS (Before Changes)'!D32-'BS 3Q2022'!D32</f>
        <v>0</v>
      </c>
      <c r="E32" s="101">
        <f>'BS (Before Changes)'!E32-'BS 3Q2022'!E32</f>
        <v>0</v>
      </c>
      <c r="F32" s="101">
        <f>'BS (Before Changes)'!F32-'BS 3Q2022'!F32</f>
        <v>0</v>
      </c>
      <c r="G32" s="101">
        <f>'BS (Before Changes)'!G32-'BS 3Q2022'!G32</f>
        <v>0</v>
      </c>
      <c r="H32" s="169">
        <f>'BS (Before Changes)'!H32-'BS 3Q2022'!H32</f>
        <v>0</v>
      </c>
      <c r="I32" s="101">
        <f>'BS (Before Changes)'!I32-'BS 3Q2022'!I32</f>
        <v>0</v>
      </c>
      <c r="J32" s="101">
        <f>'BS (Before Changes)'!J32-'BS 3Q2022'!J32</f>
        <v>0</v>
      </c>
      <c r="K32" s="101">
        <f>'BS (Before Changes)'!K32-'BS 3Q2022'!K32</f>
        <v>0</v>
      </c>
      <c r="L32" s="101">
        <f>'BS (Before Changes)'!L32-'BS 3Q2022'!L32</f>
        <v>0</v>
      </c>
      <c r="M32" s="169">
        <f>'BS (Before Changes)'!M32-'BS 3Q2022'!M32</f>
        <v>0</v>
      </c>
      <c r="N32" s="101">
        <f>'BS (Before Changes)'!N32-'BS 3Q2022'!N32</f>
        <v>0</v>
      </c>
      <c r="O32" s="101">
        <f>'BS (Before Changes)'!O32-'BS 3Q2022'!O32</f>
        <v>0</v>
      </c>
      <c r="P32" s="101">
        <f>'BS (Before Changes)'!P32-'BS 3Q2022'!P32</f>
        <v>0</v>
      </c>
      <c r="Q32" s="101">
        <f>'BS (Before Changes)'!Q32-'BS 3Q2022'!Q32</f>
        <v>0</v>
      </c>
      <c r="R32" s="169">
        <f>'BS (Before Changes)'!R32-'BS 3Q2022'!R32</f>
        <v>0</v>
      </c>
      <c r="S32" s="101">
        <f>'BS (Before Changes)'!S32-'BS 3Q2022'!S32</f>
        <v>0</v>
      </c>
      <c r="T32" s="101">
        <f>'BS (Before Changes)'!T32-'BS 3Q2022'!T32</f>
        <v>0</v>
      </c>
      <c r="U32" s="101">
        <f>'BS (Before Changes)'!U32-'BS 3Q2022'!U32</f>
        <v>0</v>
      </c>
      <c r="V32" s="33">
        <f>'BS (Before Changes)'!V32-'BS 3Q2022'!V32</f>
        <v>-8.9823999999998705</v>
      </c>
      <c r="W32" s="169">
        <f>'BS (Before Changes)'!W32-'BS 3Q2022'!W32</f>
        <v>-8.9823999999998705</v>
      </c>
      <c r="X32" s="33">
        <f>'BS (Before Changes)'!X32-'BS 3Q2022'!X32</f>
        <v>-8.9464704000001802</v>
      </c>
      <c r="Y32" s="33">
        <f>'BS (Before Changes)'!Y32-'BS 3Q2022'!Y32</f>
        <v>-8.9106845184005579</v>
      </c>
      <c r="Z32" s="33">
        <f>'BS (Before Changes)'!Z32-'BS 3Q2022'!Z32</f>
        <v>-8.8750417803266828</v>
      </c>
      <c r="AA32" s="33">
        <f>'BS (Before Changes)'!AA32-'BS 3Q2022'!AA32</f>
        <v>-8.839541613205256</v>
      </c>
      <c r="AB32" s="169">
        <f>'BS (Before Changes)'!AB32-'BS 3Q2022'!AB32</f>
        <v>-8.839541613205256</v>
      </c>
      <c r="AC32" s="33">
        <f>'BS (Before Changes)'!AC32-'BS 3Q2022'!AC32</f>
        <v>-8.8041834467530862</v>
      </c>
      <c r="AD32" s="33">
        <f>'BS (Before Changes)'!AD32-'BS 3Q2022'!AD32</f>
        <v>-8.7689667129661757</v>
      </c>
      <c r="AE32" s="33">
        <f>'BS (Before Changes)'!AE32-'BS 3Q2022'!AE32</f>
        <v>-8.7338908461142637</v>
      </c>
      <c r="AF32" s="33">
        <f>'BS (Before Changes)'!AF32-'BS 3Q2022'!AF32</f>
        <v>-8.6989552827299121</v>
      </c>
      <c r="AG32" s="169">
        <f>'BS (Before Changes)'!AG32-'BS 3Q2022'!AG32</f>
        <v>-8.6989552827299121</v>
      </c>
      <c r="AH32" s="33">
        <f>'BS (Before Changes)'!AH32-'BS 3Q2022'!AH32</f>
        <v>-8.6641594615994109</v>
      </c>
      <c r="AI32" s="33">
        <f>'BS (Before Changes)'!AI32-'BS 3Q2022'!AI32</f>
        <v>-8.6295028237536826</v>
      </c>
      <c r="AJ32" s="33">
        <f>'BS (Before Changes)'!AJ32-'BS 3Q2022'!AJ32</f>
        <v>-8.5949848124582786</v>
      </c>
      <c r="AK32" s="33">
        <f>'BS (Before Changes)'!AK32-'BS 3Q2022'!AK32</f>
        <v>-8.5606048732088311</v>
      </c>
      <c r="AL32" s="169">
        <f>'BS (Before Changes)'!AL32-'BS 3Q2022'!AL32</f>
        <v>-8.5606048732088311</v>
      </c>
      <c r="AM32" s="33">
        <f>'BS (Before Changes)'!AM32-'BS 3Q2022'!AM32</f>
        <v>-8.5263624537165015</v>
      </c>
      <c r="AN32" s="33">
        <f>'BS (Before Changes)'!AN32-'BS 3Q2022'!AN32</f>
        <v>-8.4922570039016136</v>
      </c>
      <c r="AO32" s="33">
        <f>'BS (Before Changes)'!AO32-'BS 3Q2022'!AO32</f>
        <v>-8.4582879758854688</v>
      </c>
      <c r="AP32" s="33">
        <f>'BS (Before Changes)'!AP32-'BS 3Q2022'!AP32</f>
        <v>-8.4244548239821597</v>
      </c>
      <c r="AQ32" s="169">
        <f>'BS (Before Changes)'!AQ32-'BS 3Q2022'!AQ32</f>
        <v>-8.4244548239821597</v>
      </c>
      <c r="AR32" s="33">
        <f>'BS (Before Changes)'!AR32-'BS 3Q2022'!AR32</f>
        <v>-8.3907570046867477</v>
      </c>
      <c r="AS32" s="33">
        <f>'BS (Before Changes)'!AS32-'BS 3Q2022'!AS32</f>
        <v>-8.3571939766679861</v>
      </c>
      <c r="AT32" s="33">
        <f>'BS (Before Changes)'!AT32-'BS 3Q2022'!AT32</f>
        <v>-8.323765200761045</v>
      </c>
      <c r="AU32" s="33">
        <f>'BS (Before Changes)'!AU32-'BS 3Q2022'!AU32</f>
        <v>-8.2904701399584155</v>
      </c>
      <c r="AV32" s="169">
        <f>'BS (Before Changes)'!AV32-'BS 3Q2022'!AV32</f>
        <v>-8.2904701399584155</v>
      </c>
    </row>
    <row r="33" spans="1:48" outlineLevel="1" x14ac:dyDescent="0.3">
      <c r="A33" s="161"/>
      <c r="B33" s="200" t="s">
        <v>239</v>
      </c>
      <c r="C33" s="207"/>
      <c r="D33" s="101">
        <f>'BS (Before Changes)'!D33-'BS 3Q2022'!D33</f>
        <v>0</v>
      </c>
      <c r="E33" s="101">
        <f>'BS (Before Changes)'!E33-'BS 3Q2022'!E33</f>
        <v>0</v>
      </c>
      <c r="F33" s="101">
        <f>'BS (Before Changes)'!F33-'BS 3Q2022'!F33</f>
        <v>0</v>
      </c>
      <c r="G33" s="101">
        <f>'BS (Before Changes)'!G33-'BS 3Q2022'!G33</f>
        <v>0</v>
      </c>
      <c r="H33" s="169">
        <f>'BS (Before Changes)'!H33-'BS 3Q2022'!H33</f>
        <v>0</v>
      </c>
      <c r="I33" s="101">
        <f>'BS (Before Changes)'!I33-'BS 3Q2022'!I33</f>
        <v>0</v>
      </c>
      <c r="J33" s="101">
        <f>'BS (Before Changes)'!J33-'BS 3Q2022'!J33</f>
        <v>0</v>
      </c>
      <c r="K33" s="101">
        <f>'BS (Before Changes)'!K33-'BS 3Q2022'!K33</f>
        <v>0</v>
      </c>
      <c r="L33" s="101">
        <f>'BS (Before Changes)'!L33-'BS 3Q2022'!L33</f>
        <v>0</v>
      </c>
      <c r="M33" s="169">
        <f>'BS (Before Changes)'!M33-'BS 3Q2022'!M33</f>
        <v>0</v>
      </c>
      <c r="N33" s="101">
        <f>'BS (Before Changes)'!N33-'BS 3Q2022'!N33</f>
        <v>0</v>
      </c>
      <c r="O33" s="101">
        <f>'BS (Before Changes)'!O33-'BS 3Q2022'!O33</f>
        <v>0</v>
      </c>
      <c r="P33" s="101">
        <f>'BS (Before Changes)'!P33-'BS 3Q2022'!P33</f>
        <v>0</v>
      </c>
      <c r="Q33" s="101">
        <f>'BS (Before Changes)'!Q33-'BS 3Q2022'!Q33</f>
        <v>0</v>
      </c>
      <c r="R33" s="169">
        <f>'BS (Before Changes)'!R33-'BS 3Q2022'!R33</f>
        <v>0</v>
      </c>
      <c r="S33" s="101">
        <f>'BS (Before Changes)'!S33-'BS 3Q2022'!S33</f>
        <v>0</v>
      </c>
      <c r="T33" s="101">
        <f>'BS (Before Changes)'!T33-'BS 3Q2022'!T33</f>
        <v>0</v>
      </c>
      <c r="U33" s="101">
        <f>'BS (Before Changes)'!U33-'BS 3Q2022'!U33</f>
        <v>0</v>
      </c>
      <c r="V33" s="33">
        <f>'BS (Before Changes)'!V33-'BS 3Q2022'!V33</f>
        <v>-21.73450000000048</v>
      </c>
      <c r="W33" s="169">
        <f>'BS (Before Changes)'!W33-'BS 3Q2022'!W33</f>
        <v>-21.73450000000048</v>
      </c>
      <c r="X33" s="33">
        <f>'BS (Before Changes)'!X33-'BS 3Q2022'!X33</f>
        <v>-21.625827500000923</v>
      </c>
      <c r="Y33" s="33">
        <f>'BS (Before Changes)'!Y33-'BS 3Q2022'!Y33</f>
        <v>-21.517698362500596</v>
      </c>
      <c r="Z33" s="33">
        <f>'BS (Before Changes)'!Z33-'BS 3Q2022'!Z33</f>
        <v>-21.410109870688757</v>
      </c>
      <c r="AA33" s="33">
        <f>'BS (Before Changes)'!AA33-'BS 3Q2022'!AA33</f>
        <v>-21.30305932133524</v>
      </c>
      <c r="AB33" s="169">
        <f>'BS (Before Changes)'!AB33-'BS 3Q2022'!AB33</f>
        <v>-21.30305932133524</v>
      </c>
      <c r="AC33" s="33">
        <f>'BS (Before Changes)'!AC33-'BS 3Q2022'!AC33</f>
        <v>-21.19654402472861</v>
      </c>
      <c r="AD33" s="33">
        <f>'BS (Before Changes)'!AD33-'BS 3Q2022'!AD33</f>
        <v>-21.090561304605217</v>
      </c>
      <c r="AE33" s="33">
        <f>'BS (Before Changes)'!AE33-'BS 3Q2022'!AE33</f>
        <v>-20.985108498082809</v>
      </c>
      <c r="AF33" s="33">
        <f>'BS (Before Changes)'!AF33-'BS 3Q2022'!AF33</f>
        <v>-20.880182955592318</v>
      </c>
      <c r="AG33" s="169">
        <f>'BS (Before Changes)'!AG33-'BS 3Q2022'!AG33</f>
        <v>-20.880182955592318</v>
      </c>
      <c r="AH33" s="33">
        <f>'BS (Before Changes)'!AH33-'BS 3Q2022'!AH33</f>
        <v>-20.775782040815102</v>
      </c>
      <c r="AI33" s="33">
        <f>'BS (Before Changes)'!AI33-'BS 3Q2022'!AI33</f>
        <v>-20.671903130611099</v>
      </c>
      <c r="AJ33" s="33">
        <f>'BS (Before Changes)'!AJ33-'BS 3Q2022'!AJ33</f>
        <v>-20.568543614957889</v>
      </c>
      <c r="AK33" s="33">
        <f>'BS (Before Changes)'!AK33-'BS 3Q2022'!AK33</f>
        <v>-20.465700896882481</v>
      </c>
      <c r="AL33" s="169">
        <f>'BS (Before Changes)'!AL33-'BS 3Q2022'!AL33</f>
        <v>-20.465700896882481</v>
      </c>
      <c r="AM33" s="33">
        <f>'BS (Before Changes)'!AM33-'BS 3Q2022'!AM33</f>
        <v>-20.36337239239765</v>
      </c>
      <c r="AN33" s="33">
        <f>'BS (Before Changes)'!AN33-'BS 3Q2022'!AN33</f>
        <v>-20.261555530435544</v>
      </c>
      <c r="AO33" s="33">
        <f>'BS (Before Changes)'!AO33-'BS 3Q2022'!AO33</f>
        <v>-20.160247752784016</v>
      </c>
      <c r="AP33" s="33">
        <f>'BS (Before Changes)'!AP33-'BS 3Q2022'!AP33</f>
        <v>-20.059446514020237</v>
      </c>
      <c r="AQ33" s="169">
        <f>'BS (Before Changes)'!AQ33-'BS 3Q2022'!AQ33</f>
        <v>-20.059446514020237</v>
      </c>
      <c r="AR33" s="33">
        <f>'BS (Before Changes)'!AR33-'BS 3Q2022'!AR33</f>
        <v>-19.959149281449754</v>
      </c>
      <c r="AS33" s="33">
        <f>'BS (Before Changes)'!AS33-'BS 3Q2022'!AS33</f>
        <v>-19.859353535041919</v>
      </c>
      <c r="AT33" s="33">
        <f>'BS (Before Changes)'!AT33-'BS 3Q2022'!AT33</f>
        <v>-19.760056767366223</v>
      </c>
      <c r="AU33" s="33">
        <f>'BS (Before Changes)'!AU33-'BS 3Q2022'!AU33</f>
        <v>-19.661256483528632</v>
      </c>
      <c r="AV33" s="169">
        <f>'BS (Before Changes)'!AV33-'BS 3Q2022'!AV33</f>
        <v>-19.661256483528632</v>
      </c>
    </row>
    <row r="34" spans="1:48" ht="15.75" customHeight="1" outlineLevel="1" x14ac:dyDescent="0.45">
      <c r="A34" s="161"/>
      <c r="B34" s="486" t="s">
        <v>240</v>
      </c>
      <c r="C34" s="487"/>
      <c r="D34" s="112">
        <f>'BS (Before Changes)'!D34-'BS 3Q2022'!D34</f>
        <v>0</v>
      </c>
      <c r="E34" s="112">
        <f>'BS (Before Changes)'!E34-'BS 3Q2022'!E34</f>
        <v>0</v>
      </c>
      <c r="F34" s="112">
        <f>'BS (Before Changes)'!F34-'BS 3Q2022'!F34</f>
        <v>0</v>
      </c>
      <c r="G34" s="112">
        <f>'BS (Before Changes)'!G34-'BS 3Q2022'!G34</f>
        <v>0</v>
      </c>
      <c r="H34" s="262">
        <f>'BS (Before Changes)'!H34-'BS 3Q2022'!H34</f>
        <v>0</v>
      </c>
      <c r="I34" s="112">
        <f>'BS (Before Changes)'!I34-'BS 3Q2022'!I34</f>
        <v>0</v>
      </c>
      <c r="J34" s="112">
        <f>'BS (Before Changes)'!J34-'BS 3Q2022'!J34</f>
        <v>0</v>
      </c>
      <c r="K34" s="112">
        <f>'BS (Before Changes)'!K34-'BS 3Q2022'!K34</f>
        <v>0</v>
      </c>
      <c r="L34" s="112">
        <f>'BS (Before Changes)'!L34-'BS 3Q2022'!L34</f>
        <v>0</v>
      </c>
      <c r="M34" s="262">
        <f>'BS (Before Changes)'!M34-'BS 3Q2022'!M34</f>
        <v>0</v>
      </c>
      <c r="N34" s="112">
        <f>'BS (Before Changes)'!N34-'BS 3Q2022'!N34</f>
        <v>0</v>
      </c>
      <c r="O34" s="112">
        <f>'BS (Before Changes)'!O34-'BS 3Q2022'!O34</f>
        <v>0</v>
      </c>
      <c r="P34" s="112">
        <f>'BS (Before Changes)'!P34-'BS 3Q2022'!P34</f>
        <v>0</v>
      </c>
      <c r="Q34" s="112">
        <f>'BS (Before Changes)'!Q34-'BS 3Q2022'!Q34</f>
        <v>0</v>
      </c>
      <c r="R34" s="262">
        <f>'BS (Before Changes)'!R34-'BS 3Q2022'!R34</f>
        <v>0</v>
      </c>
      <c r="S34" s="112">
        <f>'BS (Before Changes)'!S34-'BS 3Q2022'!S34</f>
        <v>0</v>
      </c>
      <c r="T34" s="112">
        <f>'BS (Before Changes)'!T34-'BS 3Q2022'!T34</f>
        <v>0</v>
      </c>
      <c r="U34" s="112">
        <f>'BS (Before Changes)'!U34-'BS 3Q2022'!U34</f>
        <v>0</v>
      </c>
      <c r="V34" s="32">
        <f>'BS (Before Changes)'!V34-'BS 3Q2022'!V34</f>
        <v>16.100000000000023</v>
      </c>
      <c r="W34" s="262">
        <f>'BS (Before Changes)'!W34-'BS 3Q2022'!W34</f>
        <v>16.100000000000023</v>
      </c>
      <c r="X34" s="32">
        <f>'BS (Before Changes)'!X34-'BS 3Q2022'!X34</f>
        <v>16.100000000000023</v>
      </c>
      <c r="Y34" s="32">
        <f>'BS (Before Changes)'!Y34-'BS 3Q2022'!Y34</f>
        <v>16.100000000000023</v>
      </c>
      <c r="Z34" s="32">
        <f>'BS (Before Changes)'!Z34-'BS 3Q2022'!Z34</f>
        <v>16.100000000000023</v>
      </c>
      <c r="AA34" s="32">
        <f>'BS (Before Changes)'!AA34-'BS 3Q2022'!AA34</f>
        <v>16.100000000000023</v>
      </c>
      <c r="AB34" s="262">
        <f>'BS (Before Changes)'!AB34-'BS 3Q2022'!AB34</f>
        <v>16.100000000000023</v>
      </c>
      <c r="AC34" s="32">
        <f>'BS (Before Changes)'!AC34-'BS 3Q2022'!AC34</f>
        <v>16.100000000000023</v>
      </c>
      <c r="AD34" s="32">
        <f>'BS (Before Changes)'!AD34-'BS 3Q2022'!AD34</f>
        <v>16.100000000000023</v>
      </c>
      <c r="AE34" s="32">
        <f>'BS (Before Changes)'!AE34-'BS 3Q2022'!AE34</f>
        <v>16.100000000000023</v>
      </c>
      <c r="AF34" s="32">
        <f>'BS (Before Changes)'!AF34-'BS 3Q2022'!AF34</f>
        <v>16.100000000000023</v>
      </c>
      <c r="AG34" s="262">
        <f>'BS (Before Changes)'!AG34-'BS 3Q2022'!AG34</f>
        <v>16.100000000000023</v>
      </c>
      <c r="AH34" s="32">
        <f>'BS (Before Changes)'!AH34-'BS 3Q2022'!AH34</f>
        <v>16.100000000000023</v>
      </c>
      <c r="AI34" s="32">
        <f>'BS (Before Changes)'!AI34-'BS 3Q2022'!AI34</f>
        <v>16.100000000000023</v>
      </c>
      <c r="AJ34" s="32">
        <f>'BS (Before Changes)'!AJ34-'BS 3Q2022'!AJ34</f>
        <v>16.100000000000023</v>
      </c>
      <c r="AK34" s="32">
        <f>'BS (Before Changes)'!AK34-'BS 3Q2022'!AK34</f>
        <v>16.100000000000023</v>
      </c>
      <c r="AL34" s="262">
        <f>'BS (Before Changes)'!AL34-'BS 3Q2022'!AL34</f>
        <v>16.100000000000023</v>
      </c>
      <c r="AM34" s="32">
        <f>'BS (Before Changes)'!AM34-'BS 3Q2022'!AM34</f>
        <v>16.100000000000023</v>
      </c>
      <c r="AN34" s="32">
        <f>'BS (Before Changes)'!AN34-'BS 3Q2022'!AN34</f>
        <v>16.100000000000023</v>
      </c>
      <c r="AO34" s="32">
        <f>'BS (Before Changes)'!AO34-'BS 3Q2022'!AO34</f>
        <v>16.100000000000023</v>
      </c>
      <c r="AP34" s="32">
        <f>'BS (Before Changes)'!AP34-'BS 3Q2022'!AP34</f>
        <v>16.100000000000023</v>
      </c>
      <c r="AQ34" s="262">
        <f>'BS (Before Changes)'!AQ34-'BS 3Q2022'!AQ34</f>
        <v>16.100000000000023</v>
      </c>
      <c r="AR34" s="32">
        <f>'BS (Before Changes)'!AR34-'BS 3Q2022'!AR34</f>
        <v>16.100000000000023</v>
      </c>
      <c r="AS34" s="32">
        <f>'BS (Before Changes)'!AS34-'BS 3Q2022'!AS34</f>
        <v>16.100000000000023</v>
      </c>
      <c r="AT34" s="32">
        <f>'BS (Before Changes)'!AT34-'BS 3Q2022'!AT34</f>
        <v>16.100000000000023</v>
      </c>
      <c r="AU34" s="32">
        <f>'BS (Before Changes)'!AU34-'BS 3Q2022'!AU34</f>
        <v>16.100000000000023</v>
      </c>
      <c r="AV34" s="262">
        <f>'BS (Before Changes)'!AV34-'BS 3Q2022'!AV34</f>
        <v>16.100000000000023</v>
      </c>
    </row>
    <row r="35" spans="1:48" outlineLevel="1" x14ac:dyDescent="0.3">
      <c r="A35" s="161"/>
      <c r="B35" s="525" t="s">
        <v>241</v>
      </c>
      <c r="C35" s="526"/>
      <c r="D35" s="116">
        <f>'BS (Before Changes)'!D35-'BS 3Q2022'!D35</f>
        <v>0</v>
      </c>
      <c r="E35" s="116">
        <f>'BS (Before Changes)'!E35-'BS 3Q2022'!E35</f>
        <v>0</v>
      </c>
      <c r="F35" s="116">
        <f>'BS (Before Changes)'!F35-'BS 3Q2022'!F35</f>
        <v>0</v>
      </c>
      <c r="G35" s="116">
        <f>'BS (Before Changes)'!G35-'BS 3Q2022'!G35</f>
        <v>0</v>
      </c>
      <c r="H35" s="150">
        <f>'BS (Before Changes)'!H35-'BS 3Q2022'!H35</f>
        <v>0</v>
      </c>
      <c r="I35" s="116">
        <f>'BS (Before Changes)'!I35-'BS 3Q2022'!I35</f>
        <v>0</v>
      </c>
      <c r="J35" s="116">
        <f>'BS (Before Changes)'!J35-'BS 3Q2022'!J35</f>
        <v>0</v>
      </c>
      <c r="K35" s="116">
        <f>'BS (Before Changes)'!K35-'BS 3Q2022'!K35</f>
        <v>0</v>
      </c>
      <c r="L35" s="116">
        <f>'BS (Before Changes)'!L35-'BS 3Q2022'!L35</f>
        <v>0</v>
      </c>
      <c r="M35" s="150">
        <f>'BS (Before Changes)'!M35-'BS 3Q2022'!M35</f>
        <v>0</v>
      </c>
      <c r="N35" s="116">
        <f>'BS (Before Changes)'!N35-'BS 3Q2022'!N35</f>
        <v>0</v>
      </c>
      <c r="O35" s="116">
        <f>'BS (Before Changes)'!O35-'BS 3Q2022'!O35</f>
        <v>0</v>
      </c>
      <c r="P35" s="116">
        <f>'BS (Before Changes)'!P35-'BS 3Q2022'!P35</f>
        <v>0</v>
      </c>
      <c r="Q35" s="116">
        <f>'BS (Before Changes)'!Q35-'BS 3Q2022'!Q35</f>
        <v>0</v>
      </c>
      <c r="R35" s="150">
        <f>'BS (Before Changes)'!R35-'BS 3Q2022'!R35</f>
        <v>0</v>
      </c>
      <c r="S35" s="116">
        <f>'BS (Before Changes)'!S35-'BS 3Q2022'!S35</f>
        <v>0</v>
      </c>
      <c r="T35" s="116">
        <f>'BS (Before Changes)'!T35-'BS 3Q2022'!T35</f>
        <v>0</v>
      </c>
      <c r="U35" s="116">
        <f>'BS (Before Changes)'!U35-'BS 3Q2022'!U35</f>
        <v>0</v>
      </c>
      <c r="V35" s="116">
        <f>'BS (Before Changes)'!V35-'BS 3Q2022'!V35</f>
        <v>256.72016545578663</v>
      </c>
      <c r="W35" s="150">
        <f>'BS (Before Changes)'!W35-'BS 3Q2022'!W35</f>
        <v>256.72016545578663</v>
      </c>
      <c r="X35" s="116">
        <f>'BS (Before Changes)'!X35-'BS 3Q2022'!X35</f>
        <v>183.03240379582712</v>
      </c>
      <c r="Y35" s="116">
        <f>'BS (Before Changes)'!Y35-'BS 3Q2022'!Y35</f>
        <v>187.38837911550945</v>
      </c>
      <c r="Z35" s="116">
        <f>'BS (Before Changes)'!Z35-'BS 3Q2022'!Z35</f>
        <v>188.1644417772186</v>
      </c>
      <c r="AA35" s="116">
        <f>'BS (Before Changes)'!AA35-'BS 3Q2022'!AA35</f>
        <v>215.42148217996146</v>
      </c>
      <c r="AB35" s="150">
        <f>'BS (Before Changes)'!AB35-'BS 3Q2022'!AB35</f>
        <v>215.42148217996146</v>
      </c>
      <c r="AC35" s="116">
        <f>'BS (Before Changes)'!AC35-'BS 3Q2022'!AC35</f>
        <v>176.61644800761133</v>
      </c>
      <c r="AD35" s="116">
        <f>'BS (Before Changes)'!AD35-'BS 3Q2022'!AD35</f>
        <v>181.18277685145586</v>
      </c>
      <c r="AE35" s="116">
        <f>'BS (Before Changes)'!AE35-'BS 3Q2022'!AE35</f>
        <v>182.10982915908971</v>
      </c>
      <c r="AF35" s="116">
        <f>'BS (Before Changes)'!AF35-'BS 3Q2022'!AF35</f>
        <v>218.37854948650056</v>
      </c>
      <c r="AG35" s="150">
        <f>'BS (Before Changes)'!AG35-'BS 3Q2022'!AG35</f>
        <v>218.37854948650056</v>
      </c>
      <c r="AH35" s="116">
        <f>'BS (Before Changes)'!AH35-'BS 3Q2022'!AH35</f>
        <v>169.68006808965583</v>
      </c>
      <c r="AI35" s="116">
        <f>'BS (Before Changes)'!AI35-'BS 3Q2022'!AI35</f>
        <v>174.49349029587029</v>
      </c>
      <c r="AJ35" s="116">
        <f>'BS (Before Changes)'!AJ35-'BS 3Q2022'!AJ35</f>
        <v>426.74329906686762</v>
      </c>
      <c r="AK35" s="116">
        <f>'BS (Before Changes)'!AK35-'BS 3Q2022'!AK35</f>
        <v>476.35340824564628</v>
      </c>
      <c r="AL35" s="150">
        <f>'BS (Before Changes)'!AL35-'BS 3Q2022'!AL35</f>
        <v>476.35340824564628</v>
      </c>
      <c r="AM35" s="116">
        <f>'BS (Before Changes)'!AM35-'BS 3Q2022'!AM35</f>
        <v>413.44945041016763</v>
      </c>
      <c r="AN35" s="116">
        <f>'BS (Before Changes)'!AN35-'BS 3Q2022'!AN35</f>
        <v>418.67672086157836</v>
      </c>
      <c r="AO35" s="116">
        <f>'BS (Before Changes)'!AO35-'BS 3Q2022'!AO35</f>
        <v>419.56882789653901</v>
      </c>
      <c r="AP35" s="116">
        <f>'BS (Before Changes)'!AP35-'BS 3Q2022'!AP35</f>
        <v>463.23271760278294</v>
      </c>
      <c r="AQ35" s="150">
        <f>'BS (Before Changes)'!AQ35-'BS 3Q2022'!AQ35</f>
        <v>463.23271760278294</v>
      </c>
      <c r="AR35" s="116">
        <f>'BS (Before Changes)'!AR35-'BS 3Q2022'!AR35</f>
        <v>405.02727470622631</v>
      </c>
      <c r="AS35" s="116">
        <f>'BS (Before Changes)'!AS35-'BS 3Q2022'!AS35</f>
        <v>410.8835549310752</v>
      </c>
      <c r="AT35" s="116">
        <f>'BS (Before Changes)'!AT35-'BS 3Q2022'!AT35</f>
        <v>411.80541405899567</v>
      </c>
      <c r="AU35" s="116">
        <f>'BS (Before Changes)'!AU35-'BS 3Q2022'!AU35</f>
        <v>460.74189115210902</v>
      </c>
      <c r="AV35" s="150">
        <f>'BS (Before Changes)'!AV35-'BS 3Q2022'!AV35</f>
        <v>460.74189115210902</v>
      </c>
    </row>
    <row r="36" spans="1:48" ht="17.399999999999999" x14ac:dyDescent="0.45">
      <c r="B36" s="494" t="s">
        <v>242</v>
      </c>
      <c r="C36" s="495"/>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263" t="s">
        <v>25</v>
      </c>
      <c r="W36" s="264" t="s">
        <v>26</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486" t="s">
        <v>243</v>
      </c>
      <c r="C37" s="487"/>
      <c r="D37" s="16">
        <f>'BS (Before Changes)'!D37-'BS 3Q2022'!D37</f>
        <v>0</v>
      </c>
      <c r="E37" s="16">
        <f>'BS (Before Changes)'!E37-'BS 3Q2022'!E37</f>
        <v>0</v>
      </c>
      <c r="F37" s="16">
        <f>'BS (Before Changes)'!F37-'BS 3Q2022'!F37</f>
        <v>0</v>
      </c>
      <c r="G37" s="16">
        <f>'BS (Before Changes)'!G37-'BS 3Q2022'!G37</f>
        <v>0</v>
      </c>
      <c r="H37" s="17">
        <f>'BS (Before Changes)'!H37-'BS 3Q2022'!H37</f>
        <v>0</v>
      </c>
      <c r="I37" s="16">
        <f>'BS (Before Changes)'!I37-'BS 3Q2022'!I37</f>
        <v>0</v>
      </c>
      <c r="J37" s="16">
        <f>'BS (Before Changes)'!J37-'BS 3Q2022'!J37</f>
        <v>0</v>
      </c>
      <c r="K37" s="16">
        <f>'BS (Before Changes)'!K37-'BS 3Q2022'!K37</f>
        <v>0</v>
      </c>
      <c r="L37" s="16">
        <f>'BS (Before Changes)'!L37-'BS 3Q2022'!L37</f>
        <v>0</v>
      </c>
      <c r="M37" s="17">
        <f>'BS (Before Changes)'!M37-'BS 3Q2022'!M37</f>
        <v>0</v>
      </c>
      <c r="N37" s="16">
        <f>'BS (Before Changes)'!N37-'BS 3Q2022'!N37</f>
        <v>0</v>
      </c>
      <c r="O37" s="16">
        <f>'BS (Before Changes)'!O37-'BS 3Q2022'!O37</f>
        <v>0</v>
      </c>
      <c r="P37" s="16">
        <f>'BS (Before Changes)'!P37-'BS 3Q2022'!P37</f>
        <v>0</v>
      </c>
      <c r="Q37" s="16">
        <f>'BS (Before Changes)'!Q37-'BS 3Q2022'!Q37</f>
        <v>0</v>
      </c>
      <c r="R37" s="17">
        <f>'BS (Before Changes)'!R37-'BS 3Q2022'!R37</f>
        <v>0</v>
      </c>
      <c r="S37" s="16">
        <f>'BS (Before Changes)'!S37-'BS 3Q2022'!S37</f>
        <v>0</v>
      </c>
      <c r="T37" s="16">
        <f>'BS (Before Changes)'!T37-'BS 3Q2022'!T37</f>
        <v>0</v>
      </c>
      <c r="U37" s="16">
        <f>'BS (Before Changes)'!U37-'BS 3Q2022'!U37</f>
        <v>0</v>
      </c>
      <c r="V37" s="16">
        <f>'BS (Before Changes)'!V37-'BS 3Q2022'!V37</f>
        <v>19.941790451070347</v>
      </c>
      <c r="W37" s="17">
        <f>'BS (Before Changes)'!W37-'BS 3Q2022'!W37</f>
        <v>19.941790451070347</v>
      </c>
      <c r="X37" s="16">
        <f>'BS (Before Changes)'!X37-'BS 3Q2022'!X37</f>
        <v>16.480699966073701</v>
      </c>
      <c r="Y37" s="16">
        <f>'BS (Before Changes)'!Y37-'BS 3Q2022'!Y37</f>
        <v>12.943239559136543</v>
      </c>
      <c r="Z37" s="16">
        <f>'BS (Before Changes)'!Z37-'BS 3Q2022'!Z37</f>
        <v>8.521644862787582</v>
      </c>
      <c r="AA37" s="16">
        <f>'BS (Before Changes)'!AA37-'BS 3Q2022'!AA37</f>
        <v>3.9807103377399926</v>
      </c>
      <c r="AB37" s="17">
        <f>'BS (Before Changes)'!AB37-'BS 3Q2022'!AB37</f>
        <v>3.9807103377399926</v>
      </c>
      <c r="AC37" s="16">
        <f>'BS (Before Changes)'!AC37-'BS 3Q2022'!AC37</f>
        <v>-0.54862673251363958</v>
      </c>
      <c r="AD37" s="16">
        <f>'BS (Before Changes)'!AD37-'BS 3Q2022'!AD37</f>
        <v>-4.9871066593570959</v>
      </c>
      <c r="AE37" s="16">
        <f>'BS (Before Changes)'!AE37-'BS 3Q2022'!AE37</f>
        <v>-10.004523693751025</v>
      </c>
      <c r="AF37" s="16">
        <f>'BS (Before Changes)'!AF37-'BS 3Q2022'!AF37</f>
        <v>-14.51612295617781</v>
      </c>
      <c r="AG37" s="17">
        <f>'BS (Before Changes)'!AG37-'BS 3Q2022'!AG37</f>
        <v>-14.51612295617781</v>
      </c>
      <c r="AH37" s="16">
        <f>'BS (Before Changes)'!AH37-'BS 3Q2022'!AH37</f>
        <v>-19.810083729346161</v>
      </c>
      <c r="AI37" s="16">
        <f>'BS (Before Changes)'!AI37-'BS 3Q2022'!AI37</f>
        <v>-24.872408011291668</v>
      </c>
      <c r="AJ37" s="16">
        <f>'BS (Before Changes)'!AJ37-'BS 3Q2022'!AJ37</f>
        <v>-30.455833436039711</v>
      </c>
      <c r="AK37" s="16">
        <f>'BS (Before Changes)'!AK37-'BS 3Q2022'!AK37</f>
        <v>-35.479705429803062</v>
      </c>
      <c r="AL37" s="17">
        <f>'BS (Before Changes)'!AL37-'BS 3Q2022'!AL37</f>
        <v>-35.479705429803062</v>
      </c>
      <c r="AM37" s="16">
        <f>'BS (Before Changes)'!AM37-'BS 3Q2022'!AM37</f>
        <v>-41.38492269074186</v>
      </c>
      <c r="AN37" s="16">
        <f>'BS (Before Changes)'!AN37-'BS 3Q2022'!AN37</f>
        <v>-46.956035553541369</v>
      </c>
      <c r="AO37" s="16">
        <f>'BS (Before Changes)'!AO37-'BS 3Q2022'!AO37</f>
        <v>-53.050131231936348</v>
      </c>
      <c r="AP37" s="16">
        <f>'BS (Before Changes)'!AP37-'BS 3Q2022'!AP37</f>
        <v>-58.557310421503416</v>
      </c>
      <c r="AQ37" s="17">
        <f>'BS (Before Changes)'!AQ37-'BS 3Q2022'!AQ37</f>
        <v>-58.557310421503416</v>
      </c>
      <c r="AR37" s="16">
        <f>'BS (Before Changes)'!AR37-'BS 3Q2022'!AR37</f>
        <v>-64.87640729234522</v>
      </c>
      <c r="AS37" s="16">
        <f>'BS (Before Changes)'!AS37-'BS 3Q2022'!AS37</f>
        <v>-70.821547454829442</v>
      </c>
      <c r="AT37" s="16">
        <f>'BS (Before Changes)'!AT37-'BS 3Q2022'!AT37</f>
        <v>-77.320146634940556</v>
      </c>
      <c r="AU37" s="16">
        <f>'BS (Before Changes)'!AU37-'BS 3Q2022'!AU37</f>
        <v>-83.234726927248857</v>
      </c>
      <c r="AV37" s="17">
        <f>'BS (Before Changes)'!AV37-'BS 3Q2022'!AV37</f>
        <v>-83.234726927248857</v>
      </c>
    </row>
    <row r="38" spans="1:48" outlineLevel="1" x14ac:dyDescent="0.3">
      <c r="B38" s="527" t="s">
        <v>244</v>
      </c>
      <c r="C38" s="528"/>
      <c r="D38" s="16">
        <f>'BS (Before Changes)'!D38-'BS 3Q2022'!D38</f>
        <v>0</v>
      </c>
      <c r="E38" s="101">
        <f>'BS (Before Changes)'!E38-'BS 3Q2022'!E38</f>
        <v>0</v>
      </c>
      <c r="F38" s="101">
        <f>'BS (Before Changes)'!F38-'BS 3Q2022'!F38</f>
        <v>0</v>
      </c>
      <c r="G38" s="101">
        <f>'BS (Before Changes)'!G38-'BS 3Q2022'!G38</f>
        <v>0</v>
      </c>
      <c r="H38" s="169">
        <f>'BS (Before Changes)'!H38-'BS 3Q2022'!H38</f>
        <v>0</v>
      </c>
      <c r="I38" s="101">
        <f>'BS (Before Changes)'!I38-'BS 3Q2022'!I38</f>
        <v>0</v>
      </c>
      <c r="J38" s="101">
        <f>'BS (Before Changes)'!J38-'BS 3Q2022'!J38</f>
        <v>0</v>
      </c>
      <c r="K38" s="101">
        <f>'BS (Before Changes)'!K38-'BS 3Q2022'!K38</f>
        <v>0</v>
      </c>
      <c r="L38" s="101">
        <f>'BS (Before Changes)'!L38-'BS 3Q2022'!L38</f>
        <v>0</v>
      </c>
      <c r="M38" s="169">
        <f>'BS (Before Changes)'!M38-'BS 3Q2022'!M38</f>
        <v>0</v>
      </c>
      <c r="N38" s="101">
        <f>'BS (Before Changes)'!N38-'BS 3Q2022'!N38</f>
        <v>0</v>
      </c>
      <c r="O38" s="101">
        <f>'BS (Before Changes)'!O38-'BS 3Q2022'!O38</f>
        <v>0</v>
      </c>
      <c r="P38" s="101">
        <f>'BS (Before Changes)'!P38-'BS 3Q2022'!P38</f>
        <v>0</v>
      </c>
      <c r="Q38" s="101">
        <f>'BS (Before Changes)'!Q38-'BS 3Q2022'!Q38</f>
        <v>0</v>
      </c>
      <c r="R38" s="169">
        <f>'BS (Before Changes)'!R38-'BS 3Q2022'!R38</f>
        <v>0</v>
      </c>
      <c r="S38" s="101">
        <f>'BS (Before Changes)'!S38-'BS 3Q2022'!S38</f>
        <v>0</v>
      </c>
      <c r="T38" s="101">
        <f>'BS (Before Changes)'!T38-'BS 3Q2022'!T38</f>
        <v>0</v>
      </c>
      <c r="U38" s="101">
        <f>'BS (Before Changes)'!U38-'BS 3Q2022'!U38</f>
        <v>0</v>
      </c>
      <c r="V38" s="101">
        <f>'BS (Before Changes)'!V38-'BS 3Q2022'!V38</f>
        <v>94.759758597867403</v>
      </c>
      <c r="W38" s="169">
        <f>'BS (Before Changes)'!W38-'BS 3Q2022'!W38</f>
        <v>94.759758597867403</v>
      </c>
      <c r="X38" s="101">
        <f>'BS (Before Changes)'!X38-'BS 3Q2022'!X38</f>
        <v>102.64773156286174</v>
      </c>
      <c r="Y38" s="101">
        <f>'BS (Before Changes)'!Y38-'BS 3Q2022'!Y38</f>
        <v>129.96999317969676</v>
      </c>
      <c r="Z38" s="101">
        <f>'BS (Before Changes)'!Z38-'BS 3Q2022'!Z38</f>
        <v>166.03200155815102</v>
      </c>
      <c r="AA38" s="101">
        <f>'BS (Before Changes)'!AA38-'BS 3Q2022'!AA38</f>
        <v>236.17905388251347</v>
      </c>
      <c r="AB38" s="169">
        <f>'BS (Before Changes)'!AB38-'BS 3Q2022'!AB38</f>
        <v>236.17905388251347</v>
      </c>
      <c r="AC38" s="101">
        <f>'BS (Before Changes)'!AC38-'BS 3Q2022'!AC38</f>
        <v>264.57893445620266</v>
      </c>
      <c r="AD38" s="101">
        <f>'BS (Before Changes)'!AD38-'BS 3Q2022'!AD38</f>
        <v>304.68554677174689</v>
      </c>
      <c r="AE38" s="101">
        <f>'BS (Before Changes)'!AE38-'BS 3Q2022'!AE38</f>
        <v>347.22001848908076</v>
      </c>
      <c r="AF38" s="101">
        <f>'BS (Before Changes)'!AF38-'BS 3Q2022'!AF38</f>
        <v>413.12924036626191</v>
      </c>
      <c r="AG38" s="169">
        <f>'BS (Before Changes)'!AG38-'BS 3Q2022'!AG38</f>
        <v>413.12924036626191</v>
      </c>
      <c r="AH38" s="101">
        <f>'BS (Before Changes)'!AH38-'BS 3Q2022'!AH38</f>
        <v>439.76135633614012</v>
      </c>
      <c r="AI38" s="101">
        <f>'BS (Before Changes)'!AI38-'BS 3Q2022'!AI38</f>
        <v>478.99408296892943</v>
      </c>
      <c r="AJ38" s="101">
        <f>'BS (Before Changes)'!AJ38-'BS 3Q2022'!AJ38</f>
        <v>269.4974718145404</v>
      </c>
      <c r="AK38" s="101">
        <f>'BS (Before Changes)'!AK38-'BS 3Q2022'!AK38</f>
        <v>76.365932428407177</v>
      </c>
      <c r="AL38" s="169">
        <f>'BS (Before Changes)'!AL38-'BS 3Q2022'!AL38</f>
        <v>76.365932428407177</v>
      </c>
      <c r="AM38" s="101">
        <f>'BS (Before Changes)'!AM38-'BS 3Q2022'!AM38</f>
        <v>93.603136807909323</v>
      </c>
      <c r="AN38" s="101">
        <f>'BS (Before Changes)'!AN38-'BS 3Q2022'!AN38</f>
        <v>125.00966599098319</v>
      </c>
      <c r="AO38" s="101">
        <f>'BS (Before Changes)'!AO38-'BS 3Q2022'!AO38</f>
        <v>160.56913465728576</v>
      </c>
      <c r="AP38" s="101">
        <f>'BS (Before Changes)'!AP38-'BS 3Q2022'!AP38</f>
        <v>217.45570380190838</v>
      </c>
      <c r="AQ38" s="169">
        <f>'BS (Before Changes)'!AQ38-'BS 3Q2022'!AQ38</f>
        <v>217.45570380190838</v>
      </c>
      <c r="AR38" s="101">
        <f>'BS (Before Changes)'!AR38-'BS 3Q2022'!AR38</f>
        <v>235.51703207090941</v>
      </c>
      <c r="AS38" s="101">
        <f>'BS (Before Changes)'!AS38-'BS 3Q2022'!AS38</f>
        <v>268.43716816384404</v>
      </c>
      <c r="AT38" s="101">
        <f>'BS (Before Changes)'!AT38-'BS 3Q2022'!AT38</f>
        <v>304.52905756269865</v>
      </c>
      <c r="AU38" s="101">
        <f>'BS (Before Changes)'!AU38-'BS 3Q2022'!AU38</f>
        <v>359.30211500619953</v>
      </c>
      <c r="AV38" s="169">
        <f>'BS (Before Changes)'!AV38-'BS 3Q2022'!AV38</f>
        <v>359.30211500619953</v>
      </c>
    </row>
    <row r="39" spans="1:48" outlineLevel="1" x14ac:dyDescent="0.3">
      <c r="B39" s="527" t="s">
        <v>245</v>
      </c>
      <c r="C39" s="528"/>
      <c r="D39" s="16">
        <f>'BS (Before Changes)'!D39-'BS 3Q2022'!D39</f>
        <v>0</v>
      </c>
      <c r="E39" s="102">
        <f>'BS (Before Changes)'!E39-'BS 3Q2022'!E39</f>
        <v>0</v>
      </c>
      <c r="F39" s="101">
        <f>'BS (Before Changes)'!F39-'BS 3Q2022'!F39</f>
        <v>0</v>
      </c>
      <c r="G39" s="101">
        <f>'BS (Before Changes)'!G39-'BS 3Q2022'!G39</f>
        <v>0</v>
      </c>
      <c r="H39" s="169">
        <f>'BS (Before Changes)'!H39-'BS 3Q2022'!H39</f>
        <v>0</v>
      </c>
      <c r="I39" s="101">
        <f>'BS (Before Changes)'!I39-'BS 3Q2022'!I39</f>
        <v>0</v>
      </c>
      <c r="J39" s="101">
        <f>'BS (Before Changes)'!J39-'BS 3Q2022'!J39</f>
        <v>0</v>
      </c>
      <c r="K39" s="101">
        <f>'BS (Before Changes)'!K39-'BS 3Q2022'!K39</f>
        <v>0</v>
      </c>
      <c r="L39" s="101">
        <f>'BS (Before Changes)'!L39-'BS 3Q2022'!L39</f>
        <v>0</v>
      </c>
      <c r="M39" s="169">
        <f>'BS (Before Changes)'!M39-'BS 3Q2022'!M39</f>
        <v>0</v>
      </c>
      <c r="N39" s="101">
        <f>'BS (Before Changes)'!N39-'BS 3Q2022'!N39</f>
        <v>0</v>
      </c>
      <c r="O39" s="101">
        <f>'BS (Before Changes)'!O39-'BS 3Q2022'!O39</f>
        <v>0</v>
      </c>
      <c r="P39" s="101">
        <f>'BS (Before Changes)'!P39-'BS 3Q2022'!P39</f>
        <v>0</v>
      </c>
      <c r="Q39" s="101">
        <f>'BS (Before Changes)'!Q39-'BS 3Q2022'!Q39</f>
        <v>0</v>
      </c>
      <c r="R39" s="169">
        <f>'BS (Before Changes)'!R39-'BS 3Q2022'!R39</f>
        <v>0</v>
      </c>
      <c r="S39" s="101">
        <f>'BS (Before Changes)'!S39-'BS 3Q2022'!S39</f>
        <v>0</v>
      </c>
      <c r="T39" s="101">
        <f>'BS (Before Changes)'!T39-'BS 3Q2022'!T39</f>
        <v>0</v>
      </c>
      <c r="U39" s="101">
        <f>'BS (Before Changes)'!U39-'BS 3Q2022'!U39</f>
        <v>0</v>
      </c>
      <c r="V39" s="101">
        <f>'BS (Before Changes)'!V39-'BS 3Q2022'!V39</f>
        <v>-398.2</v>
      </c>
      <c r="W39" s="169">
        <f>'BS (Before Changes)'!W39-'BS 3Q2022'!W39</f>
        <v>-398.2</v>
      </c>
      <c r="X39" s="101">
        <f>'BS (Before Changes)'!X39-'BS 3Q2022'!X39</f>
        <v>-398.2</v>
      </c>
      <c r="Y39" s="101">
        <f>'BS (Before Changes)'!Y39-'BS 3Q2022'!Y39</f>
        <v>-398.2</v>
      </c>
      <c r="Z39" s="101">
        <f>'BS (Before Changes)'!Z39-'BS 3Q2022'!Z39</f>
        <v>-398.2</v>
      </c>
      <c r="AA39" s="101">
        <f>'BS (Before Changes)'!AA39-'BS 3Q2022'!AA39</f>
        <v>-398.2</v>
      </c>
      <c r="AB39" s="169">
        <f>'BS (Before Changes)'!AB39-'BS 3Q2022'!AB39</f>
        <v>-398.2</v>
      </c>
      <c r="AC39" s="101">
        <f>'BS (Before Changes)'!AC39-'BS 3Q2022'!AC39</f>
        <v>-398.2</v>
      </c>
      <c r="AD39" s="101">
        <f>'BS (Before Changes)'!AD39-'BS 3Q2022'!AD39</f>
        <v>-398.2</v>
      </c>
      <c r="AE39" s="101">
        <f>'BS (Before Changes)'!AE39-'BS 3Q2022'!AE39</f>
        <v>-398.2</v>
      </c>
      <c r="AF39" s="101">
        <f>'BS (Before Changes)'!AF39-'BS 3Q2022'!AF39</f>
        <v>-398.2</v>
      </c>
      <c r="AG39" s="169">
        <f>'BS (Before Changes)'!AG39-'BS 3Q2022'!AG39</f>
        <v>-398.2</v>
      </c>
      <c r="AH39" s="101">
        <f>'BS (Before Changes)'!AH39-'BS 3Q2022'!AH39</f>
        <v>-398.2</v>
      </c>
      <c r="AI39" s="101">
        <f>'BS (Before Changes)'!AI39-'BS 3Q2022'!AI39</f>
        <v>-398.2</v>
      </c>
      <c r="AJ39" s="101">
        <f>'BS (Before Changes)'!AJ39-'BS 3Q2022'!AJ39</f>
        <v>-398.2</v>
      </c>
      <c r="AK39" s="101">
        <f>'BS (Before Changes)'!AK39-'BS 3Q2022'!AK39</f>
        <v>-398.2</v>
      </c>
      <c r="AL39" s="169">
        <f>'BS (Before Changes)'!AL39-'BS 3Q2022'!AL39</f>
        <v>-398.2</v>
      </c>
      <c r="AM39" s="101">
        <f>'BS (Before Changes)'!AM39-'BS 3Q2022'!AM39</f>
        <v>-398.2</v>
      </c>
      <c r="AN39" s="101">
        <f>'BS (Before Changes)'!AN39-'BS 3Q2022'!AN39</f>
        <v>-398.2</v>
      </c>
      <c r="AO39" s="101">
        <f>'BS (Before Changes)'!AO39-'BS 3Q2022'!AO39</f>
        <v>-398.2</v>
      </c>
      <c r="AP39" s="101">
        <f>'BS (Before Changes)'!AP39-'BS 3Q2022'!AP39</f>
        <v>-398.2</v>
      </c>
      <c r="AQ39" s="169">
        <f>'BS (Before Changes)'!AQ39-'BS 3Q2022'!AQ39</f>
        <v>-398.2</v>
      </c>
      <c r="AR39" s="101">
        <f>'BS (Before Changes)'!AR39-'BS 3Q2022'!AR39</f>
        <v>-398.2</v>
      </c>
      <c r="AS39" s="101">
        <f>'BS (Before Changes)'!AS39-'BS 3Q2022'!AS39</f>
        <v>-398.2</v>
      </c>
      <c r="AT39" s="101">
        <f>'BS (Before Changes)'!AT39-'BS 3Q2022'!AT39</f>
        <v>-398.2</v>
      </c>
      <c r="AU39" s="101">
        <f>'BS (Before Changes)'!AU39-'BS 3Q2022'!AU39</f>
        <v>-398.2</v>
      </c>
      <c r="AV39" s="169">
        <f>'BS (Before Changes)'!AV39-'BS 3Q2022'!AV39</f>
        <v>-398.2</v>
      </c>
    </row>
    <row r="40" spans="1:48" ht="16.2" outlineLevel="1" x14ac:dyDescent="0.45">
      <c r="B40" s="265" t="s">
        <v>246</v>
      </c>
      <c r="C40" s="266"/>
      <c r="D40" s="260">
        <f>'BS (Before Changes)'!D40-'BS 3Q2022'!D40</f>
        <v>0</v>
      </c>
      <c r="E40" s="112">
        <f>'BS (Before Changes)'!E40-'BS 3Q2022'!E40</f>
        <v>0</v>
      </c>
      <c r="F40" s="112">
        <f>'BS (Before Changes)'!F40-'BS 3Q2022'!F40</f>
        <v>0</v>
      </c>
      <c r="G40" s="112">
        <f>'BS (Before Changes)'!G40-'BS 3Q2022'!G40</f>
        <v>0</v>
      </c>
      <c r="H40" s="261">
        <f>'BS (Before Changes)'!H40-'BS 3Q2022'!H40</f>
        <v>0</v>
      </c>
      <c r="I40" s="112">
        <f>'BS (Before Changes)'!I40-'BS 3Q2022'!I40</f>
        <v>0</v>
      </c>
      <c r="J40" s="112">
        <f>'BS (Before Changes)'!J40-'BS 3Q2022'!J40</f>
        <v>0</v>
      </c>
      <c r="K40" s="112">
        <f>'BS (Before Changes)'!K40-'BS 3Q2022'!K40</f>
        <v>0</v>
      </c>
      <c r="L40" s="112">
        <f>'BS (Before Changes)'!L40-'BS 3Q2022'!L40</f>
        <v>0</v>
      </c>
      <c r="M40" s="262">
        <f>'BS (Before Changes)'!M40-'BS 3Q2022'!M40</f>
        <v>0</v>
      </c>
      <c r="N40" s="112">
        <f>'BS (Before Changes)'!N40-'BS 3Q2022'!N40</f>
        <v>0</v>
      </c>
      <c r="O40" s="112">
        <f>'BS (Before Changes)'!O40-'BS 3Q2022'!O40</f>
        <v>0</v>
      </c>
      <c r="P40" s="112">
        <f>'BS (Before Changes)'!P40-'BS 3Q2022'!P40</f>
        <v>0</v>
      </c>
      <c r="Q40" s="112">
        <f>'BS (Before Changes)'!Q40-'BS 3Q2022'!Q40</f>
        <v>0</v>
      </c>
      <c r="R40" s="262">
        <f>'BS (Before Changes)'!R40-'BS 3Q2022'!R40</f>
        <v>0</v>
      </c>
      <c r="S40" s="112">
        <f>'BS (Before Changes)'!S40-'BS 3Q2022'!S40</f>
        <v>0</v>
      </c>
      <c r="T40" s="112">
        <f>'BS (Before Changes)'!T40-'BS 3Q2022'!T40</f>
        <v>0</v>
      </c>
      <c r="U40" s="112">
        <f>'BS (Before Changes)'!U40-'BS 3Q2022'!U40</f>
        <v>0</v>
      </c>
      <c r="V40" s="112">
        <f>'BS (Before Changes)'!V40-'BS 3Q2022'!V40</f>
        <v>0.30000000000000071</v>
      </c>
      <c r="W40" s="262">
        <f>'BS (Before Changes)'!W40-'BS 3Q2022'!W40</f>
        <v>0.30000000000000071</v>
      </c>
      <c r="X40" s="112">
        <f>'BS (Before Changes)'!X40-'BS 3Q2022'!X40</f>
        <v>0.30000000000000071</v>
      </c>
      <c r="Y40" s="112">
        <f>'BS (Before Changes)'!Y40-'BS 3Q2022'!Y40</f>
        <v>0.30000000000000071</v>
      </c>
      <c r="Z40" s="112">
        <f>'BS (Before Changes)'!Z40-'BS 3Q2022'!Z40</f>
        <v>0.30000000000000071</v>
      </c>
      <c r="AA40" s="112">
        <f>'BS (Before Changes)'!AA40-'BS 3Q2022'!AA40</f>
        <v>0.30000000000000071</v>
      </c>
      <c r="AB40" s="262">
        <f>'BS (Before Changes)'!AB40-'BS 3Q2022'!AB40</f>
        <v>0.30000000000000071</v>
      </c>
      <c r="AC40" s="112">
        <f>'BS (Before Changes)'!AC40-'BS 3Q2022'!AC40</f>
        <v>0.30000000000000071</v>
      </c>
      <c r="AD40" s="112">
        <f>'BS (Before Changes)'!AD40-'BS 3Q2022'!AD40</f>
        <v>0.30000000000000071</v>
      </c>
      <c r="AE40" s="112">
        <f>'BS (Before Changes)'!AE40-'BS 3Q2022'!AE40</f>
        <v>0.30000000000000071</v>
      </c>
      <c r="AF40" s="112">
        <f>'BS (Before Changes)'!AF40-'BS 3Q2022'!AF40</f>
        <v>0.30000000000000071</v>
      </c>
      <c r="AG40" s="262">
        <f>'BS (Before Changes)'!AG40-'BS 3Q2022'!AG40</f>
        <v>0.30000000000000071</v>
      </c>
      <c r="AH40" s="112">
        <f>'BS (Before Changes)'!AH40-'BS 3Q2022'!AH40</f>
        <v>0.30000000000000071</v>
      </c>
      <c r="AI40" s="112">
        <f>'BS (Before Changes)'!AI40-'BS 3Q2022'!AI40</f>
        <v>0.30000000000000071</v>
      </c>
      <c r="AJ40" s="112">
        <f>'BS (Before Changes)'!AJ40-'BS 3Q2022'!AJ40</f>
        <v>0.30000000000000071</v>
      </c>
      <c r="AK40" s="112">
        <f>'BS (Before Changes)'!AK40-'BS 3Q2022'!AK40</f>
        <v>0.30000000000000071</v>
      </c>
      <c r="AL40" s="262">
        <f>'BS (Before Changes)'!AL40-'BS 3Q2022'!AL40</f>
        <v>0.30000000000000071</v>
      </c>
      <c r="AM40" s="112">
        <f>'BS (Before Changes)'!AM40-'BS 3Q2022'!AM40</f>
        <v>0.30000000000000071</v>
      </c>
      <c r="AN40" s="112">
        <f>'BS (Before Changes)'!AN40-'BS 3Q2022'!AN40</f>
        <v>0.30000000000000071</v>
      </c>
      <c r="AO40" s="112">
        <f>'BS (Before Changes)'!AO40-'BS 3Q2022'!AO40</f>
        <v>0.30000000000000071</v>
      </c>
      <c r="AP40" s="112">
        <f>'BS (Before Changes)'!AP40-'BS 3Q2022'!AP40</f>
        <v>0.30000000000000071</v>
      </c>
      <c r="AQ40" s="262">
        <f>'BS (Before Changes)'!AQ40-'BS 3Q2022'!AQ40</f>
        <v>0.30000000000000071</v>
      </c>
      <c r="AR40" s="112">
        <f>'BS (Before Changes)'!AR40-'BS 3Q2022'!AR40</f>
        <v>0.30000000000000071</v>
      </c>
      <c r="AS40" s="112">
        <f>'BS (Before Changes)'!AS40-'BS 3Q2022'!AS40</f>
        <v>0.30000000000000071</v>
      </c>
      <c r="AT40" s="112">
        <f>'BS (Before Changes)'!AT40-'BS 3Q2022'!AT40</f>
        <v>0.30000000000000071</v>
      </c>
      <c r="AU40" s="112">
        <f>'BS (Before Changes)'!AU40-'BS 3Q2022'!AU40</f>
        <v>0.30000000000000071</v>
      </c>
      <c r="AV40" s="262">
        <f>'BS (Before Changes)'!AV40-'BS 3Q2022'!AV40</f>
        <v>0.30000000000000071</v>
      </c>
    </row>
    <row r="41" spans="1:48" outlineLevel="1" x14ac:dyDescent="0.3">
      <c r="B41" s="525" t="s">
        <v>247</v>
      </c>
      <c r="C41" s="526"/>
      <c r="D41" s="21">
        <f>'BS (Before Changes)'!D41-'BS 3Q2022'!D41</f>
        <v>0</v>
      </c>
      <c r="E41" s="21">
        <f>'BS (Before Changes)'!E41-'BS 3Q2022'!E41</f>
        <v>0</v>
      </c>
      <c r="F41" s="21">
        <f>'BS (Before Changes)'!F41-'BS 3Q2022'!F41</f>
        <v>0</v>
      </c>
      <c r="G41" s="21">
        <f>'BS (Before Changes)'!G41-'BS 3Q2022'!G41</f>
        <v>0</v>
      </c>
      <c r="H41" s="22">
        <f>'BS (Before Changes)'!H41-'BS 3Q2022'!H41</f>
        <v>0</v>
      </c>
      <c r="I41" s="21">
        <f>'BS (Before Changes)'!I41-'BS 3Q2022'!I41</f>
        <v>0</v>
      </c>
      <c r="J41" s="21">
        <f>'BS (Before Changes)'!J41-'BS 3Q2022'!J41</f>
        <v>0</v>
      </c>
      <c r="K41" s="21">
        <f>'BS (Before Changes)'!K41-'BS 3Q2022'!K41</f>
        <v>0</v>
      </c>
      <c r="L41" s="21">
        <f>'BS (Before Changes)'!L41-'BS 3Q2022'!L41</f>
        <v>0</v>
      </c>
      <c r="M41" s="22">
        <f>'BS (Before Changes)'!M41-'BS 3Q2022'!M41</f>
        <v>0</v>
      </c>
      <c r="N41" s="21">
        <f>'BS (Before Changes)'!N41-'BS 3Q2022'!N41</f>
        <v>0</v>
      </c>
      <c r="O41" s="21">
        <f>'BS (Before Changes)'!O41-'BS 3Q2022'!O41</f>
        <v>0</v>
      </c>
      <c r="P41" s="21">
        <f>'BS (Before Changes)'!P41-'BS 3Q2022'!P41</f>
        <v>0</v>
      </c>
      <c r="Q41" s="21">
        <f>'BS (Before Changes)'!Q41-'BS 3Q2022'!Q41</f>
        <v>0</v>
      </c>
      <c r="R41" s="22">
        <f>'BS (Before Changes)'!R41-'BS 3Q2022'!R41</f>
        <v>0</v>
      </c>
      <c r="S41" s="21">
        <f>'BS (Before Changes)'!S41-'BS 3Q2022'!S41</f>
        <v>0</v>
      </c>
      <c r="T41" s="21">
        <f>'BS (Before Changes)'!T41-'BS 3Q2022'!T41</f>
        <v>0</v>
      </c>
      <c r="U41" s="21">
        <f>'BS (Before Changes)'!U41-'BS 3Q2022'!U41</f>
        <v>0</v>
      </c>
      <c r="V41" s="21">
        <f>'BS (Before Changes)'!V41-'BS 3Q2022'!V41</f>
        <v>-283.19845095106393</v>
      </c>
      <c r="W41" s="22">
        <f>'BS (Before Changes)'!W41-'BS 3Q2022'!W41</f>
        <v>-283.19845095106393</v>
      </c>
      <c r="X41" s="21">
        <f>'BS (Before Changes)'!X41-'BS 3Q2022'!X41</f>
        <v>-278.77156847106562</v>
      </c>
      <c r="Y41" s="21">
        <f>'BS (Before Changes)'!Y41-'BS 3Q2022'!Y41</f>
        <v>-254.98676726116719</v>
      </c>
      <c r="Z41" s="21">
        <f>'BS (Before Changes)'!Z41-'BS 3Q2022'!Z41</f>
        <v>-223.34635357906245</v>
      </c>
      <c r="AA41" s="21">
        <f>'BS (Before Changes)'!AA41-'BS 3Q2022'!AA41</f>
        <v>-157.74023577974731</v>
      </c>
      <c r="AB41" s="22">
        <f>'BS (Before Changes)'!AB41-'BS 3Q2022'!AB41</f>
        <v>-157.74023577974731</v>
      </c>
      <c r="AC41" s="21">
        <f>'BS (Before Changes)'!AC41-'BS 3Q2022'!AC41</f>
        <v>-133.86969227631107</v>
      </c>
      <c r="AD41" s="21">
        <f>'BS (Before Changes)'!AD41-'BS 3Q2022'!AD41</f>
        <v>-98.201559887611438</v>
      </c>
      <c r="AE41" s="21">
        <f>'BS (Before Changes)'!AE41-'BS 3Q2022'!AE41</f>
        <v>-60.684505204670131</v>
      </c>
      <c r="AF41" s="21">
        <f>'BS (Before Changes)'!AF41-'BS 3Q2022'!AF41</f>
        <v>0.71311741008412355</v>
      </c>
      <c r="AG41" s="22">
        <f>'BS (Before Changes)'!AG41-'BS 3Q2022'!AG41</f>
        <v>0.71311741008412355</v>
      </c>
      <c r="AH41" s="21">
        <f>'BS (Before Changes)'!AH41-'BS 3Q2022'!AH41</f>
        <v>22.051272606793646</v>
      </c>
      <c r="AI41" s="21">
        <f>'BS (Before Changes)'!AI41-'BS 3Q2022'!AI41</f>
        <v>56.221674957638243</v>
      </c>
      <c r="AJ41" s="21">
        <f>'BS (Before Changes)'!AJ41-'BS 3Q2022'!AJ41</f>
        <v>-158.85836162150008</v>
      </c>
      <c r="AK41" s="21">
        <f>'BS (Before Changes)'!AK41-'BS 3Q2022'!AK41</f>
        <v>-357.01377300139757</v>
      </c>
      <c r="AL41" s="22">
        <f>'BS (Before Changes)'!AL41-'BS 3Q2022'!AL41</f>
        <v>-357.01377300139757</v>
      </c>
      <c r="AM41" s="21">
        <f>'BS (Before Changes)'!AM41-'BS 3Q2022'!AM41</f>
        <v>-345.68178588283263</v>
      </c>
      <c r="AN41" s="21">
        <f>'BS (Before Changes)'!AN41-'BS 3Q2022'!AN41</f>
        <v>-319.84636956255963</v>
      </c>
      <c r="AO41" s="21">
        <f>'BS (Before Changes)'!AO41-'BS 3Q2022'!AO41</f>
        <v>-290.38099657465136</v>
      </c>
      <c r="AP41" s="21">
        <f>'BS (Before Changes)'!AP41-'BS 3Q2022'!AP41</f>
        <v>-239.00160661959671</v>
      </c>
      <c r="AQ41" s="22">
        <f>'BS (Before Changes)'!AQ41-'BS 3Q2022'!AQ41</f>
        <v>-239.00160661959671</v>
      </c>
      <c r="AR41" s="21">
        <f>'BS (Before Changes)'!AR41-'BS 3Q2022'!AR41</f>
        <v>-227.25937522143613</v>
      </c>
      <c r="AS41" s="21">
        <f>'BS (Before Changes)'!AS41-'BS 3Q2022'!AS41</f>
        <v>-200.28437929098618</v>
      </c>
      <c r="AT41" s="21">
        <f>'BS (Before Changes)'!AT41-'BS 3Q2022'!AT41</f>
        <v>-170.6910890722429</v>
      </c>
      <c r="AU41" s="21">
        <f>'BS (Before Changes)'!AU41-'BS 3Q2022'!AU41</f>
        <v>-121.83261192104965</v>
      </c>
      <c r="AV41" s="22">
        <f>'BS (Before Changes)'!AV41-'BS 3Q2022'!AV41</f>
        <v>-121.83261192104965</v>
      </c>
    </row>
    <row r="42" spans="1:48" outlineLevel="1" x14ac:dyDescent="0.3">
      <c r="B42" s="523" t="s">
        <v>248</v>
      </c>
      <c r="C42" s="524"/>
      <c r="D42" s="267">
        <f>'BS (Before Changes)'!D42-'BS 3Q2022'!D42</f>
        <v>0</v>
      </c>
      <c r="E42" s="267">
        <f>'BS (Before Changes)'!E42-'BS 3Q2022'!E42</f>
        <v>0</v>
      </c>
      <c r="F42" s="267">
        <f>'BS (Before Changes)'!F42-'BS 3Q2022'!F42</f>
        <v>0</v>
      </c>
      <c r="G42" s="267">
        <f>'BS (Before Changes)'!G42-'BS 3Q2022'!G42</f>
        <v>0</v>
      </c>
      <c r="H42" s="268">
        <f>'BS (Before Changes)'!H42-'BS 3Q2022'!H42</f>
        <v>0</v>
      </c>
      <c r="I42" s="267">
        <f>'BS (Before Changes)'!I42-'BS 3Q2022'!I42</f>
        <v>0</v>
      </c>
      <c r="J42" s="267">
        <f>'BS (Before Changes)'!J42-'BS 3Q2022'!J42</f>
        <v>0</v>
      </c>
      <c r="K42" s="267">
        <f>'BS (Before Changes)'!K42-'BS 3Q2022'!K42</f>
        <v>0</v>
      </c>
      <c r="L42" s="267">
        <f>'BS (Before Changes)'!L42-'BS 3Q2022'!L42</f>
        <v>0</v>
      </c>
      <c r="M42" s="268">
        <f>'BS (Before Changes)'!M42-'BS 3Q2022'!M42</f>
        <v>0</v>
      </c>
      <c r="N42" s="267">
        <f>'BS (Before Changes)'!N42-'BS 3Q2022'!N42</f>
        <v>0</v>
      </c>
      <c r="O42" s="267">
        <f>'BS (Before Changes)'!O42-'BS 3Q2022'!O42</f>
        <v>0</v>
      </c>
      <c r="P42" s="267">
        <f>'BS (Before Changes)'!P42-'BS 3Q2022'!P42</f>
        <v>0</v>
      </c>
      <c r="Q42" s="267">
        <f>'BS (Before Changes)'!Q42-'BS 3Q2022'!Q42</f>
        <v>0</v>
      </c>
      <c r="R42" s="268">
        <f>'BS (Before Changes)'!R42-'BS 3Q2022'!R42</f>
        <v>0</v>
      </c>
      <c r="S42" s="267">
        <f>'BS (Before Changes)'!S42-'BS 3Q2022'!S42</f>
        <v>0</v>
      </c>
      <c r="T42" s="267">
        <f>'BS (Before Changes)'!T42-'BS 3Q2022'!T42</f>
        <v>0</v>
      </c>
      <c r="U42" s="267">
        <f>'BS (Before Changes)'!U42-'BS 3Q2022'!U42</f>
        <v>0</v>
      </c>
      <c r="V42" s="267">
        <f>'BS (Before Changes)'!V42-'BS 3Q2022'!V42</f>
        <v>-26.478285495275486</v>
      </c>
      <c r="W42" s="268">
        <f>'BS (Before Changes)'!W42-'BS 3Q2022'!W42</f>
        <v>-26.478285495275486</v>
      </c>
      <c r="X42" s="267">
        <f>'BS (Before Changes)'!X42-'BS 3Q2022'!X42</f>
        <v>-95.739164675240318</v>
      </c>
      <c r="Y42" s="267">
        <f>'BS (Before Changes)'!Y42-'BS 3Q2022'!Y42</f>
        <v>-67.598388145659555</v>
      </c>
      <c r="Z42" s="267">
        <f>'BS (Before Changes)'!Z42-'BS 3Q2022'!Z42</f>
        <v>-35.181911801842944</v>
      </c>
      <c r="AA42" s="267">
        <f>'BS (Before Changes)'!AA42-'BS 3Q2022'!AA42</f>
        <v>57.68124640021415</v>
      </c>
      <c r="AB42" s="268">
        <f>'BS (Before Changes)'!AB42-'BS 3Q2022'!AB42</f>
        <v>57.68124640021415</v>
      </c>
      <c r="AC42" s="267">
        <f>'BS (Before Changes)'!AC42-'BS 3Q2022'!AC42</f>
        <v>42.746755731302983</v>
      </c>
      <c r="AD42" s="267">
        <f>'BS (Before Changes)'!AD42-'BS 3Q2022'!AD42</f>
        <v>82.981216963842598</v>
      </c>
      <c r="AE42" s="267">
        <f>'BS (Before Changes)'!AE42-'BS 3Q2022'!AE42</f>
        <v>121.42532395441958</v>
      </c>
      <c r="AF42" s="267">
        <f>'BS (Before Changes)'!AF42-'BS 3Q2022'!AF42</f>
        <v>219.09166689658377</v>
      </c>
      <c r="AG42" s="268">
        <f>'BS (Before Changes)'!AG42-'BS 3Q2022'!AG42</f>
        <v>219.09166689658377</v>
      </c>
      <c r="AH42" s="267">
        <f>'BS (Before Changes)'!AH42-'BS 3Q2022'!AH42</f>
        <v>191.73134069644584</v>
      </c>
      <c r="AI42" s="267">
        <f>'BS (Before Changes)'!AI42-'BS 3Q2022'!AI42</f>
        <v>230.71516525351035</v>
      </c>
      <c r="AJ42" s="267">
        <f>'BS (Before Changes)'!AJ42-'BS 3Q2022'!AJ42</f>
        <v>267.88493744537118</v>
      </c>
      <c r="AK42" s="267">
        <f>'BS (Before Changes)'!AK42-'BS 3Q2022'!AK42</f>
        <v>119.33963524425053</v>
      </c>
      <c r="AL42" s="268">
        <f>'BS (Before Changes)'!AL42-'BS 3Q2022'!AL42</f>
        <v>119.33963524425053</v>
      </c>
      <c r="AM42" s="267">
        <f>'BS (Before Changes)'!AM42-'BS 3Q2022'!AM42</f>
        <v>67.767664527335</v>
      </c>
      <c r="AN42" s="267">
        <f>'BS (Before Changes)'!AN42-'BS 3Q2022'!AN42</f>
        <v>98.830351299016911</v>
      </c>
      <c r="AO42" s="267">
        <f>'BS (Before Changes)'!AO42-'BS 3Q2022'!AO42</f>
        <v>129.187831321884</v>
      </c>
      <c r="AP42" s="267">
        <f>'BS (Before Changes)'!AP42-'BS 3Q2022'!AP42</f>
        <v>224.23111098318623</v>
      </c>
      <c r="AQ42" s="268">
        <f>'BS (Before Changes)'!AQ42-'BS 3Q2022'!AQ42</f>
        <v>224.23111098318623</v>
      </c>
      <c r="AR42" s="267">
        <f>'BS (Before Changes)'!AR42-'BS 3Q2022'!AR42</f>
        <v>177.76789948479563</v>
      </c>
      <c r="AS42" s="267">
        <f>'BS (Before Changes)'!AS42-'BS 3Q2022'!AS42</f>
        <v>210.59917564008356</v>
      </c>
      <c r="AT42" s="267">
        <f>'BS (Before Changes)'!AT42-'BS 3Q2022'!AT42</f>
        <v>241.11432498675276</v>
      </c>
      <c r="AU42" s="267">
        <f>'BS (Before Changes)'!AU42-'BS 3Q2022'!AU42</f>
        <v>338.90927923105482</v>
      </c>
      <c r="AV42" s="268">
        <f>'BS (Before Changes)'!AV42-'BS 3Q2022'!AV42</f>
        <v>338.90927923105482</v>
      </c>
    </row>
    <row r="43" spans="1:48" x14ac:dyDescent="0.3">
      <c r="B43" s="269"/>
      <c r="C43" s="270"/>
      <c r="D43" s="271">
        <f>'BS (Before Changes)'!D43-'BS 3Q2022'!D43</f>
        <v>0</v>
      </c>
      <c r="E43" s="271">
        <f>'BS (Before Changes)'!E43-'BS 3Q2022'!E43</f>
        <v>0</v>
      </c>
      <c r="F43" s="271">
        <f>'BS (Before Changes)'!F43-'BS 3Q2022'!F43</f>
        <v>0</v>
      </c>
      <c r="G43" s="271">
        <f>'BS (Before Changes)'!G43-'BS 3Q2022'!G43</f>
        <v>0</v>
      </c>
      <c r="H43" s="271">
        <f>'BS (Before Changes)'!H43-'BS 3Q2022'!H43</f>
        <v>0</v>
      </c>
      <c r="I43" s="271">
        <f>'BS (Before Changes)'!I43-'BS 3Q2022'!I43</f>
        <v>0</v>
      </c>
      <c r="J43" s="271">
        <f>'BS (Before Changes)'!J43-'BS 3Q2022'!J43</f>
        <v>0</v>
      </c>
      <c r="K43" s="271">
        <f>'BS (Before Changes)'!K43-'BS 3Q2022'!K43</f>
        <v>0</v>
      </c>
      <c r="L43" s="272">
        <f>'BS (Before Changes)'!L43-'BS 3Q2022'!L43</f>
        <v>0</v>
      </c>
      <c r="M43" s="272">
        <f>'BS (Before Changes)'!M43-'BS 3Q2022'!M43</f>
        <v>0</v>
      </c>
      <c r="N43" s="272">
        <f>'BS (Before Changes)'!N43-'BS 3Q2022'!N43</f>
        <v>0</v>
      </c>
      <c r="O43" s="272">
        <f>'BS (Before Changes)'!O43-'BS 3Q2022'!O43</f>
        <v>0</v>
      </c>
      <c r="P43" s="272">
        <f>'BS (Before Changes)'!P43-'BS 3Q2022'!P43</f>
        <v>0</v>
      </c>
      <c r="Q43" s="272">
        <f>'BS (Before Changes)'!Q43-'BS 3Q2022'!Q43</f>
        <v>0</v>
      </c>
      <c r="R43" s="272">
        <f>'BS (Before Changes)'!R43-'BS 3Q2022'!R43</f>
        <v>0</v>
      </c>
      <c r="S43" s="272">
        <f>'BS (Before Changes)'!S43-'BS 3Q2022'!S43</f>
        <v>0</v>
      </c>
      <c r="T43" s="272">
        <f>'BS (Before Changes)'!T43-'BS 3Q2022'!T43</f>
        <v>0</v>
      </c>
      <c r="U43" s="272">
        <f>'BS (Before Changes)'!U43-'BS 3Q2022'!U43</f>
        <v>0</v>
      </c>
      <c r="V43" s="272">
        <f>'BS (Before Changes)'!V43-'BS 3Q2022'!V43</f>
        <v>0</v>
      </c>
      <c r="W43" s="272">
        <f>'BS (Before Changes)'!W43-'BS 3Q2022'!W43</f>
        <v>0</v>
      </c>
      <c r="X43" s="272">
        <f>'BS (Before Changes)'!X43-'BS 3Q2022'!X43</f>
        <v>0</v>
      </c>
      <c r="Y43" s="272">
        <f>'BS (Before Changes)'!Y43-'BS 3Q2022'!Y43</f>
        <v>0</v>
      </c>
      <c r="Z43" s="272">
        <f>'BS (Before Changes)'!Z43-'BS 3Q2022'!Z43</f>
        <v>0</v>
      </c>
      <c r="AA43" s="272">
        <f>'BS (Before Changes)'!AA43-'BS 3Q2022'!AA43</f>
        <v>0</v>
      </c>
      <c r="AB43" s="272">
        <f>'BS (Before Changes)'!AB43-'BS 3Q2022'!AB43</f>
        <v>0</v>
      </c>
      <c r="AC43" s="272">
        <f>'BS (Before Changes)'!AC43-'BS 3Q2022'!AC43</f>
        <v>0</v>
      </c>
      <c r="AD43" s="272">
        <f>'BS (Before Changes)'!AD43-'BS 3Q2022'!AD43</f>
        <v>0</v>
      </c>
      <c r="AE43" s="272">
        <f>'BS (Before Changes)'!AE43-'BS 3Q2022'!AE43</f>
        <v>0</v>
      </c>
      <c r="AF43" s="272">
        <f>'BS (Before Changes)'!AF43-'BS 3Q2022'!AF43</f>
        <v>0</v>
      </c>
      <c r="AG43" s="272">
        <f>'BS (Before Changes)'!AG43-'BS 3Q2022'!AG43</f>
        <v>0</v>
      </c>
      <c r="AH43" s="272">
        <f>'BS (Before Changes)'!AH43-'BS 3Q2022'!AH43</f>
        <v>0</v>
      </c>
      <c r="AI43" s="272">
        <f>'BS (Before Changes)'!AI43-'BS 3Q2022'!AI43</f>
        <v>0</v>
      </c>
      <c r="AJ43" s="272">
        <f>'BS (Before Changes)'!AJ43-'BS 3Q2022'!AJ43</f>
        <v>0</v>
      </c>
      <c r="AK43" s="272">
        <f>'BS (Before Changes)'!AK43-'BS 3Q2022'!AK43</f>
        <v>0</v>
      </c>
      <c r="AL43" s="272">
        <f>'BS (Before Changes)'!AL43-'BS 3Q2022'!AL43</f>
        <v>0</v>
      </c>
      <c r="AM43" s="272">
        <f>'BS (Before Changes)'!AM43-'BS 3Q2022'!AM43</f>
        <v>0</v>
      </c>
      <c r="AN43" s="272">
        <f>'BS (Before Changes)'!AN43-'BS 3Q2022'!AN43</f>
        <v>0</v>
      </c>
      <c r="AO43" s="272">
        <f>'BS (Before Changes)'!AO43-'BS 3Q2022'!AO43</f>
        <v>0</v>
      </c>
      <c r="AP43" s="272">
        <f>'BS (Before Changes)'!AP43-'BS 3Q2022'!AP43</f>
        <v>0</v>
      </c>
      <c r="AQ43" s="272">
        <f>'BS (Before Changes)'!AQ43-'BS 3Q2022'!AQ43</f>
        <v>0</v>
      </c>
      <c r="AR43" s="272">
        <f>'BS (Before Changes)'!AR43-'BS 3Q2022'!AR43</f>
        <v>0</v>
      </c>
      <c r="AS43" s="272">
        <f>'BS (Before Changes)'!AS43-'BS 3Q2022'!AS43</f>
        <v>0</v>
      </c>
      <c r="AT43" s="272">
        <f>'BS (Before Changes)'!AT43-'BS 3Q2022'!AT43</f>
        <v>0</v>
      </c>
      <c r="AU43" s="272">
        <f>'BS (Before Changes)'!AU43-'BS 3Q2022'!AU43</f>
        <v>0</v>
      </c>
      <c r="AV43" s="272">
        <f>'BS (Before Changes)'!AV43-'BS 3Q2022'!AV43</f>
        <v>0</v>
      </c>
    </row>
    <row r="44" spans="1:48" ht="15.6" x14ac:dyDescent="0.3">
      <c r="B44" s="494" t="s">
        <v>249</v>
      </c>
      <c r="C44" s="495"/>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5" t="s">
        <v>20</v>
      </c>
      <c r="W44" s="41" t="s">
        <v>20</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12"/>
      <c r="C45" s="513"/>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2" t="s">
        <v>25</v>
      </c>
      <c r="W45" s="42" t="s">
        <v>26</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16">
        <f>'BS (Before Changes)'!D46-'BS 3Q2022'!D46</f>
        <v>0</v>
      </c>
      <c r="E46" s="274">
        <f>'BS (Before Changes)'!E46-'BS 3Q2022'!E46</f>
        <v>0</v>
      </c>
      <c r="F46" s="274">
        <f>'BS (Before Changes)'!F46-'BS 3Q2022'!F46</f>
        <v>0</v>
      </c>
      <c r="G46" s="274">
        <f>'BS (Before Changes)'!G46-'BS 3Q2022'!G46</f>
        <v>0</v>
      </c>
      <c r="H46" s="122">
        <f>'BS (Before Changes)'!H46-'BS 3Q2022'!H46</f>
        <v>0</v>
      </c>
      <c r="I46" s="274">
        <f>'BS (Before Changes)'!I46-'BS 3Q2022'!I46</f>
        <v>0</v>
      </c>
      <c r="J46" s="274">
        <f>'BS (Before Changes)'!J46-'BS 3Q2022'!J46</f>
        <v>0</v>
      </c>
      <c r="K46" s="274">
        <f>'BS (Before Changes)'!K46-'BS 3Q2022'!K46</f>
        <v>0</v>
      </c>
      <c r="L46" s="274">
        <f>'BS (Before Changes)'!L46-'BS 3Q2022'!L46</f>
        <v>0</v>
      </c>
      <c r="M46" s="122">
        <f>'BS (Before Changes)'!M46-'BS 3Q2022'!M46</f>
        <v>0</v>
      </c>
      <c r="N46" s="274">
        <f>'BS (Before Changes)'!N46-'BS 3Q2022'!N46</f>
        <v>0</v>
      </c>
      <c r="O46" s="274">
        <f>'BS (Before Changes)'!O46-'BS 3Q2022'!O46</f>
        <v>0</v>
      </c>
      <c r="P46" s="274">
        <f>'BS (Before Changes)'!P46-'BS 3Q2022'!P46</f>
        <v>0</v>
      </c>
      <c r="Q46" s="274">
        <f>'BS (Before Changes)'!Q46-'BS 3Q2022'!Q46</f>
        <v>0</v>
      </c>
      <c r="R46" s="122">
        <f>'BS (Before Changes)'!R46-'BS 3Q2022'!R46</f>
        <v>0</v>
      </c>
      <c r="S46" s="274">
        <f>'BS (Before Changes)'!S46-'BS 3Q2022'!S46</f>
        <v>0</v>
      </c>
      <c r="T46" s="274">
        <f>'BS (Before Changes)'!T46-'BS 3Q2022'!T46</f>
        <v>0</v>
      </c>
      <c r="U46" s="274">
        <f>'BS (Before Changes)'!U46-'BS 3Q2022'!U46</f>
        <v>0</v>
      </c>
      <c r="V46" s="274">
        <f>'BS (Before Changes)'!V46-'BS 3Q2022'!V46</f>
        <v>0</v>
      </c>
      <c r="W46" s="122">
        <f>'BS (Before Changes)'!W46-'BS 3Q2022'!W46</f>
        <v>0</v>
      </c>
      <c r="X46" s="274">
        <f>'BS (Before Changes)'!X46-'BS 3Q2022'!X46</f>
        <v>0</v>
      </c>
      <c r="Y46" s="274">
        <f>'BS (Before Changes)'!Y46-'BS 3Q2022'!Y46</f>
        <v>0</v>
      </c>
      <c r="Z46" s="274">
        <f>'BS (Before Changes)'!Z46-'BS 3Q2022'!Z46</f>
        <v>0</v>
      </c>
      <c r="AA46" s="274">
        <f>'BS (Before Changes)'!AA46-'BS 3Q2022'!AA46</f>
        <v>0</v>
      </c>
      <c r="AB46" s="122">
        <f>'BS (Before Changes)'!AB46-'BS 3Q2022'!AB46</f>
        <v>0</v>
      </c>
      <c r="AC46" s="274">
        <f>'BS (Before Changes)'!AC46-'BS 3Q2022'!AC46</f>
        <v>0</v>
      </c>
      <c r="AD46" s="274">
        <f>'BS (Before Changes)'!AD46-'BS 3Q2022'!AD46</f>
        <v>0</v>
      </c>
      <c r="AE46" s="274">
        <f>'BS (Before Changes)'!AE46-'BS 3Q2022'!AE46</f>
        <v>0</v>
      </c>
      <c r="AF46" s="274">
        <f>'BS (Before Changes)'!AF46-'BS 3Q2022'!AF46</f>
        <v>0</v>
      </c>
      <c r="AG46" s="122">
        <f>'BS (Before Changes)'!AG46-'BS 3Q2022'!AG46</f>
        <v>0</v>
      </c>
      <c r="AH46" s="274">
        <f>'BS (Before Changes)'!AH46-'BS 3Q2022'!AH46</f>
        <v>0</v>
      </c>
      <c r="AI46" s="274">
        <f>'BS (Before Changes)'!AI46-'BS 3Q2022'!AI46</f>
        <v>0</v>
      </c>
      <c r="AJ46" s="274">
        <f>'BS (Before Changes)'!AJ46-'BS 3Q2022'!AJ46</f>
        <v>0</v>
      </c>
      <c r="AK46" s="274">
        <f>'BS (Before Changes)'!AK46-'BS 3Q2022'!AK46</f>
        <v>0</v>
      </c>
      <c r="AL46" s="122">
        <f>'BS (Before Changes)'!AL46-'BS 3Q2022'!AL46</f>
        <v>0</v>
      </c>
      <c r="AM46" s="274">
        <f>'BS (Before Changes)'!AM46-'BS 3Q2022'!AM46</f>
        <v>0</v>
      </c>
      <c r="AN46" s="274">
        <f>'BS (Before Changes)'!AN46-'BS 3Q2022'!AN46</f>
        <v>0</v>
      </c>
      <c r="AO46" s="274">
        <f>'BS (Before Changes)'!AO46-'BS 3Q2022'!AO46</f>
        <v>0</v>
      </c>
      <c r="AP46" s="274">
        <f>'BS (Before Changes)'!AP46-'BS 3Q2022'!AP46</f>
        <v>0</v>
      </c>
      <c r="AQ46" s="122">
        <f>'BS (Before Changes)'!AQ46-'BS 3Q2022'!AQ46</f>
        <v>0</v>
      </c>
      <c r="AR46" s="274">
        <f>'BS (Before Changes)'!AR46-'BS 3Q2022'!AR46</f>
        <v>0</v>
      </c>
      <c r="AS46" s="274">
        <f>'BS (Before Changes)'!AS46-'BS 3Q2022'!AS46</f>
        <v>0</v>
      </c>
      <c r="AT46" s="274">
        <f>'BS (Before Changes)'!AT46-'BS 3Q2022'!AT46</f>
        <v>0</v>
      </c>
      <c r="AU46" s="274">
        <f>'BS (Before Changes)'!AU46-'BS 3Q2022'!AU46</f>
        <v>0</v>
      </c>
      <c r="AV46" s="122">
        <f>'BS (Before Changes)'!AV46-'BS 3Q2022'!AV46</f>
        <v>0</v>
      </c>
    </row>
    <row r="47" spans="1:48" outlineLevel="1" x14ac:dyDescent="0.3">
      <c r="B47" s="486" t="s">
        <v>251</v>
      </c>
      <c r="C47" s="487"/>
      <c r="D47" s="275">
        <f>'BS (Before Changes)'!D47-'BS 3Q2022'!D47</f>
        <v>0</v>
      </c>
      <c r="E47" s="276">
        <f>'BS (Before Changes)'!E47-'BS 3Q2022'!E47</f>
        <v>0</v>
      </c>
      <c r="F47" s="276">
        <f>'BS (Before Changes)'!F47-'BS 3Q2022'!F47</f>
        <v>0</v>
      </c>
      <c r="G47" s="276">
        <f>'BS (Before Changes)'!G47-'BS 3Q2022'!G47</f>
        <v>0</v>
      </c>
      <c r="H47" s="126">
        <f>'BS (Before Changes)'!H47-'BS 3Q2022'!H47</f>
        <v>0</v>
      </c>
      <c r="I47" s="276">
        <f>'BS (Before Changes)'!I47-'BS 3Q2022'!I47</f>
        <v>0</v>
      </c>
      <c r="J47" s="276">
        <f>'BS (Before Changes)'!J47-'BS 3Q2022'!J47</f>
        <v>0</v>
      </c>
      <c r="K47" s="276">
        <f>'BS (Before Changes)'!K47-'BS 3Q2022'!K47</f>
        <v>0</v>
      </c>
      <c r="L47" s="276">
        <f>'BS (Before Changes)'!L47-'BS 3Q2022'!L47</f>
        <v>0</v>
      </c>
      <c r="M47" s="31">
        <f>'BS (Before Changes)'!M47-'BS 3Q2022'!M47</f>
        <v>0</v>
      </c>
      <c r="N47" s="276">
        <f>'BS (Before Changes)'!N47-'BS 3Q2022'!N47</f>
        <v>0</v>
      </c>
      <c r="O47" s="276">
        <f>'BS (Before Changes)'!O47-'BS 3Q2022'!O47</f>
        <v>0</v>
      </c>
      <c r="P47" s="276">
        <f>'BS (Before Changes)'!P47-'BS 3Q2022'!P47</f>
        <v>0</v>
      </c>
      <c r="Q47" s="276">
        <f>'BS (Before Changes)'!Q47-'BS 3Q2022'!Q47</f>
        <v>0</v>
      </c>
      <c r="R47" s="31">
        <f>'BS (Before Changes)'!R47-'BS 3Q2022'!R47</f>
        <v>0</v>
      </c>
      <c r="S47" s="276">
        <f>'BS (Before Changes)'!S47-'BS 3Q2022'!S47</f>
        <v>0</v>
      </c>
      <c r="T47" s="276">
        <f>'BS (Before Changes)'!T47-'BS 3Q2022'!T47</f>
        <v>0</v>
      </c>
      <c r="U47" s="276">
        <f>'BS (Before Changes)'!U47-'BS 3Q2022'!U47</f>
        <v>0</v>
      </c>
      <c r="V47" s="277">
        <f>'BS (Before Changes)'!V47-'BS 3Q2022'!V47</f>
        <v>-0.63013048818341666</v>
      </c>
      <c r="W47" s="31">
        <f>'BS (Before Changes)'!W47-'BS 3Q2022'!W47</f>
        <v>0</v>
      </c>
      <c r="X47" s="277">
        <f>'BS (Before Changes)'!X47-'BS 3Q2022'!X47</f>
        <v>0</v>
      </c>
      <c r="Y47" s="277">
        <f>'BS (Before Changes)'!Y47-'BS 3Q2022'!Y47</f>
        <v>0</v>
      </c>
      <c r="Z47" s="277">
        <f>'BS (Before Changes)'!Z47-'BS 3Q2022'!Z47</f>
        <v>0</v>
      </c>
      <c r="AA47" s="277">
        <f>'BS (Before Changes)'!AA47-'BS 3Q2022'!AA47</f>
        <v>-0.21004349606113948</v>
      </c>
      <c r="AB47" s="278">
        <f>'BS (Before Changes)'!AB47-'BS 3Q2022'!AB47</f>
        <v>0</v>
      </c>
      <c r="AC47" s="277">
        <f>'BS (Before Changes)'!AC47-'BS 3Q2022'!AC47</f>
        <v>0</v>
      </c>
      <c r="AD47" s="277">
        <f>'BS (Before Changes)'!AD47-'BS 3Q2022'!AD47</f>
        <v>0</v>
      </c>
      <c r="AE47" s="277">
        <f>'BS (Before Changes)'!AE47-'BS 3Q2022'!AE47</f>
        <v>0</v>
      </c>
      <c r="AF47" s="277">
        <f>'BS (Before Changes)'!AF47-'BS 3Q2022'!AF47</f>
        <v>-0.28005799474818538</v>
      </c>
      <c r="AG47" s="278">
        <f>'BS (Before Changes)'!AG47-'BS 3Q2022'!AG47</f>
        <v>0</v>
      </c>
      <c r="AH47" s="277">
        <f>'BS (Before Changes)'!AH47-'BS 3Q2022'!AH47</f>
        <v>0</v>
      </c>
      <c r="AI47" s="277">
        <f>'BS (Before Changes)'!AI47-'BS 3Q2022'!AI47</f>
        <v>0</v>
      </c>
      <c r="AJ47" s="277">
        <f>'BS (Before Changes)'!AJ47-'BS 3Q2022'!AJ47</f>
        <v>0</v>
      </c>
      <c r="AK47" s="277">
        <f>'BS (Before Changes)'!AK47-'BS 3Q2022'!AK47</f>
        <v>-0.37341065966424658</v>
      </c>
      <c r="AL47" s="278">
        <f>'BS (Before Changes)'!AL47-'BS 3Q2022'!AL47</f>
        <v>0</v>
      </c>
      <c r="AM47" s="277">
        <f>'BS (Before Changes)'!AM47-'BS 3Q2022'!AM47</f>
        <v>0</v>
      </c>
      <c r="AN47" s="277">
        <f>'BS (Before Changes)'!AN47-'BS 3Q2022'!AN47</f>
        <v>0</v>
      </c>
      <c r="AO47" s="277">
        <f>'BS (Before Changes)'!AO47-'BS 3Q2022'!AO47</f>
        <v>0</v>
      </c>
      <c r="AP47" s="277">
        <f>'BS (Before Changes)'!AP47-'BS 3Q2022'!AP47</f>
        <v>-0.28783738349119048</v>
      </c>
      <c r="AQ47" s="278">
        <f>'BS (Before Changes)'!AQ47-'BS 3Q2022'!AQ47</f>
        <v>0</v>
      </c>
      <c r="AR47" s="277">
        <f>'BS (Before Changes)'!AR47-'BS 3Q2022'!AR47</f>
        <v>0</v>
      </c>
      <c r="AS47" s="277">
        <f>'BS (Before Changes)'!AS47-'BS 3Q2022'!AS47</f>
        <v>0</v>
      </c>
      <c r="AT47" s="277">
        <f>'BS (Before Changes)'!AT47-'BS 3Q2022'!AT47</f>
        <v>0</v>
      </c>
      <c r="AU47" s="277">
        <f>'BS (Before Changes)'!AU47-'BS 3Q2022'!AU47</f>
        <v>-0.31376867930120689</v>
      </c>
      <c r="AV47" s="278">
        <f>'BS (Before Changes)'!AV47-'BS 3Q2022'!AV47</f>
        <v>0</v>
      </c>
    </row>
    <row r="48" spans="1:48" s="23" customFormat="1" outlineLevel="1" x14ac:dyDescent="0.3">
      <c r="B48" s="504" t="s">
        <v>252</v>
      </c>
      <c r="C48" s="505"/>
      <c r="D48" s="279">
        <f>'BS (Before Changes)'!D48-'BS 3Q2022'!D48</f>
        <v>0</v>
      </c>
      <c r="E48" s="279">
        <f>'BS (Before Changes)'!E48-'BS 3Q2022'!E48</f>
        <v>0</v>
      </c>
      <c r="F48" s="274">
        <f>'BS (Before Changes)'!F48-'BS 3Q2022'!F48</f>
        <v>0</v>
      </c>
      <c r="G48" s="274">
        <f>'BS (Before Changes)'!G48-'BS 3Q2022'!G48</f>
        <v>0</v>
      </c>
      <c r="H48" s="126">
        <f>'BS (Before Changes)'!H48-'BS 3Q2022'!H48</f>
        <v>0</v>
      </c>
      <c r="I48" s="274">
        <f>'BS (Before Changes)'!I48-'BS 3Q2022'!I48</f>
        <v>0</v>
      </c>
      <c r="J48" s="274">
        <f>'BS (Before Changes)'!J48-'BS 3Q2022'!J48</f>
        <v>0</v>
      </c>
      <c r="K48" s="274">
        <f>'BS (Before Changes)'!K48-'BS 3Q2022'!K48</f>
        <v>0</v>
      </c>
      <c r="L48" s="279">
        <f>'BS (Before Changes)'!L48-'BS 3Q2022'!L48</f>
        <v>0</v>
      </c>
      <c r="M48" s="31">
        <f>'BS (Before Changes)'!M48-'BS 3Q2022'!M48</f>
        <v>0</v>
      </c>
      <c r="N48" s="279">
        <f>'BS (Before Changes)'!N48-'BS 3Q2022'!N48</f>
        <v>0</v>
      </c>
      <c r="O48" s="279">
        <f>'BS (Before Changes)'!O48-'BS 3Q2022'!O48</f>
        <v>0</v>
      </c>
      <c r="P48" s="279">
        <f>'BS (Before Changes)'!P48-'BS 3Q2022'!P48</f>
        <v>0</v>
      </c>
      <c r="Q48" s="279">
        <f>'BS (Before Changes)'!Q48-'BS 3Q2022'!Q48</f>
        <v>0</v>
      </c>
      <c r="R48" s="31">
        <f>'BS (Before Changes)'!R48-'BS 3Q2022'!R48</f>
        <v>0</v>
      </c>
      <c r="S48" s="279">
        <f>'BS (Before Changes)'!S48-'BS 3Q2022'!S48</f>
        <v>0</v>
      </c>
      <c r="T48" s="279">
        <f>'BS (Before Changes)'!T48-'BS 3Q2022'!T48</f>
        <v>0</v>
      </c>
      <c r="U48" s="279">
        <f>'BS (Before Changes)'!U48-'BS 3Q2022'!U48</f>
        <v>0</v>
      </c>
      <c r="V48" s="279">
        <f>'BS (Before Changes)'!V48-'BS 3Q2022'!V48</f>
        <v>1.039911256892152</v>
      </c>
      <c r="W48" s="31">
        <f>'BS (Before Changes)'!W48-'BS 3Q2022'!W48</f>
        <v>0</v>
      </c>
      <c r="X48" s="279">
        <f>'BS (Before Changes)'!X48-'BS 3Q2022'!X48</f>
        <v>0</v>
      </c>
      <c r="Y48" s="279">
        <f>'BS (Before Changes)'!Y48-'BS 3Q2022'!Y48</f>
        <v>0</v>
      </c>
      <c r="Z48" s="279">
        <f>'BS (Before Changes)'!Z48-'BS 3Q2022'!Z48</f>
        <v>0</v>
      </c>
      <c r="AA48" s="279">
        <f>'BS (Before Changes)'!AA48-'BS 3Q2022'!AA48</f>
        <v>0.32425240117031606</v>
      </c>
      <c r="AB48" s="31">
        <f>'BS (Before Changes)'!AB48-'BS 3Q2022'!AB48</f>
        <v>0</v>
      </c>
      <c r="AC48" s="279">
        <f>'BS (Before Changes)'!AC48-'BS 3Q2022'!AC48</f>
        <v>0</v>
      </c>
      <c r="AD48" s="279">
        <f>'BS (Before Changes)'!AD48-'BS 3Q2022'!AD48</f>
        <v>0</v>
      </c>
      <c r="AE48" s="279">
        <f>'BS (Before Changes)'!AE48-'BS 3Q2022'!AE48</f>
        <v>0</v>
      </c>
      <c r="AF48" s="279">
        <f>'BS (Before Changes)'!AF48-'BS 3Q2022'!AF48</f>
        <v>0.40743857668259942</v>
      </c>
      <c r="AG48" s="31">
        <f>'BS (Before Changes)'!AG48-'BS 3Q2022'!AG48</f>
        <v>0</v>
      </c>
      <c r="AH48" s="279">
        <f>'BS (Before Changes)'!AH48-'BS 3Q2022'!AH48</f>
        <v>0</v>
      </c>
      <c r="AI48" s="279">
        <f>'BS (Before Changes)'!AI48-'BS 3Q2022'!AI48</f>
        <v>0</v>
      </c>
      <c r="AJ48" s="279">
        <f>'BS (Before Changes)'!AJ48-'BS 3Q2022'!AJ48</f>
        <v>0</v>
      </c>
      <c r="AK48" s="279">
        <f>'BS (Before Changes)'!AK48-'BS 3Q2022'!AK48</f>
        <v>0.57740720026044734</v>
      </c>
      <c r="AL48" s="31">
        <f>'BS (Before Changes)'!AL48-'BS 3Q2022'!AL48</f>
        <v>0</v>
      </c>
      <c r="AM48" s="279">
        <f>'BS (Before Changes)'!AM48-'BS 3Q2022'!AM48</f>
        <v>0</v>
      </c>
      <c r="AN48" s="279">
        <f>'BS (Before Changes)'!AN48-'BS 3Q2022'!AN48</f>
        <v>0</v>
      </c>
      <c r="AO48" s="279">
        <f>'BS (Before Changes)'!AO48-'BS 3Q2022'!AO48</f>
        <v>0</v>
      </c>
      <c r="AP48" s="279">
        <f>'BS (Before Changes)'!AP48-'BS 3Q2022'!AP48</f>
        <v>0.4357919869720277</v>
      </c>
      <c r="AQ48" s="31">
        <f>'BS (Before Changes)'!AQ48-'BS 3Q2022'!AQ48</f>
        <v>0</v>
      </c>
      <c r="AR48" s="279">
        <f>'BS (Before Changes)'!AR48-'BS 3Q2022'!AR48</f>
        <v>0</v>
      </c>
      <c r="AS48" s="279">
        <f>'BS (Before Changes)'!AS48-'BS 3Q2022'!AS48</f>
        <v>0</v>
      </c>
      <c r="AT48" s="279">
        <f>'BS (Before Changes)'!AT48-'BS 3Q2022'!AT48</f>
        <v>0</v>
      </c>
      <c r="AU48" s="279">
        <f>'BS (Before Changes)'!AU48-'BS 3Q2022'!AU48</f>
        <v>0.47200899526619011</v>
      </c>
      <c r="AV48" s="31">
        <f>'BS (Before Changes)'!AV48-'BS 3Q2022'!AV48</f>
        <v>0</v>
      </c>
    </row>
    <row r="49" spans="2:48" outlineLevel="1" x14ac:dyDescent="0.3">
      <c r="B49" s="486" t="s">
        <v>253</v>
      </c>
      <c r="C49" s="487"/>
      <c r="D49" s="275">
        <f>'BS (Before Changes)'!D49-'BS 3Q2022'!D49</f>
        <v>0</v>
      </c>
      <c r="E49" s="275">
        <f>'BS (Before Changes)'!E49-'BS 3Q2022'!E49</f>
        <v>0</v>
      </c>
      <c r="F49" s="276">
        <f>'BS (Before Changes)'!F49-'BS 3Q2022'!F49</f>
        <v>0</v>
      </c>
      <c r="G49" s="276">
        <f>'BS (Before Changes)'!G49-'BS 3Q2022'!G49</f>
        <v>0</v>
      </c>
      <c r="H49" s="126">
        <f>'BS (Before Changes)'!H49-'BS 3Q2022'!H49</f>
        <v>0</v>
      </c>
      <c r="I49" s="276">
        <f>'BS (Before Changes)'!I49-'BS 3Q2022'!I49</f>
        <v>0</v>
      </c>
      <c r="J49" s="276">
        <f>'BS (Before Changes)'!J49-'BS 3Q2022'!J49</f>
        <v>0</v>
      </c>
      <c r="K49" s="276">
        <f>'BS (Before Changes)'!K49-'BS 3Q2022'!K49</f>
        <v>0</v>
      </c>
      <c r="L49" s="276">
        <f>'BS (Before Changes)'!L49-'BS 3Q2022'!L49</f>
        <v>0</v>
      </c>
      <c r="M49" s="31">
        <f>'BS (Before Changes)'!M49-'BS 3Q2022'!M49</f>
        <v>0</v>
      </c>
      <c r="N49" s="276">
        <f>'BS (Before Changes)'!N49-'BS 3Q2022'!N49</f>
        <v>0</v>
      </c>
      <c r="O49" s="276">
        <f>'BS (Before Changes)'!O49-'BS 3Q2022'!O49</f>
        <v>0</v>
      </c>
      <c r="P49" s="276">
        <f>'BS (Before Changes)'!P49-'BS 3Q2022'!P49</f>
        <v>0</v>
      </c>
      <c r="Q49" s="276">
        <f>'BS (Before Changes)'!Q49-'BS 3Q2022'!Q49</f>
        <v>0</v>
      </c>
      <c r="R49" s="31">
        <f>'BS (Before Changes)'!R49-'BS 3Q2022'!R49</f>
        <v>0</v>
      </c>
      <c r="S49" s="276">
        <f>'BS (Before Changes)'!S49-'BS 3Q2022'!S49</f>
        <v>0</v>
      </c>
      <c r="T49" s="276">
        <f>'BS (Before Changes)'!T49-'BS 3Q2022'!T49</f>
        <v>0</v>
      </c>
      <c r="U49" s="276">
        <f>'BS (Before Changes)'!U49-'BS 3Q2022'!U49</f>
        <v>0</v>
      </c>
      <c r="V49" s="277">
        <f>'BS (Before Changes)'!V49-'BS 3Q2022'!V49</f>
        <v>-0.16323621158605595</v>
      </c>
      <c r="W49" s="31">
        <f>'BS (Before Changes)'!W49-'BS 3Q2022'!W49</f>
        <v>0</v>
      </c>
      <c r="X49" s="277">
        <f>'BS (Before Changes)'!X49-'BS 3Q2022'!X49</f>
        <v>0</v>
      </c>
      <c r="Y49" s="277">
        <f>'BS (Before Changes)'!Y49-'BS 3Q2022'!Y49</f>
        <v>0</v>
      </c>
      <c r="Z49" s="277">
        <f>'BS (Before Changes)'!Z49-'BS 3Q2022'!Z49</f>
        <v>0</v>
      </c>
      <c r="AA49" s="277">
        <f>'BS (Before Changes)'!AA49-'BS 3Q2022'!AA49</f>
        <v>-5.4412070528685463E-2</v>
      </c>
      <c r="AB49" s="278">
        <f>'BS (Before Changes)'!AB49-'BS 3Q2022'!AB49</f>
        <v>0</v>
      </c>
      <c r="AC49" s="277">
        <f>'BS (Before Changes)'!AC49-'BS 3Q2022'!AC49</f>
        <v>0</v>
      </c>
      <c r="AD49" s="277">
        <f>'BS (Before Changes)'!AD49-'BS 3Q2022'!AD49</f>
        <v>0</v>
      </c>
      <c r="AE49" s="277">
        <f>'BS (Before Changes)'!AE49-'BS 3Q2022'!AE49</f>
        <v>0</v>
      </c>
      <c r="AF49" s="277">
        <f>'BS (Before Changes)'!AF49-'BS 3Q2022'!AF49</f>
        <v>-7.2549427371580766E-2</v>
      </c>
      <c r="AG49" s="278">
        <f>'BS (Before Changes)'!AG49-'BS 3Q2022'!AG49</f>
        <v>0</v>
      </c>
      <c r="AH49" s="277">
        <f>'BS (Before Changes)'!AH49-'BS 3Q2022'!AH49</f>
        <v>0</v>
      </c>
      <c r="AI49" s="277">
        <f>'BS (Before Changes)'!AI49-'BS 3Q2022'!AI49</f>
        <v>0</v>
      </c>
      <c r="AJ49" s="277">
        <f>'BS (Before Changes)'!AJ49-'BS 3Q2022'!AJ49</f>
        <v>0</v>
      </c>
      <c r="AK49" s="277">
        <f>'BS (Before Changes)'!AK49-'BS 3Q2022'!AK49</f>
        <v>-9.6732569828774206E-2</v>
      </c>
      <c r="AL49" s="278">
        <f>'BS (Before Changes)'!AL49-'BS 3Q2022'!AL49</f>
        <v>0</v>
      </c>
      <c r="AM49" s="277">
        <f>'BS (Before Changes)'!AM49-'BS 3Q2022'!AM49</f>
        <v>0</v>
      </c>
      <c r="AN49" s="277">
        <f>'BS (Before Changes)'!AN49-'BS 3Q2022'!AN49</f>
        <v>0</v>
      </c>
      <c r="AO49" s="277">
        <f>'BS (Before Changes)'!AO49-'BS 3Q2022'!AO49</f>
        <v>0</v>
      </c>
      <c r="AP49" s="277">
        <f>'BS (Before Changes)'!AP49-'BS 3Q2022'!AP49</f>
        <v>-7.4564689243013405E-2</v>
      </c>
      <c r="AQ49" s="278">
        <f>'BS (Before Changes)'!AQ49-'BS 3Q2022'!AQ49</f>
        <v>0</v>
      </c>
      <c r="AR49" s="277">
        <f>'BS (Before Changes)'!AR49-'BS 3Q2022'!AR49</f>
        <v>0</v>
      </c>
      <c r="AS49" s="277">
        <f>'BS (Before Changes)'!AS49-'BS 3Q2022'!AS49</f>
        <v>0</v>
      </c>
      <c r="AT49" s="277">
        <f>'BS (Before Changes)'!AT49-'BS 3Q2022'!AT49</f>
        <v>0</v>
      </c>
      <c r="AU49" s="277">
        <f>'BS (Before Changes)'!AU49-'BS 3Q2022'!AU49</f>
        <v>-8.1282228814456126E-2</v>
      </c>
      <c r="AV49" s="278">
        <f>'BS (Before Changes)'!AV49-'BS 3Q2022'!AV49</f>
        <v>0</v>
      </c>
    </row>
    <row r="50" spans="2:48" s="23" customFormat="1" outlineLevel="1" x14ac:dyDescent="0.3">
      <c r="B50" s="504" t="s">
        <v>252</v>
      </c>
      <c r="C50" s="505"/>
      <c r="D50" s="279">
        <f>'BS (Before Changes)'!D50-'BS 3Q2022'!D50</f>
        <v>0</v>
      </c>
      <c r="E50" s="279">
        <f>'BS (Before Changes)'!E50-'BS 3Q2022'!E50</f>
        <v>0</v>
      </c>
      <c r="F50" s="274">
        <f>'BS (Before Changes)'!F50-'BS 3Q2022'!F50</f>
        <v>0</v>
      </c>
      <c r="G50" s="274">
        <f>'BS (Before Changes)'!G50-'BS 3Q2022'!G50</f>
        <v>0</v>
      </c>
      <c r="H50" s="126">
        <f>'BS (Before Changes)'!H50-'BS 3Q2022'!H50</f>
        <v>0</v>
      </c>
      <c r="I50" s="274">
        <f>'BS (Before Changes)'!I50-'BS 3Q2022'!I50</f>
        <v>0</v>
      </c>
      <c r="J50" s="274">
        <f>'BS (Before Changes)'!J50-'BS 3Q2022'!J50</f>
        <v>0</v>
      </c>
      <c r="K50" s="274">
        <f>'BS (Before Changes)'!K50-'BS 3Q2022'!K50</f>
        <v>0</v>
      </c>
      <c r="L50" s="279">
        <f>'BS (Before Changes)'!L50-'BS 3Q2022'!L50</f>
        <v>0</v>
      </c>
      <c r="M50" s="31">
        <f>'BS (Before Changes)'!M50-'BS 3Q2022'!M50</f>
        <v>0</v>
      </c>
      <c r="N50" s="279">
        <f>'BS (Before Changes)'!N50-'BS 3Q2022'!N50</f>
        <v>0</v>
      </c>
      <c r="O50" s="279">
        <f>'BS (Before Changes)'!O50-'BS 3Q2022'!O50</f>
        <v>0</v>
      </c>
      <c r="P50" s="279">
        <f>'BS (Before Changes)'!P50-'BS 3Q2022'!P50</f>
        <v>0</v>
      </c>
      <c r="Q50" s="279">
        <f>'BS (Before Changes)'!Q50-'BS 3Q2022'!Q50</f>
        <v>0</v>
      </c>
      <c r="R50" s="31">
        <f>'BS (Before Changes)'!R50-'BS 3Q2022'!R50</f>
        <v>0</v>
      </c>
      <c r="S50" s="279">
        <f>'BS (Before Changes)'!S50-'BS 3Q2022'!S50</f>
        <v>0</v>
      </c>
      <c r="T50" s="279">
        <f>'BS (Before Changes)'!T50-'BS 3Q2022'!T50</f>
        <v>0</v>
      </c>
      <c r="U50" s="279">
        <f>'BS (Before Changes)'!U50-'BS 3Q2022'!U50</f>
        <v>0</v>
      </c>
      <c r="V50" s="279">
        <f>'BS (Before Changes)'!V50-'BS 3Q2022'!V50</f>
        <v>8.5588897522310106</v>
      </c>
      <c r="W50" s="31">
        <f>'BS (Before Changes)'!W50-'BS 3Q2022'!W50</f>
        <v>0</v>
      </c>
      <c r="X50" s="279">
        <f>'BS (Before Changes)'!X50-'BS 3Q2022'!X50</f>
        <v>0</v>
      </c>
      <c r="Y50" s="279">
        <f>'BS (Before Changes)'!Y50-'BS 3Q2022'!Y50</f>
        <v>0</v>
      </c>
      <c r="Z50" s="279">
        <f>'BS (Before Changes)'!Z50-'BS 3Q2022'!Z50</f>
        <v>0</v>
      </c>
      <c r="AA50" s="279">
        <f>'BS (Before Changes)'!AA50-'BS 3Q2022'!AA50</f>
        <v>2.6113008425904241</v>
      </c>
      <c r="AB50" s="31">
        <f>'BS (Before Changes)'!AB50-'BS 3Q2022'!AB50</f>
        <v>0</v>
      </c>
      <c r="AC50" s="279">
        <f>'BS (Before Changes)'!AC50-'BS 3Q2022'!AC50</f>
        <v>0</v>
      </c>
      <c r="AD50" s="279">
        <f>'BS (Before Changes)'!AD50-'BS 3Q2022'!AD50</f>
        <v>0</v>
      </c>
      <c r="AE50" s="279">
        <f>'BS (Before Changes)'!AE50-'BS 3Q2022'!AE50</f>
        <v>0</v>
      </c>
      <c r="AF50" s="279">
        <f>'BS (Before Changes)'!AF50-'BS 3Q2022'!AF50</f>
        <v>3.3043365919429561</v>
      </c>
      <c r="AG50" s="31">
        <f>'BS (Before Changes)'!AG50-'BS 3Q2022'!AG50</f>
        <v>0</v>
      </c>
      <c r="AH50" s="279">
        <f>'BS (Before Changes)'!AH50-'BS 3Q2022'!AH50</f>
        <v>0</v>
      </c>
      <c r="AI50" s="279">
        <f>'BS (Before Changes)'!AI50-'BS 3Q2022'!AI50</f>
        <v>0</v>
      </c>
      <c r="AJ50" s="279">
        <f>'BS (Before Changes)'!AJ50-'BS 3Q2022'!AJ50</f>
        <v>0</v>
      </c>
      <c r="AK50" s="279">
        <f>'BS (Before Changes)'!AK50-'BS 3Q2022'!AK50</f>
        <v>4.6931599154324033</v>
      </c>
      <c r="AL50" s="31">
        <f>'BS (Before Changes)'!AL50-'BS 3Q2022'!AL50</f>
        <v>0</v>
      </c>
      <c r="AM50" s="279">
        <f>'BS (Before Changes)'!AM50-'BS 3Q2022'!AM50</f>
        <v>0</v>
      </c>
      <c r="AN50" s="279">
        <f>'BS (Before Changes)'!AN50-'BS 3Q2022'!AN50</f>
        <v>0</v>
      </c>
      <c r="AO50" s="279">
        <f>'BS (Before Changes)'!AO50-'BS 3Q2022'!AO50</f>
        <v>0</v>
      </c>
      <c r="AP50" s="279">
        <f>'BS (Before Changes)'!AP50-'BS 3Q2022'!AP50</f>
        <v>3.5285891766123001</v>
      </c>
      <c r="AQ50" s="31">
        <f>'BS (Before Changes)'!AQ50-'BS 3Q2022'!AQ50</f>
        <v>0</v>
      </c>
      <c r="AR50" s="279">
        <f>'BS (Before Changes)'!AR50-'BS 3Q2022'!AR50</f>
        <v>0</v>
      </c>
      <c r="AS50" s="279">
        <f>'BS (Before Changes)'!AS50-'BS 3Q2022'!AS50</f>
        <v>0</v>
      </c>
      <c r="AT50" s="279">
        <f>'BS (Before Changes)'!AT50-'BS 3Q2022'!AT50</f>
        <v>0</v>
      </c>
      <c r="AU50" s="279">
        <f>'BS (Before Changes)'!AU50-'BS 3Q2022'!AU50</f>
        <v>3.8286994781143804</v>
      </c>
      <c r="AV50" s="31">
        <f>'BS (Before Changes)'!AV50-'BS 3Q2022'!AV50</f>
        <v>0</v>
      </c>
    </row>
    <row r="51" spans="2:48" s="23" customFormat="1" outlineLevel="1" x14ac:dyDescent="0.3">
      <c r="B51" s="486" t="s">
        <v>254</v>
      </c>
      <c r="C51" s="487"/>
      <c r="D51" s="275">
        <f>'BS (Before Changes)'!D51-'BS 3Q2022'!D51</f>
        <v>0</v>
      </c>
      <c r="E51" s="275">
        <f>'BS (Before Changes)'!E51-'BS 3Q2022'!E51</f>
        <v>0</v>
      </c>
      <c r="F51" s="276">
        <f>'BS (Before Changes)'!F51-'BS 3Q2022'!F51</f>
        <v>0</v>
      </c>
      <c r="G51" s="276">
        <f>'BS (Before Changes)'!G51-'BS 3Q2022'!G51</f>
        <v>0</v>
      </c>
      <c r="H51" s="127">
        <f>'BS (Before Changes)'!H51-'BS 3Q2022'!H51</f>
        <v>0</v>
      </c>
      <c r="I51" s="276">
        <f>'BS (Before Changes)'!I51-'BS 3Q2022'!I51</f>
        <v>0</v>
      </c>
      <c r="J51" s="276">
        <f>'BS (Before Changes)'!J51-'BS 3Q2022'!J51</f>
        <v>0</v>
      </c>
      <c r="K51" s="276">
        <f>'BS (Before Changes)'!K51-'BS 3Q2022'!K51</f>
        <v>0</v>
      </c>
      <c r="L51" s="276">
        <f>'BS (Before Changes)'!L51-'BS 3Q2022'!L51</f>
        <v>0</v>
      </c>
      <c r="M51" s="280">
        <f>'BS (Before Changes)'!M51-'BS 3Q2022'!M51</f>
        <v>0</v>
      </c>
      <c r="N51" s="276">
        <f>'BS (Before Changes)'!N51-'BS 3Q2022'!N51</f>
        <v>0</v>
      </c>
      <c r="O51" s="276">
        <f>'BS (Before Changes)'!O51-'BS 3Q2022'!O51</f>
        <v>0</v>
      </c>
      <c r="P51" s="276">
        <f>'BS (Before Changes)'!P51-'BS 3Q2022'!P51</f>
        <v>0</v>
      </c>
      <c r="Q51" s="276">
        <f>'BS (Before Changes)'!Q51-'BS 3Q2022'!Q51</f>
        <v>0</v>
      </c>
      <c r="R51" s="280">
        <f>'BS (Before Changes)'!R51-'BS 3Q2022'!R51</f>
        <v>0</v>
      </c>
      <c r="S51" s="276">
        <f>'BS (Before Changes)'!S51-'BS 3Q2022'!S51</f>
        <v>0</v>
      </c>
      <c r="T51" s="276">
        <f>'BS (Before Changes)'!T51-'BS 3Q2022'!T51</f>
        <v>0</v>
      </c>
      <c r="U51" s="276">
        <f>'BS (Before Changes)'!U51-'BS 3Q2022'!U51</f>
        <v>0</v>
      </c>
      <c r="V51" s="277">
        <f>'BS (Before Changes)'!V51-'BS 3Q2022'!V51</f>
        <v>-6.4307723292409635E-2</v>
      </c>
      <c r="W51" s="280">
        <f>'BS (Before Changes)'!W51-'BS 3Q2022'!W51</f>
        <v>0</v>
      </c>
      <c r="X51" s="277">
        <f>'BS (Before Changes)'!X51-'BS 3Q2022'!X51</f>
        <v>0</v>
      </c>
      <c r="Y51" s="277">
        <f>'BS (Before Changes)'!Y51-'BS 3Q2022'!Y51</f>
        <v>0</v>
      </c>
      <c r="Z51" s="277">
        <f>'BS (Before Changes)'!Z51-'BS 3Q2022'!Z51</f>
        <v>0</v>
      </c>
      <c r="AA51" s="277">
        <f>'BS (Before Changes)'!AA51-'BS 3Q2022'!AA51</f>
        <v>-2.1435907764136397E-2</v>
      </c>
      <c r="AB51" s="31">
        <f>'BS (Before Changes)'!AB51-'BS 3Q2022'!AB51</f>
        <v>0</v>
      </c>
      <c r="AC51" s="277">
        <f>'BS (Before Changes)'!AC51-'BS 3Q2022'!AC51</f>
        <v>0</v>
      </c>
      <c r="AD51" s="277">
        <f>'BS (Before Changes)'!AD51-'BS 3Q2022'!AD51</f>
        <v>0</v>
      </c>
      <c r="AE51" s="277">
        <f>'BS (Before Changes)'!AE51-'BS 3Q2022'!AE51</f>
        <v>0</v>
      </c>
      <c r="AF51" s="277">
        <f>'BS (Before Changes)'!AF51-'BS 3Q2022'!AF51</f>
        <v>-2.8581210352181863E-2</v>
      </c>
      <c r="AG51" s="31">
        <f>'BS (Before Changes)'!AG51-'BS 3Q2022'!AG51</f>
        <v>0</v>
      </c>
      <c r="AH51" s="277">
        <f>'BS (Before Changes)'!AH51-'BS 3Q2022'!AH51</f>
        <v>0</v>
      </c>
      <c r="AI51" s="277">
        <f>'BS (Before Changes)'!AI51-'BS 3Q2022'!AI51</f>
        <v>0</v>
      </c>
      <c r="AJ51" s="277">
        <f>'BS (Before Changes)'!AJ51-'BS 3Q2022'!AJ51</f>
        <v>0</v>
      </c>
      <c r="AK51" s="277">
        <f>'BS (Before Changes)'!AK51-'BS 3Q2022'!AK51</f>
        <v>-3.8108280469575817E-2</v>
      </c>
      <c r="AL51" s="31">
        <f>'BS (Before Changes)'!AL51-'BS 3Q2022'!AL51</f>
        <v>0</v>
      </c>
      <c r="AM51" s="277">
        <f>'BS (Before Changes)'!AM51-'BS 3Q2022'!AM51</f>
        <v>0</v>
      </c>
      <c r="AN51" s="277">
        <f>'BS (Before Changes)'!AN51-'BS 3Q2022'!AN51</f>
        <v>0</v>
      </c>
      <c r="AO51" s="277">
        <f>'BS (Before Changes)'!AO51-'BS 3Q2022'!AO51</f>
        <v>0</v>
      </c>
      <c r="AP51" s="277">
        <f>'BS (Before Changes)'!AP51-'BS 3Q2022'!AP51</f>
        <v>-2.937513286196447E-2</v>
      </c>
      <c r="AQ51" s="31">
        <f>'BS (Before Changes)'!AQ51-'BS 3Q2022'!AQ51</f>
        <v>0</v>
      </c>
      <c r="AR51" s="277">
        <f>'BS (Before Changes)'!AR51-'BS 3Q2022'!AR51</f>
        <v>0</v>
      </c>
      <c r="AS51" s="277">
        <f>'BS (Before Changes)'!AS51-'BS 3Q2022'!AS51</f>
        <v>0</v>
      </c>
      <c r="AT51" s="277">
        <f>'BS (Before Changes)'!AT51-'BS 3Q2022'!AT51</f>
        <v>0</v>
      </c>
      <c r="AU51" s="277">
        <f>'BS (Before Changes)'!AU51-'BS 3Q2022'!AU51</f>
        <v>-3.2021541227907235E-2</v>
      </c>
      <c r="AV51" s="31">
        <f>'BS (Before Changes)'!AV51-'BS 3Q2022'!AV51</f>
        <v>0</v>
      </c>
    </row>
    <row r="52" spans="2:48" s="23" customFormat="1" outlineLevel="1" x14ac:dyDescent="0.3">
      <c r="B52" s="504" t="s">
        <v>255</v>
      </c>
      <c r="C52" s="505"/>
      <c r="D52" s="16">
        <f>'BS (Before Changes)'!D52-'BS 3Q2022'!D52</f>
        <v>0</v>
      </c>
      <c r="E52" s="16">
        <f>'BS (Before Changes)'!E52-'BS 3Q2022'!E52</f>
        <v>0</v>
      </c>
      <c r="F52" s="101">
        <f>'BS (Before Changes)'!F52-'BS 3Q2022'!F52</f>
        <v>0</v>
      </c>
      <c r="G52" s="101">
        <f>'BS (Before Changes)'!G52-'BS 3Q2022'!G52</f>
        <v>0</v>
      </c>
      <c r="H52" s="128">
        <f>'BS (Before Changes)'!H52-'BS 3Q2022'!H52</f>
        <v>0</v>
      </c>
      <c r="I52" s="101">
        <f>'BS (Before Changes)'!I52-'BS 3Q2022'!I52</f>
        <v>0</v>
      </c>
      <c r="J52" s="101">
        <f>'BS (Before Changes)'!J52-'BS 3Q2022'!J52</f>
        <v>0</v>
      </c>
      <c r="K52" s="101">
        <f>'BS (Before Changes)'!K52-'BS 3Q2022'!K52</f>
        <v>0</v>
      </c>
      <c r="L52" s="16">
        <f>'BS (Before Changes)'!L52-'BS 3Q2022'!L52</f>
        <v>0</v>
      </c>
      <c r="M52" s="28">
        <f>'BS (Before Changes)'!M52-'BS 3Q2022'!M52</f>
        <v>0</v>
      </c>
      <c r="N52" s="16">
        <f>'BS (Before Changes)'!N52-'BS 3Q2022'!N52</f>
        <v>0</v>
      </c>
      <c r="O52" s="16">
        <f>'BS (Before Changes)'!O52-'BS 3Q2022'!O52</f>
        <v>0</v>
      </c>
      <c r="P52" s="16">
        <f>'BS (Before Changes)'!P52-'BS 3Q2022'!P52</f>
        <v>0</v>
      </c>
      <c r="Q52" s="16">
        <f>'BS (Before Changes)'!Q52-'BS 3Q2022'!Q52</f>
        <v>0</v>
      </c>
      <c r="R52" s="28">
        <f>'BS (Before Changes)'!R52-'BS 3Q2022'!R52</f>
        <v>0</v>
      </c>
      <c r="S52" s="16">
        <f>'BS (Before Changes)'!S52-'BS 3Q2022'!S52</f>
        <v>0</v>
      </c>
      <c r="T52" s="16">
        <f>'BS (Before Changes)'!T52-'BS 3Q2022'!T52</f>
        <v>0</v>
      </c>
      <c r="U52" s="16">
        <f>'BS (Before Changes)'!U52-'BS 3Q2022'!U52</f>
        <v>0</v>
      </c>
      <c r="V52" s="16">
        <f>'BS (Before Changes)'!V52-'BS 3Q2022'!V52</f>
        <v>1.6171860956239215</v>
      </c>
      <c r="W52" s="28">
        <f>'BS (Before Changes)'!W52-'BS 3Q2022'!W52</f>
        <v>0</v>
      </c>
      <c r="X52" s="16">
        <f>'BS (Before Changes)'!X52-'BS 3Q2022'!X52</f>
        <v>0</v>
      </c>
      <c r="Y52" s="16">
        <f>'BS (Before Changes)'!Y52-'BS 3Q2022'!Y52</f>
        <v>0</v>
      </c>
      <c r="Z52" s="16">
        <f>'BS (Before Changes)'!Z52-'BS 3Q2022'!Z52</f>
        <v>0</v>
      </c>
      <c r="AA52" s="16">
        <f>'BS (Before Changes)'!AA52-'BS 3Q2022'!AA52</f>
        <v>0.50136724893182105</v>
      </c>
      <c r="AB52" s="28">
        <f>'BS (Before Changes)'!AB52-'BS 3Q2022'!AB52</f>
        <v>0</v>
      </c>
      <c r="AC52" s="16">
        <f>'BS (Before Changes)'!AC52-'BS 3Q2022'!AC52</f>
        <v>0</v>
      </c>
      <c r="AD52" s="16">
        <f>'BS (Before Changes)'!AD52-'BS 3Q2022'!AD52</f>
        <v>0</v>
      </c>
      <c r="AE52" s="16">
        <f>'BS (Before Changes)'!AE52-'BS 3Q2022'!AE52</f>
        <v>0</v>
      </c>
      <c r="AF52" s="16">
        <f>'BS (Before Changes)'!AF52-'BS 3Q2022'!AF52</f>
        <v>0.66797439489473476</v>
      </c>
      <c r="AG52" s="28">
        <f>'BS (Before Changes)'!AG52-'BS 3Q2022'!AG52</f>
        <v>0</v>
      </c>
      <c r="AH52" s="16">
        <f>'BS (Before Changes)'!AH52-'BS 3Q2022'!AH52</f>
        <v>0</v>
      </c>
      <c r="AI52" s="16">
        <f>'BS (Before Changes)'!AI52-'BS 3Q2022'!AI52</f>
        <v>0</v>
      </c>
      <c r="AJ52" s="16">
        <f>'BS (Before Changes)'!AJ52-'BS 3Q2022'!AJ52</f>
        <v>0</v>
      </c>
      <c r="AK52" s="16">
        <f>'BS (Before Changes)'!AK52-'BS 3Q2022'!AK52</f>
        <v>0.91259414531950256</v>
      </c>
      <c r="AL52" s="28">
        <f>'BS (Before Changes)'!AL52-'BS 3Q2022'!AL52</f>
        <v>0</v>
      </c>
      <c r="AM52" s="16">
        <f>'BS (Before Changes)'!AM52-'BS 3Q2022'!AM52</f>
        <v>0</v>
      </c>
      <c r="AN52" s="16">
        <f>'BS (Before Changes)'!AN52-'BS 3Q2022'!AN52</f>
        <v>0</v>
      </c>
      <c r="AO52" s="16">
        <f>'BS (Before Changes)'!AO52-'BS 3Q2022'!AO52</f>
        <v>0</v>
      </c>
      <c r="AP52" s="16">
        <f>'BS (Before Changes)'!AP52-'BS 3Q2022'!AP52</f>
        <v>0.69228006260328101</v>
      </c>
      <c r="AQ52" s="28">
        <f>'BS (Before Changes)'!AQ52-'BS 3Q2022'!AQ52</f>
        <v>0</v>
      </c>
      <c r="AR52" s="16">
        <f>'BS (Before Changes)'!AR52-'BS 3Q2022'!AR52</f>
        <v>0</v>
      </c>
      <c r="AS52" s="16">
        <f>'BS (Before Changes)'!AS52-'BS 3Q2022'!AS52</f>
        <v>0</v>
      </c>
      <c r="AT52" s="16">
        <f>'BS (Before Changes)'!AT52-'BS 3Q2022'!AT52</f>
        <v>0</v>
      </c>
      <c r="AU52" s="16">
        <f>'BS (Before Changes)'!AU52-'BS 3Q2022'!AU52</f>
        <v>0.75656066073270978</v>
      </c>
      <c r="AV52" s="28">
        <f>'BS (Before Changes)'!AV52-'BS 3Q2022'!AV52</f>
        <v>0</v>
      </c>
    </row>
    <row r="53" spans="2:48" s="23" customFormat="1" outlineLevel="1" x14ac:dyDescent="0.3">
      <c r="B53" s="486" t="s">
        <v>256</v>
      </c>
      <c r="C53" s="487"/>
      <c r="D53" s="30">
        <f>'BS (Before Changes)'!D53-'BS 3Q2022'!D53</f>
        <v>0</v>
      </c>
      <c r="E53" s="30">
        <f>'BS (Before Changes)'!E53-'BS 3Q2022'!E53</f>
        <v>0</v>
      </c>
      <c r="F53" s="118">
        <f>'BS (Before Changes)'!F53-'BS 3Q2022'!F53</f>
        <v>0</v>
      </c>
      <c r="G53" s="118">
        <f>'BS (Before Changes)'!G53-'BS 3Q2022'!G53</f>
        <v>0</v>
      </c>
      <c r="H53" s="128">
        <f>'BS (Before Changes)'!H53-'BS 3Q2022'!H53</f>
        <v>0</v>
      </c>
      <c r="I53" s="118">
        <f>'BS (Before Changes)'!I53-'BS 3Q2022'!I53</f>
        <v>0</v>
      </c>
      <c r="J53" s="118">
        <f>'BS (Before Changes)'!J53-'BS 3Q2022'!J53</f>
        <v>0</v>
      </c>
      <c r="K53" s="118">
        <f>'BS (Before Changes)'!K53-'BS 3Q2022'!K53</f>
        <v>0</v>
      </c>
      <c r="L53" s="118">
        <f>'BS (Before Changes)'!L53-'BS 3Q2022'!L53</f>
        <v>0</v>
      </c>
      <c r="M53" s="28">
        <f>'BS (Before Changes)'!M53-'BS 3Q2022'!M53</f>
        <v>0</v>
      </c>
      <c r="N53" s="118">
        <f>'BS (Before Changes)'!N53-'BS 3Q2022'!N53</f>
        <v>0</v>
      </c>
      <c r="O53" s="118">
        <f>'BS (Before Changes)'!O53-'BS 3Q2022'!O53</f>
        <v>0</v>
      </c>
      <c r="P53" s="118">
        <f>'BS (Before Changes)'!P53-'BS 3Q2022'!P53</f>
        <v>0</v>
      </c>
      <c r="Q53" s="118">
        <f>'BS (Before Changes)'!Q53-'BS 3Q2022'!Q53</f>
        <v>0</v>
      </c>
      <c r="R53" s="28">
        <f>'BS (Before Changes)'!R53-'BS 3Q2022'!R53</f>
        <v>0</v>
      </c>
      <c r="S53" s="118">
        <f>'BS (Before Changes)'!S53-'BS 3Q2022'!S53</f>
        <v>0</v>
      </c>
      <c r="T53" s="118">
        <f>'BS (Before Changes)'!T53-'BS 3Q2022'!T53</f>
        <v>0</v>
      </c>
      <c r="U53" s="118">
        <f>'BS (Before Changes)'!U53-'BS 3Q2022'!U53</f>
        <v>0</v>
      </c>
      <c r="V53" s="34">
        <f>'BS (Before Changes)'!V53-'BS 3Q2022'!V53</f>
        <v>9.6656515550552959E-3</v>
      </c>
      <c r="W53" s="28">
        <f>'BS (Before Changes)'!W53-'BS 3Q2022'!W53</f>
        <v>0</v>
      </c>
      <c r="X53" s="34">
        <f>'BS (Before Changes)'!X53-'BS 3Q2022'!X53</f>
        <v>2.4164128887638244E-3</v>
      </c>
      <c r="Y53" s="34">
        <f>'BS (Before Changes)'!Y53-'BS 3Q2022'!Y53</f>
        <v>3.0205161109547792E-3</v>
      </c>
      <c r="Z53" s="34">
        <f>'BS (Before Changes)'!Z53-'BS 3Q2022'!Z53</f>
        <v>3.7756451386934779E-3</v>
      </c>
      <c r="AA53" s="34">
        <f>'BS (Before Changes)'!AA53-'BS 3Q2022'!AA53</f>
        <v>4.7195564233668448E-3</v>
      </c>
      <c r="AB53" s="28">
        <f>'BS (Before Changes)'!AB53-'BS 3Q2022'!AB53</f>
        <v>0</v>
      </c>
      <c r="AC53" s="34">
        <f>'BS (Before Changes)'!AC53-'BS 3Q2022'!AC53</f>
        <v>3.4830326404447325E-3</v>
      </c>
      <c r="AD53" s="34">
        <f>'BS (Before Changes)'!AD53-'BS 3Q2022'!AD53</f>
        <v>3.7496875783649582E-3</v>
      </c>
      <c r="AE53" s="34">
        <f>'BS (Before Changes)'!AE53-'BS 3Q2022'!AE53</f>
        <v>3.9319804452174999E-3</v>
      </c>
      <c r="AF53" s="34">
        <f>'BS (Before Changes)'!AF53-'BS 3Q2022'!AF53</f>
        <v>3.9710642718485088E-3</v>
      </c>
      <c r="AG53" s="28">
        <f>'BS (Before Changes)'!AG53-'BS 3Q2022'!AG53</f>
        <v>0</v>
      </c>
      <c r="AH53" s="34">
        <f>'BS (Before Changes)'!AH53-'BS 3Q2022'!AH53</f>
        <v>3.7839412339689266E-3</v>
      </c>
      <c r="AI53" s="34">
        <f>'BS (Before Changes)'!AI53-'BS 3Q2022'!AI53</f>
        <v>3.8591683823499742E-3</v>
      </c>
      <c r="AJ53" s="34">
        <f>'BS (Before Changes)'!AJ53-'BS 3Q2022'!AJ53</f>
        <v>3.8865385833462274E-3</v>
      </c>
      <c r="AK53" s="34">
        <f>'BS (Before Changes)'!AK53-'BS 3Q2022'!AK53</f>
        <v>3.8751781178784084E-3</v>
      </c>
      <c r="AL53" s="28">
        <f>'BS (Before Changes)'!AL53-'BS 3Q2022'!AL53</f>
        <v>0</v>
      </c>
      <c r="AM53" s="34">
        <f>'BS (Before Changes)'!AM53-'BS 3Q2022'!AM53</f>
        <v>3.8512065793858859E-3</v>
      </c>
      <c r="AN53" s="34">
        <f>'BS (Before Changes)'!AN53-'BS 3Q2022'!AN53</f>
        <v>3.8680229157401248E-3</v>
      </c>
      <c r="AO53" s="34">
        <f>'BS (Before Changes)'!AO53-'BS 3Q2022'!AO53</f>
        <v>3.8702365490876599E-3</v>
      </c>
      <c r="AP53" s="34">
        <f>'BS (Before Changes)'!AP53-'BS 3Q2022'!AP53</f>
        <v>3.8661610405230189E-3</v>
      </c>
      <c r="AQ53" s="28">
        <f>'BS (Before Changes)'!AQ53-'BS 3Q2022'!AQ53</f>
        <v>0</v>
      </c>
      <c r="AR53" s="34">
        <f>'BS (Before Changes)'!AR53-'BS 3Q2022'!AR53</f>
        <v>3.8639067711841724E-3</v>
      </c>
      <c r="AS53" s="34">
        <f>'BS (Before Changes)'!AS53-'BS 3Q2022'!AS53</f>
        <v>3.8670818191337449E-3</v>
      </c>
      <c r="AT53" s="34">
        <f>'BS (Before Changes)'!AT53-'BS 3Q2022'!AT53</f>
        <v>3.8668465449821516E-3</v>
      </c>
      <c r="AU53" s="34">
        <f>'BS (Before Changes)'!AU53-'BS 3Q2022'!AU53</f>
        <v>3.8659990439557698E-3</v>
      </c>
      <c r="AV53" s="28">
        <f>'BS (Before Changes)'!AV53-'BS 3Q2022'!AV53</f>
        <v>0</v>
      </c>
    </row>
    <row r="54" spans="2:48" s="23" customFormat="1" outlineLevel="1" x14ac:dyDescent="0.3">
      <c r="B54" s="180" t="s">
        <v>257</v>
      </c>
      <c r="C54" s="201"/>
      <c r="D54" s="30">
        <f>'BS (Before Changes)'!D54-'BS 3Q2022'!D54</f>
        <v>0</v>
      </c>
      <c r="E54" s="30">
        <f>'BS (Before Changes)'!E54-'BS 3Q2022'!E54</f>
        <v>0</v>
      </c>
      <c r="F54" s="118">
        <f>'BS (Before Changes)'!F54-'BS 3Q2022'!F54</f>
        <v>0</v>
      </c>
      <c r="G54" s="118">
        <f>'BS (Before Changes)'!G54-'BS 3Q2022'!G54</f>
        <v>0</v>
      </c>
      <c r="H54" s="128">
        <f>'BS (Before Changes)'!H54-'BS 3Q2022'!H54</f>
        <v>0</v>
      </c>
      <c r="I54" s="118">
        <f>'BS (Before Changes)'!I54-'BS 3Q2022'!I54</f>
        <v>0</v>
      </c>
      <c r="J54" s="118">
        <f>'BS (Before Changes)'!J54-'BS 3Q2022'!J54</f>
        <v>0</v>
      </c>
      <c r="K54" s="118">
        <f>'BS (Before Changes)'!K54-'BS 3Q2022'!K54</f>
        <v>0</v>
      </c>
      <c r="L54" s="118">
        <f>'BS (Before Changes)'!L54-'BS 3Q2022'!L54</f>
        <v>0</v>
      </c>
      <c r="M54" s="28">
        <f>'BS (Before Changes)'!M54-'BS 3Q2022'!M54</f>
        <v>0</v>
      </c>
      <c r="N54" s="118">
        <f>'BS (Before Changes)'!N54-'BS 3Q2022'!N54</f>
        <v>0</v>
      </c>
      <c r="O54" s="118">
        <f>'BS (Before Changes)'!O54-'BS 3Q2022'!O54</f>
        <v>0</v>
      </c>
      <c r="P54" s="118">
        <f>'BS (Before Changes)'!P54-'BS 3Q2022'!P54</f>
        <v>0</v>
      </c>
      <c r="Q54" s="118">
        <f>'BS (Before Changes)'!Q54-'BS 3Q2022'!Q54</f>
        <v>0</v>
      </c>
      <c r="R54" s="28">
        <f>'BS (Before Changes)'!R54-'BS 3Q2022'!R54</f>
        <v>0</v>
      </c>
      <c r="S54" s="118">
        <f>'BS (Before Changes)'!S54-'BS 3Q2022'!S54</f>
        <v>0</v>
      </c>
      <c r="T54" s="118">
        <f>'BS (Before Changes)'!T54-'BS 3Q2022'!T54</f>
        <v>0</v>
      </c>
      <c r="U54" s="118">
        <f>'BS (Before Changes)'!U54-'BS 3Q2022'!U54</f>
        <v>0</v>
      </c>
      <c r="V54" s="34">
        <f>'BS (Before Changes)'!V54-'BS 3Q2022'!V54</f>
        <v>0.31067238808168396</v>
      </c>
      <c r="W54" s="28">
        <f>'BS (Before Changes)'!W54-'BS 3Q2022'!W54</f>
        <v>0</v>
      </c>
      <c r="X54" s="34">
        <f>'BS (Before Changes)'!X54-'BS 3Q2022'!X54</f>
        <v>7.766809702042099E-2</v>
      </c>
      <c r="Y54" s="34">
        <f>'BS (Before Changes)'!Y54-'BS 3Q2022'!Y54</f>
        <v>9.7085121275526237E-2</v>
      </c>
      <c r="Z54" s="34">
        <f>'BS (Before Changes)'!Z54-'BS 3Q2022'!Z54</f>
        <v>0.12135640159440775</v>
      </c>
      <c r="AA54" s="34">
        <f>'BS (Before Changes)'!AA54-'BS 3Q2022'!AA54</f>
        <v>0.15169550199300974</v>
      </c>
      <c r="AB54" s="28">
        <f>'BS (Before Changes)'!AB54-'BS 3Q2022'!AB54</f>
        <v>0</v>
      </c>
      <c r="AC54" s="34">
        <f>'BS (Before Changes)'!AC54-'BS 3Q2022'!AC54</f>
        <v>0.11195128047084113</v>
      </c>
      <c r="AD54" s="34">
        <f>'BS (Before Changes)'!AD54-'BS 3Q2022'!AD54</f>
        <v>0.12052207633344619</v>
      </c>
      <c r="AE54" s="34">
        <f>'BS (Before Changes)'!AE54-'BS 3Q2022'!AE54</f>
        <v>0.12638131509792622</v>
      </c>
      <c r="AF54" s="34">
        <f>'BS (Before Changes)'!AF54-'BS 3Q2022'!AF54</f>
        <v>0.12763754347380579</v>
      </c>
      <c r="AG54" s="28">
        <f>'BS (Before Changes)'!AG54-'BS 3Q2022'!AG54</f>
        <v>0</v>
      </c>
      <c r="AH54" s="34">
        <f>'BS (Before Changes)'!AH54-'BS 3Q2022'!AH54</f>
        <v>0.12162305384400485</v>
      </c>
      <c r="AI54" s="34">
        <f>'BS (Before Changes)'!AI54-'BS 3Q2022'!AI54</f>
        <v>0.12404099718729572</v>
      </c>
      <c r="AJ54" s="34">
        <f>'BS (Before Changes)'!AJ54-'BS 3Q2022'!AJ54</f>
        <v>0.1249207274007581</v>
      </c>
      <c r="AK54" s="34">
        <f>'BS (Before Changes)'!AK54-'BS 3Q2022'!AK54</f>
        <v>0.12455558047646612</v>
      </c>
      <c r="AL54" s="28">
        <f>'BS (Before Changes)'!AL54-'BS 3Q2022'!AL54</f>
        <v>0</v>
      </c>
      <c r="AM54" s="34">
        <f>'BS (Before Changes)'!AM54-'BS 3Q2022'!AM54</f>
        <v>0.12378508972713123</v>
      </c>
      <c r="AN54" s="34">
        <f>'BS (Before Changes)'!AN54-'BS 3Q2022'!AN54</f>
        <v>0.12432559869791282</v>
      </c>
      <c r="AO54" s="34">
        <f>'BS (Before Changes)'!AO54-'BS 3Q2022'!AO54</f>
        <v>0.12439674907556708</v>
      </c>
      <c r="AP54" s="34">
        <f>'BS (Before Changes)'!AP54-'BS 3Q2022'!AP54</f>
        <v>0.12426575449426927</v>
      </c>
      <c r="AQ54" s="28">
        <f>'BS (Before Changes)'!AQ54-'BS 3Q2022'!AQ54</f>
        <v>0</v>
      </c>
      <c r="AR54" s="34">
        <f>'BS (Before Changes)'!AR54-'BS 3Q2022'!AR54</f>
        <v>0.12419329799872011</v>
      </c>
      <c r="AS54" s="34">
        <f>'BS (Before Changes)'!AS54-'BS 3Q2022'!AS54</f>
        <v>0.12429535006661735</v>
      </c>
      <c r="AT54" s="34">
        <f>'BS (Before Changes)'!AT54-'BS 3Q2022'!AT54</f>
        <v>0.12428778790879341</v>
      </c>
      <c r="AU54" s="34">
        <f>'BS (Before Changes)'!AU54-'BS 3Q2022'!AU54</f>
        <v>0.12426054761710004</v>
      </c>
      <c r="AV54" s="28">
        <f>'BS (Before Changes)'!AV54-'BS 3Q2022'!AV54</f>
        <v>0</v>
      </c>
    </row>
    <row r="55" spans="2:48" s="23" customFormat="1" outlineLevel="1" x14ac:dyDescent="0.3">
      <c r="B55" s="200" t="s">
        <v>258</v>
      </c>
      <c r="C55" s="201"/>
      <c r="D55" s="30">
        <f>'BS (Before Changes)'!D55-'BS 3Q2022'!D55</f>
        <v>0</v>
      </c>
      <c r="E55" s="30">
        <f>'BS (Before Changes)'!E55-'BS 3Q2022'!E55</f>
        <v>0</v>
      </c>
      <c r="F55" s="113">
        <f>'BS (Before Changes)'!F55-'BS 3Q2022'!F55</f>
        <v>0</v>
      </c>
      <c r="G55" s="113">
        <f>'BS (Before Changes)'!G55-'BS 3Q2022'!G55</f>
        <v>0</v>
      </c>
      <c r="H55" s="125">
        <f>'BS (Before Changes)'!H55-'BS 3Q2022'!H55</f>
        <v>0</v>
      </c>
      <c r="I55" s="281">
        <f>'BS (Before Changes)'!I55-'BS 3Q2022'!I55</f>
        <v>0</v>
      </c>
      <c r="J55" s="281">
        <f>'BS (Before Changes)'!J55-'BS 3Q2022'!J55</f>
        <v>0</v>
      </c>
      <c r="K55" s="113">
        <f>'BS (Before Changes)'!K55-'BS 3Q2022'!K55</f>
        <v>0</v>
      </c>
      <c r="L55" s="113">
        <f>'BS (Before Changes)'!L55-'BS 3Q2022'!L55</f>
        <v>0</v>
      </c>
      <c r="M55" s="282">
        <f>'BS (Before Changes)'!M55-'BS 3Q2022'!M55</f>
        <v>0</v>
      </c>
      <c r="N55" s="281">
        <f>'BS (Before Changes)'!N55-'BS 3Q2022'!N55</f>
        <v>0</v>
      </c>
      <c r="O55" s="281">
        <f>'BS (Before Changes)'!O55-'BS 3Q2022'!O55</f>
        <v>0</v>
      </c>
      <c r="P55" s="113">
        <f>'BS (Before Changes)'!P55-'BS 3Q2022'!P55</f>
        <v>0</v>
      </c>
      <c r="Q55" s="113">
        <f>'BS (Before Changes)'!Q55-'BS 3Q2022'!Q55</f>
        <v>0</v>
      </c>
      <c r="R55" s="282">
        <f>'BS (Before Changes)'!R55-'BS 3Q2022'!R55</f>
        <v>0</v>
      </c>
      <c r="S55" s="281">
        <f>'BS (Before Changes)'!S55-'BS 3Q2022'!S55</f>
        <v>0</v>
      </c>
      <c r="T55" s="281">
        <f>'BS (Before Changes)'!T55-'BS 3Q2022'!T55</f>
        <v>0</v>
      </c>
      <c r="U55" s="281">
        <f>'BS (Before Changes)'!U55-'BS 3Q2022'!U55</f>
        <v>0</v>
      </c>
      <c r="V55" s="35">
        <f>'BS (Before Changes)'!V55-'BS 3Q2022'!V55</f>
        <v>4.6442310875111359E-3</v>
      </c>
      <c r="W55" s="282">
        <f>'BS (Before Changes)'!W55-'BS 3Q2022'!W55</f>
        <v>0</v>
      </c>
      <c r="X55" s="283">
        <f>'BS (Before Changes)'!X55-'BS 3Q2022'!X55</f>
        <v>1.1610577718778048E-3</v>
      </c>
      <c r="Y55" s="283">
        <f>'BS (Before Changes)'!Y55-'BS 3Q2022'!Y55</f>
        <v>1.4513222148472282E-3</v>
      </c>
      <c r="Z55" s="35">
        <f>'BS (Before Changes)'!Z55-'BS 3Q2022'!Z55</f>
        <v>1.8141527685590353E-3</v>
      </c>
      <c r="AA55" s="284">
        <f>'BS (Before Changes)'!AA55-'BS 3Q2022'!AA55</f>
        <v>2.2676909606988149E-3</v>
      </c>
      <c r="AB55" s="28">
        <f>'BS (Before Changes)'!AB55-'BS 3Q2022'!AB55</f>
        <v>0</v>
      </c>
      <c r="AC55" s="283">
        <f>'BS (Before Changes)'!AC55-'BS 3Q2022'!AC55</f>
        <v>1.6735559289957347E-3</v>
      </c>
      <c r="AD55" s="283">
        <f>'BS (Before Changes)'!AD55-'BS 3Q2022'!AD55</f>
        <v>1.8016804682752241E-3</v>
      </c>
      <c r="AE55" s="35">
        <f>'BS (Before Changes)'!AE55-'BS 3Q2022'!AE55</f>
        <v>1.8892700316321953E-3</v>
      </c>
      <c r="AF55" s="284">
        <f>'BS (Before Changes)'!AF55-'BS 3Q2022'!AF55</f>
        <v>1.9080493474004645E-3</v>
      </c>
      <c r="AG55" s="28">
        <f>'BS (Before Changes)'!AG55-'BS 3Q2022'!AG55</f>
        <v>0</v>
      </c>
      <c r="AH55" s="283">
        <f>'BS (Before Changes)'!AH55-'BS 3Q2022'!AH55</f>
        <v>1.8181389440759255E-3</v>
      </c>
      <c r="AI55" s="283">
        <f>'BS (Before Changes)'!AI55-'BS 3Q2022'!AI55</f>
        <v>1.8542846978459593E-3</v>
      </c>
      <c r="AJ55" s="35">
        <f>'BS (Before Changes)'!AJ55-'BS 3Q2022'!AJ55</f>
        <v>1.8674357552386223E-3</v>
      </c>
      <c r="AK55" s="284">
        <f>'BS (Before Changes)'!AK55-'BS 3Q2022'!AK55</f>
        <v>1.8619771861402568E-3</v>
      </c>
      <c r="AL55" s="28">
        <f>'BS (Before Changes)'!AL55-'BS 3Q2022'!AL55</f>
        <v>0</v>
      </c>
      <c r="AM55" s="283">
        <f>'BS (Before Changes)'!AM55-'BS 3Q2022'!AM55</f>
        <v>1.850459145825184E-3</v>
      </c>
      <c r="AN55" s="283">
        <f>'BS (Before Changes)'!AN55-'BS 3Q2022'!AN55</f>
        <v>1.8585391962625264E-3</v>
      </c>
      <c r="AO55" s="35">
        <f>'BS (Before Changes)'!AO55-'BS 3Q2022'!AO55</f>
        <v>1.8596028208666682E-3</v>
      </c>
      <c r="AP55" s="284">
        <f>'BS (Before Changes)'!AP55-'BS 3Q2022'!AP55</f>
        <v>1.8576445872736658E-3</v>
      </c>
      <c r="AQ55" s="28">
        <f>'BS (Before Changes)'!AQ55-'BS 3Q2022'!AQ55</f>
        <v>0</v>
      </c>
      <c r="AR55" s="283">
        <f>'BS (Before Changes)'!AR55-'BS 3Q2022'!AR55</f>
        <v>1.856561437557025E-3</v>
      </c>
      <c r="AS55" s="283">
        <f>'BS (Before Changes)'!AS55-'BS 3Q2022'!AS55</f>
        <v>1.8580870104899505E-3</v>
      </c>
      <c r="AT55" s="35">
        <f>'BS (Before Changes)'!AT55-'BS 3Q2022'!AT55</f>
        <v>1.8579739640468274E-3</v>
      </c>
      <c r="AU55" s="284">
        <f>'BS (Before Changes)'!AU55-'BS 3Q2022'!AU55</f>
        <v>1.8575667498418602E-3</v>
      </c>
      <c r="AV55" s="28">
        <f>'BS (Before Changes)'!AV55-'BS 3Q2022'!AV55</f>
        <v>0</v>
      </c>
    </row>
    <row r="56" spans="2:48" outlineLevel="1" x14ac:dyDescent="0.3">
      <c r="B56" s="200" t="s">
        <v>259</v>
      </c>
      <c r="C56" s="201"/>
      <c r="D56" s="285">
        <f>'BS (Before Changes)'!D56-'BS 3Q2022'!D56</f>
        <v>0</v>
      </c>
      <c r="E56" s="285">
        <f>'BS (Before Changes)'!E56-'BS 3Q2022'!E56</f>
        <v>0</v>
      </c>
      <c r="F56" s="286">
        <f>'BS (Before Changes)'!F56-'BS 3Q2022'!F56</f>
        <v>0</v>
      </c>
      <c r="G56" s="286">
        <f>'BS (Before Changes)'!G56-'BS 3Q2022'!G56</f>
        <v>0</v>
      </c>
      <c r="H56" s="125">
        <f>'BS (Before Changes)'!H56-'BS 3Q2022'!H56</f>
        <v>0</v>
      </c>
      <c r="I56" s="287">
        <f>'BS (Before Changes)'!I56-'BS 3Q2022'!I56</f>
        <v>0</v>
      </c>
      <c r="J56" s="287">
        <f>'BS (Before Changes)'!J56-'BS 3Q2022'!J56</f>
        <v>0</v>
      </c>
      <c r="K56" s="286">
        <f>'BS (Before Changes)'!K56-'BS 3Q2022'!K56</f>
        <v>0</v>
      </c>
      <c r="L56" s="286">
        <f>'BS (Before Changes)'!L56-'BS 3Q2022'!L56</f>
        <v>0</v>
      </c>
      <c r="M56" s="282">
        <f>'BS (Before Changes)'!M56-'BS 3Q2022'!M56</f>
        <v>0</v>
      </c>
      <c r="N56" s="287">
        <f>'BS (Before Changes)'!N56-'BS 3Q2022'!N56</f>
        <v>0</v>
      </c>
      <c r="O56" s="287">
        <f>'BS (Before Changes)'!O56-'BS 3Q2022'!O56</f>
        <v>0</v>
      </c>
      <c r="P56" s="286">
        <f>'BS (Before Changes)'!P56-'BS 3Q2022'!P56</f>
        <v>0</v>
      </c>
      <c r="Q56" s="286">
        <f>'BS (Before Changes)'!Q56-'BS 3Q2022'!Q56</f>
        <v>0</v>
      </c>
      <c r="R56" s="282">
        <f>'BS (Before Changes)'!R56-'BS 3Q2022'!R56</f>
        <v>0</v>
      </c>
      <c r="S56" s="287">
        <f>'BS (Before Changes)'!S56-'BS 3Q2022'!S56</f>
        <v>0</v>
      </c>
      <c r="T56" s="287">
        <f>'BS (Before Changes)'!T56-'BS 3Q2022'!T56</f>
        <v>0</v>
      </c>
      <c r="U56" s="287">
        <f>'BS (Before Changes)'!U56-'BS 3Q2022'!U56</f>
        <v>0</v>
      </c>
      <c r="V56" s="288">
        <f>'BS (Before Changes)'!V56-'BS 3Q2022'!V56</f>
        <v>-5.0614290804813084E-3</v>
      </c>
      <c r="W56" s="282">
        <f>'BS (Before Changes)'!W56-'BS 3Q2022'!W56</f>
        <v>0</v>
      </c>
      <c r="X56" s="289">
        <f>'BS (Before Changes)'!X56-'BS 3Q2022'!X56</f>
        <v>-1.2653572701203306E-3</v>
      </c>
      <c r="Y56" s="289">
        <f>'BS (Before Changes)'!Y56-'BS 3Q2022'!Y56</f>
        <v>-1.581696587650408E-3</v>
      </c>
      <c r="Z56" s="288">
        <f>'BS (Before Changes)'!Z56-'BS 3Q2022'!Z56</f>
        <v>-1.9771207345630135E-3</v>
      </c>
      <c r="AA56" s="288">
        <f>'BS (Before Changes)'!AA56-'BS 3Q2022'!AA56</f>
        <v>-2.4714009182037686E-3</v>
      </c>
      <c r="AB56" s="290">
        <f>'BS (Before Changes)'!AB56-'BS 3Q2022'!AB56</f>
        <v>0</v>
      </c>
      <c r="AC56" s="289">
        <f>'BS (Before Changes)'!AC56-'BS 3Q2022'!AC56</f>
        <v>-1.8238938776343819E-3</v>
      </c>
      <c r="AD56" s="289">
        <f>'BS (Before Changes)'!AD56-'BS 3Q2022'!AD56</f>
        <v>-1.9635280295128912E-3</v>
      </c>
      <c r="AE56" s="288">
        <f>'BS (Before Changes)'!AE56-'BS 3Q2022'!AE56</f>
        <v>-2.0589858899785207E-3</v>
      </c>
      <c r="AF56" s="288">
        <f>'BS (Before Changes)'!AF56-'BS 3Q2022'!AF56</f>
        <v>-2.0794521788323889E-3</v>
      </c>
      <c r="AG56" s="290">
        <f>'BS (Before Changes)'!AG56-'BS 3Q2022'!AG56</f>
        <v>0</v>
      </c>
      <c r="AH56" s="289">
        <f>'BS (Before Changes)'!AH56-'BS 3Q2022'!AH56</f>
        <v>-1.9814649939895526E-3</v>
      </c>
      <c r="AI56" s="289">
        <f>'BS (Before Changes)'!AI56-'BS 3Q2022'!AI56</f>
        <v>-2.0208577730783314E-3</v>
      </c>
      <c r="AJ56" s="288">
        <f>'BS (Before Changes)'!AJ56-'BS 3Q2022'!AJ56</f>
        <v>-2.0351902089697019E-3</v>
      </c>
      <c r="AK56" s="288">
        <f>'BS (Before Changes)'!AK56-'BS 3Q2022'!AK56</f>
        <v>-2.0292412887174885E-3</v>
      </c>
      <c r="AL56" s="290">
        <f>'BS (Before Changes)'!AL56-'BS 3Q2022'!AL56</f>
        <v>0</v>
      </c>
      <c r="AM56" s="289">
        <f>'BS (Before Changes)'!AM56-'BS 3Q2022'!AM56</f>
        <v>-2.0166885661887651E-3</v>
      </c>
      <c r="AN56" s="289">
        <f>'BS (Before Changes)'!AN56-'BS 3Q2022'!AN56</f>
        <v>-2.0254944592385735E-3</v>
      </c>
      <c r="AO56" s="288">
        <f>'BS (Before Changes)'!AO56-'BS 3Q2022'!AO56</f>
        <v>-2.026653630778634E-3</v>
      </c>
      <c r="AP56" s="288">
        <f>'BS (Before Changes)'!AP56-'BS 3Q2022'!AP56</f>
        <v>-2.0245194862308635E-3</v>
      </c>
      <c r="AQ56" s="290">
        <f>'BS (Before Changes)'!AQ56-'BS 3Q2022'!AQ56</f>
        <v>0</v>
      </c>
      <c r="AR56" s="289">
        <f>'BS (Before Changes)'!AR56-'BS 3Q2022'!AR56</f>
        <v>-2.0233390356092021E-3</v>
      </c>
      <c r="AS56" s="289">
        <f>'BS (Before Changes)'!AS56-'BS 3Q2022'!AS56</f>
        <v>-2.02500165296432E-3</v>
      </c>
      <c r="AT56" s="288">
        <f>'BS (Before Changes)'!AT56-'BS 3Q2022'!AT56</f>
        <v>-2.024878451395748E-3</v>
      </c>
      <c r="AU56" s="288">
        <f>'BS (Before Changes)'!AU56-'BS 3Q2022'!AU56</f>
        <v>-2.0244346565500351E-3</v>
      </c>
      <c r="AV56" s="290">
        <f>'BS (Before Changes)'!AV56-'BS 3Q2022'!AV56</f>
        <v>0</v>
      </c>
    </row>
    <row r="57" spans="2:48" outlineLevel="1" x14ac:dyDescent="0.3">
      <c r="B57" s="200"/>
      <c r="C57" s="201"/>
      <c r="D57" s="285">
        <f>'BS (Before Changes)'!D57-'BS 3Q2022'!D57</f>
        <v>0</v>
      </c>
      <c r="E57" s="285">
        <f>'BS (Before Changes)'!E57-'BS 3Q2022'!E57</f>
        <v>0</v>
      </c>
      <c r="F57" s="286">
        <f>'BS (Before Changes)'!F57-'BS 3Q2022'!F57</f>
        <v>0</v>
      </c>
      <c r="G57" s="286">
        <f>'BS (Before Changes)'!G57-'BS 3Q2022'!G57</f>
        <v>0</v>
      </c>
      <c r="H57" s="125">
        <f>'BS (Before Changes)'!H57-'BS 3Q2022'!H57</f>
        <v>0</v>
      </c>
      <c r="I57" s="287">
        <f>'BS (Before Changes)'!I57-'BS 3Q2022'!I57</f>
        <v>0</v>
      </c>
      <c r="J57" s="287">
        <f>'BS (Before Changes)'!J57-'BS 3Q2022'!J57</f>
        <v>0</v>
      </c>
      <c r="K57" s="286">
        <f>'BS (Before Changes)'!K57-'BS 3Q2022'!K57</f>
        <v>0</v>
      </c>
      <c r="L57" s="286">
        <f>'BS (Before Changes)'!L57-'BS 3Q2022'!L57</f>
        <v>0</v>
      </c>
      <c r="M57" s="282">
        <f>'BS (Before Changes)'!M57-'BS 3Q2022'!M57</f>
        <v>0</v>
      </c>
      <c r="N57" s="287">
        <f>'BS (Before Changes)'!N57-'BS 3Q2022'!N57</f>
        <v>0</v>
      </c>
      <c r="O57" s="287">
        <f>'BS (Before Changes)'!O57-'BS 3Q2022'!O57</f>
        <v>0</v>
      </c>
      <c r="P57" s="286">
        <f>'BS (Before Changes)'!P57-'BS 3Q2022'!P57</f>
        <v>0</v>
      </c>
      <c r="Q57" s="286">
        <f>'BS (Before Changes)'!Q57-'BS 3Q2022'!Q57</f>
        <v>0</v>
      </c>
      <c r="R57" s="282">
        <f>'BS (Before Changes)'!R57-'BS 3Q2022'!R57</f>
        <v>0</v>
      </c>
      <c r="S57" s="287">
        <f>'BS (Before Changes)'!S57-'BS 3Q2022'!S57</f>
        <v>0</v>
      </c>
      <c r="T57" s="287">
        <f>'BS (Before Changes)'!T57-'BS 3Q2022'!T57</f>
        <v>0</v>
      </c>
      <c r="U57" s="287">
        <f>'BS (Before Changes)'!U57-'BS 3Q2022'!U57</f>
        <v>0</v>
      </c>
      <c r="V57" s="288">
        <f>'BS (Before Changes)'!V57-'BS 3Q2022'!V57</f>
        <v>0</v>
      </c>
      <c r="W57" s="282">
        <f>'BS (Before Changes)'!W57-'BS 3Q2022'!W57</f>
        <v>0</v>
      </c>
      <c r="X57" s="289">
        <f>'BS (Before Changes)'!X57-'BS 3Q2022'!X57</f>
        <v>0</v>
      </c>
      <c r="Y57" s="289">
        <f>'BS (Before Changes)'!Y57-'BS 3Q2022'!Y57</f>
        <v>0</v>
      </c>
      <c r="Z57" s="288">
        <f>'BS (Before Changes)'!Z57-'BS 3Q2022'!Z57</f>
        <v>0</v>
      </c>
      <c r="AA57" s="288">
        <f>'BS (Before Changes)'!AA57-'BS 3Q2022'!AA57</f>
        <v>0</v>
      </c>
      <c r="AB57" s="290">
        <f>'BS (Before Changes)'!AB57-'BS 3Q2022'!AB57</f>
        <v>0</v>
      </c>
      <c r="AC57" s="289">
        <f>'BS (Before Changes)'!AC57-'BS 3Q2022'!AC57</f>
        <v>0</v>
      </c>
      <c r="AD57" s="289">
        <f>'BS (Before Changes)'!AD57-'BS 3Q2022'!AD57</f>
        <v>0</v>
      </c>
      <c r="AE57" s="288">
        <f>'BS (Before Changes)'!AE57-'BS 3Q2022'!AE57</f>
        <v>0</v>
      </c>
      <c r="AF57" s="288">
        <f>'BS (Before Changes)'!AF57-'BS 3Q2022'!AF57</f>
        <v>0</v>
      </c>
      <c r="AG57" s="290">
        <f>'BS (Before Changes)'!AG57-'BS 3Q2022'!AG57</f>
        <v>0</v>
      </c>
      <c r="AH57" s="289">
        <f>'BS (Before Changes)'!AH57-'BS 3Q2022'!AH57</f>
        <v>0</v>
      </c>
      <c r="AI57" s="289">
        <f>'BS (Before Changes)'!AI57-'BS 3Q2022'!AI57</f>
        <v>0</v>
      </c>
      <c r="AJ57" s="288">
        <f>'BS (Before Changes)'!AJ57-'BS 3Q2022'!AJ57</f>
        <v>0</v>
      </c>
      <c r="AK57" s="288">
        <f>'BS (Before Changes)'!AK57-'BS 3Q2022'!AK57</f>
        <v>0</v>
      </c>
      <c r="AL57" s="290">
        <f>'BS (Before Changes)'!AL57-'BS 3Q2022'!AL57</f>
        <v>0</v>
      </c>
      <c r="AM57" s="289">
        <f>'BS (Before Changes)'!AM57-'BS 3Q2022'!AM57</f>
        <v>0</v>
      </c>
      <c r="AN57" s="289">
        <f>'BS (Before Changes)'!AN57-'BS 3Q2022'!AN57</f>
        <v>0</v>
      </c>
      <c r="AO57" s="288">
        <f>'BS (Before Changes)'!AO57-'BS 3Q2022'!AO57</f>
        <v>0</v>
      </c>
      <c r="AP57" s="288">
        <f>'BS (Before Changes)'!AP57-'BS 3Q2022'!AP57</f>
        <v>0</v>
      </c>
      <c r="AQ57" s="290">
        <f>'BS (Before Changes)'!AQ57-'BS 3Q2022'!AQ57</f>
        <v>0</v>
      </c>
      <c r="AR57" s="289">
        <f>'BS (Before Changes)'!AR57-'BS 3Q2022'!AR57</f>
        <v>0</v>
      </c>
      <c r="AS57" s="289">
        <f>'BS (Before Changes)'!AS57-'BS 3Q2022'!AS57</f>
        <v>0</v>
      </c>
      <c r="AT57" s="288">
        <f>'BS (Before Changes)'!AT57-'BS 3Q2022'!AT57</f>
        <v>0</v>
      </c>
      <c r="AU57" s="288">
        <f>'BS (Before Changes)'!AU57-'BS 3Q2022'!AU57</f>
        <v>0</v>
      </c>
      <c r="AV57" s="290">
        <f>'BS (Before Changes)'!AV57-'BS 3Q2022'!AV57</f>
        <v>0</v>
      </c>
    </row>
    <row r="58" spans="2:48" s="296" customFormat="1" outlineLevel="1" x14ac:dyDescent="0.3">
      <c r="B58" s="291" t="s">
        <v>260</v>
      </c>
      <c r="C58" s="249"/>
      <c r="D58" s="292">
        <f>'BS (Before Changes)'!D58-'BS 3Q2022'!D58</f>
        <v>0</v>
      </c>
      <c r="E58" s="292">
        <f>'BS (Before Changes)'!E58-'BS 3Q2022'!E58</f>
        <v>0</v>
      </c>
      <c r="F58" s="293">
        <f>'BS (Before Changes)'!F58-'BS 3Q2022'!F58</f>
        <v>0</v>
      </c>
      <c r="G58" s="293">
        <f>'BS (Before Changes)'!G58-'BS 3Q2022'!G58</f>
        <v>0</v>
      </c>
      <c r="H58" s="294">
        <f>'BS (Before Changes)'!H58-'BS 3Q2022'!H58</f>
        <v>0</v>
      </c>
      <c r="I58" s="292">
        <f>'BS (Before Changes)'!I58-'BS 3Q2022'!I58</f>
        <v>0</v>
      </c>
      <c r="J58" s="292">
        <f>'BS (Before Changes)'!J58-'BS 3Q2022'!J58</f>
        <v>0</v>
      </c>
      <c r="K58" s="293">
        <f>'BS (Before Changes)'!K58-'BS 3Q2022'!K58</f>
        <v>0</v>
      </c>
      <c r="L58" s="293">
        <f>'BS (Before Changes)'!L58-'BS 3Q2022'!L58</f>
        <v>0</v>
      </c>
      <c r="M58" s="294">
        <f>'BS (Before Changes)'!M58-'BS 3Q2022'!M58</f>
        <v>0</v>
      </c>
      <c r="N58" s="292">
        <f>'BS (Before Changes)'!N58-'BS 3Q2022'!N58</f>
        <v>0</v>
      </c>
      <c r="O58" s="292">
        <f>'BS (Before Changes)'!O58-'BS 3Q2022'!O58</f>
        <v>0</v>
      </c>
      <c r="P58" s="293">
        <f>'BS (Before Changes)'!P58-'BS 3Q2022'!P58</f>
        <v>0</v>
      </c>
      <c r="Q58" s="293">
        <f>'BS (Before Changes)'!Q58-'BS 3Q2022'!Q58</f>
        <v>0</v>
      </c>
      <c r="R58" s="294">
        <f>'BS (Before Changes)'!R58-'BS 3Q2022'!R58</f>
        <v>0</v>
      </c>
      <c r="S58" s="292">
        <f>'BS (Before Changes)'!S58-'BS 3Q2022'!S58</f>
        <v>0</v>
      </c>
      <c r="T58" s="292">
        <f>'BS (Before Changes)'!T58-'BS 3Q2022'!T58</f>
        <v>0</v>
      </c>
      <c r="U58" s="292">
        <f>'BS (Before Changes)'!U58-'BS 3Q2022'!U58</f>
        <v>0</v>
      </c>
      <c r="V58" s="293">
        <f>'BS (Before Changes)'!V58-'BS 3Q2022'!V58</f>
        <v>0</v>
      </c>
      <c r="W58" s="294">
        <f>'BS (Before Changes)'!W58-'BS 3Q2022'!W58</f>
        <v>0</v>
      </c>
      <c r="X58" s="292">
        <f>'BS (Before Changes)'!X58-'BS 3Q2022'!X58</f>
        <v>0</v>
      </c>
      <c r="Y58" s="292">
        <f>'BS (Before Changes)'!Y58-'BS 3Q2022'!Y58</f>
        <v>0</v>
      </c>
      <c r="Z58" s="293">
        <f>'BS (Before Changes)'!Z58-'BS 3Q2022'!Z58</f>
        <v>0</v>
      </c>
      <c r="AA58" s="293">
        <f>'BS (Before Changes)'!AA58-'BS 3Q2022'!AA58</f>
        <v>0</v>
      </c>
      <c r="AB58" s="295">
        <f>'BS (Before Changes)'!AB58-'BS 3Q2022'!AB58</f>
        <v>0</v>
      </c>
      <c r="AC58" s="292">
        <f>'BS (Before Changes)'!AC58-'BS 3Q2022'!AC58</f>
        <v>0</v>
      </c>
      <c r="AD58" s="292">
        <f>'BS (Before Changes)'!AD58-'BS 3Q2022'!AD58</f>
        <v>0</v>
      </c>
      <c r="AE58" s="293">
        <f>'BS (Before Changes)'!AE58-'BS 3Q2022'!AE58</f>
        <v>0</v>
      </c>
      <c r="AF58" s="293">
        <f>'BS (Before Changes)'!AF58-'BS 3Q2022'!AF58</f>
        <v>0</v>
      </c>
      <c r="AG58" s="295">
        <f>'BS (Before Changes)'!AG58-'BS 3Q2022'!AG58</f>
        <v>0</v>
      </c>
      <c r="AH58" s="292">
        <f>'BS (Before Changes)'!AH58-'BS 3Q2022'!AH58</f>
        <v>0</v>
      </c>
      <c r="AI58" s="292">
        <f>'BS (Before Changes)'!AI58-'BS 3Q2022'!AI58</f>
        <v>0</v>
      </c>
      <c r="AJ58" s="293">
        <f>'BS (Before Changes)'!AJ58-'BS 3Q2022'!AJ58</f>
        <v>0</v>
      </c>
      <c r="AK58" s="293">
        <f>'BS (Before Changes)'!AK58-'BS 3Q2022'!AK58</f>
        <v>0</v>
      </c>
      <c r="AL58" s="295">
        <f>'BS (Before Changes)'!AL58-'BS 3Q2022'!AL58</f>
        <v>0</v>
      </c>
      <c r="AM58" s="292">
        <f>'BS (Before Changes)'!AM58-'BS 3Q2022'!AM58</f>
        <v>0</v>
      </c>
      <c r="AN58" s="292">
        <f>'BS (Before Changes)'!AN58-'BS 3Q2022'!AN58</f>
        <v>0</v>
      </c>
      <c r="AO58" s="293">
        <f>'BS (Before Changes)'!AO58-'BS 3Q2022'!AO58</f>
        <v>0</v>
      </c>
      <c r="AP58" s="293">
        <f>'BS (Before Changes)'!AP58-'BS 3Q2022'!AP58</f>
        <v>0</v>
      </c>
      <c r="AQ58" s="295">
        <f>'BS (Before Changes)'!AQ58-'BS 3Q2022'!AQ58</f>
        <v>0</v>
      </c>
      <c r="AR58" s="292">
        <f>'BS (Before Changes)'!AR58-'BS 3Q2022'!AR58</f>
        <v>0</v>
      </c>
      <c r="AS58" s="292">
        <f>'BS (Before Changes)'!AS58-'BS 3Q2022'!AS58</f>
        <v>0</v>
      </c>
      <c r="AT58" s="293">
        <f>'BS (Before Changes)'!AT58-'BS 3Q2022'!AT58</f>
        <v>0</v>
      </c>
      <c r="AU58" s="293">
        <f>'BS (Before Changes)'!AU58-'BS 3Q2022'!AU58</f>
        <v>0</v>
      </c>
      <c r="AV58" s="295">
        <f>'BS (Before Changes)'!AV58-'BS 3Q2022'!AV58</f>
        <v>0</v>
      </c>
    </row>
    <row r="59" spans="2:48" s="302" customFormat="1" outlineLevel="1" x14ac:dyDescent="0.3">
      <c r="B59" s="200" t="s">
        <v>261</v>
      </c>
      <c r="C59" s="297"/>
      <c r="D59" s="298">
        <f>'BS (Before Changes)'!D59-'BS 3Q2022'!D59</f>
        <v>0</v>
      </c>
      <c r="E59" s="298">
        <f>'BS (Before Changes)'!E59-'BS 3Q2022'!E59</f>
        <v>0</v>
      </c>
      <c r="F59" s="146">
        <f>'BS (Before Changes)'!F59-'BS 3Q2022'!F59</f>
        <v>0</v>
      </c>
      <c r="G59" s="146">
        <f>'BS (Before Changes)'!G59-'BS 3Q2022'!G59</f>
        <v>0</v>
      </c>
      <c r="H59" s="122">
        <f>'BS (Before Changes)'!H59-'BS 3Q2022'!H59</f>
        <v>0</v>
      </c>
      <c r="I59" s="299">
        <f>'BS (Before Changes)'!I59-'BS 3Q2022'!I59</f>
        <v>0</v>
      </c>
      <c r="J59" s="299">
        <f>'BS (Before Changes)'!J59-'BS 3Q2022'!J59</f>
        <v>0</v>
      </c>
      <c r="K59" s="146">
        <f>'BS (Before Changes)'!K59-'BS 3Q2022'!K59</f>
        <v>0</v>
      </c>
      <c r="L59" s="146">
        <f>'BS (Before Changes)'!L59-'BS 3Q2022'!L59</f>
        <v>0</v>
      </c>
      <c r="M59" s="26">
        <f>'BS (Before Changes)'!M59-'BS 3Q2022'!M59</f>
        <v>0</v>
      </c>
      <c r="N59" s="299">
        <f>'BS (Before Changes)'!N59-'BS 3Q2022'!N59</f>
        <v>0</v>
      </c>
      <c r="O59" s="299">
        <f>'BS (Before Changes)'!O59-'BS 3Q2022'!O59</f>
        <v>0</v>
      </c>
      <c r="P59" s="146">
        <f>'BS (Before Changes)'!P59-'BS 3Q2022'!P59</f>
        <v>0</v>
      </c>
      <c r="Q59" s="146">
        <f>'BS (Before Changes)'!Q59-'BS 3Q2022'!Q59</f>
        <v>0</v>
      </c>
      <c r="R59" s="26">
        <f>'BS (Before Changes)'!R59-'BS 3Q2022'!R59</f>
        <v>0</v>
      </c>
      <c r="S59" s="299">
        <f>'BS (Before Changes)'!S59-'BS 3Q2022'!S59</f>
        <v>0</v>
      </c>
      <c r="T59" s="299">
        <f>'BS (Before Changes)'!T59-'BS 3Q2022'!T59</f>
        <v>0</v>
      </c>
      <c r="U59" s="299">
        <f>'BS (Before Changes)'!U59-'BS 3Q2022'!U59</f>
        <v>0</v>
      </c>
      <c r="V59" s="300">
        <f>'BS (Before Changes)'!V59-'BS 3Q2022'!V59</f>
        <v>-199</v>
      </c>
      <c r="W59" s="26">
        <f>'BS (Before Changes)'!W59-'BS 3Q2022'!W59</f>
        <v>0</v>
      </c>
      <c r="X59" s="301">
        <f>'BS (Before Changes)'!X59-'BS 3Q2022'!X59</f>
        <v>0</v>
      </c>
      <c r="Y59" s="301">
        <f>'BS (Before Changes)'!Y59-'BS 3Q2022'!Y59</f>
        <v>0</v>
      </c>
      <c r="Z59" s="300">
        <f>'BS (Before Changes)'!Z59-'BS 3Q2022'!Z59</f>
        <v>0</v>
      </c>
      <c r="AA59" s="300">
        <f>'BS (Before Changes)'!AA59-'BS 3Q2022'!AA59</f>
        <v>0</v>
      </c>
      <c r="AB59" s="6">
        <f>'BS (Before Changes)'!AB59-'BS 3Q2022'!AB59</f>
        <v>0</v>
      </c>
      <c r="AC59" s="301">
        <f>'BS (Before Changes)'!AC59-'BS 3Q2022'!AC59</f>
        <v>0</v>
      </c>
      <c r="AD59" s="301">
        <f>'BS (Before Changes)'!AD59-'BS 3Q2022'!AD59</f>
        <v>0</v>
      </c>
      <c r="AE59" s="300">
        <f>'BS (Before Changes)'!AE59-'BS 3Q2022'!AE59</f>
        <v>0</v>
      </c>
      <c r="AF59" s="300">
        <f>'BS (Before Changes)'!AF59-'BS 3Q2022'!AF59</f>
        <v>0</v>
      </c>
      <c r="AG59" s="6">
        <f>'BS (Before Changes)'!AG59-'BS 3Q2022'!AG59</f>
        <v>0</v>
      </c>
      <c r="AH59" s="301">
        <f>'BS (Before Changes)'!AH59-'BS 3Q2022'!AH59</f>
        <v>0</v>
      </c>
      <c r="AI59" s="301">
        <f>'BS (Before Changes)'!AI59-'BS 3Q2022'!AI59</f>
        <v>0</v>
      </c>
      <c r="AJ59" s="300">
        <f>'BS (Before Changes)'!AJ59-'BS 3Q2022'!AJ59</f>
        <v>0</v>
      </c>
      <c r="AK59" s="300">
        <f>'BS (Before Changes)'!AK59-'BS 3Q2022'!AK59</f>
        <v>0</v>
      </c>
      <c r="AL59" s="6">
        <f>'BS (Before Changes)'!AL59-'BS 3Q2022'!AL59</f>
        <v>0</v>
      </c>
      <c r="AM59" s="301">
        <f>'BS (Before Changes)'!AM59-'BS 3Q2022'!AM59</f>
        <v>0</v>
      </c>
      <c r="AN59" s="301">
        <f>'BS (Before Changes)'!AN59-'BS 3Q2022'!AN59</f>
        <v>0</v>
      </c>
      <c r="AO59" s="300">
        <f>'BS (Before Changes)'!AO59-'BS 3Q2022'!AO59</f>
        <v>0</v>
      </c>
      <c r="AP59" s="300">
        <f>'BS (Before Changes)'!AP59-'BS 3Q2022'!AP59</f>
        <v>0</v>
      </c>
      <c r="AQ59" s="6">
        <f>'BS (Before Changes)'!AQ59-'BS 3Q2022'!AQ59</f>
        <v>0</v>
      </c>
      <c r="AR59" s="301">
        <f>'BS (Before Changes)'!AR59-'BS 3Q2022'!AR59</f>
        <v>0</v>
      </c>
      <c r="AS59" s="301">
        <f>'BS (Before Changes)'!AS59-'BS 3Q2022'!AS59</f>
        <v>0</v>
      </c>
      <c r="AT59" s="300">
        <f>'BS (Before Changes)'!AT59-'BS 3Q2022'!AT59</f>
        <v>0</v>
      </c>
      <c r="AU59" s="300">
        <f>'BS (Before Changes)'!AU59-'BS 3Q2022'!AU59</f>
        <v>0</v>
      </c>
      <c r="AV59" s="6">
        <f>'BS (Before Changes)'!AV59-'BS 3Q2022'!AV59</f>
        <v>0</v>
      </c>
    </row>
    <row r="60" spans="2:48" s="302" customFormat="1" outlineLevel="1" x14ac:dyDescent="0.3">
      <c r="B60" s="200" t="s">
        <v>262</v>
      </c>
      <c r="C60" s="297"/>
      <c r="D60" s="298">
        <f>'BS (Before Changes)'!D60-'BS 3Q2022'!D60</f>
        <v>0</v>
      </c>
      <c r="E60" s="298">
        <f>'BS (Before Changes)'!E60-'BS 3Q2022'!E60</f>
        <v>0</v>
      </c>
      <c r="F60" s="146">
        <f>'BS (Before Changes)'!F60-'BS 3Q2022'!F60</f>
        <v>0</v>
      </c>
      <c r="G60" s="146">
        <f>'BS (Before Changes)'!G60-'BS 3Q2022'!G60</f>
        <v>0</v>
      </c>
      <c r="H60" s="122">
        <f>'BS (Before Changes)'!H60-'BS 3Q2022'!H60</f>
        <v>0</v>
      </c>
      <c r="I60" s="299">
        <f>'BS (Before Changes)'!I60-'BS 3Q2022'!I60</f>
        <v>0</v>
      </c>
      <c r="J60" s="299">
        <f>'BS (Before Changes)'!J60-'BS 3Q2022'!J60</f>
        <v>0</v>
      </c>
      <c r="K60" s="146">
        <f>'BS (Before Changes)'!K60-'BS 3Q2022'!K60</f>
        <v>0</v>
      </c>
      <c r="L60" s="146">
        <f>'BS (Before Changes)'!L60-'BS 3Q2022'!L60</f>
        <v>0</v>
      </c>
      <c r="M60" s="26">
        <f>'BS (Before Changes)'!M60-'BS 3Q2022'!M60</f>
        <v>0</v>
      </c>
      <c r="N60" s="299">
        <f>'BS (Before Changes)'!N60-'BS 3Q2022'!N60</f>
        <v>0</v>
      </c>
      <c r="O60" s="299">
        <f>'BS (Before Changes)'!O60-'BS 3Q2022'!O60</f>
        <v>0</v>
      </c>
      <c r="P60" s="146">
        <f>'BS (Before Changes)'!P60-'BS 3Q2022'!P60</f>
        <v>0</v>
      </c>
      <c r="Q60" s="146">
        <f>'BS (Before Changes)'!Q60-'BS 3Q2022'!Q60</f>
        <v>0</v>
      </c>
      <c r="R60" s="26">
        <f>'BS (Before Changes)'!R60-'BS 3Q2022'!R60</f>
        <v>0</v>
      </c>
      <c r="S60" s="299">
        <f>'BS (Before Changes)'!S60-'BS 3Q2022'!S60</f>
        <v>0</v>
      </c>
      <c r="T60" s="299">
        <f>'BS (Before Changes)'!T60-'BS 3Q2022'!T60</f>
        <v>0</v>
      </c>
      <c r="U60" s="299">
        <f>'BS (Before Changes)'!U60-'BS 3Q2022'!U60</f>
        <v>0</v>
      </c>
      <c r="V60" s="300">
        <f>'BS (Before Changes)'!V60-'BS 3Q2022'!V60</f>
        <v>0</v>
      </c>
      <c r="W60" s="26">
        <f>'BS (Before Changes)'!W60-'BS 3Q2022'!W60</f>
        <v>0</v>
      </c>
      <c r="X60" s="300">
        <f>'BS (Before Changes)'!X60-'BS 3Q2022'!X60</f>
        <v>0</v>
      </c>
      <c r="Y60" s="300">
        <f>'BS (Before Changes)'!Y60-'BS 3Q2022'!Y60</f>
        <v>0</v>
      </c>
      <c r="Z60" s="300">
        <f>'BS (Before Changes)'!Z60-'BS 3Q2022'!Z60</f>
        <v>0</v>
      </c>
      <c r="AA60" s="300">
        <f>'BS (Before Changes)'!AA60-'BS 3Q2022'!AA60</f>
        <v>0</v>
      </c>
      <c r="AB60" s="6">
        <f>'BS (Before Changes)'!AB60-'BS 3Q2022'!AB60</f>
        <v>0</v>
      </c>
      <c r="AC60" s="300">
        <f>'BS (Before Changes)'!AC60-'BS 3Q2022'!AC60</f>
        <v>0</v>
      </c>
      <c r="AD60" s="300">
        <f>'BS (Before Changes)'!AD60-'BS 3Q2022'!AD60</f>
        <v>0</v>
      </c>
      <c r="AE60" s="300">
        <f>'BS (Before Changes)'!AE60-'BS 3Q2022'!AE60</f>
        <v>0</v>
      </c>
      <c r="AF60" s="300">
        <f>'BS (Before Changes)'!AF60-'BS 3Q2022'!AF60</f>
        <v>0</v>
      </c>
      <c r="AG60" s="6">
        <f>'BS (Before Changes)'!AG60-'BS 3Q2022'!AG60</f>
        <v>0</v>
      </c>
      <c r="AH60" s="300">
        <f>'BS (Before Changes)'!AH60-'BS 3Q2022'!AH60</f>
        <v>0</v>
      </c>
      <c r="AI60" s="300">
        <f>'BS (Before Changes)'!AI60-'BS 3Q2022'!AI60</f>
        <v>0</v>
      </c>
      <c r="AJ60" s="300">
        <f>'BS (Before Changes)'!AJ60-'BS 3Q2022'!AJ60</f>
        <v>0</v>
      </c>
      <c r="AK60" s="300">
        <f>'BS (Before Changes)'!AK60-'BS 3Q2022'!AK60</f>
        <v>0</v>
      </c>
      <c r="AL60" s="6">
        <f>'BS (Before Changes)'!AL60-'BS 3Q2022'!AL60</f>
        <v>0</v>
      </c>
      <c r="AM60" s="300">
        <f>'BS (Before Changes)'!AM60-'BS 3Q2022'!AM60</f>
        <v>0</v>
      </c>
      <c r="AN60" s="300">
        <f>'BS (Before Changes)'!AN60-'BS 3Q2022'!AN60</f>
        <v>0</v>
      </c>
      <c r="AO60" s="300">
        <f>'BS (Before Changes)'!AO60-'BS 3Q2022'!AO60</f>
        <v>0</v>
      </c>
      <c r="AP60" s="300">
        <f>'BS (Before Changes)'!AP60-'BS 3Q2022'!AP60</f>
        <v>0</v>
      </c>
      <c r="AQ60" s="6">
        <f>'BS (Before Changes)'!AQ60-'BS 3Q2022'!AQ60</f>
        <v>0</v>
      </c>
      <c r="AR60" s="300">
        <f>'BS (Before Changes)'!AR60-'BS 3Q2022'!AR60</f>
        <v>0</v>
      </c>
      <c r="AS60" s="300">
        <f>'BS (Before Changes)'!AS60-'BS 3Q2022'!AS60</f>
        <v>0</v>
      </c>
      <c r="AT60" s="300">
        <f>'BS (Before Changes)'!AT60-'BS 3Q2022'!AT60</f>
        <v>0</v>
      </c>
      <c r="AU60" s="300">
        <f>'BS (Before Changes)'!AU60-'BS 3Q2022'!AU60</f>
        <v>0</v>
      </c>
      <c r="AV60" s="6">
        <f>'BS (Before Changes)'!AV60-'BS 3Q2022'!AV60</f>
        <v>0</v>
      </c>
    </row>
    <row r="61" spans="2:48" s="302" customFormat="1" outlineLevel="1" x14ac:dyDescent="0.3">
      <c r="B61" s="200" t="s">
        <v>263</v>
      </c>
      <c r="C61" s="297"/>
      <c r="D61" s="298">
        <f>'BS (Before Changes)'!D61-'BS 3Q2022'!D61</f>
        <v>0</v>
      </c>
      <c r="E61" s="298">
        <f>'BS (Before Changes)'!E61-'BS 3Q2022'!E61</f>
        <v>0</v>
      </c>
      <c r="F61" s="146">
        <f>'BS (Before Changes)'!F61-'BS 3Q2022'!F61</f>
        <v>0</v>
      </c>
      <c r="G61" s="146">
        <f>'BS (Before Changes)'!G61-'BS 3Q2022'!G61</f>
        <v>0</v>
      </c>
      <c r="H61" s="122">
        <f>'BS (Before Changes)'!H61-'BS 3Q2022'!H61</f>
        <v>0</v>
      </c>
      <c r="I61" s="299">
        <f>'BS (Before Changes)'!I61-'BS 3Q2022'!I61</f>
        <v>0</v>
      </c>
      <c r="J61" s="299">
        <f>'BS (Before Changes)'!J61-'BS 3Q2022'!J61</f>
        <v>0</v>
      </c>
      <c r="K61" s="146">
        <f>'BS (Before Changes)'!K61-'BS 3Q2022'!K61</f>
        <v>0</v>
      </c>
      <c r="L61" s="146">
        <f>'BS (Before Changes)'!L61-'BS 3Q2022'!L61</f>
        <v>0</v>
      </c>
      <c r="M61" s="26">
        <f>'BS (Before Changes)'!M61-'BS 3Q2022'!M61</f>
        <v>0</v>
      </c>
      <c r="N61" s="299">
        <f>'BS (Before Changes)'!N61-'BS 3Q2022'!N61</f>
        <v>0</v>
      </c>
      <c r="O61" s="299">
        <f>'BS (Before Changes)'!O61-'BS 3Q2022'!O61</f>
        <v>0</v>
      </c>
      <c r="P61" s="146">
        <f>'BS (Before Changes)'!P61-'BS 3Q2022'!P61</f>
        <v>0</v>
      </c>
      <c r="Q61" s="146">
        <f>'BS (Before Changes)'!Q61-'BS 3Q2022'!Q61</f>
        <v>0</v>
      </c>
      <c r="R61" s="26">
        <f>'BS (Before Changes)'!R61-'BS 3Q2022'!R61</f>
        <v>0</v>
      </c>
      <c r="S61" s="299">
        <f>'BS (Before Changes)'!S61-'BS 3Q2022'!S61</f>
        <v>0</v>
      </c>
      <c r="T61" s="299">
        <f>'BS (Before Changes)'!T61-'BS 3Q2022'!T61</f>
        <v>0</v>
      </c>
      <c r="U61" s="299">
        <f>'BS (Before Changes)'!U61-'BS 3Q2022'!U61</f>
        <v>0</v>
      </c>
      <c r="V61" s="300">
        <f>'BS (Before Changes)'!V61-'BS 3Q2022'!V61</f>
        <v>0</v>
      </c>
      <c r="W61" s="26">
        <f>'BS (Before Changes)'!W61-'BS 3Q2022'!W61</f>
        <v>0</v>
      </c>
      <c r="X61" s="301">
        <f>'BS (Before Changes)'!X61-'BS 3Q2022'!X61</f>
        <v>0</v>
      </c>
      <c r="Y61" s="301">
        <f>'BS (Before Changes)'!Y61-'BS 3Q2022'!Y61</f>
        <v>0</v>
      </c>
      <c r="Z61" s="300">
        <f>'BS (Before Changes)'!Z61-'BS 3Q2022'!Z61</f>
        <v>0</v>
      </c>
      <c r="AA61" s="300">
        <f>'BS (Before Changes)'!AA61-'BS 3Q2022'!AA61</f>
        <v>0</v>
      </c>
      <c r="AB61" s="6">
        <f>'BS (Before Changes)'!AB61-'BS 3Q2022'!AB61</f>
        <v>0</v>
      </c>
      <c r="AC61" s="301">
        <f>'BS (Before Changes)'!AC61-'BS 3Q2022'!AC61</f>
        <v>0</v>
      </c>
      <c r="AD61" s="301">
        <f>'BS (Before Changes)'!AD61-'BS 3Q2022'!AD61</f>
        <v>0</v>
      </c>
      <c r="AE61" s="300">
        <f>'BS (Before Changes)'!AE61-'BS 3Q2022'!AE61</f>
        <v>0</v>
      </c>
      <c r="AF61" s="300">
        <f>'BS (Before Changes)'!AF61-'BS 3Q2022'!AF61</f>
        <v>0</v>
      </c>
      <c r="AG61" s="6">
        <f>'BS (Before Changes)'!AG61-'BS 3Q2022'!AG61</f>
        <v>0</v>
      </c>
      <c r="AH61" s="301">
        <f>'BS (Before Changes)'!AH61-'BS 3Q2022'!AH61</f>
        <v>0</v>
      </c>
      <c r="AI61" s="301">
        <f>'BS (Before Changes)'!AI61-'BS 3Q2022'!AI61</f>
        <v>0</v>
      </c>
      <c r="AJ61" s="300">
        <f>'BS (Before Changes)'!AJ61-'BS 3Q2022'!AJ61</f>
        <v>251.38281446409837</v>
      </c>
      <c r="AK61" s="300">
        <f>'BS (Before Changes)'!AK61-'BS 3Q2022'!AK61</f>
        <v>0</v>
      </c>
      <c r="AL61" s="6">
        <f>'BS (Before Changes)'!AL61-'BS 3Q2022'!AL61</f>
        <v>0</v>
      </c>
      <c r="AM61" s="301">
        <f>'BS (Before Changes)'!AM61-'BS 3Q2022'!AM61</f>
        <v>0</v>
      </c>
      <c r="AN61" s="301">
        <f>'BS (Before Changes)'!AN61-'BS 3Q2022'!AN61</f>
        <v>0</v>
      </c>
      <c r="AO61" s="300">
        <f>'BS (Before Changes)'!AO61-'BS 3Q2022'!AO61</f>
        <v>0</v>
      </c>
      <c r="AP61" s="300">
        <f>'BS (Before Changes)'!AP61-'BS 3Q2022'!AP61</f>
        <v>0</v>
      </c>
      <c r="AQ61" s="6">
        <f>'BS (Before Changes)'!AQ61-'BS 3Q2022'!AQ61</f>
        <v>0</v>
      </c>
      <c r="AR61" s="301">
        <f>'BS (Before Changes)'!AR61-'BS 3Q2022'!AR61</f>
        <v>0</v>
      </c>
      <c r="AS61" s="301">
        <f>'BS (Before Changes)'!AS61-'BS 3Q2022'!AS61</f>
        <v>0</v>
      </c>
      <c r="AT61" s="300">
        <f>'BS (Before Changes)'!AT61-'BS 3Q2022'!AT61</f>
        <v>0</v>
      </c>
      <c r="AU61" s="300">
        <f>'BS (Before Changes)'!AU61-'BS 3Q2022'!AU61</f>
        <v>0</v>
      </c>
      <c r="AV61" s="6">
        <f>'BS (Before Changes)'!AV61-'BS 3Q2022'!AV61</f>
        <v>0</v>
      </c>
    </row>
    <row r="62" spans="2:48" s="23" customFormat="1" outlineLevel="1" x14ac:dyDescent="0.3">
      <c r="B62" s="200" t="s">
        <v>264</v>
      </c>
      <c r="C62" s="201"/>
      <c r="D62" s="179">
        <f>'BS (Before Changes)'!D62-'BS 3Q2022'!D62</f>
        <v>0</v>
      </c>
      <c r="E62" s="179">
        <f>'BS (Before Changes)'!E62-'BS 3Q2022'!E62</f>
        <v>0</v>
      </c>
      <c r="F62" s="303">
        <f>'BS (Before Changes)'!F62-'BS 3Q2022'!F62</f>
        <v>0</v>
      </c>
      <c r="G62" s="303">
        <f>'BS (Before Changes)'!G62-'BS 3Q2022'!G62</f>
        <v>0</v>
      </c>
      <c r="H62" s="128">
        <f>'BS (Before Changes)'!H62-'BS 3Q2022'!H62</f>
        <v>0</v>
      </c>
      <c r="I62" s="303">
        <f>'BS (Before Changes)'!I62-'BS 3Q2022'!I62</f>
        <v>0</v>
      </c>
      <c r="J62" s="303">
        <f>'BS (Before Changes)'!J62-'BS 3Q2022'!J62</f>
        <v>0</v>
      </c>
      <c r="K62" s="303">
        <f>'BS (Before Changes)'!K62-'BS 3Q2022'!K62</f>
        <v>0</v>
      </c>
      <c r="L62" s="179">
        <f>'BS (Before Changes)'!L62-'BS 3Q2022'!L62</f>
        <v>0</v>
      </c>
      <c r="M62" s="28">
        <f>'BS (Before Changes)'!M62-'BS 3Q2022'!M62</f>
        <v>0</v>
      </c>
      <c r="N62" s="179">
        <f>'BS (Before Changes)'!N62-'BS 3Q2022'!N62</f>
        <v>0</v>
      </c>
      <c r="O62" s="179">
        <f>'BS (Before Changes)'!O62-'BS 3Q2022'!O62</f>
        <v>0</v>
      </c>
      <c r="P62" s="179">
        <f>'BS (Before Changes)'!P62-'BS 3Q2022'!P62</f>
        <v>0</v>
      </c>
      <c r="Q62" s="179">
        <f>'BS (Before Changes)'!Q62-'BS 3Q2022'!Q62</f>
        <v>0</v>
      </c>
      <c r="R62" s="28">
        <f>'BS (Before Changes)'!R62-'BS 3Q2022'!R62</f>
        <v>0</v>
      </c>
      <c r="S62" s="179">
        <f>'BS (Before Changes)'!S62-'BS 3Q2022'!S62</f>
        <v>0</v>
      </c>
      <c r="T62" s="179">
        <f>'BS (Before Changes)'!T62-'BS 3Q2022'!T62</f>
        <v>0</v>
      </c>
      <c r="U62" s="179">
        <f>'BS (Before Changes)'!U62-'BS 3Q2022'!U62</f>
        <v>0</v>
      </c>
      <c r="V62" s="179">
        <f>'BS (Before Changes)'!V62-'BS 3Q2022'!V62</f>
        <v>4.4771590475073841E-2</v>
      </c>
      <c r="W62" s="28">
        <f>'BS (Before Changes)'!W62-'BS 3Q2022'!W62</f>
        <v>4.4771590475073841E-2</v>
      </c>
      <c r="X62" s="179">
        <f>'BS (Before Changes)'!X62-'BS 3Q2022'!X62</f>
        <v>4.7462737306904756E-2</v>
      </c>
      <c r="Y62" s="179">
        <f>'BS (Before Changes)'!Y62-'BS 3Q2022'!Y62</f>
        <v>4.5592803983514729E-2</v>
      </c>
      <c r="Z62" s="179">
        <f>'BS (Before Changes)'!Z62-'BS 3Q2022'!Z62</f>
        <v>4.4528385282862404E-2</v>
      </c>
      <c r="AA62" s="179">
        <f>'BS (Before Changes)'!AA62-'BS 3Q2022'!AA62</f>
        <v>3.2921389388270494E-2</v>
      </c>
      <c r="AB62" s="28">
        <f>'BS (Before Changes)'!AB62-'BS 3Q2022'!AB62</f>
        <v>0</v>
      </c>
      <c r="AC62" s="179">
        <f>'BS (Before Changes)'!AC62-'BS 3Q2022'!AC62</f>
        <v>3.2304781814599171E-2</v>
      </c>
      <c r="AD62" s="179">
        <f>'BS (Before Changes)'!AD62-'BS 3Q2022'!AD62</f>
        <v>2.2978403132014602E-2</v>
      </c>
      <c r="AE62" s="179">
        <f>'BS (Before Changes)'!AE62-'BS 3Q2022'!AE62</f>
        <v>1.049423435307828E-2</v>
      </c>
      <c r="AF62" s="179">
        <f>'BS (Before Changes)'!AF62-'BS 3Q2022'!AF62</f>
        <v>-2.3718036108459017E-2</v>
      </c>
      <c r="AG62" s="28">
        <f>'BS (Before Changes)'!AG62-'BS 3Q2022'!AG62</f>
        <v>0</v>
      </c>
      <c r="AH62" s="179">
        <f>'BS (Before Changes)'!AH62-'BS 3Q2022'!AH62</f>
        <v>-4.6049860702134016E-2</v>
      </c>
      <c r="AI62" s="179">
        <f>'BS (Before Changes)'!AI62-'BS 3Q2022'!AI62</f>
        <v>-9.1631723835298828E-2</v>
      </c>
      <c r="AJ62" s="179">
        <f>'BS (Before Changes)'!AJ62-'BS 3Q2022'!AJ62</f>
        <v>4.2653546184610036E-3</v>
      </c>
      <c r="AK62" s="179">
        <f>'BS (Before Changes)'!AK62-'BS 3Q2022'!AK62</f>
        <v>1.6632616425510394E-2</v>
      </c>
      <c r="AL62" s="28">
        <f>'BS (Before Changes)'!AL62-'BS 3Q2022'!AL62</f>
        <v>0</v>
      </c>
      <c r="AM62" s="179">
        <f>'BS (Before Changes)'!AM62-'BS 3Q2022'!AM62</f>
        <v>1.8222910535190096E-2</v>
      </c>
      <c r="AN62" s="179">
        <f>'BS (Before Changes)'!AN62-'BS 3Q2022'!AN62</f>
        <v>1.6439024198491969E-2</v>
      </c>
      <c r="AO62" s="179">
        <f>'BS (Before Changes)'!AO62-'BS 3Q2022'!AO62</f>
        <v>1.5791732708060113E-2</v>
      </c>
      <c r="AP62" s="179">
        <f>'BS (Before Changes)'!AP62-'BS 3Q2022'!AP62</f>
        <v>1.025536810487937E-2</v>
      </c>
      <c r="AQ62" s="28">
        <f>'BS (Before Changes)'!AQ62-'BS 3Q2022'!AQ62</f>
        <v>0</v>
      </c>
      <c r="AR62" s="179">
        <f>'BS (Before Changes)'!AR62-'BS 3Q2022'!AR62</f>
        <v>1.2119917963600013E-2</v>
      </c>
      <c r="AS62" s="179">
        <f>'BS (Before Changes)'!AS62-'BS 3Q2022'!AS62</f>
        <v>8.8736716841415486E-3</v>
      </c>
      <c r="AT62" s="179">
        <f>'BS (Before Changes)'!AT62-'BS 3Q2022'!AT62</f>
        <v>6.3146383025132202E-3</v>
      </c>
      <c r="AU62" s="179">
        <f>'BS (Before Changes)'!AU62-'BS 3Q2022'!AU62</f>
        <v>-4.8954536684311378E-3</v>
      </c>
      <c r="AV62" s="28">
        <f>'BS (Before Changes)'!AV62-'BS 3Q2022'!AV62</f>
        <v>0</v>
      </c>
    </row>
    <row r="63" spans="2:48" s="23" customFormat="1" outlineLevel="1" x14ac:dyDescent="0.3">
      <c r="B63" s="200" t="s">
        <v>265</v>
      </c>
      <c r="C63" s="201"/>
      <c r="D63" s="179">
        <f>'BS (Before Changes)'!D63-'BS 3Q2022'!D63</f>
        <v>0</v>
      </c>
      <c r="E63" s="179">
        <f>'BS (Before Changes)'!E63-'BS 3Q2022'!E63</f>
        <v>0</v>
      </c>
      <c r="F63" s="303">
        <f>'BS (Before Changes)'!F63-'BS 3Q2022'!F63</f>
        <v>0</v>
      </c>
      <c r="G63" s="303">
        <f>'BS (Before Changes)'!G63-'BS 3Q2022'!G63</f>
        <v>0</v>
      </c>
      <c r="H63" s="128">
        <f>'BS (Before Changes)'!H63-'BS 3Q2022'!H63</f>
        <v>0</v>
      </c>
      <c r="I63" s="303">
        <f>'BS (Before Changes)'!I63-'BS 3Q2022'!I63</f>
        <v>0</v>
      </c>
      <c r="J63" s="303">
        <f>'BS (Before Changes)'!J63-'BS 3Q2022'!J63</f>
        <v>0</v>
      </c>
      <c r="K63" s="303">
        <f>'BS (Before Changes)'!K63-'BS 3Q2022'!K63</f>
        <v>0</v>
      </c>
      <c r="L63" s="179">
        <f>'BS (Before Changes)'!L63-'BS 3Q2022'!L63</f>
        <v>0</v>
      </c>
      <c r="M63" s="28">
        <f>'BS (Before Changes)'!M63-'BS 3Q2022'!M63</f>
        <v>0</v>
      </c>
      <c r="N63" s="179">
        <f>'BS (Before Changes)'!N63-'BS 3Q2022'!N63</f>
        <v>0</v>
      </c>
      <c r="O63" s="179">
        <f>'BS (Before Changes)'!O63-'BS 3Q2022'!O63</f>
        <v>0</v>
      </c>
      <c r="P63" s="179">
        <f>'BS (Before Changes)'!P63-'BS 3Q2022'!P63</f>
        <v>0</v>
      </c>
      <c r="Q63" s="179">
        <f>'BS (Before Changes)'!Q63-'BS 3Q2022'!Q63</f>
        <v>0</v>
      </c>
      <c r="R63" s="28">
        <f>'BS (Before Changes)'!R63-'BS 3Q2022'!R63</f>
        <v>0</v>
      </c>
      <c r="S63" s="179">
        <f>'BS (Before Changes)'!S63-'BS 3Q2022'!S63</f>
        <v>0</v>
      </c>
      <c r="T63" s="179">
        <f>'BS (Before Changes)'!T63-'BS 3Q2022'!T63</f>
        <v>0</v>
      </c>
      <c r="U63" s="179">
        <f>'BS (Before Changes)'!U63-'BS 3Q2022'!U63</f>
        <v>0</v>
      </c>
      <c r="V63" s="179">
        <f>'BS (Before Changes)'!V63-'BS 3Q2022'!V63</f>
        <v>6.0910471731650914E-2</v>
      </c>
      <c r="W63" s="28">
        <f>'BS (Before Changes)'!W63-'BS 3Q2022'!W63</f>
        <v>6.0910471731650914E-2</v>
      </c>
      <c r="X63" s="179">
        <f>'BS (Before Changes)'!X63-'BS 3Q2022'!X63</f>
        <v>6.0910471731650914E-2</v>
      </c>
      <c r="Y63" s="179">
        <f>'BS (Before Changes)'!Y63-'BS 3Q2022'!Y63</f>
        <v>6.103624027399146E-2</v>
      </c>
      <c r="Z63" s="179">
        <f>'BS (Before Changes)'!Z63-'BS 3Q2022'!Z63</f>
        <v>6.0469627837038881E-2</v>
      </c>
      <c r="AA63" s="179">
        <f>'BS (Before Changes)'!AA63-'BS 3Q2022'!AA63</f>
        <v>6.0469627837038881E-2</v>
      </c>
      <c r="AB63" s="28">
        <f>'BS (Before Changes)'!AB63-'BS 3Q2022'!AB63</f>
        <v>0</v>
      </c>
      <c r="AC63" s="179">
        <f>'BS (Before Changes)'!AC63-'BS 3Q2022'!AC63</f>
        <v>6.0846933464060476E-2</v>
      </c>
      <c r="AD63" s="179">
        <f>'BS (Before Changes)'!AD63-'BS 3Q2022'!AD63</f>
        <v>6.141477061109335E-2</v>
      </c>
      <c r="AE63" s="179">
        <f>'BS (Before Changes)'!AE63-'BS 3Q2022'!AE63</f>
        <v>6.141477061109335E-2</v>
      </c>
      <c r="AF63" s="179">
        <f>'BS (Before Changes)'!AF63-'BS 3Q2022'!AF63</f>
        <v>6.1009221598585427E-2</v>
      </c>
      <c r="AG63" s="28">
        <f>'BS (Before Changes)'!AG63-'BS 3Q2022'!AG63</f>
        <v>0</v>
      </c>
      <c r="AH63" s="179">
        <f>'BS (Before Changes)'!AH63-'BS 3Q2022'!AH63</f>
        <v>6.0388662697446638E-2</v>
      </c>
      <c r="AI63" s="179">
        <f>'BS (Before Changes)'!AI63-'BS 3Q2022'!AI63</f>
        <v>6.0388662697446638E-2</v>
      </c>
      <c r="AJ63" s="179">
        <f>'BS (Before Changes)'!AJ63-'BS 3Q2022'!AJ63</f>
        <v>4.3580319970603222E-2</v>
      </c>
      <c r="AK63" s="179">
        <f>'BS (Before Changes)'!AK63-'BS 3Q2022'!AK63</f>
        <v>4.4230452813743007E-2</v>
      </c>
      <c r="AL63" s="28">
        <f>'BS (Before Changes)'!AL63-'BS 3Q2022'!AL63</f>
        <v>0</v>
      </c>
      <c r="AM63" s="179">
        <f>'BS (Before Changes)'!AM63-'BS 3Q2022'!AM63</f>
        <v>4.4230452813743007E-2</v>
      </c>
      <c r="AN63" s="179">
        <f>'BS (Before Changes)'!AN63-'BS 3Q2022'!AN63</f>
        <v>4.4230452813743007E-2</v>
      </c>
      <c r="AO63" s="179">
        <f>'BS (Before Changes)'!AO63-'BS 3Q2022'!AO63</f>
        <v>4.4230452813743007E-2</v>
      </c>
      <c r="AP63" s="179">
        <f>'BS (Before Changes)'!AP63-'BS 3Q2022'!AP63</f>
        <v>4.4230452813743007E-2</v>
      </c>
      <c r="AQ63" s="28">
        <f>'BS (Before Changes)'!AQ63-'BS 3Q2022'!AQ63</f>
        <v>0</v>
      </c>
      <c r="AR63" s="179">
        <f>'BS (Before Changes)'!AR63-'BS 3Q2022'!AR63</f>
        <v>4.4230452813743007E-2</v>
      </c>
      <c r="AS63" s="179">
        <f>'BS (Before Changes)'!AS63-'BS 3Q2022'!AS63</f>
        <v>4.4663874709169521E-2</v>
      </c>
      <c r="AT63" s="179">
        <f>'BS (Before Changes)'!AT63-'BS 3Q2022'!AT63</f>
        <v>4.4663874709169521E-2</v>
      </c>
      <c r="AU63" s="179">
        <f>'BS (Before Changes)'!AU63-'BS 3Q2022'!AU63</f>
        <v>4.4663874709169521E-2</v>
      </c>
      <c r="AV63" s="28">
        <f>'BS (Before Changes)'!AV63-'BS 3Q2022'!AV63</f>
        <v>0</v>
      </c>
    </row>
    <row r="64" spans="2:48" outlineLevel="1" x14ac:dyDescent="0.3">
      <c r="B64" s="200" t="s">
        <v>328</v>
      </c>
      <c r="C64" s="201"/>
      <c r="D64" s="304">
        <f>'BS (Before Changes)'!D64-'BS 3Q2022'!D64</f>
        <v>0</v>
      </c>
      <c r="E64" s="304">
        <f>'BS (Before Changes)'!E64-'BS 3Q2022'!E64</f>
        <v>0</v>
      </c>
      <c r="F64" s="304">
        <f>'BS (Before Changes)'!F64-'BS 3Q2022'!F64</f>
        <v>0</v>
      </c>
      <c r="G64" s="304">
        <f>'BS (Before Changes)'!G64-'BS 3Q2022'!G64</f>
        <v>0</v>
      </c>
      <c r="H64" s="306">
        <f>'BS (Before Changes)'!H64-'BS 3Q2022'!H64</f>
        <v>0</v>
      </c>
      <c r="I64" s="305">
        <f>'BS (Before Changes)'!I64-'BS 3Q2022'!I64</f>
        <v>0</v>
      </c>
      <c r="J64" s="305">
        <f>'BS (Before Changes)'!J64-'BS 3Q2022'!J64</f>
        <v>0</v>
      </c>
      <c r="K64" s="305">
        <f>'BS (Before Changes)'!K64-'BS 3Q2022'!K64</f>
        <v>0</v>
      </c>
      <c r="L64" s="305">
        <f>'BS (Before Changes)'!L64-'BS 3Q2022'!L64</f>
        <v>0</v>
      </c>
      <c r="M64" s="306">
        <f>'BS (Before Changes)'!M64-'BS 3Q2022'!M64</f>
        <v>0</v>
      </c>
      <c r="N64" s="305">
        <f>'BS (Before Changes)'!N64-'BS 3Q2022'!N64</f>
        <v>0</v>
      </c>
      <c r="O64" s="305">
        <f>'BS (Before Changes)'!O64-'BS 3Q2022'!O64</f>
        <v>0</v>
      </c>
      <c r="P64" s="305">
        <f>'BS (Before Changes)'!P64-'BS 3Q2022'!P64</f>
        <v>0</v>
      </c>
      <c r="Q64" s="305">
        <f>'BS (Before Changes)'!Q64-'BS 3Q2022'!Q64</f>
        <v>0</v>
      </c>
      <c r="R64" s="306">
        <f>'BS (Before Changes)'!R64-'BS 3Q2022'!R64</f>
        <v>0</v>
      </c>
      <c r="S64" s="305">
        <f>'BS (Before Changes)'!S64-'BS 3Q2022'!S64</f>
        <v>0</v>
      </c>
      <c r="T64" s="305">
        <f>'BS (Before Changes)'!T64-'BS 3Q2022'!T64</f>
        <v>0</v>
      </c>
      <c r="U64" s="305">
        <f>'BS (Before Changes)'!U64-'BS 3Q2022'!U64</f>
        <v>0</v>
      </c>
      <c r="V64" s="305">
        <f>'BS (Before Changes)'!V64-'BS 3Q2022'!V64</f>
        <v>0</v>
      </c>
      <c r="W64" s="306">
        <f>'BS (Before Changes)'!W64-'BS 3Q2022'!W64</f>
        <v>-1.4885374006718521E-2</v>
      </c>
      <c r="X64" s="307">
        <f>'BS (Before Changes)'!X64-'BS 3Q2022'!X64</f>
        <v>0</v>
      </c>
      <c r="Y64" s="307">
        <f>'BS (Before Changes)'!Y64-'BS 3Q2022'!Y64</f>
        <v>0</v>
      </c>
      <c r="Z64" s="307">
        <f>'BS (Before Changes)'!Z64-'BS 3Q2022'!Z64</f>
        <v>0</v>
      </c>
      <c r="AA64" s="307">
        <f>'BS (Before Changes)'!AA64-'BS 3Q2022'!AA64</f>
        <v>0</v>
      </c>
      <c r="AB64" s="306">
        <f>'BS (Before Changes)'!AB64-'BS 3Q2022'!AB64</f>
        <v>-2.5896930859396594E-2</v>
      </c>
      <c r="AC64" s="307">
        <f>'BS (Before Changes)'!AC64-'BS 3Q2022'!AC64</f>
        <v>0</v>
      </c>
      <c r="AD64" s="307">
        <f>'BS (Before Changes)'!AD64-'BS 3Q2022'!AD64</f>
        <v>0</v>
      </c>
      <c r="AE64" s="307">
        <f>'BS (Before Changes)'!AE64-'BS 3Q2022'!AE64</f>
        <v>0</v>
      </c>
      <c r="AF64" s="307">
        <f>'BS (Before Changes)'!AF64-'BS 3Q2022'!AF64</f>
        <v>0</v>
      </c>
      <c r="AG64" s="405">
        <f>'BS (Before Changes)'!AG64-'BS 3Q2022'!AG64</f>
        <v>-6.7796191786029691E-2</v>
      </c>
      <c r="AH64" s="307">
        <f>'BS (Before Changes)'!AH64-'BS 3Q2022'!AH64</f>
        <v>0</v>
      </c>
      <c r="AI64" s="307">
        <f>'BS (Before Changes)'!AI64-'BS 3Q2022'!AI64</f>
        <v>0</v>
      </c>
      <c r="AJ64" s="307">
        <f>'BS (Before Changes)'!AJ64-'BS 3Q2022'!AJ64</f>
        <v>0</v>
      </c>
      <c r="AK64" s="307">
        <f>'BS (Before Changes)'!AK64-'BS 3Q2022'!AK64</f>
        <v>0</v>
      </c>
      <c r="AL64" s="405">
        <f>'BS (Before Changes)'!AL64-'BS 3Q2022'!AL64</f>
        <v>-4.4743011586725334E-2</v>
      </c>
      <c r="AM64" s="307">
        <f>'BS (Before Changes)'!AM64-'BS 3Q2022'!AM64</f>
        <v>0</v>
      </c>
      <c r="AN64" s="307">
        <f>'BS (Before Changes)'!AN64-'BS 3Q2022'!AN64</f>
        <v>0</v>
      </c>
      <c r="AO64" s="307">
        <f>'BS (Before Changes)'!AO64-'BS 3Q2022'!AO64</f>
        <v>0</v>
      </c>
      <c r="AP64" s="307">
        <f>'BS (Before Changes)'!AP64-'BS 3Q2022'!AP64</f>
        <v>0</v>
      </c>
      <c r="AQ64" s="306">
        <f>'BS (Before Changes)'!AQ64-'BS 3Q2022'!AQ64</f>
        <v>-3.2295970517664419E-2</v>
      </c>
      <c r="AR64" s="307">
        <f>'BS (Before Changes)'!AR64-'BS 3Q2022'!AR64</f>
        <v>0</v>
      </c>
      <c r="AS64" s="307">
        <f>'BS (Before Changes)'!AS64-'BS 3Q2022'!AS64</f>
        <v>0</v>
      </c>
      <c r="AT64" s="307">
        <f>'BS (Before Changes)'!AT64-'BS 3Q2022'!AT64</f>
        <v>0</v>
      </c>
      <c r="AU64" s="307">
        <f>'BS (Before Changes)'!AU64-'BS 3Q2022'!AU64</f>
        <v>0</v>
      </c>
      <c r="AV64" s="306">
        <f>'BS (Before Changes)'!AV64-'BS 3Q2022'!AV64</f>
        <v>-2.611828111325476E-2</v>
      </c>
    </row>
    <row r="65" spans="2:48" outlineLevel="1" x14ac:dyDescent="0.3">
      <c r="B65" s="180" t="s">
        <v>325</v>
      </c>
      <c r="C65" s="44"/>
      <c r="D65" s="139">
        <f>'BS (Before Changes)'!D65-'BS 3Q2022'!D65</f>
        <v>0</v>
      </c>
      <c r="E65" s="139">
        <f>'BS (Before Changes)'!E65-'BS 3Q2022'!E65</f>
        <v>0</v>
      </c>
      <c r="F65" s="309">
        <f>'BS (Before Changes)'!F65-'BS 3Q2022'!F65</f>
        <v>0</v>
      </c>
      <c r="G65" s="309">
        <f>'BS (Before Changes)'!G65-'BS 3Q2022'!G65</f>
        <v>0</v>
      </c>
      <c r="H65" s="17">
        <f>'BS (Before Changes)'!H65-'BS 3Q2022'!H65</f>
        <v>0</v>
      </c>
      <c r="I65" s="139">
        <f>'BS (Before Changes)'!I65-'BS 3Q2022'!I65</f>
        <v>0</v>
      </c>
      <c r="J65" s="139">
        <f>'BS (Before Changes)'!J65-'BS 3Q2022'!J65</f>
        <v>0</v>
      </c>
      <c r="K65" s="309">
        <f>'BS (Before Changes)'!K65-'BS 3Q2022'!K65</f>
        <v>0</v>
      </c>
      <c r="L65" s="309">
        <f>'BS (Before Changes)'!L65-'BS 3Q2022'!L65</f>
        <v>0</v>
      </c>
      <c r="M65" s="17">
        <f>'BS (Before Changes)'!M65-'BS 3Q2022'!M65</f>
        <v>0</v>
      </c>
      <c r="N65" s="139">
        <f>'BS (Before Changes)'!N65-'BS 3Q2022'!N65</f>
        <v>0</v>
      </c>
      <c r="O65" s="139">
        <f>'BS (Before Changes)'!O65-'BS 3Q2022'!O65</f>
        <v>0</v>
      </c>
      <c r="P65" s="309">
        <f>'BS (Before Changes)'!P65-'BS 3Q2022'!P65</f>
        <v>0</v>
      </c>
      <c r="Q65" s="309">
        <f>'BS (Before Changes)'!Q65-'BS 3Q2022'!Q65</f>
        <v>0</v>
      </c>
      <c r="R65" s="17">
        <f>'BS (Before Changes)'!R65-'BS 3Q2022'!R65</f>
        <v>0</v>
      </c>
      <c r="S65" s="139">
        <f>'BS (Before Changes)'!S65-'BS 3Q2022'!S65</f>
        <v>0</v>
      </c>
      <c r="T65" s="139">
        <f>'BS (Before Changes)'!T65-'BS 3Q2022'!T65</f>
        <v>0</v>
      </c>
      <c r="U65" s="309">
        <f>'BS (Before Changes)'!U65-'BS 3Q2022'!U65</f>
        <v>0</v>
      </c>
      <c r="V65" s="309">
        <f>'BS (Before Changes)'!V65-'BS 3Q2022'!V65</f>
        <v>0</v>
      </c>
      <c r="W65" s="17">
        <f>'BS (Before Changes)'!W65-'BS 3Q2022'!W65</f>
        <v>39.944315932958489</v>
      </c>
      <c r="X65" s="139">
        <f>'BS (Before Changes)'!X65-'BS 3Q2022'!X65</f>
        <v>0</v>
      </c>
      <c r="Y65" s="305">
        <f>'BS (Before Changes)'!Y65-'BS 3Q2022'!Y65</f>
        <v>0</v>
      </c>
      <c r="Z65" s="305">
        <f>'BS (Before Changes)'!Z65-'BS 3Q2022'!Z65</f>
        <v>0</v>
      </c>
      <c r="AA65" s="310">
        <f>'BS (Before Changes)'!AA65-'BS 3Q2022'!AA65</f>
        <v>0</v>
      </c>
      <c r="AB65" s="17">
        <f>'BS (Before Changes)'!AB65-'BS 3Q2022'!AB65</f>
        <v>64.812810650540086</v>
      </c>
      <c r="AC65" s="139">
        <f>'BS (Before Changes)'!AC65-'BS 3Q2022'!AC65</f>
        <v>0</v>
      </c>
      <c r="AD65" s="139">
        <f>'BS (Before Changes)'!AD65-'BS 3Q2022'!AD65</f>
        <v>0</v>
      </c>
      <c r="AE65" s="309">
        <f>'BS (Before Changes)'!AE65-'BS 3Q2022'!AE65</f>
        <v>0</v>
      </c>
      <c r="AF65" s="309">
        <f>'BS (Before Changes)'!AF65-'BS 3Q2022'!AF65</f>
        <v>0</v>
      </c>
      <c r="AG65" s="17">
        <f>'BS (Before Changes)'!AG65-'BS 3Q2022'!AG65</f>
        <v>162.45078743688282</v>
      </c>
      <c r="AH65" s="139">
        <f>'BS (Before Changes)'!AH65-'BS 3Q2022'!AH65</f>
        <v>0</v>
      </c>
      <c r="AI65" s="139">
        <f>'BS (Before Changes)'!AI65-'BS 3Q2022'!AI65</f>
        <v>0</v>
      </c>
      <c r="AJ65" s="309">
        <f>'BS (Before Changes)'!AJ65-'BS 3Q2022'!AJ65</f>
        <v>0</v>
      </c>
      <c r="AK65" s="309">
        <f>'BS (Before Changes)'!AK65-'BS 3Q2022'!AK65</f>
        <v>0</v>
      </c>
      <c r="AL65" s="17">
        <f>'BS (Before Changes)'!AL65-'BS 3Q2022'!AL65</f>
        <v>202.89982604887882</v>
      </c>
      <c r="AM65" s="139">
        <f>'BS (Before Changes)'!AM65-'BS 3Q2022'!AM65</f>
        <v>0</v>
      </c>
      <c r="AN65" s="139">
        <f>'BS (Before Changes)'!AN65-'BS 3Q2022'!AN65</f>
        <v>0</v>
      </c>
      <c r="AO65" s="309">
        <f>'BS (Before Changes)'!AO65-'BS 3Q2022'!AO65</f>
        <v>0</v>
      </c>
      <c r="AP65" s="309">
        <f>'BS (Before Changes)'!AP65-'BS 3Q2022'!AP65</f>
        <v>0</v>
      </c>
      <c r="AQ65" s="17">
        <f>'BS (Before Changes)'!AQ65-'BS 3Q2022'!AQ65</f>
        <v>208.34390241822985</v>
      </c>
      <c r="AR65" s="139">
        <f>'BS (Before Changes)'!AR65-'BS 3Q2022'!AR65</f>
        <v>0</v>
      </c>
      <c r="AS65" s="139">
        <f>'BS (Before Changes)'!AS65-'BS 3Q2022'!AS65</f>
        <v>0</v>
      </c>
      <c r="AT65" s="309">
        <f>'BS (Before Changes)'!AT65-'BS 3Q2022'!AT65</f>
        <v>0</v>
      </c>
      <c r="AU65" s="309">
        <f>'BS (Before Changes)'!AU65-'BS 3Q2022'!AU65</f>
        <v>0</v>
      </c>
      <c r="AV65" s="17">
        <f>'BS (Before Changes)'!AV65-'BS 3Q2022'!AV65</f>
        <v>211.42278799123596</v>
      </c>
    </row>
    <row r="66" spans="2:48" outlineLevel="1" x14ac:dyDescent="0.3">
      <c r="B66" s="180" t="s">
        <v>327</v>
      </c>
      <c r="C66" s="44"/>
      <c r="D66" s="139">
        <f>'BS (Before Changes)'!D66-'BS 3Q2022'!D66</f>
        <v>0</v>
      </c>
      <c r="E66" s="139">
        <f>'BS (Before Changes)'!E66-'BS 3Q2022'!E66</f>
        <v>0</v>
      </c>
      <c r="F66" s="309">
        <f>'BS (Before Changes)'!F66-'BS 3Q2022'!F66</f>
        <v>0</v>
      </c>
      <c r="G66" s="309">
        <f>'BS (Before Changes)'!G66-'BS 3Q2022'!G66</f>
        <v>0</v>
      </c>
      <c r="H66" s="387">
        <f>'BS (Before Changes)'!H66-'BS 3Q2022'!H66</f>
        <v>0</v>
      </c>
      <c r="I66" s="139">
        <f>'BS (Before Changes)'!I66-'BS 3Q2022'!I66</f>
        <v>0</v>
      </c>
      <c r="J66" s="139">
        <f>'BS (Before Changes)'!J66-'BS 3Q2022'!J66</f>
        <v>0</v>
      </c>
      <c r="K66" s="309">
        <f>'BS (Before Changes)'!K66-'BS 3Q2022'!K66</f>
        <v>0</v>
      </c>
      <c r="L66" s="309">
        <f>'BS (Before Changes)'!L66-'BS 3Q2022'!L66</f>
        <v>0</v>
      </c>
      <c r="M66" s="387">
        <f>'BS (Before Changes)'!M66-'BS 3Q2022'!M66</f>
        <v>0</v>
      </c>
      <c r="N66" s="139">
        <f>'BS (Before Changes)'!N66-'BS 3Q2022'!N66</f>
        <v>0</v>
      </c>
      <c r="O66" s="139">
        <f>'BS (Before Changes)'!O66-'BS 3Q2022'!O66</f>
        <v>0</v>
      </c>
      <c r="P66" s="309">
        <f>'BS (Before Changes)'!P66-'BS 3Q2022'!P66</f>
        <v>0</v>
      </c>
      <c r="Q66" s="309">
        <f>'BS (Before Changes)'!Q66-'BS 3Q2022'!Q66</f>
        <v>0</v>
      </c>
      <c r="R66" s="387">
        <f>'BS (Before Changes)'!R66-'BS 3Q2022'!R66</f>
        <v>0</v>
      </c>
      <c r="S66" s="139">
        <f>'BS (Before Changes)'!S66-'BS 3Q2022'!S66</f>
        <v>0</v>
      </c>
      <c r="T66" s="139">
        <f>'BS (Before Changes)'!T66-'BS 3Q2022'!T66</f>
        <v>0</v>
      </c>
      <c r="U66" s="309">
        <f>'BS (Before Changes)'!U66-'BS 3Q2022'!U66</f>
        <v>0</v>
      </c>
      <c r="V66" s="309">
        <f>'BS (Before Changes)'!V66-'BS 3Q2022'!V66</f>
        <v>0</v>
      </c>
      <c r="W66" s="388">
        <f>'BS (Before Changes)'!W66-'BS 3Q2022'!W66</f>
        <v>0</v>
      </c>
      <c r="X66" s="139">
        <f>'BS (Before Changes)'!X66-'BS 3Q2022'!X66</f>
        <v>0</v>
      </c>
      <c r="Y66" s="179">
        <f>'BS (Before Changes)'!Y66-'BS 3Q2022'!Y66</f>
        <v>0</v>
      </c>
      <c r="Z66" s="179">
        <f>'BS (Before Changes)'!Z66-'BS 3Q2022'!Z66</f>
        <v>0</v>
      </c>
      <c r="AA66" s="310">
        <f>'BS (Before Changes)'!AA66-'BS 3Q2022'!AA66</f>
        <v>0</v>
      </c>
      <c r="AB66" s="388">
        <f>'BS (Before Changes)'!AB66-'BS 3Q2022'!AB66</f>
        <v>0</v>
      </c>
      <c r="AC66" s="139">
        <f>'BS (Before Changes)'!AC66-'BS 3Q2022'!AC66</f>
        <v>0</v>
      </c>
      <c r="AD66" s="139">
        <f>'BS (Before Changes)'!AD66-'BS 3Q2022'!AD66</f>
        <v>0</v>
      </c>
      <c r="AE66" s="309">
        <f>'BS (Before Changes)'!AE66-'BS 3Q2022'!AE66</f>
        <v>0</v>
      </c>
      <c r="AF66" s="309">
        <f>'BS (Before Changes)'!AF66-'BS 3Q2022'!AF66</f>
        <v>0</v>
      </c>
      <c r="AG66" s="388">
        <f>'BS (Before Changes)'!AG66-'BS 3Q2022'!AG66</f>
        <v>0</v>
      </c>
      <c r="AH66" s="139">
        <f>'BS (Before Changes)'!AH66-'BS 3Q2022'!AH66</f>
        <v>0</v>
      </c>
      <c r="AI66" s="139">
        <f>'BS (Before Changes)'!AI66-'BS 3Q2022'!AI66</f>
        <v>0</v>
      </c>
      <c r="AJ66" s="309">
        <f>'BS (Before Changes)'!AJ66-'BS 3Q2022'!AJ66</f>
        <v>0</v>
      </c>
      <c r="AK66" s="309">
        <f>'BS (Before Changes)'!AK66-'BS 3Q2022'!AK66</f>
        <v>0</v>
      </c>
      <c r="AL66" s="388">
        <f>'BS (Before Changes)'!AL66-'BS 3Q2022'!AL66</f>
        <v>0</v>
      </c>
      <c r="AM66" s="139">
        <f>'BS (Before Changes)'!AM66-'BS 3Q2022'!AM66</f>
        <v>0</v>
      </c>
      <c r="AN66" s="139">
        <f>'BS (Before Changes)'!AN66-'BS 3Q2022'!AN66</f>
        <v>0</v>
      </c>
      <c r="AO66" s="309">
        <f>'BS (Before Changes)'!AO66-'BS 3Q2022'!AO66</f>
        <v>0</v>
      </c>
      <c r="AP66" s="309">
        <f>'BS (Before Changes)'!AP66-'BS 3Q2022'!AP66</f>
        <v>0</v>
      </c>
      <c r="AQ66" s="388">
        <f>'BS (Before Changes)'!AQ66-'BS 3Q2022'!AQ66</f>
        <v>0</v>
      </c>
      <c r="AR66" s="139">
        <f>'BS (Before Changes)'!AR66-'BS 3Q2022'!AR66</f>
        <v>0</v>
      </c>
      <c r="AS66" s="139">
        <f>'BS (Before Changes)'!AS66-'BS 3Q2022'!AS66</f>
        <v>0</v>
      </c>
      <c r="AT66" s="309">
        <f>'BS (Before Changes)'!AT66-'BS 3Q2022'!AT66</f>
        <v>0</v>
      </c>
      <c r="AU66" s="309">
        <f>'BS (Before Changes)'!AU66-'BS 3Q2022'!AU66</f>
        <v>0</v>
      </c>
      <c r="AV66" s="388">
        <f>'BS (Before Changes)'!AV66-'BS 3Q2022'!AV66</f>
        <v>0</v>
      </c>
    </row>
    <row r="67" spans="2:48" outlineLevel="1" x14ac:dyDescent="0.3">
      <c r="B67" s="386" t="s">
        <v>326</v>
      </c>
      <c r="C67" s="312"/>
      <c r="D67" s="313">
        <f>'BS (Before Changes)'!D67-'BS 3Q2022'!D67</f>
        <v>0</v>
      </c>
      <c r="E67" s="313">
        <f>'BS (Before Changes)'!E67-'BS 3Q2022'!E67</f>
        <v>0</v>
      </c>
      <c r="F67" s="314">
        <f>'BS (Before Changes)'!F67-'BS 3Q2022'!F67</f>
        <v>0</v>
      </c>
      <c r="G67" s="314">
        <f>'BS (Before Changes)'!G67-'BS 3Q2022'!G67</f>
        <v>0</v>
      </c>
      <c r="H67" s="316">
        <f>'BS (Before Changes)'!H67-'BS 3Q2022'!H67</f>
        <v>0</v>
      </c>
      <c r="I67" s="313">
        <f>'BS (Before Changes)'!I67-'BS 3Q2022'!I67</f>
        <v>0</v>
      </c>
      <c r="J67" s="313">
        <f>'BS (Before Changes)'!J67-'BS 3Q2022'!J67</f>
        <v>0</v>
      </c>
      <c r="K67" s="314">
        <f>'BS (Before Changes)'!K67-'BS 3Q2022'!K67</f>
        <v>0</v>
      </c>
      <c r="L67" s="314">
        <f>'BS (Before Changes)'!L67-'BS 3Q2022'!L67</f>
        <v>0</v>
      </c>
      <c r="M67" s="316">
        <f>'BS (Before Changes)'!M67-'BS 3Q2022'!M67</f>
        <v>0</v>
      </c>
      <c r="N67" s="313">
        <f>'BS (Before Changes)'!N67-'BS 3Q2022'!N67</f>
        <v>0</v>
      </c>
      <c r="O67" s="313">
        <f>'BS (Before Changes)'!O67-'BS 3Q2022'!O67</f>
        <v>0</v>
      </c>
      <c r="P67" s="314">
        <f>'BS (Before Changes)'!P67-'BS 3Q2022'!P67</f>
        <v>0</v>
      </c>
      <c r="Q67" s="314">
        <f>'BS (Before Changes)'!Q67-'BS 3Q2022'!Q67</f>
        <v>0</v>
      </c>
      <c r="R67" s="316">
        <f>'BS (Before Changes)'!R67-'BS 3Q2022'!R67</f>
        <v>0</v>
      </c>
      <c r="S67" s="313">
        <f>'BS (Before Changes)'!S67-'BS 3Q2022'!S67</f>
        <v>0</v>
      </c>
      <c r="T67" s="313">
        <f>'BS (Before Changes)'!T67-'BS 3Q2022'!T67</f>
        <v>0</v>
      </c>
      <c r="U67" s="314">
        <f>'BS (Before Changes)'!U67-'BS 3Q2022'!U67</f>
        <v>0</v>
      </c>
      <c r="V67" s="314">
        <f>'BS (Before Changes)'!V67-'BS 3Q2022'!V67</f>
        <v>0</v>
      </c>
      <c r="W67" s="316">
        <f>'BS (Before Changes)'!W67-'BS 3Q2022'!W67</f>
        <v>113</v>
      </c>
      <c r="X67" s="313">
        <f>'BS (Before Changes)'!X67-'BS 3Q2022'!X67</f>
        <v>0</v>
      </c>
      <c r="Y67" s="313">
        <f>'BS (Before Changes)'!Y67-'BS 3Q2022'!Y67</f>
        <v>0</v>
      </c>
      <c r="Z67" s="314">
        <f>'BS (Before Changes)'!Z67-'BS 3Q2022'!Z67</f>
        <v>0</v>
      </c>
      <c r="AA67" s="315">
        <f>'BS (Before Changes)'!AA67-'BS 3Q2022'!AA67</f>
        <v>0</v>
      </c>
      <c r="AB67" s="316">
        <f>'BS (Before Changes)'!AB67-'BS 3Q2022'!AB67</f>
        <v>113.00000000000182</v>
      </c>
      <c r="AC67" s="313">
        <f>'BS (Before Changes)'!AC67-'BS 3Q2022'!AC67</f>
        <v>0</v>
      </c>
      <c r="AD67" s="313">
        <f>'BS (Before Changes)'!AD67-'BS 3Q2022'!AD67</f>
        <v>0</v>
      </c>
      <c r="AE67" s="314">
        <f>'BS (Before Changes)'!AE67-'BS 3Q2022'!AE67</f>
        <v>0</v>
      </c>
      <c r="AF67" s="314">
        <f>'BS (Before Changes)'!AF67-'BS 3Q2022'!AF67</f>
        <v>0</v>
      </c>
      <c r="AG67" s="316">
        <f>'BS (Before Changes)'!AG67-'BS 3Q2022'!AG67</f>
        <v>113</v>
      </c>
      <c r="AH67" s="313">
        <f>'BS (Before Changes)'!AH67-'BS 3Q2022'!AH67</f>
        <v>0</v>
      </c>
      <c r="AI67" s="313">
        <f>'BS (Before Changes)'!AI67-'BS 3Q2022'!AI67</f>
        <v>0</v>
      </c>
      <c r="AJ67" s="314">
        <f>'BS (Before Changes)'!AJ67-'BS 3Q2022'!AJ67</f>
        <v>0</v>
      </c>
      <c r="AK67" s="314">
        <f>'BS (Before Changes)'!AK67-'BS 3Q2022'!AK67</f>
        <v>0</v>
      </c>
      <c r="AL67" s="316">
        <f>'BS (Before Changes)'!AL67-'BS 3Q2022'!AL67</f>
        <v>364.3828144641011</v>
      </c>
      <c r="AM67" s="313">
        <f>'BS (Before Changes)'!AM67-'BS 3Q2022'!AM67</f>
        <v>0</v>
      </c>
      <c r="AN67" s="313">
        <f>'BS (Before Changes)'!AN67-'BS 3Q2022'!AN67</f>
        <v>0</v>
      </c>
      <c r="AO67" s="314">
        <f>'BS (Before Changes)'!AO67-'BS 3Q2022'!AO67</f>
        <v>0</v>
      </c>
      <c r="AP67" s="314">
        <f>'BS (Before Changes)'!AP67-'BS 3Q2022'!AP67</f>
        <v>0</v>
      </c>
      <c r="AQ67" s="316">
        <f>'BS (Before Changes)'!AQ67-'BS 3Q2022'!AQ67</f>
        <v>364.3828144641011</v>
      </c>
      <c r="AR67" s="313">
        <f>'BS (Before Changes)'!AR67-'BS 3Q2022'!AR67</f>
        <v>0</v>
      </c>
      <c r="AS67" s="313">
        <f>'BS (Before Changes)'!AS67-'BS 3Q2022'!AS67</f>
        <v>0</v>
      </c>
      <c r="AT67" s="314">
        <f>'BS (Before Changes)'!AT67-'BS 3Q2022'!AT67</f>
        <v>0</v>
      </c>
      <c r="AU67" s="314">
        <f>'BS (Before Changes)'!AU67-'BS 3Q2022'!AU67</f>
        <v>0</v>
      </c>
      <c r="AV67" s="316">
        <f>'BS (Before Changes)'!AV67-'BS 3Q2022'!AV67</f>
        <v>364.3828144641011</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47F9-AE3D-4CDE-8FE4-389662C4FA8E}">
  <sheetPr>
    <tabColor theme="9" tint="0.79998168889431442"/>
    <pageSetUpPr fitToPage="1"/>
  </sheetPr>
  <dimension ref="B1:AV65"/>
  <sheetViews>
    <sheetView showGridLines="0" zoomScaleNormal="100" workbookViewId="0">
      <pane xSplit="3" ySplit="4" topLeftCell="U14"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494" t="s">
        <v>266</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510" t="s">
        <v>267</v>
      </c>
      <c r="C5" s="511"/>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f>'CFS (Before Changes) '!D6-'CFS 3Q2022'!D6</f>
        <v>0</v>
      </c>
      <c r="E6" s="101">
        <f>'CFS (Before Changes) '!E6-'CFS 3Q2022'!E6</f>
        <v>0</v>
      </c>
      <c r="F6" s="16">
        <f>'CFS (Before Changes) '!F6-'CFS 3Q2022'!F6</f>
        <v>0</v>
      </c>
      <c r="G6" s="16">
        <f>'CFS (Before Changes) '!G6-'CFS 3Q2022'!G6</f>
        <v>0</v>
      </c>
      <c r="H6" s="17">
        <f>'CFS (Before Changes) '!H6-'CFS 3Q2022'!H6</f>
        <v>0</v>
      </c>
      <c r="I6" s="16">
        <f>'CFS (Before Changes) '!I6-'CFS 3Q2022'!I6</f>
        <v>0</v>
      </c>
      <c r="J6" s="16">
        <f>'CFS (Before Changes) '!J6-'CFS 3Q2022'!J6</f>
        <v>0</v>
      </c>
      <c r="K6" s="16">
        <f>'CFS (Before Changes) '!K6-'CFS 3Q2022'!K6</f>
        <v>0</v>
      </c>
      <c r="L6" s="16">
        <f>'CFS (Before Changes) '!L6-'CFS 3Q2022'!L6</f>
        <v>0</v>
      </c>
      <c r="M6" s="17">
        <f>'CFS (Before Changes) '!M6-'CFS 3Q2022'!M6</f>
        <v>0</v>
      </c>
      <c r="N6" s="16">
        <f>'CFS (Before Changes) '!N6-'CFS 3Q2022'!N6</f>
        <v>0</v>
      </c>
      <c r="O6" s="16">
        <f>'CFS (Before Changes) '!O6-'CFS 3Q2022'!O6</f>
        <v>0</v>
      </c>
      <c r="P6" s="16">
        <f>'CFS (Before Changes) '!P6-'CFS 3Q2022'!P6</f>
        <v>0</v>
      </c>
      <c r="Q6" s="16">
        <f>'CFS (Before Changes) '!Q6-'CFS 3Q2022'!Q6</f>
        <v>0</v>
      </c>
      <c r="R6" s="17">
        <f>'CFS (Before Changes) '!R6-'CFS 3Q2022'!R6</f>
        <v>0</v>
      </c>
      <c r="S6" s="16">
        <f>'CFS (Before Changes) '!S6-'CFS 3Q2022'!S6</f>
        <v>0</v>
      </c>
      <c r="T6" s="16">
        <f>'CFS (Before Changes) '!T6-'CFS 3Q2022'!T6</f>
        <v>0</v>
      </c>
      <c r="U6" s="16">
        <f>'CFS (Before Changes) '!U6-'CFS 3Q2022'!U6</f>
        <v>0</v>
      </c>
      <c r="V6" s="16">
        <f>'CFS (Before Changes) '!V6-'CFS 3Q2022'!V6</f>
        <v>112.04799559786511</v>
      </c>
      <c r="W6" s="17">
        <f>'CFS (Before Changes) '!W6-'CFS 3Q2022'!W6</f>
        <v>112.04799559786488</v>
      </c>
      <c r="X6" s="16">
        <f>'CFS (Before Changes) '!X6-'CFS 3Q2022'!X6</f>
        <v>24.973894153440369</v>
      </c>
      <c r="Y6" s="16">
        <f>'CFS (Before Changes) '!Y6-'CFS 3Q2022'!Y6</f>
        <v>44.442354647657453</v>
      </c>
      <c r="Z6" s="16">
        <f>'CFS (Before Changes) '!Z6-'CFS 3Q2022'!Z6</f>
        <v>53.21634159533869</v>
      </c>
      <c r="AA6" s="16">
        <f>'CFS (Before Changes) '!AA6-'CFS 3Q2022'!AA6</f>
        <v>88.195126301846585</v>
      </c>
      <c r="AB6" s="17">
        <f>'CFS (Before Changes) '!AB6-'CFS 3Q2022'!AB6</f>
        <v>210.82771669828344</v>
      </c>
      <c r="AC6" s="16">
        <f>'CFS (Before Changes) '!AC6-'CFS 3Q2022'!AC6</f>
        <v>45.485801762135907</v>
      </c>
      <c r="AD6" s="16">
        <f>'CFS (Before Changes) '!AD6-'CFS 3Q2022'!AD6</f>
        <v>57.226705346366089</v>
      </c>
      <c r="AE6" s="16">
        <f>'CFS (Before Changes) '!AE6-'CFS 3Q2022'!AE6</f>
        <v>59.688804934218069</v>
      </c>
      <c r="AF6" s="16">
        <f>'CFS (Before Changes) '!AF6-'CFS 3Q2022'!AF6</f>
        <v>83.957295854664153</v>
      </c>
      <c r="AG6" s="17">
        <f>'CFS (Before Changes) '!AG6-'CFS 3Q2022'!AG6</f>
        <v>246.3586078973849</v>
      </c>
      <c r="AH6" s="16">
        <f>'CFS (Before Changes) '!AH6-'CFS 3Q2022'!AH6</f>
        <v>44.71628609531831</v>
      </c>
      <c r="AI6" s="16">
        <f>'CFS (Before Changes) '!AI6-'CFS 3Q2022'!AI6</f>
        <v>57.353065098479874</v>
      </c>
      <c r="AJ6" s="16">
        <f>'CFS (Before Changes) '!AJ6-'CFS 3Q2022'!AJ6</f>
        <v>60.042782452332176</v>
      </c>
      <c r="AK6" s="16">
        <f>'CFS (Before Changes) '!AK6-'CFS 3Q2022'!AK6</f>
        <v>77.353811993916679</v>
      </c>
      <c r="AL6" s="17">
        <f>'CFS (Before Changes) '!AL6-'CFS 3Q2022'!AL6</f>
        <v>239.46594564004772</v>
      </c>
      <c r="AM6" s="16">
        <f>'CFS (Before Changes) '!AM6-'CFS 3Q2022'!AM6</f>
        <v>36.377946369286292</v>
      </c>
      <c r="AN6" s="16">
        <f>'CFS (Before Changes) '!AN6-'CFS 3Q2022'!AN6</f>
        <v>50.585552656838445</v>
      </c>
      <c r="AO6" s="16">
        <f>'CFS (Before Changes) '!AO6-'CFS 3Q2022'!AO6</f>
        <v>53.535453572377037</v>
      </c>
      <c r="AP6" s="16">
        <f>'CFS (Before Changes) '!AP6-'CFS 3Q2022'!AP6</f>
        <v>74.495636418932691</v>
      </c>
      <c r="AQ6" s="17">
        <f>'CFS (Before Changes) '!AQ6-'CFS 3Q2022'!AQ6</f>
        <v>214.99458901743492</v>
      </c>
      <c r="AR6" s="16">
        <f>'CFS (Before Changes) '!AR6-'CFS 3Q2022'!AR6</f>
        <v>35.705613677860356</v>
      </c>
      <c r="AS6" s="16">
        <f>'CFS (Before Changes) '!AS6-'CFS 3Q2022'!AS6</f>
        <v>50.599710072610378</v>
      </c>
      <c r="AT6" s="16">
        <f>'CFS (Before Changes) '!AT6-'CFS 3Q2022'!AT6</f>
        <v>53.806822526489896</v>
      </c>
      <c r="AU6" s="16">
        <f>'CFS (Before Changes) '!AU6-'CFS 3Q2022'!AU6</f>
        <v>72.8784276972724</v>
      </c>
      <c r="AV6" s="17">
        <f>'CFS (Before Changes) '!AV6-'CFS 3Q2022'!AV6</f>
        <v>212.99057397423348</v>
      </c>
    </row>
    <row r="7" spans="2:48" outlineLevel="1" x14ac:dyDescent="0.3">
      <c r="B7" s="308" t="s">
        <v>269</v>
      </c>
      <c r="C7" s="44"/>
      <c r="D7" s="16">
        <f>'CFS (Before Changes) '!D7-'CFS 3Q2022'!D7</f>
        <v>0</v>
      </c>
      <c r="E7" s="16">
        <f>'CFS (Before Changes) '!E7-'CFS 3Q2022'!E7</f>
        <v>0</v>
      </c>
      <c r="F7" s="16">
        <f>'CFS (Before Changes) '!F7-'CFS 3Q2022'!F7</f>
        <v>0</v>
      </c>
      <c r="G7" s="16">
        <f>'CFS (Before Changes) '!G7-'CFS 3Q2022'!G7</f>
        <v>0</v>
      </c>
      <c r="H7" s="17">
        <f>'CFS (Before Changes) '!H7-'CFS 3Q2022'!H7</f>
        <v>0</v>
      </c>
      <c r="I7" s="16">
        <f>'CFS (Before Changes) '!I7-'CFS 3Q2022'!I7</f>
        <v>0</v>
      </c>
      <c r="J7" s="16">
        <f>'CFS (Before Changes) '!J7-'CFS 3Q2022'!J7</f>
        <v>0</v>
      </c>
      <c r="K7" s="16">
        <f>'CFS (Before Changes) '!K7-'CFS 3Q2022'!K7</f>
        <v>0</v>
      </c>
      <c r="L7" s="16">
        <f>'CFS (Before Changes) '!L7-'CFS 3Q2022'!L7</f>
        <v>0</v>
      </c>
      <c r="M7" s="17">
        <f>'CFS (Before Changes) '!M7-'CFS 3Q2022'!M7</f>
        <v>0</v>
      </c>
      <c r="N7" s="16">
        <f>'CFS (Before Changes) '!N7-'CFS 3Q2022'!N7</f>
        <v>0</v>
      </c>
      <c r="O7" s="16">
        <f>'CFS (Before Changes) '!O7-'CFS 3Q2022'!O7</f>
        <v>0</v>
      </c>
      <c r="P7" s="16">
        <f>'CFS (Before Changes) '!P7-'CFS 3Q2022'!P7</f>
        <v>0</v>
      </c>
      <c r="Q7" s="16">
        <f>'CFS (Before Changes) '!Q7-'CFS 3Q2022'!Q7</f>
        <v>0</v>
      </c>
      <c r="R7" s="17">
        <f>'CFS (Before Changes) '!R7-'CFS 3Q2022'!R7</f>
        <v>0</v>
      </c>
      <c r="S7" s="16">
        <f>'CFS (Before Changes) '!S7-'CFS 3Q2022'!S7</f>
        <v>0</v>
      </c>
      <c r="T7" s="16">
        <f>'CFS (Before Changes) '!T7-'CFS 3Q2022'!T7</f>
        <v>0</v>
      </c>
      <c r="U7" s="16">
        <f>'CFS (Before Changes) '!U7-'CFS 3Q2022'!U7</f>
        <v>0</v>
      </c>
      <c r="V7" s="16">
        <f>'CFS (Before Changes) '!V7-'CFS 3Q2022'!V7</f>
        <v>-28.202234865193418</v>
      </c>
      <c r="W7" s="17">
        <f>'CFS (Before Changes) '!W7-'CFS 3Q2022'!W7</f>
        <v>-28.202234865193532</v>
      </c>
      <c r="X7" s="16">
        <f>'CFS (Before Changes) '!X7-'CFS 3Q2022'!X7</f>
        <v>-5.0618049903222868</v>
      </c>
      <c r="Y7" s="16">
        <f>'CFS (Before Changes) '!Y7-'CFS 3Q2022'!Y7</f>
        <v>-10.952083527415766</v>
      </c>
      <c r="Z7" s="16">
        <f>'CFS (Before Changes) '!Z7-'CFS 3Q2022'!Z7</f>
        <v>-16.998927952876727</v>
      </c>
      <c r="AA7" s="16">
        <f>'CFS (Before Changes) '!AA7-'CFS 3Q2022'!AA7</f>
        <v>-23.998997120387401</v>
      </c>
      <c r="AB7" s="17">
        <f>'CFS (Before Changes) '!AB7-'CFS 3Q2022'!AB7</f>
        <v>-57.011813591002237</v>
      </c>
      <c r="AC7" s="16">
        <f>'CFS (Before Changes) '!AC7-'CFS 3Q2022'!AC7</f>
        <v>-22.051243929937243</v>
      </c>
      <c r="AD7" s="16">
        <f>'CFS (Before Changes) '!AD7-'CFS 3Q2022'!AD7</f>
        <v>-22.312596900291396</v>
      </c>
      <c r="AE7" s="16">
        <f>'CFS (Before Changes) '!AE7-'CFS 3Q2022'!AE7</f>
        <v>-22.170970679749132</v>
      </c>
      <c r="AF7" s="16">
        <f>'CFS (Before Changes) '!AF7-'CFS 3Q2022'!AF7</f>
        <v>-21.588076928308112</v>
      </c>
      <c r="AG7" s="17">
        <f>'CFS (Before Changes) '!AG7-'CFS 3Q2022'!AG7</f>
        <v>-88.122888438285827</v>
      </c>
      <c r="AH7" s="16">
        <f>'CFS (Before Changes) '!AH7-'CFS 3Q2022'!AH7</f>
        <v>-19.700708436962259</v>
      </c>
      <c r="AI7" s="16">
        <f>'CFS (Before Changes) '!AI7-'CFS 3Q2022'!AI7</f>
        <v>-19.296184924251293</v>
      </c>
      <c r="AJ7" s="16">
        <f>'CFS (Before Changes) '!AJ7-'CFS 3Q2022'!AJ7</f>
        <v>-18.613884871828702</v>
      </c>
      <c r="AK7" s="16">
        <f>'CFS (Before Changes) '!AK7-'CFS 3Q2022'!AK7</f>
        <v>-17.918326950049618</v>
      </c>
      <c r="AL7" s="17">
        <f>'CFS (Before Changes) '!AL7-'CFS 3Q2022'!AL7</f>
        <v>-75.529105183091815</v>
      </c>
      <c r="AM7" s="16">
        <f>'CFS (Before Changes) '!AM7-'CFS 3Q2022'!AM7</f>
        <v>-16.871441780312011</v>
      </c>
      <c r="AN7" s="16">
        <f>'CFS (Before Changes) '!AN7-'CFS 3Q2022'!AN7</f>
        <v>-16.462689803933472</v>
      </c>
      <c r="AO7" s="16">
        <f>'CFS (Before Changes) '!AO7-'CFS 3Q2022'!AO7</f>
        <v>-15.891076794079027</v>
      </c>
      <c r="AP7" s="16">
        <f>'CFS (Before Changes) '!AP7-'CFS 3Q2022'!AP7</f>
        <v>-15.44746066772268</v>
      </c>
      <c r="AQ7" s="17">
        <f>'CFS (Before Changes) '!AQ7-'CFS 3Q2022'!AQ7</f>
        <v>-64.672669046047304</v>
      </c>
      <c r="AR7" s="16">
        <f>'CFS (Before Changes) '!AR7-'CFS 3Q2022'!AR7</f>
        <v>-14.690942778788894</v>
      </c>
      <c r="AS7" s="16">
        <f>'CFS (Before Changes) '!AS7-'CFS 3Q2022'!AS7</f>
        <v>-14.369696646857392</v>
      </c>
      <c r="AT7" s="16">
        <f>'CFS (Before Changes) '!AT7-'CFS 3Q2022'!AT7</f>
        <v>-13.923280704141348</v>
      </c>
      <c r="AU7" s="16">
        <f>'CFS (Before Changes) '!AU7-'CFS 3Q2022'!AU7</f>
        <v>-13.634873063040345</v>
      </c>
      <c r="AV7" s="17">
        <f>'CFS (Before Changes) '!AV7-'CFS 3Q2022'!AV7</f>
        <v>-56.61879319282798</v>
      </c>
    </row>
    <row r="8" spans="2:48" outlineLevel="1" x14ac:dyDescent="0.3">
      <c r="B8" s="308" t="s">
        <v>222</v>
      </c>
      <c r="C8" s="44"/>
      <c r="D8" s="16">
        <f>'CFS (Before Changes) '!D8-'CFS 3Q2022'!D8</f>
        <v>0</v>
      </c>
      <c r="E8" s="16">
        <f>'CFS (Before Changes) '!E8-'CFS 3Q2022'!E8</f>
        <v>0</v>
      </c>
      <c r="F8" s="16">
        <f>'CFS (Before Changes) '!F8-'CFS 3Q2022'!F8</f>
        <v>0</v>
      </c>
      <c r="G8" s="101">
        <f>'CFS (Before Changes) '!G8-'CFS 3Q2022'!G8</f>
        <v>0</v>
      </c>
      <c r="H8" s="17">
        <f>'CFS (Before Changes) '!H8-'CFS 3Q2022'!H8</f>
        <v>0</v>
      </c>
      <c r="I8" s="16">
        <f>'CFS (Before Changes) '!I8-'CFS 3Q2022'!I8</f>
        <v>0</v>
      </c>
      <c r="J8" s="16">
        <f>'CFS (Before Changes) '!J8-'CFS 3Q2022'!J8</f>
        <v>0</v>
      </c>
      <c r="K8" s="16">
        <f>'CFS (Before Changes) '!K8-'CFS 3Q2022'!K8</f>
        <v>0</v>
      </c>
      <c r="L8" s="101">
        <f>'CFS (Before Changes) '!L8-'CFS 3Q2022'!L8</f>
        <v>0</v>
      </c>
      <c r="M8" s="17">
        <f>'CFS (Before Changes) '!M8-'CFS 3Q2022'!M8</f>
        <v>0</v>
      </c>
      <c r="N8" s="16">
        <f>'CFS (Before Changes) '!N8-'CFS 3Q2022'!N8</f>
        <v>0</v>
      </c>
      <c r="O8" s="16">
        <f>'CFS (Before Changes) '!O8-'CFS 3Q2022'!O8</f>
        <v>0</v>
      </c>
      <c r="P8" s="16">
        <f>'CFS (Before Changes) '!P8-'CFS 3Q2022'!P8</f>
        <v>0</v>
      </c>
      <c r="Q8" s="101">
        <f>'CFS (Before Changes) '!Q8-'CFS 3Q2022'!Q8</f>
        <v>0</v>
      </c>
      <c r="R8" s="17">
        <f>'CFS (Before Changes) '!R8-'CFS 3Q2022'!R8</f>
        <v>0</v>
      </c>
      <c r="S8" s="16">
        <f>'CFS (Before Changes) '!S8-'CFS 3Q2022'!S8</f>
        <v>0</v>
      </c>
      <c r="T8" s="16">
        <f>'CFS (Before Changes) '!T8-'CFS 3Q2022'!T8</f>
        <v>0</v>
      </c>
      <c r="U8" s="16">
        <f>'CFS (Before Changes) '!U8-'CFS 3Q2022'!U8</f>
        <v>0</v>
      </c>
      <c r="V8" s="16">
        <f>'CFS (Before Changes) '!V8-'CFS 3Q2022'!V8</f>
        <v>-43.73891144485178</v>
      </c>
      <c r="W8" s="17">
        <f>'CFS (Before Changes) '!W8-'CFS 3Q2022'!W8</f>
        <v>-43.73891144485178</v>
      </c>
      <c r="X8" s="16">
        <f>'CFS (Before Changes) '!X8-'CFS 3Q2022'!X8</f>
        <v>31.032942995562053</v>
      </c>
      <c r="Y8" s="16">
        <f>'CFS (Before Changes) '!Y8-'CFS 3Q2022'!Y8</f>
        <v>-4.6479990795021422</v>
      </c>
      <c r="Z8" s="16">
        <f>'CFS (Before Changes) '!Z8-'CFS 3Q2022'!Z8</f>
        <v>-3.0312938329329882</v>
      </c>
      <c r="AA8" s="16">
        <f>'CFS (Before Changes) '!AA8-'CFS 3Q2022'!AA8</f>
        <v>-3.6287151540502691</v>
      </c>
      <c r="AB8" s="17">
        <f>'CFS (Before Changes) '!AB8-'CFS 3Q2022'!AB8</f>
        <v>19.724934929076653</v>
      </c>
      <c r="AC8" s="16">
        <f>'CFS (Before Changes) '!AC8-'CFS 3Q2022'!AC8</f>
        <v>8.3817270719541739</v>
      </c>
      <c r="AD8" s="16">
        <f>'CFS (Before Changes) '!AD8-'CFS 3Q2022'!AD8</f>
        <v>-3.3884823268836044</v>
      </c>
      <c r="AE8" s="16">
        <f>'CFS (Before Changes) '!AE8-'CFS 3Q2022'!AE8</f>
        <v>-0.8032127733811194</v>
      </c>
      <c r="AF8" s="16">
        <f>'CFS (Before Changes) '!AF8-'CFS 3Q2022'!AF8</f>
        <v>-0.23860050955181578</v>
      </c>
      <c r="AG8" s="17">
        <f>'CFS (Before Changes) '!AG8-'CFS 3Q2022'!AG8</f>
        <v>3.9514314621376343</v>
      </c>
      <c r="AH8" s="16">
        <f>'CFS (Before Changes) '!AH8-'CFS 3Q2022'!AH8</f>
        <v>4.6441121799659868</v>
      </c>
      <c r="AI8" s="16">
        <f>'CFS (Before Changes) '!AI8-'CFS 3Q2022'!AI8</f>
        <v>-2.796464952389897</v>
      </c>
      <c r="AJ8" s="16">
        <f>'CFS (Before Changes) '!AJ8-'CFS 3Q2022'!AJ8</f>
        <v>-0.21592013983672587</v>
      </c>
      <c r="AK8" s="16">
        <f>'CFS (Before Changes) '!AK8-'CFS 3Q2022'!AK8</f>
        <v>-6.4292364469110908E-2</v>
      </c>
      <c r="AL8" s="17">
        <f>'CFS (Before Changes) '!AL8-'CFS 3Q2022'!AL8</f>
        <v>1.567434723270253</v>
      </c>
      <c r="AM8" s="16">
        <f>'CFS (Before Changes) '!AM8-'CFS 3Q2022'!AM8</f>
        <v>4.3310480555580853</v>
      </c>
      <c r="AN8" s="16">
        <f>'CFS (Before Changes) '!AN8-'CFS 3Q2022'!AN8</f>
        <v>-2.7685551797642347</v>
      </c>
      <c r="AO8" s="16">
        <f>'CFS (Before Changes) '!AO8-'CFS 3Q2022'!AO8</f>
        <v>-0.1312865214104022</v>
      </c>
      <c r="AP8" s="16">
        <f>'CFS (Before Changes) '!AP8-'CFS 3Q2022'!AP8</f>
        <v>-0.10553126966647142</v>
      </c>
      <c r="AQ8" s="17">
        <f>'CFS (Before Changes) '!AQ8-'CFS 3Q2022'!AQ8</f>
        <v>1.3256750847169769</v>
      </c>
      <c r="AR8" s="16">
        <f>'CFS (Before Changes) '!AR8-'CFS 3Q2022'!AR8</f>
        <v>4.5933856168876446</v>
      </c>
      <c r="AS8" s="16">
        <f>'CFS (Before Changes) '!AS8-'CFS 3Q2022'!AS8</f>
        <v>-2.9404540581008405</v>
      </c>
      <c r="AT8" s="16">
        <f>'CFS (Before Changes) '!AT8-'CFS 3Q2022'!AT8</f>
        <v>-0.13532339031849006</v>
      </c>
      <c r="AU8" s="16">
        <f>'CFS (Before Changes) '!AU8-'CFS 3Q2022'!AU8</f>
        <v>-0.13144430842589827</v>
      </c>
      <c r="AV8" s="17">
        <f>'CFS (Before Changes) '!AV8-'CFS 3Q2022'!AV8</f>
        <v>1.3861638600424158</v>
      </c>
    </row>
    <row r="9" spans="2:48" outlineLevel="1" x14ac:dyDescent="0.3">
      <c r="B9" s="308" t="s">
        <v>270</v>
      </c>
      <c r="C9" s="44"/>
      <c r="D9" s="16">
        <f>'CFS (Before Changes) '!D9-'CFS 3Q2022'!D9</f>
        <v>0</v>
      </c>
      <c r="E9" s="16">
        <f>'CFS (Before Changes) '!E9-'CFS 3Q2022'!E9</f>
        <v>0</v>
      </c>
      <c r="F9" s="16">
        <f>'CFS (Before Changes) '!F9-'CFS 3Q2022'!F9</f>
        <v>0</v>
      </c>
      <c r="G9" s="101">
        <f>'CFS (Before Changes) '!G9-'CFS 3Q2022'!G9</f>
        <v>0</v>
      </c>
      <c r="H9" s="17">
        <f>'CFS (Before Changes) '!H9-'CFS 3Q2022'!H9</f>
        <v>0</v>
      </c>
      <c r="I9" s="16">
        <f>'CFS (Before Changes) '!I9-'CFS 3Q2022'!I9</f>
        <v>0</v>
      </c>
      <c r="J9" s="16">
        <f>'CFS (Before Changes) '!J9-'CFS 3Q2022'!J9</f>
        <v>0</v>
      </c>
      <c r="K9" s="16">
        <f>'CFS (Before Changes) '!K9-'CFS 3Q2022'!K9</f>
        <v>0</v>
      </c>
      <c r="L9" s="101">
        <f>'CFS (Before Changes) '!L9-'CFS 3Q2022'!L9</f>
        <v>0</v>
      </c>
      <c r="M9" s="17">
        <f>'CFS (Before Changes) '!M9-'CFS 3Q2022'!M9</f>
        <v>0</v>
      </c>
      <c r="N9" s="16">
        <f>'CFS (Before Changes) '!N9-'CFS 3Q2022'!N9</f>
        <v>0</v>
      </c>
      <c r="O9" s="16">
        <f>'CFS (Before Changes) '!O9-'CFS 3Q2022'!O9</f>
        <v>0</v>
      </c>
      <c r="P9" s="16">
        <f>'CFS (Before Changes) '!P9-'CFS 3Q2022'!P9</f>
        <v>0</v>
      </c>
      <c r="Q9" s="101">
        <f>'CFS (Before Changes) '!Q9-'CFS 3Q2022'!Q9</f>
        <v>0</v>
      </c>
      <c r="R9" s="17">
        <f>'CFS (Before Changes) '!R9-'CFS 3Q2022'!R9</f>
        <v>0</v>
      </c>
      <c r="S9" s="16">
        <f>'CFS (Before Changes) '!S9-'CFS 3Q2022'!S9</f>
        <v>0</v>
      </c>
      <c r="T9" s="16">
        <f>'CFS (Before Changes) '!T9-'CFS 3Q2022'!T9</f>
        <v>0</v>
      </c>
      <c r="U9" s="16">
        <f>'CFS (Before Changes) '!U9-'CFS 3Q2022'!U9</f>
        <v>0</v>
      </c>
      <c r="V9" s="16">
        <f>'CFS (Before Changes) '!V9-'CFS 3Q2022'!V9</f>
        <v>-39.599999999999987</v>
      </c>
      <c r="W9" s="17">
        <f>'CFS (Before Changes) '!W9-'CFS 3Q2022'!W9</f>
        <v>-39.599999999999994</v>
      </c>
      <c r="X9" s="16">
        <f>'CFS (Before Changes) '!X9-'CFS 3Q2022'!X9</f>
        <v>-36.300000000000004</v>
      </c>
      <c r="Y9" s="16">
        <f>'CFS (Before Changes) '!Y9-'CFS 3Q2022'!Y9</f>
        <v>-36.299999999999997</v>
      </c>
      <c r="Z9" s="16">
        <f>'CFS (Before Changes) '!Z9-'CFS 3Q2022'!Z9</f>
        <v>-36.29999999999999</v>
      </c>
      <c r="AA9" s="16">
        <f>'CFS (Before Changes) '!AA9-'CFS 3Q2022'!AA9</f>
        <v>-36.299999999999997</v>
      </c>
      <c r="AB9" s="17">
        <f>'CFS (Before Changes) '!AB9-'CFS 3Q2022'!AB9</f>
        <v>-145.19999999999996</v>
      </c>
      <c r="AC9" s="16">
        <f>'CFS (Before Changes) '!AC9-'CFS 3Q2022'!AC9</f>
        <v>-36.299999999999997</v>
      </c>
      <c r="AD9" s="16">
        <f>'CFS (Before Changes) '!AD9-'CFS 3Q2022'!AD9</f>
        <v>-36.299999999999997</v>
      </c>
      <c r="AE9" s="16">
        <f>'CFS (Before Changes) '!AE9-'CFS 3Q2022'!AE9</f>
        <v>-36.299999999999997</v>
      </c>
      <c r="AF9" s="16">
        <f>'CFS (Before Changes) '!AF9-'CFS 3Q2022'!AF9</f>
        <v>-36.299999999999997</v>
      </c>
      <c r="AG9" s="17">
        <f>'CFS (Before Changes) '!AG9-'CFS 3Q2022'!AG9</f>
        <v>-145.19999999999999</v>
      </c>
      <c r="AH9" s="16">
        <f>'CFS (Before Changes) '!AH9-'CFS 3Q2022'!AH9</f>
        <v>-36.299999999999997</v>
      </c>
      <c r="AI9" s="16">
        <f>'CFS (Before Changes) '!AI9-'CFS 3Q2022'!AI9</f>
        <v>-36.299999999999997</v>
      </c>
      <c r="AJ9" s="16">
        <f>'CFS (Before Changes) '!AJ9-'CFS 3Q2022'!AJ9</f>
        <v>-36.299999999999997</v>
      </c>
      <c r="AK9" s="16">
        <f>'CFS (Before Changes) '!AK9-'CFS 3Q2022'!AK9</f>
        <v>-36.299999999999997</v>
      </c>
      <c r="AL9" s="17">
        <f>'CFS (Before Changes) '!AL9-'CFS 3Q2022'!AL9</f>
        <v>-145.19999999999999</v>
      </c>
      <c r="AM9" s="16">
        <f>'CFS (Before Changes) '!AM9-'CFS 3Q2022'!AM9</f>
        <v>-36.299999999999997</v>
      </c>
      <c r="AN9" s="16">
        <f>'CFS (Before Changes) '!AN9-'CFS 3Q2022'!AN9</f>
        <v>-36.299999999999997</v>
      </c>
      <c r="AO9" s="16">
        <f>'CFS (Before Changes) '!AO9-'CFS 3Q2022'!AO9</f>
        <v>-36.299999999999997</v>
      </c>
      <c r="AP9" s="16">
        <f>'CFS (Before Changes) '!AP9-'CFS 3Q2022'!AP9</f>
        <v>-36.299999999999997</v>
      </c>
      <c r="AQ9" s="17">
        <f>'CFS (Before Changes) '!AQ9-'CFS 3Q2022'!AQ9</f>
        <v>-145.19999999999999</v>
      </c>
      <c r="AR9" s="16">
        <f>'CFS (Before Changes) '!AR9-'CFS 3Q2022'!AR9</f>
        <v>-36.299999999999997</v>
      </c>
      <c r="AS9" s="16">
        <f>'CFS (Before Changes) '!AS9-'CFS 3Q2022'!AS9</f>
        <v>-36.299999999999997</v>
      </c>
      <c r="AT9" s="16">
        <f>'CFS (Before Changes) '!AT9-'CFS 3Q2022'!AT9</f>
        <v>-36.299999999999997</v>
      </c>
      <c r="AU9" s="16">
        <f>'CFS (Before Changes) '!AU9-'CFS 3Q2022'!AU9</f>
        <v>-36.299999999999997</v>
      </c>
      <c r="AV9" s="17">
        <f>'CFS (Before Changes) '!AV9-'CFS 3Q2022'!AV9</f>
        <v>-145.19999999999999</v>
      </c>
    </row>
    <row r="10" spans="2:48" outlineLevel="1" x14ac:dyDescent="0.3">
      <c r="B10" s="308" t="s">
        <v>271</v>
      </c>
      <c r="C10" s="44"/>
      <c r="D10" s="16">
        <f>'CFS (Before Changes) '!D10-'CFS 3Q2022'!D10</f>
        <v>0</v>
      </c>
      <c r="E10" s="16">
        <f>'CFS (Before Changes) '!E10-'CFS 3Q2022'!E10</f>
        <v>0</v>
      </c>
      <c r="F10" s="16">
        <f>'CFS (Before Changes) '!F10-'CFS 3Q2022'!F10</f>
        <v>0</v>
      </c>
      <c r="G10" s="101">
        <f>'CFS (Before Changes) '!G10-'CFS 3Q2022'!G10</f>
        <v>0</v>
      </c>
      <c r="H10" s="17">
        <f>'CFS (Before Changes) '!H10-'CFS 3Q2022'!H10</f>
        <v>0</v>
      </c>
      <c r="I10" s="16">
        <f>'CFS (Before Changes) '!I10-'CFS 3Q2022'!I10</f>
        <v>0</v>
      </c>
      <c r="J10" s="16">
        <f>'CFS (Before Changes) '!J10-'CFS 3Q2022'!J10</f>
        <v>0</v>
      </c>
      <c r="K10" s="16">
        <f>'CFS (Before Changes) '!K10-'CFS 3Q2022'!K10</f>
        <v>0</v>
      </c>
      <c r="L10" s="101">
        <f>'CFS (Before Changes) '!L10-'CFS 3Q2022'!L10</f>
        <v>0</v>
      </c>
      <c r="M10" s="17">
        <f>'CFS (Before Changes) '!M10-'CFS 3Q2022'!M10</f>
        <v>0</v>
      </c>
      <c r="N10" s="16">
        <f>'CFS (Before Changes) '!N10-'CFS 3Q2022'!N10</f>
        <v>0</v>
      </c>
      <c r="O10" s="16">
        <f>'CFS (Before Changes) '!O10-'CFS 3Q2022'!O10</f>
        <v>0</v>
      </c>
      <c r="P10" s="16">
        <f>'CFS (Before Changes) '!P10-'CFS 3Q2022'!P10</f>
        <v>0</v>
      </c>
      <c r="Q10" s="101">
        <f>'CFS (Before Changes) '!Q10-'CFS 3Q2022'!Q10</f>
        <v>0</v>
      </c>
      <c r="R10" s="17">
        <f>'CFS (Before Changes) '!R10-'CFS 3Q2022'!R10</f>
        <v>0</v>
      </c>
      <c r="S10" s="16">
        <f>'CFS (Before Changes) '!S10-'CFS 3Q2022'!S10</f>
        <v>0</v>
      </c>
      <c r="T10" s="16">
        <f>'CFS (Before Changes) '!T10-'CFS 3Q2022'!T10</f>
        <v>0</v>
      </c>
      <c r="U10" s="16">
        <f>'CFS (Before Changes) '!U10-'CFS 3Q2022'!U10</f>
        <v>0</v>
      </c>
      <c r="V10" s="16">
        <f>'CFS (Before Changes) '!V10-'CFS 3Q2022'!V10</f>
        <v>31.199999999999982</v>
      </c>
      <c r="W10" s="17">
        <f>'CFS (Before Changes) '!W10-'CFS 3Q2022'!W10</f>
        <v>31.199999999999989</v>
      </c>
      <c r="X10" s="16">
        <f>'CFS (Before Changes) '!X10-'CFS 3Q2022'!X10</f>
        <v>36.300000000000004</v>
      </c>
      <c r="Y10" s="16">
        <f>'CFS (Before Changes) '!Y10-'CFS 3Q2022'!Y10</f>
        <v>36.299999999999997</v>
      </c>
      <c r="Z10" s="16">
        <f>'CFS (Before Changes) '!Z10-'CFS 3Q2022'!Z10</f>
        <v>36.29999999999999</v>
      </c>
      <c r="AA10" s="16">
        <f>'CFS (Before Changes) '!AA10-'CFS 3Q2022'!AA10</f>
        <v>36.299999999999997</v>
      </c>
      <c r="AB10" s="17">
        <f>'CFS (Before Changes) '!AB10-'CFS 3Q2022'!AB10</f>
        <v>145.19999999999996</v>
      </c>
      <c r="AC10" s="16">
        <f>'CFS (Before Changes) '!AC10-'CFS 3Q2022'!AC10</f>
        <v>36.299999999999997</v>
      </c>
      <c r="AD10" s="16">
        <f>'CFS (Before Changes) '!AD10-'CFS 3Q2022'!AD10</f>
        <v>36.299999999999997</v>
      </c>
      <c r="AE10" s="16">
        <f>'CFS (Before Changes) '!AE10-'CFS 3Q2022'!AE10</f>
        <v>36.299999999999997</v>
      </c>
      <c r="AF10" s="16">
        <f>'CFS (Before Changes) '!AF10-'CFS 3Q2022'!AF10</f>
        <v>36.299999999999997</v>
      </c>
      <c r="AG10" s="17">
        <f>'CFS (Before Changes) '!AG10-'CFS 3Q2022'!AG10</f>
        <v>145.19999999999999</v>
      </c>
      <c r="AH10" s="16">
        <f>'CFS (Before Changes) '!AH10-'CFS 3Q2022'!AH10</f>
        <v>36.299999999999997</v>
      </c>
      <c r="AI10" s="16">
        <f>'CFS (Before Changes) '!AI10-'CFS 3Q2022'!AI10</f>
        <v>36.299999999999997</v>
      </c>
      <c r="AJ10" s="16">
        <f>'CFS (Before Changes) '!AJ10-'CFS 3Q2022'!AJ10</f>
        <v>36.299999999999997</v>
      </c>
      <c r="AK10" s="16">
        <f>'CFS (Before Changes) '!AK10-'CFS 3Q2022'!AK10</f>
        <v>36.299999999999997</v>
      </c>
      <c r="AL10" s="17">
        <f>'CFS (Before Changes) '!AL10-'CFS 3Q2022'!AL10</f>
        <v>145.19999999999999</v>
      </c>
      <c r="AM10" s="16">
        <f>'CFS (Before Changes) '!AM10-'CFS 3Q2022'!AM10</f>
        <v>36.299999999999997</v>
      </c>
      <c r="AN10" s="16">
        <f>'CFS (Before Changes) '!AN10-'CFS 3Q2022'!AN10</f>
        <v>36.299999999999997</v>
      </c>
      <c r="AO10" s="16">
        <f>'CFS (Before Changes) '!AO10-'CFS 3Q2022'!AO10</f>
        <v>36.299999999999997</v>
      </c>
      <c r="AP10" s="16">
        <f>'CFS (Before Changes) '!AP10-'CFS 3Q2022'!AP10</f>
        <v>36.299999999999997</v>
      </c>
      <c r="AQ10" s="17">
        <f>'CFS (Before Changes) '!AQ10-'CFS 3Q2022'!AQ10</f>
        <v>145.19999999999999</v>
      </c>
      <c r="AR10" s="16">
        <f>'CFS (Before Changes) '!AR10-'CFS 3Q2022'!AR10</f>
        <v>36.299999999999997</v>
      </c>
      <c r="AS10" s="16">
        <f>'CFS (Before Changes) '!AS10-'CFS 3Q2022'!AS10</f>
        <v>36.299999999999997</v>
      </c>
      <c r="AT10" s="16">
        <f>'CFS (Before Changes) '!AT10-'CFS 3Q2022'!AT10</f>
        <v>36.299999999999997</v>
      </c>
      <c r="AU10" s="16">
        <f>'CFS (Before Changes) '!AU10-'CFS 3Q2022'!AU10</f>
        <v>36.299999999999997</v>
      </c>
      <c r="AV10" s="17">
        <f>'CFS (Before Changes) '!AV10-'CFS 3Q2022'!AV10</f>
        <v>145.19999999999999</v>
      </c>
    </row>
    <row r="11" spans="2:48" outlineLevel="1" x14ac:dyDescent="0.3">
      <c r="B11" s="308" t="s">
        <v>272</v>
      </c>
      <c r="C11" s="44"/>
      <c r="D11" s="16">
        <f>'CFS (Before Changes) '!D11-'CFS 3Q2022'!D11</f>
        <v>0</v>
      </c>
      <c r="E11" s="16">
        <f>'CFS (Before Changes) '!E11-'CFS 3Q2022'!E11</f>
        <v>0</v>
      </c>
      <c r="F11" s="16">
        <f>'CFS (Before Changes) '!F11-'CFS 3Q2022'!F11</f>
        <v>0</v>
      </c>
      <c r="G11" s="101">
        <f>'CFS (Before Changes) '!G11-'CFS 3Q2022'!G11</f>
        <v>0</v>
      </c>
      <c r="H11" s="17">
        <f>'CFS (Before Changes) '!H11-'CFS 3Q2022'!H11</f>
        <v>0</v>
      </c>
      <c r="I11" s="16">
        <f>'CFS (Before Changes) '!I11-'CFS 3Q2022'!I11</f>
        <v>0</v>
      </c>
      <c r="J11" s="16">
        <f>'CFS (Before Changes) '!J11-'CFS 3Q2022'!J11</f>
        <v>0</v>
      </c>
      <c r="K11" s="16">
        <f>'CFS (Before Changes) '!K11-'CFS 3Q2022'!K11</f>
        <v>0</v>
      </c>
      <c r="L11" s="101">
        <f>'CFS (Before Changes) '!L11-'CFS 3Q2022'!L11</f>
        <v>0</v>
      </c>
      <c r="M11" s="17">
        <f>'CFS (Before Changes) '!M11-'CFS 3Q2022'!M11</f>
        <v>0</v>
      </c>
      <c r="N11" s="16">
        <f>'CFS (Before Changes) '!N11-'CFS 3Q2022'!N11</f>
        <v>0</v>
      </c>
      <c r="O11" s="16">
        <f>'CFS (Before Changes) '!O11-'CFS 3Q2022'!O11</f>
        <v>0</v>
      </c>
      <c r="P11" s="16">
        <f>'CFS (Before Changes) '!P11-'CFS 3Q2022'!P11</f>
        <v>0</v>
      </c>
      <c r="Q11" s="101">
        <f>'CFS (Before Changes) '!Q11-'CFS 3Q2022'!Q11</f>
        <v>0</v>
      </c>
      <c r="R11" s="17">
        <f>'CFS (Before Changes) '!R11-'CFS 3Q2022'!R11</f>
        <v>0</v>
      </c>
      <c r="S11" s="16">
        <f>'CFS (Before Changes) '!S11-'CFS 3Q2022'!S11</f>
        <v>0</v>
      </c>
      <c r="T11" s="16">
        <f>'CFS (Before Changes) '!T11-'CFS 3Q2022'!T11</f>
        <v>0</v>
      </c>
      <c r="U11" s="16">
        <f>'CFS (Before Changes) '!U11-'CFS 3Q2022'!U11</f>
        <v>0</v>
      </c>
      <c r="V11" s="16">
        <f>'CFS (Before Changes) '!V11-'CFS 3Q2022'!V11</f>
        <v>0</v>
      </c>
      <c r="W11" s="17">
        <f>'CFS (Before Changes) '!W11-'CFS 3Q2022'!W11</f>
        <v>0</v>
      </c>
      <c r="X11" s="16">
        <f>'CFS (Before Changes) '!X11-'CFS 3Q2022'!X11</f>
        <v>0</v>
      </c>
      <c r="Y11" s="16">
        <f>'CFS (Before Changes) '!Y11-'CFS 3Q2022'!Y11</f>
        <v>0</v>
      </c>
      <c r="Z11" s="16">
        <f>'CFS (Before Changes) '!Z11-'CFS 3Q2022'!Z11</f>
        <v>0</v>
      </c>
      <c r="AA11" s="16">
        <f>'CFS (Before Changes) '!AA11-'CFS 3Q2022'!AA11</f>
        <v>0</v>
      </c>
      <c r="AB11" s="17">
        <f>'CFS (Before Changes) '!AB11-'CFS 3Q2022'!AB11</f>
        <v>0</v>
      </c>
      <c r="AC11" s="16">
        <f>'CFS (Before Changes) '!AC11-'CFS 3Q2022'!AC11</f>
        <v>0</v>
      </c>
      <c r="AD11" s="16">
        <f>'CFS (Before Changes) '!AD11-'CFS 3Q2022'!AD11</f>
        <v>0</v>
      </c>
      <c r="AE11" s="16">
        <f>'CFS (Before Changes) '!AE11-'CFS 3Q2022'!AE11</f>
        <v>0</v>
      </c>
      <c r="AF11" s="16">
        <f>'CFS (Before Changes) '!AF11-'CFS 3Q2022'!AF11</f>
        <v>0</v>
      </c>
      <c r="AG11" s="17">
        <f>'CFS (Before Changes) '!AG11-'CFS 3Q2022'!AG11</f>
        <v>0</v>
      </c>
      <c r="AH11" s="16">
        <f>'CFS (Before Changes) '!AH11-'CFS 3Q2022'!AH11</f>
        <v>0</v>
      </c>
      <c r="AI11" s="16">
        <f>'CFS (Before Changes) '!AI11-'CFS 3Q2022'!AI11</f>
        <v>0</v>
      </c>
      <c r="AJ11" s="16">
        <f>'CFS (Before Changes) '!AJ11-'CFS 3Q2022'!AJ11</f>
        <v>0</v>
      </c>
      <c r="AK11" s="16">
        <f>'CFS (Before Changes) '!AK11-'CFS 3Q2022'!AK11</f>
        <v>0</v>
      </c>
      <c r="AL11" s="17">
        <f>'CFS (Before Changes) '!AL11-'CFS 3Q2022'!AL11</f>
        <v>0</v>
      </c>
      <c r="AM11" s="16">
        <f>'CFS (Before Changes) '!AM11-'CFS 3Q2022'!AM11</f>
        <v>0</v>
      </c>
      <c r="AN11" s="16">
        <f>'CFS (Before Changes) '!AN11-'CFS 3Q2022'!AN11</f>
        <v>0</v>
      </c>
      <c r="AO11" s="16">
        <f>'CFS (Before Changes) '!AO11-'CFS 3Q2022'!AO11</f>
        <v>0</v>
      </c>
      <c r="AP11" s="16">
        <f>'CFS (Before Changes) '!AP11-'CFS 3Q2022'!AP11</f>
        <v>0</v>
      </c>
      <c r="AQ11" s="17">
        <f>'CFS (Before Changes) '!AQ11-'CFS 3Q2022'!AQ11</f>
        <v>0</v>
      </c>
      <c r="AR11" s="16">
        <f>'CFS (Before Changes) '!AR11-'CFS 3Q2022'!AR11</f>
        <v>0</v>
      </c>
      <c r="AS11" s="16">
        <f>'CFS (Before Changes) '!AS11-'CFS 3Q2022'!AS11</f>
        <v>0</v>
      </c>
      <c r="AT11" s="16">
        <f>'CFS (Before Changes) '!AT11-'CFS 3Q2022'!AT11</f>
        <v>0</v>
      </c>
      <c r="AU11" s="16">
        <f>'CFS (Before Changes) '!AU11-'CFS 3Q2022'!AU11</f>
        <v>0</v>
      </c>
      <c r="AV11" s="17">
        <f>'CFS (Before Changes) '!AV11-'CFS 3Q2022'!AV11</f>
        <v>0</v>
      </c>
    </row>
    <row r="12" spans="2:48" outlineLevel="1" x14ac:dyDescent="0.3">
      <c r="B12" s="308" t="s">
        <v>273</v>
      </c>
      <c r="C12" s="44"/>
      <c r="D12" s="16">
        <f>'CFS (Before Changes) '!D12-'CFS 3Q2022'!D12</f>
        <v>0</v>
      </c>
      <c r="E12" s="16">
        <f>'CFS (Before Changes) '!E12-'CFS 3Q2022'!E12</f>
        <v>0</v>
      </c>
      <c r="F12" s="16">
        <f>'CFS (Before Changes) '!F12-'CFS 3Q2022'!F12</f>
        <v>0</v>
      </c>
      <c r="G12" s="101">
        <f>'CFS (Before Changes) '!G12-'CFS 3Q2022'!G12</f>
        <v>0</v>
      </c>
      <c r="H12" s="17">
        <f>'CFS (Before Changes) '!H12-'CFS 3Q2022'!H12</f>
        <v>0</v>
      </c>
      <c r="I12" s="16">
        <f>'CFS (Before Changes) '!I12-'CFS 3Q2022'!I12</f>
        <v>0</v>
      </c>
      <c r="J12" s="16">
        <f>'CFS (Before Changes) '!J12-'CFS 3Q2022'!J12</f>
        <v>0</v>
      </c>
      <c r="K12" s="16">
        <f>'CFS (Before Changes) '!K12-'CFS 3Q2022'!K12</f>
        <v>0</v>
      </c>
      <c r="L12" s="101">
        <f>'CFS (Before Changes) '!L12-'CFS 3Q2022'!L12</f>
        <v>0</v>
      </c>
      <c r="M12" s="17">
        <f>'CFS (Before Changes) '!M12-'CFS 3Q2022'!M12</f>
        <v>0</v>
      </c>
      <c r="N12" s="16">
        <f>'CFS (Before Changes) '!N12-'CFS 3Q2022'!N12</f>
        <v>0</v>
      </c>
      <c r="O12" s="16">
        <f>'CFS (Before Changes) '!O12-'CFS 3Q2022'!O12</f>
        <v>0</v>
      </c>
      <c r="P12" s="16">
        <f>'CFS (Before Changes) '!P12-'CFS 3Q2022'!P12</f>
        <v>0</v>
      </c>
      <c r="Q12" s="101">
        <f>'CFS (Before Changes) '!Q12-'CFS 3Q2022'!Q12</f>
        <v>0</v>
      </c>
      <c r="R12" s="17">
        <f>'CFS (Before Changes) '!R12-'CFS 3Q2022'!R12</f>
        <v>0</v>
      </c>
      <c r="S12" s="16">
        <f>'CFS (Before Changes) '!S12-'CFS 3Q2022'!S12</f>
        <v>0</v>
      </c>
      <c r="T12" s="16">
        <f>'CFS (Before Changes) '!T12-'CFS 3Q2022'!T12</f>
        <v>0</v>
      </c>
      <c r="U12" s="16">
        <f>'CFS (Before Changes) '!U12-'CFS 3Q2022'!U12</f>
        <v>0</v>
      </c>
      <c r="V12" s="16">
        <f>'CFS (Before Changes) '!V12-'CFS 3Q2022'!V12</f>
        <v>-5.0646647876528732</v>
      </c>
      <c r="W12" s="17">
        <f>'CFS (Before Changes) '!W12-'CFS 3Q2022'!W12</f>
        <v>-5.0646647876528732</v>
      </c>
      <c r="X12" s="16">
        <f>'CFS (Before Changes) '!X12-'CFS 3Q2022'!X12</f>
        <v>-1.0931627069724357</v>
      </c>
      <c r="Y12" s="16">
        <f>'CFS (Before Changes) '!Y12-'CFS 3Q2022'!Y12</f>
        <v>-1.4959286748236664</v>
      </c>
      <c r="Z12" s="16">
        <f>'CFS (Before Changes) '!Z12-'CFS 3Q2022'!Z12</f>
        <v>-2.1575428326815</v>
      </c>
      <c r="AA12" s="16">
        <f>'CFS (Before Changes) '!AA12-'CFS 3Q2022'!AA12</f>
        <v>-2.1520355763616834</v>
      </c>
      <c r="AB12" s="17">
        <f>'CFS (Before Changes) '!AB12-'CFS 3Q2022'!AB12</f>
        <v>-6.8986697908392784</v>
      </c>
      <c r="AC12" s="16">
        <f>'CFS (Before Changes) '!AC12-'CFS 3Q2022'!AC12</f>
        <v>-2.0652550663515257</v>
      </c>
      <c r="AD12" s="16">
        <f>'CFS (Before Changes) '!AD12-'CFS 3Q2022'!AD12</f>
        <v>-2.1552900300032576</v>
      </c>
      <c r="AE12" s="16">
        <f>'CFS (Before Changes) '!AE12-'CFS 3Q2022'!AE12</f>
        <v>-2.5029374370141539</v>
      </c>
      <c r="AF12" s="16">
        <f>'CFS (Before Changes) '!AF12-'CFS 3Q2022'!AF12</f>
        <v>-1.883881551954147</v>
      </c>
      <c r="AG12" s="17">
        <f>'CFS (Before Changes) '!AG12-'CFS 3Q2022'!AG12</f>
        <v>-8.60736408532307</v>
      </c>
      <c r="AH12" s="16">
        <f>'CFS (Before Changes) '!AH12-'CFS 3Q2022'!AH12</f>
        <v>-2.5792848496665073</v>
      </c>
      <c r="AI12" s="16">
        <f>'CFS (Before Changes) '!AI12-'CFS 3Q2022'!AI12</f>
        <v>-2.5057594189187995</v>
      </c>
      <c r="AJ12" s="16">
        <f>'CFS (Before Changes) '!AJ12-'CFS 3Q2022'!AJ12</f>
        <v>-2.7762666872583708</v>
      </c>
      <c r="AK12" s="16">
        <f>'CFS (Before Changes) '!AK12-'CFS 3Q2022'!AK12</f>
        <v>-2.0943327837454717</v>
      </c>
      <c r="AL12" s="17">
        <f>'CFS (Before Changes) '!AL12-'CFS 3Q2022'!AL12</f>
        <v>-9.9556437395891066</v>
      </c>
      <c r="AM12" s="16">
        <f>'CFS (Before Changes) '!AM12-'CFS 3Q2022'!AM12</f>
        <v>-2.9245739936137909</v>
      </c>
      <c r="AN12" s="16">
        <f>'CFS (Before Changes) '!AN12-'CFS 3Q2022'!AN12</f>
        <v>-2.7708940234341526</v>
      </c>
      <c r="AO12" s="16">
        <f>'CFS (Before Changes) '!AO12-'CFS 3Q2022'!AO12</f>
        <v>-3.033660639775718</v>
      </c>
      <c r="AP12" s="16">
        <f>'CFS (Before Changes) '!AP12-'CFS 3Q2022'!AP12</f>
        <v>-2.3261458466818397</v>
      </c>
      <c r="AQ12" s="17">
        <f>'CFS (Before Changes) '!AQ12-'CFS 3Q2022'!AQ12</f>
        <v>-11.055274503505416</v>
      </c>
      <c r="AR12" s="16">
        <f>'CFS (Before Changes) '!AR12-'CFS 3Q2022'!AR12</f>
        <v>-3.1460623537230106</v>
      </c>
      <c r="AS12" s="16">
        <f>'CFS (Before Changes) '!AS12-'CFS 3Q2022'!AS12</f>
        <v>-2.9653054397989962</v>
      </c>
      <c r="AT12" s="16">
        <f>'CFS (Before Changes) '!AT12-'CFS 3Q2022'!AT12</f>
        <v>-3.2432758351468465</v>
      </c>
      <c r="AU12" s="16">
        <f>'CFS (Before Changes) '!AU12-'CFS 3Q2022'!AU12</f>
        <v>-2.5322548368168754</v>
      </c>
      <c r="AV12" s="17">
        <f>'CFS (Before Changes) '!AV12-'CFS 3Q2022'!AV12</f>
        <v>-11.886898465485729</v>
      </c>
    </row>
    <row r="13" spans="2:48" outlineLevel="1" x14ac:dyDescent="0.3">
      <c r="B13" s="319" t="s">
        <v>274</v>
      </c>
      <c r="C13" s="320"/>
      <c r="D13" s="16">
        <f>'CFS (Before Changes) '!D13-'CFS 3Q2022'!D13</f>
        <v>0</v>
      </c>
      <c r="E13" s="101">
        <f>'CFS (Before Changes) '!E13-'CFS 3Q2022'!E13</f>
        <v>0</v>
      </c>
      <c r="F13" s="101">
        <f>'CFS (Before Changes) '!F13-'CFS 3Q2022'!F13</f>
        <v>0</v>
      </c>
      <c r="G13" s="101">
        <f>'CFS (Before Changes) '!G13-'CFS 3Q2022'!G13</f>
        <v>0</v>
      </c>
      <c r="H13" s="17">
        <f>'CFS (Before Changes) '!H13-'CFS 3Q2022'!H13</f>
        <v>0</v>
      </c>
      <c r="I13" s="101">
        <f>'CFS (Before Changes) '!I13-'CFS 3Q2022'!I13</f>
        <v>0</v>
      </c>
      <c r="J13" s="101">
        <f>'CFS (Before Changes) '!J13-'CFS 3Q2022'!J13</f>
        <v>0</v>
      </c>
      <c r="K13" s="101">
        <f>'CFS (Before Changes) '!K13-'CFS 3Q2022'!K13</f>
        <v>0</v>
      </c>
      <c r="L13" s="101">
        <f>'CFS (Before Changes) '!L13-'CFS 3Q2022'!L13</f>
        <v>0</v>
      </c>
      <c r="M13" s="17">
        <f>'CFS (Before Changes) '!M13-'CFS 3Q2022'!M13</f>
        <v>0</v>
      </c>
      <c r="N13" s="101">
        <f>'CFS (Before Changes) '!N13-'CFS 3Q2022'!N13</f>
        <v>0</v>
      </c>
      <c r="O13" s="101">
        <f>'CFS (Before Changes) '!O13-'CFS 3Q2022'!O13</f>
        <v>0</v>
      </c>
      <c r="P13" s="101">
        <f>'CFS (Before Changes) '!P13-'CFS 3Q2022'!P13</f>
        <v>0</v>
      </c>
      <c r="Q13" s="101">
        <f>'CFS (Before Changes) '!Q13-'CFS 3Q2022'!Q13</f>
        <v>0</v>
      </c>
      <c r="R13" s="17">
        <f>'CFS (Before Changes) '!R13-'CFS 3Q2022'!R13</f>
        <v>0</v>
      </c>
      <c r="S13" s="101">
        <f>'CFS (Before Changes) '!S13-'CFS 3Q2022'!S13</f>
        <v>0</v>
      </c>
      <c r="T13" s="101">
        <f>'CFS (Before Changes) '!T13-'CFS 3Q2022'!T13</f>
        <v>0</v>
      </c>
      <c r="U13" s="101">
        <f>'CFS (Before Changes) '!U13-'CFS 3Q2022'!U13</f>
        <v>0</v>
      </c>
      <c r="V13" s="33">
        <f>'CFS (Before Changes) '!V13-'CFS 3Q2022'!V13</f>
        <v>386.00000000000023</v>
      </c>
      <c r="W13" s="17">
        <f>'CFS (Before Changes) '!W13-'CFS 3Q2022'!W13</f>
        <v>386.00000000000023</v>
      </c>
      <c r="X13" s="33">
        <f>'CFS (Before Changes) '!X13-'CFS 3Q2022'!X13</f>
        <v>0</v>
      </c>
      <c r="Y13" s="33">
        <f>'CFS (Before Changes) '!Y13-'CFS 3Q2022'!Y13</f>
        <v>0</v>
      </c>
      <c r="Z13" s="33">
        <f>'CFS (Before Changes) '!Z13-'CFS 3Q2022'!Z13</f>
        <v>0</v>
      </c>
      <c r="AA13" s="33">
        <f>'CFS (Before Changes) '!AA13-'CFS 3Q2022'!AA13</f>
        <v>0</v>
      </c>
      <c r="AB13" s="17">
        <f>'CFS (Before Changes) '!AB13-'CFS 3Q2022'!AB13</f>
        <v>0</v>
      </c>
      <c r="AC13" s="33">
        <f>'CFS (Before Changes) '!AC13-'CFS 3Q2022'!AC13</f>
        <v>0</v>
      </c>
      <c r="AD13" s="33">
        <f>'CFS (Before Changes) '!AD13-'CFS 3Q2022'!AD13</f>
        <v>0</v>
      </c>
      <c r="AE13" s="33">
        <f>'CFS (Before Changes) '!AE13-'CFS 3Q2022'!AE13</f>
        <v>0</v>
      </c>
      <c r="AF13" s="33">
        <f>'CFS (Before Changes) '!AF13-'CFS 3Q2022'!AF13</f>
        <v>0</v>
      </c>
      <c r="AG13" s="17">
        <f>'CFS (Before Changes) '!AG13-'CFS 3Q2022'!AG13</f>
        <v>0</v>
      </c>
      <c r="AH13" s="33">
        <f>'CFS (Before Changes) '!AH13-'CFS 3Q2022'!AH13</f>
        <v>0</v>
      </c>
      <c r="AI13" s="33">
        <f>'CFS (Before Changes) '!AI13-'CFS 3Q2022'!AI13</f>
        <v>0</v>
      </c>
      <c r="AJ13" s="33">
        <f>'CFS (Before Changes) '!AJ13-'CFS 3Q2022'!AJ13</f>
        <v>0</v>
      </c>
      <c r="AK13" s="33">
        <f>'CFS (Before Changes) '!AK13-'CFS 3Q2022'!AK13</f>
        <v>0</v>
      </c>
      <c r="AL13" s="17">
        <f>'CFS (Before Changes) '!AL13-'CFS 3Q2022'!AL13</f>
        <v>0</v>
      </c>
      <c r="AM13" s="33">
        <f>'CFS (Before Changes) '!AM13-'CFS 3Q2022'!AM13</f>
        <v>0</v>
      </c>
      <c r="AN13" s="33">
        <f>'CFS (Before Changes) '!AN13-'CFS 3Q2022'!AN13</f>
        <v>0</v>
      </c>
      <c r="AO13" s="33">
        <f>'CFS (Before Changes) '!AO13-'CFS 3Q2022'!AO13</f>
        <v>0</v>
      </c>
      <c r="AP13" s="33">
        <f>'CFS (Before Changes) '!AP13-'CFS 3Q2022'!AP13</f>
        <v>0</v>
      </c>
      <c r="AQ13" s="17">
        <f>'CFS (Before Changes) '!AQ13-'CFS 3Q2022'!AQ13</f>
        <v>0</v>
      </c>
      <c r="AR13" s="33">
        <f>'CFS (Before Changes) '!AR13-'CFS 3Q2022'!AR13</f>
        <v>0</v>
      </c>
      <c r="AS13" s="33">
        <f>'CFS (Before Changes) '!AS13-'CFS 3Q2022'!AS13</f>
        <v>0</v>
      </c>
      <c r="AT13" s="33">
        <f>'CFS (Before Changes) '!AT13-'CFS 3Q2022'!AT13</f>
        <v>0</v>
      </c>
      <c r="AU13" s="33">
        <f>'CFS (Before Changes) '!AU13-'CFS 3Q2022'!AU13</f>
        <v>0</v>
      </c>
      <c r="AV13" s="17">
        <f>'CFS (Before Changes) '!AV13-'CFS 3Q2022'!AV13</f>
        <v>0</v>
      </c>
    </row>
    <row r="14" spans="2:48" outlineLevel="1" x14ac:dyDescent="0.3">
      <c r="B14" s="542" t="s">
        <v>275</v>
      </c>
      <c r="C14" s="543"/>
      <c r="D14" s="321">
        <f>'CFS (Before Changes) '!D14-'CFS 3Q2022'!D14</f>
        <v>0</v>
      </c>
      <c r="E14" s="322">
        <f>'CFS (Before Changes) '!E14-'CFS 3Q2022'!E14</f>
        <v>0</v>
      </c>
      <c r="F14" s="323">
        <f>'CFS (Before Changes) '!F14-'CFS 3Q2022'!F14</f>
        <v>0</v>
      </c>
      <c r="G14" s="323">
        <f>'CFS (Before Changes) '!G14-'CFS 3Q2022'!G14</f>
        <v>0</v>
      </c>
      <c r="H14" s="324">
        <f>'CFS (Before Changes) '!H14-'CFS 3Q2022'!H14</f>
        <v>0</v>
      </c>
      <c r="I14" s="323">
        <f>'CFS (Before Changes) '!I14-'CFS 3Q2022'!I14</f>
        <v>0</v>
      </c>
      <c r="J14" s="323">
        <f>'CFS (Before Changes) '!J14-'CFS 3Q2022'!J14</f>
        <v>0</v>
      </c>
      <c r="K14" s="323">
        <f>'CFS (Before Changes) '!K14-'CFS 3Q2022'!K14</f>
        <v>0</v>
      </c>
      <c r="L14" s="323">
        <f>'CFS (Before Changes) '!L14-'CFS 3Q2022'!L14</f>
        <v>0</v>
      </c>
      <c r="M14" s="324">
        <f>'CFS (Before Changes) '!M14-'CFS 3Q2022'!M14</f>
        <v>0</v>
      </c>
      <c r="N14" s="323">
        <f>'CFS (Before Changes) '!N14-'CFS 3Q2022'!N14</f>
        <v>0</v>
      </c>
      <c r="O14" s="323">
        <f>'CFS (Before Changes) '!O14-'CFS 3Q2022'!O14</f>
        <v>0</v>
      </c>
      <c r="P14" s="323">
        <f>'CFS (Before Changes) '!P14-'CFS 3Q2022'!P14</f>
        <v>0</v>
      </c>
      <c r="Q14" s="323">
        <f>'CFS (Before Changes) '!Q14-'CFS 3Q2022'!Q14</f>
        <v>0</v>
      </c>
      <c r="R14" s="324">
        <f>'CFS (Before Changes) '!R14-'CFS 3Q2022'!R14</f>
        <v>0</v>
      </c>
      <c r="S14" s="323">
        <f>'CFS (Before Changes) '!S14-'CFS 3Q2022'!S14</f>
        <v>0</v>
      </c>
      <c r="T14" s="323">
        <f>'CFS (Before Changes) '!T14-'CFS 3Q2022'!T14</f>
        <v>0</v>
      </c>
      <c r="U14" s="323">
        <f>'CFS (Before Changes) '!U14-'CFS 3Q2022'!U14</f>
        <v>0</v>
      </c>
      <c r="V14" s="323">
        <f>'CFS (Before Changes) '!V14-'CFS 3Q2022'!V14</f>
        <v>0</v>
      </c>
      <c r="W14" s="324">
        <f>'CFS (Before Changes) '!W14-'CFS 3Q2022'!W14</f>
        <v>0</v>
      </c>
      <c r="X14" s="323">
        <f>'CFS (Before Changes) '!X14-'CFS 3Q2022'!X14</f>
        <v>0</v>
      </c>
      <c r="Y14" s="323">
        <f>'CFS (Before Changes) '!Y14-'CFS 3Q2022'!Y14</f>
        <v>0</v>
      </c>
      <c r="Z14" s="323">
        <f>'CFS (Before Changes) '!Z14-'CFS 3Q2022'!Z14</f>
        <v>0</v>
      </c>
      <c r="AA14" s="323">
        <f>'CFS (Before Changes) '!AA14-'CFS 3Q2022'!AA14</f>
        <v>0</v>
      </c>
      <c r="AB14" s="324">
        <f>'CFS (Before Changes) '!AB14-'CFS 3Q2022'!AB14</f>
        <v>0</v>
      </c>
      <c r="AC14" s="323">
        <f>'CFS (Before Changes) '!AC14-'CFS 3Q2022'!AC14</f>
        <v>0</v>
      </c>
      <c r="AD14" s="323">
        <f>'CFS (Before Changes) '!AD14-'CFS 3Q2022'!AD14</f>
        <v>0</v>
      </c>
      <c r="AE14" s="323">
        <f>'CFS (Before Changes) '!AE14-'CFS 3Q2022'!AE14</f>
        <v>0</v>
      </c>
      <c r="AF14" s="323">
        <f>'CFS (Before Changes) '!AF14-'CFS 3Q2022'!AF14</f>
        <v>0</v>
      </c>
      <c r="AG14" s="324">
        <f>'CFS (Before Changes) '!AG14-'CFS 3Q2022'!AG14</f>
        <v>0</v>
      </c>
      <c r="AH14" s="323">
        <f>'CFS (Before Changes) '!AH14-'CFS 3Q2022'!AH14</f>
        <v>0</v>
      </c>
      <c r="AI14" s="323">
        <f>'CFS (Before Changes) '!AI14-'CFS 3Q2022'!AI14</f>
        <v>0</v>
      </c>
      <c r="AJ14" s="323">
        <f>'CFS (Before Changes) '!AJ14-'CFS 3Q2022'!AJ14</f>
        <v>0</v>
      </c>
      <c r="AK14" s="323">
        <f>'CFS (Before Changes) '!AK14-'CFS 3Q2022'!AK14</f>
        <v>0</v>
      </c>
      <c r="AL14" s="324">
        <f>'CFS (Before Changes) '!AL14-'CFS 3Q2022'!AL14</f>
        <v>0</v>
      </c>
      <c r="AM14" s="323">
        <f>'CFS (Before Changes) '!AM14-'CFS 3Q2022'!AM14</f>
        <v>0</v>
      </c>
      <c r="AN14" s="323">
        <f>'CFS (Before Changes) '!AN14-'CFS 3Q2022'!AN14</f>
        <v>0</v>
      </c>
      <c r="AO14" s="323">
        <f>'CFS (Before Changes) '!AO14-'CFS 3Q2022'!AO14</f>
        <v>0</v>
      </c>
      <c r="AP14" s="323">
        <f>'CFS (Before Changes) '!AP14-'CFS 3Q2022'!AP14</f>
        <v>0</v>
      </c>
      <c r="AQ14" s="324">
        <f>'CFS (Before Changes) '!AQ14-'CFS 3Q2022'!AQ14</f>
        <v>0</v>
      </c>
      <c r="AR14" s="323">
        <f>'CFS (Before Changes) '!AR14-'CFS 3Q2022'!AR14</f>
        <v>0</v>
      </c>
      <c r="AS14" s="323">
        <f>'CFS (Before Changes) '!AS14-'CFS 3Q2022'!AS14</f>
        <v>0</v>
      </c>
      <c r="AT14" s="323">
        <f>'CFS (Before Changes) '!AT14-'CFS 3Q2022'!AT14</f>
        <v>0</v>
      </c>
      <c r="AU14" s="323">
        <f>'CFS (Before Changes) '!AU14-'CFS 3Q2022'!AU14</f>
        <v>0</v>
      </c>
      <c r="AV14" s="324">
        <f>'CFS (Before Changes) '!AV14-'CFS 3Q2022'!AV14</f>
        <v>0</v>
      </c>
    </row>
    <row r="15" spans="2:48" outlineLevel="1" x14ac:dyDescent="0.3">
      <c r="B15" s="538" t="s">
        <v>276</v>
      </c>
      <c r="C15" s="539"/>
      <c r="D15" s="327">
        <f>'CFS (Before Changes) '!D15-'CFS 3Q2022'!D15</f>
        <v>0</v>
      </c>
      <c r="E15" s="327">
        <f>'CFS (Before Changes) '!E15-'CFS 3Q2022'!E15</f>
        <v>0</v>
      </c>
      <c r="F15" s="327">
        <f>'CFS (Before Changes) '!F15-'CFS 3Q2022'!F15</f>
        <v>0</v>
      </c>
      <c r="G15" s="327">
        <f>'CFS (Before Changes) '!G15-'CFS 3Q2022'!G15</f>
        <v>0</v>
      </c>
      <c r="H15" s="328">
        <f>'CFS (Before Changes) '!H15-'CFS 3Q2022'!H15</f>
        <v>0</v>
      </c>
      <c r="I15" s="327">
        <f>'CFS (Before Changes) '!I15-'CFS 3Q2022'!I15</f>
        <v>0</v>
      </c>
      <c r="J15" s="327">
        <f>'CFS (Before Changes) '!J15-'CFS 3Q2022'!J15</f>
        <v>0</v>
      </c>
      <c r="K15" s="327">
        <f>'CFS (Before Changes) '!K15-'CFS 3Q2022'!K15</f>
        <v>0</v>
      </c>
      <c r="L15" s="327">
        <f>'CFS (Before Changes) '!L15-'CFS 3Q2022'!L15</f>
        <v>0</v>
      </c>
      <c r="M15" s="328">
        <f>'CFS (Before Changes) '!M15-'CFS 3Q2022'!M15</f>
        <v>0</v>
      </c>
      <c r="N15" s="327">
        <f>'CFS (Before Changes) '!N15-'CFS 3Q2022'!N15</f>
        <v>0</v>
      </c>
      <c r="O15" s="327">
        <f>'CFS (Before Changes) '!O15-'CFS 3Q2022'!O15</f>
        <v>0</v>
      </c>
      <c r="P15" s="327">
        <f>'CFS (Before Changes) '!P15-'CFS 3Q2022'!P15</f>
        <v>0</v>
      </c>
      <c r="Q15" s="327">
        <f>'CFS (Before Changes) '!Q15-'CFS 3Q2022'!Q15</f>
        <v>0</v>
      </c>
      <c r="R15" s="328">
        <f>'CFS (Before Changes) '!R15-'CFS 3Q2022'!R15</f>
        <v>0</v>
      </c>
      <c r="S15" s="327">
        <f>'CFS (Before Changes) '!S15-'CFS 3Q2022'!S15</f>
        <v>0</v>
      </c>
      <c r="T15" s="327">
        <f>'CFS (Before Changes) '!T15-'CFS 3Q2022'!T15</f>
        <v>0</v>
      </c>
      <c r="U15" s="327">
        <f>'CFS (Before Changes) '!U15-'CFS 3Q2022'!U15</f>
        <v>0</v>
      </c>
      <c r="V15" s="327">
        <f>'CFS (Before Changes) '!V15-'CFS 3Q2022'!V15</f>
        <v>-162.54799272467505</v>
      </c>
      <c r="W15" s="328">
        <f>'CFS (Before Changes) '!W15-'CFS 3Q2022'!W15</f>
        <v>-162.54799272467505</v>
      </c>
      <c r="X15" s="327">
        <f>'CFS (Before Changes) '!X15-'CFS 3Q2022'!X15</f>
        <v>103.88172845317877</v>
      </c>
      <c r="Y15" s="327">
        <f>'CFS (Before Changes) '!Y15-'CFS 3Q2022'!Y15</f>
        <v>-0.19978827751151584</v>
      </c>
      <c r="Z15" s="327">
        <f>'CFS (Before Changes) '!Z15-'CFS 3Q2022'!Z15</f>
        <v>-1.2439369691696811</v>
      </c>
      <c r="AA15" s="327">
        <f>'CFS (Before Changes) '!AA15-'CFS 3Q2022'!AA15</f>
        <v>-44.204543055948307</v>
      </c>
      <c r="AB15" s="328">
        <f>'CFS (Before Changes) '!AB15-'CFS 3Q2022'!AB15</f>
        <v>58.233460150549263</v>
      </c>
      <c r="AC15" s="327">
        <f>'CFS (Before Changes) '!AC15-'CFS 3Q2022'!AC15</f>
        <v>45.013416925990896</v>
      </c>
      <c r="AD15" s="327">
        <f>'CFS (Before Changes) '!AD15-'CFS 3Q2022'!AD15</f>
        <v>0.34581851566053956</v>
      </c>
      <c r="AE15" s="327">
        <f>'CFS (Before Changes) '!AE15-'CFS 3Q2022'!AE15</f>
        <v>-0.78627449873783917</v>
      </c>
      <c r="AF15" s="327">
        <f>'CFS (Before Changes) '!AF15-'CFS 3Q2022'!AF15</f>
        <v>-57.21932507220049</v>
      </c>
      <c r="AG15" s="328">
        <f>'CFS (Before Changes) '!AG15-'CFS 3Q2022'!AG15</f>
        <v>-12.646364129286894</v>
      </c>
      <c r="AH15" s="327">
        <f>'CFS (Before Changes) '!AH15-'CFS 3Q2022'!AH15</f>
        <v>57.178801229286364</v>
      </c>
      <c r="AI15" s="327">
        <f>'CFS (Before Changes) '!AI15-'CFS 3Q2022'!AI15</f>
        <v>0.28065441880312392</v>
      </c>
      <c r="AJ15" s="327">
        <f>'CFS (Before Changes) '!AJ15-'CFS 3Q2022'!AJ15</f>
        <v>-1.1719890002889315</v>
      </c>
      <c r="AK15" s="327">
        <f>'CFS (Before Changes) '!AK15-'CFS 3Q2022'!AK15</f>
        <v>-85.013366899174798</v>
      </c>
      <c r="AL15" s="328">
        <f>'CFS (Before Changes) '!AL15-'CFS 3Q2022'!AL15</f>
        <v>-28.725900251374242</v>
      </c>
      <c r="AM15" s="327">
        <f>'CFS (Before Changes) '!AM15-'CFS 3Q2022'!AM15</f>
        <v>85.455217912679018</v>
      </c>
      <c r="AN15" s="327">
        <f>'CFS (Before Changes) '!AN15-'CFS 3Q2022'!AN15</f>
        <v>0.23731090328260507</v>
      </c>
      <c r="AO15" s="327">
        <f>'CFS (Before Changes) '!AO15-'CFS 3Q2022'!AO15</f>
        <v>-1.1784087761848241</v>
      </c>
      <c r="AP15" s="327">
        <f>'CFS (Before Changes) '!AP15-'CFS 3Q2022'!AP15</f>
        <v>-72.061970636047363</v>
      </c>
      <c r="AQ15" s="328">
        <f>'CFS (Before Changes) '!AQ15-'CFS 3Q2022'!AQ15</f>
        <v>12.452149403729436</v>
      </c>
      <c r="AR15" s="327">
        <f>'CFS (Before Changes) '!AR15-'CFS 3Q2022'!AR15</f>
        <v>72.730675744036489</v>
      </c>
      <c r="AS15" s="327">
        <f>'CFS (Before Changes) '!AS15-'CFS 3Q2022'!AS15</f>
        <v>0.31474216774336128</v>
      </c>
      <c r="AT15" s="327">
        <f>'CFS (Before Changes) '!AT15-'CFS 3Q2022'!AT15</f>
        <v>-1.125163955106018</v>
      </c>
      <c r="AU15" s="327">
        <f>'CFS (Before Changes) '!AU15-'CFS 3Q2022'!AU15</f>
        <v>-81.482342326809203</v>
      </c>
      <c r="AV15" s="328">
        <f>'CFS (Before Changes) '!AV15-'CFS 3Q2022'!AV15</f>
        <v>-9.5620883701353705</v>
      </c>
    </row>
    <row r="16" spans="2:48" outlineLevel="1" x14ac:dyDescent="0.3">
      <c r="B16" s="325" t="s">
        <v>215</v>
      </c>
      <c r="C16" s="326"/>
      <c r="D16" s="327">
        <f>'CFS (Before Changes) '!D16-'CFS 3Q2022'!D16</f>
        <v>0</v>
      </c>
      <c r="E16" s="327">
        <f>'CFS (Before Changes) '!E16-'CFS 3Q2022'!E16</f>
        <v>0</v>
      </c>
      <c r="F16" s="327">
        <f>'CFS (Before Changes) '!F16-'CFS 3Q2022'!F16</f>
        <v>0</v>
      </c>
      <c r="G16" s="327">
        <f>'CFS (Before Changes) '!G16-'CFS 3Q2022'!G16</f>
        <v>0</v>
      </c>
      <c r="H16" s="328">
        <f>'CFS (Before Changes) '!H16-'CFS 3Q2022'!H16</f>
        <v>0</v>
      </c>
      <c r="I16" s="327">
        <f>'CFS (Before Changes) '!I16-'CFS 3Q2022'!I16</f>
        <v>0</v>
      </c>
      <c r="J16" s="327">
        <f>'CFS (Before Changes) '!J16-'CFS 3Q2022'!J16</f>
        <v>0</v>
      </c>
      <c r="K16" s="327">
        <f>'CFS (Before Changes) '!K16-'CFS 3Q2022'!K16</f>
        <v>0</v>
      </c>
      <c r="L16" s="327">
        <f>'CFS (Before Changes) '!L16-'CFS 3Q2022'!L16</f>
        <v>0</v>
      </c>
      <c r="M16" s="328">
        <f>'CFS (Before Changes) '!M16-'CFS 3Q2022'!M16</f>
        <v>0</v>
      </c>
      <c r="N16" s="327">
        <f>'CFS (Before Changes) '!N16-'CFS 3Q2022'!N16</f>
        <v>0</v>
      </c>
      <c r="O16" s="327">
        <f>'CFS (Before Changes) '!O16-'CFS 3Q2022'!O16</f>
        <v>0</v>
      </c>
      <c r="P16" s="327">
        <f>'CFS (Before Changes) '!P16-'CFS 3Q2022'!P16</f>
        <v>0</v>
      </c>
      <c r="Q16" s="327">
        <f>'CFS (Before Changes) '!Q16-'CFS 3Q2022'!Q16</f>
        <v>0</v>
      </c>
      <c r="R16" s="328">
        <f>'CFS (Before Changes) '!R16-'CFS 3Q2022'!R16</f>
        <v>0</v>
      </c>
      <c r="S16" s="327">
        <f>'CFS (Before Changes) '!S16-'CFS 3Q2022'!S16</f>
        <v>0</v>
      </c>
      <c r="T16" s="327">
        <f>'CFS (Before Changes) '!T16-'CFS 3Q2022'!T16</f>
        <v>0</v>
      </c>
      <c r="U16" s="327">
        <f>'CFS (Before Changes) '!U16-'CFS 3Q2022'!U16</f>
        <v>0</v>
      </c>
      <c r="V16" s="327">
        <f>'CFS (Before Changes) '!V16-'CFS 3Q2022'!V16</f>
        <v>-313.87685105161631</v>
      </c>
      <c r="W16" s="328">
        <f>'CFS (Before Changes) '!W16-'CFS 3Q2022'!W16</f>
        <v>-313.87685105161631</v>
      </c>
      <c r="X16" s="327">
        <f>'CFS (Before Changes) '!X16-'CFS 3Q2022'!X16</f>
        <v>262.2369082568689</v>
      </c>
      <c r="Y16" s="327">
        <f>'CFS (Before Changes) '!Y16-'CFS 3Q2022'!Y16</f>
        <v>10.585888211002839</v>
      </c>
      <c r="Z16" s="327">
        <f>'CFS (Before Changes) '!Z16-'CFS 3Q2022'!Z16</f>
        <v>-0.14056508466319428</v>
      </c>
      <c r="AA16" s="327">
        <f>'CFS (Before Changes) '!AA16-'CFS 3Q2022'!AA16</f>
        <v>-98.933296020189118</v>
      </c>
      <c r="AB16" s="328">
        <f>'CFS (Before Changes) '!AB16-'CFS 3Q2022'!AB16</f>
        <v>173.74893536301943</v>
      </c>
      <c r="AC16" s="327">
        <f>'CFS (Before Changes) '!AC16-'CFS 3Q2022'!AC16</f>
        <v>87.792291932378703</v>
      </c>
      <c r="AD16" s="327">
        <f>'CFS (Before Changes) '!AD16-'CFS 3Q2022'!AD16</f>
        <v>11.800682573216818</v>
      </c>
      <c r="AE16" s="327">
        <f>'CFS (Before Changes) '!AE16-'CFS 3Q2022'!AE16</f>
        <v>-0.22557151546152454</v>
      </c>
      <c r="AF16" s="327">
        <f>'CFS (Before Changes) '!AF16-'CFS 3Q2022'!AF16</f>
        <v>-135.3461224742091</v>
      </c>
      <c r="AG16" s="328">
        <f>'CFS (Before Changes) '!AG16-'CFS 3Q2022'!AG16</f>
        <v>-35.9787194840751</v>
      </c>
      <c r="AH16" s="327">
        <f>'CFS (Before Changes) '!AH16-'CFS 3Q2022'!AH16</f>
        <v>123.29403670999955</v>
      </c>
      <c r="AI16" s="327">
        <f>'CFS (Before Changes) '!AI16-'CFS 3Q2022'!AI16</f>
        <v>12.782891863330406</v>
      </c>
      <c r="AJ16" s="327">
        <f>'CFS (Before Changes) '!AJ16-'CFS 3Q2022'!AJ16</f>
        <v>-5.6675046501368342E-2</v>
      </c>
      <c r="AK16" s="327">
        <f>'CFS (Before Changes) '!AK16-'CFS 3Q2022'!AK16</f>
        <v>-205.70097511011909</v>
      </c>
      <c r="AL16" s="328">
        <f>'CFS (Before Changes) '!AL16-'CFS 3Q2022'!AL16</f>
        <v>-69.680721583290506</v>
      </c>
      <c r="AM16" s="327">
        <f>'CFS (Before Changes) '!AM16-'CFS 3Q2022'!AM16</f>
        <v>192.23660034315662</v>
      </c>
      <c r="AN16" s="327">
        <f>'CFS (Before Changes) '!AN16-'CFS 3Q2022'!AN16</f>
        <v>14.001038766622059</v>
      </c>
      <c r="AO16" s="327">
        <f>'CFS (Before Changes) '!AO16-'CFS 3Q2022'!AO16</f>
        <v>1.0070340546917578E-2</v>
      </c>
      <c r="AP16" s="327">
        <f>'CFS (Before Changes) '!AP16-'CFS 3Q2022'!AP16</f>
        <v>-171.55871917585318</v>
      </c>
      <c r="AQ16" s="328">
        <f>'CFS (Before Changes) '!AQ16-'CFS 3Q2022'!AQ16</f>
        <v>34.688990274472417</v>
      </c>
      <c r="AR16" s="327">
        <f>'CFS (Before Changes) '!AR16-'CFS 3Q2022'!AR16</f>
        <v>157.11671299962109</v>
      </c>
      <c r="AS16" s="327">
        <f>'CFS (Before Changes) '!AS16-'CFS 3Q2022'!AS16</f>
        <v>14.941860947983514</v>
      </c>
      <c r="AT16" s="327">
        <f>'CFS (Before Changes) '!AT16-'CFS 3Q2022'!AT16</f>
        <v>7.0372465755099256E-2</v>
      </c>
      <c r="AU16" s="327">
        <f>'CFS (Before Changes) '!AU16-'CFS 3Q2022'!AU16</f>
        <v>-195.5063420577676</v>
      </c>
      <c r="AV16" s="328">
        <f>'CFS (Before Changes) '!AV16-'CFS 3Q2022'!AV16</f>
        <v>-23.377395644407898</v>
      </c>
    </row>
    <row r="17" spans="2:48" outlineLevel="1" x14ac:dyDescent="0.3">
      <c r="B17" s="538" t="s">
        <v>277</v>
      </c>
      <c r="C17" s="539"/>
      <c r="D17" s="327">
        <f>'CFS (Before Changes) '!D17-'CFS 3Q2022'!D17</f>
        <v>0</v>
      </c>
      <c r="E17" s="327">
        <f>'CFS (Before Changes) '!E17-'CFS 3Q2022'!E17</f>
        <v>0</v>
      </c>
      <c r="F17" s="327">
        <f>'CFS (Before Changes) '!F17-'CFS 3Q2022'!F17</f>
        <v>0</v>
      </c>
      <c r="G17" s="327">
        <f>'CFS (Before Changes) '!G17-'CFS 3Q2022'!G17</f>
        <v>0</v>
      </c>
      <c r="H17" s="328">
        <f>'CFS (Before Changes) '!H17-'CFS 3Q2022'!H17</f>
        <v>0</v>
      </c>
      <c r="I17" s="327">
        <f>'CFS (Before Changes) '!I17-'CFS 3Q2022'!I17</f>
        <v>0</v>
      </c>
      <c r="J17" s="327">
        <f>'CFS (Before Changes) '!J17-'CFS 3Q2022'!J17</f>
        <v>0</v>
      </c>
      <c r="K17" s="327">
        <f>'CFS (Before Changes) '!K17-'CFS 3Q2022'!K17</f>
        <v>0</v>
      </c>
      <c r="L17" s="327">
        <f>'CFS (Before Changes) '!L17-'CFS 3Q2022'!L17</f>
        <v>0</v>
      </c>
      <c r="M17" s="328">
        <f>'CFS (Before Changes) '!M17-'CFS 3Q2022'!M17</f>
        <v>0</v>
      </c>
      <c r="N17" s="327">
        <f>'CFS (Before Changes) '!N17-'CFS 3Q2022'!N17</f>
        <v>0</v>
      </c>
      <c r="O17" s="327">
        <f>'CFS (Before Changes) '!O17-'CFS 3Q2022'!O17</f>
        <v>0</v>
      </c>
      <c r="P17" s="327">
        <f>'CFS (Before Changes) '!P17-'CFS 3Q2022'!P17</f>
        <v>0</v>
      </c>
      <c r="Q17" s="327">
        <f>'CFS (Before Changes) '!Q17-'CFS 3Q2022'!Q17</f>
        <v>0</v>
      </c>
      <c r="R17" s="328">
        <f>'CFS (Before Changes) '!R17-'CFS 3Q2022'!R17</f>
        <v>0</v>
      </c>
      <c r="S17" s="327">
        <f>'CFS (Before Changes) '!S17-'CFS 3Q2022'!S17</f>
        <v>0</v>
      </c>
      <c r="T17" s="327">
        <f>'CFS (Before Changes) '!T17-'CFS 3Q2022'!T17</f>
        <v>0</v>
      </c>
      <c r="U17" s="327">
        <f>'CFS (Before Changes) '!U17-'CFS 3Q2022'!U17</f>
        <v>0</v>
      </c>
      <c r="V17" s="327">
        <f>'CFS (Before Changes) '!V17-'CFS 3Q2022'!V17</f>
        <v>5.3410000000000082</v>
      </c>
      <c r="W17" s="328">
        <f>'CFS (Before Changes) '!W17-'CFS 3Q2022'!W17</f>
        <v>5.3410000000000082</v>
      </c>
      <c r="X17" s="327">
        <f>'CFS (Before Changes) '!X17-'CFS 3Q2022'!X17</f>
        <v>0.5574100000000044</v>
      </c>
      <c r="Y17" s="327">
        <f>'CFS (Before Changes) '!Y17-'CFS 3Q2022'!Y17</f>
        <v>0.56298409999993737</v>
      </c>
      <c r="Z17" s="327">
        <f>'CFS (Before Changes) '!Z17-'CFS 3Q2022'!Z17</f>
        <v>0.56861394100002371</v>
      </c>
      <c r="AA17" s="327">
        <f>'CFS (Before Changes) '!AA17-'CFS 3Q2022'!AA17</f>
        <v>0.57430008041001201</v>
      </c>
      <c r="AB17" s="328">
        <f>'CFS (Before Changes) '!AB17-'CFS 3Q2022'!AB17</f>
        <v>2.2633081214099775</v>
      </c>
      <c r="AC17" s="327">
        <f>'CFS (Before Changes) '!AC17-'CFS 3Q2022'!AC17</f>
        <v>0.58004308121405757</v>
      </c>
      <c r="AD17" s="327">
        <f>'CFS (Before Changes) '!AD17-'CFS 3Q2022'!AD17</f>
        <v>0.58584351202631524</v>
      </c>
      <c r="AE17" s="327">
        <f>'CFS (Before Changes) '!AE17-'CFS 3Q2022'!AE17</f>
        <v>0.5917019471464755</v>
      </c>
      <c r="AF17" s="327">
        <f>'CFS (Before Changes) '!AF17-'CFS 3Q2022'!AF17</f>
        <v>0.59761896661802894</v>
      </c>
      <c r="AG17" s="328">
        <f>'CFS (Before Changes) '!AG17-'CFS 3Q2022'!AG17</f>
        <v>2.3552075070048772</v>
      </c>
      <c r="AH17" s="327">
        <f>'CFS (Before Changes) '!AH17-'CFS 3Q2022'!AH17</f>
        <v>0.60359515628420013</v>
      </c>
      <c r="AI17" s="327">
        <f>'CFS (Before Changes) '!AI17-'CFS 3Q2022'!AI17</f>
        <v>0.60963110784700802</v>
      </c>
      <c r="AJ17" s="327">
        <f>'CFS (Before Changes) '!AJ17-'CFS 3Q2022'!AJ17</f>
        <v>0.61572741892541671</v>
      </c>
      <c r="AK17" s="327">
        <f>'CFS (Before Changes) '!AK17-'CFS 3Q2022'!AK17</f>
        <v>0.62188469311467998</v>
      </c>
      <c r="AL17" s="328">
        <f>'CFS (Before Changes) '!AL17-'CFS 3Q2022'!AL17</f>
        <v>2.4508383761713048</v>
      </c>
      <c r="AM17" s="327">
        <f>'CFS (Before Changes) '!AM17-'CFS 3Q2022'!AM17</f>
        <v>0.62810354004591318</v>
      </c>
      <c r="AN17" s="327">
        <f>'CFS (Before Changes) '!AN17-'CFS 3Q2022'!AN17</f>
        <v>0.6343845754463473</v>
      </c>
      <c r="AO17" s="327">
        <f>'CFS (Before Changes) '!AO17-'CFS 3Q2022'!AO17</f>
        <v>0.64072842120071982</v>
      </c>
      <c r="AP17" s="327">
        <f>'CFS (Before Changes) '!AP17-'CFS 3Q2022'!AP17</f>
        <v>0.64713570541277932</v>
      </c>
      <c r="AQ17" s="328">
        <f>'CFS (Before Changes) '!AQ17-'CFS 3Q2022'!AQ17</f>
        <v>2.5503522421057596</v>
      </c>
      <c r="AR17" s="327">
        <f>'CFS (Before Changes) '!AR17-'CFS 3Q2022'!AR17</f>
        <v>0.6536070624669037</v>
      </c>
      <c r="AS17" s="327">
        <f>'CFS (Before Changes) '!AS17-'CFS 3Q2022'!AS17</f>
        <v>0.66014313309165118</v>
      </c>
      <c r="AT17" s="327">
        <f>'CFS (Before Changes) '!AT17-'CFS 3Q2022'!AT17</f>
        <v>0.6667445644225154</v>
      </c>
      <c r="AU17" s="327">
        <f>'CFS (Before Changes) '!AU17-'CFS 3Q2022'!AU17</f>
        <v>0.67341201006672691</v>
      </c>
      <c r="AV17" s="328">
        <f>'CFS (Before Changes) '!AV17-'CFS 3Q2022'!AV17</f>
        <v>2.6539067700477972</v>
      </c>
    </row>
    <row r="18" spans="2:48" outlineLevel="1" x14ac:dyDescent="0.3">
      <c r="B18" s="538" t="s">
        <v>228</v>
      </c>
      <c r="C18" s="539"/>
      <c r="D18" s="327">
        <f>'CFS (Before Changes) '!D18-'CFS 3Q2022'!D18</f>
        <v>0</v>
      </c>
      <c r="E18" s="327">
        <f>'CFS (Before Changes) '!E18-'CFS 3Q2022'!E18</f>
        <v>0</v>
      </c>
      <c r="F18" s="327">
        <f>'CFS (Before Changes) '!F18-'CFS 3Q2022'!F18</f>
        <v>0</v>
      </c>
      <c r="G18" s="327">
        <f>'CFS (Before Changes) '!G18-'CFS 3Q2022'!G18</f>
        <v>0</v>
      </c>
      <c r="H18" s="328">
        <f>'CFS (Before Changes) '!H18-'CFS 3Q2022'!H18</f>
        <v>0</v>
      </c>
      <c r="I18" s="327">
        <f>'CFS (Before Changes) '!I18-'CFS 3Q2022'!I18</f>
        <v>0</v>
      </c>
      <c r="J18" s="327">
        <f>'CFS (Before Changes) '!J18-'CFS 3Q2022'!J18</f>
        <v>0</v>
      </c>
      <c r="K18" s="327">
        <f>'CFS (Before Changes) '!K18-'CFS 3Q2022'!K18</f>
        <v>0</v>
      </c>
      <c r="L18" s="327">
        <f>'CFS (Before Changes) '!L18-'CFS 3Q2022'!L18</f>
        <v>0</v>
      </c>
      <c r="M18" s="328">
        <f>'CFS (Before Changes) '!M18-'CFS 3Q2022'!M18</f>
        <v>0</v>
      </c>
      <c r="N18" s="327">
        <f>'CFS (Before Changes) '!N18-'CFS 3Q2022'!N18</f>
        <v>0</v>
      </c>
      <c r="O18" s="327">
        <f>'CFS (Before Changes) '!O18-'CFS 3Q2022'!O18</f>
        <v>0</v>
      </c>
      <c r="P18" s="327">
        <f>'CFS (Before Changes) '!P18-'CFS 3Q2022'!P18</f>
        <v>0</v>
      </c>
      <c r="Q18" s="327">
        <f>'CFS (Before Changes) '!Q18-'CFS 3Q2022'!Q18</f>
        <v>0</v>
      </c>
      <c r="R18" s="328">
        <f>'CFS (Before Changes) '!R18-'CFS 3Q2022'!R18</f>
        <v>0</v>
      </c>
      <c r="S18" s="327">
        <f>'CFS (Before Changes) '!S18-'CFS 3Q2022'!S18</f>
        <v>0</v>
      </c>
      <c r="T18" s="327">
        <f>'CFS (Before Changes) '!T18-'CFS 3Q2022'!T18</f>
        <v>0</v>
      </c>
      <c r="U18" s="327">
        <f>'CFS (Before Changes) '!U18-'CFS 3Q2022'!U18</f>
        <v>0</v>
      </c>
      <c r="V18" s="327">
        <f>'CFS (Before Changes) '!V18-'CFS 3Q2022'!V18</f>
        <v>115.54786545579242</v>
      </c>
      <c r="W18" s="328">
        <f>'CFS (Before Changes) '!W18-'CFS 3Q2022'!W18</f>
        <v>115.54786545579242</v>
      </c>
      <c r="X18" s="327">
        <f>'CFS (Before Changes) '!X18-'CFS 3Q2022'!X18</f>
        <v>-54.528326959965625</v>
      </c>
      <c r="Y18" s="327">
        <f>'CFS (Before Changes) '!Y18-'CFS 3Q2022'!Y18</f>
        <v>-8.1001250466065358</v>
      </c>
      <c r="Z18" s="327">
        <f>'CFS (Before Changes) '!Z18-'CFS 3Q2022'!Z18</f>
        <v>6.8962726004201613E-2</v>
      </c>
      <c r="AA18" s="327">
        <f>'CFS (Before Changes) '!AA18-'CFS 3Q2022'!AA18</f>
        <v>26.557111036273227</v>
      </c>
      <c r="AB18" s="328">
        <f>'CFS (Before Changes) '!AB18-'CFS 3Q2022'!AB18</f>
        <v>-36.002378244294732</v>
      </c>
      <c r="AC18" s="327">
        <f>'CFS (Before Changes) '!AC18-'CFS 3Q2022'!AC18</f>
        <v>-18.054581538756338</v>
      </c>
      <c r="AD18" s="327">
        <f>'CFS (Before Changes) '!AD18-'CFS 3Q2022'!AD18</f>
        <v>-8.9231884753583017</v>
      </c>
      <c r="AE18" s="327">
        <f>'CFS (Before Changes) '!AE18-'CFS 3Q2022'!AE18</f>
        <v>0.16181241633717036</v>
      </c>
      <c r="AF18" s="327">
        <f>'CFS (Before Changes) '!AF18-'CFS 3Q2022'!AF18</f>
        <v>35.511232944169251</v>
      </c>
      <c r="AG18" s="328">
        <f>'CFS (Before Changes) '!AG18-'CFS 3Q2022'!AG18</f>
        <v>8.6952753463917816</v>
      </c>
      <c r="AH18" s="327">
        <f>'CFS (Before Changes) '!AH18-'CFS 3Q2022'!AH18</f>
        <v>-26.224993030214137</v>
      </c>
      <c r="AI18" s="327">
        <f>'CFS (Before Changes) '!AI18-'CFS 3Q2022'!AI18</f>
        <v>-9.795349483138807</v>
      </c>
      <c r="AJ18" s="327">
        <f>'CFS (Before Changes) '!AJ18-'CFS 3Q2022'!AJ18</f>
        <v>3.8735706558782113E-2</v>
      </c>
      <c r="AK18" s="327">
        <f>'CFS (Before Changes) '!AK18-'CFS 3Q2022'!AK18</f>
        <v>48.790233762154912</v>
      </c>
      <c r="AL18" s="328">
        <f>'CFS (Before Changes) '!AL18-'CFS 3Q2022'!AL18</f>
        <v>12.808626955360751</v>
      </c>
      <c r="AM18" s="327">
        <f>'CFS (Before Changes) '!AM18-'CFS 3Q2022'!AM18</f>
        <v>-38.564455347999456</v>
      </c>
      <c r="AN18" s="327">
        <f>'CFS (Before Changes) '!AN18-'CFS 3Q2022'!AN18</f>
        <v>-10.593716718701216</v>
      </c>
      <c r="AO18" s="327">
        <f>'CFS (Before Changes) '!AO18-'CFS 3Q2022'!AO18</f>
        <v>-4.4523132969516155E-3</v>
      </c>
      <c r="AP18" s="327">
        <f>'CFS (Before Changes) '!AP18-'CFS 3Q2022'!AP18</f>
        <v>42.776396988645729</v>
      </c>
      <c r="AQ18" s="328">
        <f>'CFS (Before Changes) '!AQ18-'CFS 3Q2022'!AQ18</f>
        <v>-6.3862273913518948</v>
      </c>
      <c r="AR18" s="327">
        <f>'CFS (Before Changes) '!AR18-'CFS 3Q2022'!AR18</f>
        <v>-31.845077512909029</v>
      </c>
      <c r="AS18" s="327">
        <f>'CFS (Before Changes) '!AS18-'CFS 3Q2022'!AS18</f>
        <v>-11.27759861592267</v>
      </c>
      <c r="AT18" s="327">
        <f>'CFS (Before Changes) '!AT18-'CFS 3Q2022'!AT18</f>
        <v>-4.8719813816433089E-2</v>
      </c>
      <c r="AU18" s="327">
        <f>'CFS (Before Changes) '!AU18-'CFS 3Q2022'!AU18</f>
        <v>47.97570536998046</v>
      </c>
      <c r="AV18" s="328">
        <f>'CFS (Before Changes) '!AV18-'CFS 3Q2022'!AV18</f>
        <v>4.8043094273323277</v>
      </c>
    </row>
    <row r="19" spans="2:48" outlineLevel="1" x14ac:dyDescent="0.3">
      <c r="B19" s="325" t="s">
        <v>233</v>
      </c>
      <c r="C19" s="326"/>
      <c r="D19" s="327">
        <f>'CFS (Before Changes) '!D19-'CFS 3Q2022'!D19</f>
        <v>0</v>
      </c>
      <c r="E19" s="327">
        <f>'CFS (Before Changes) '!E19-'CFS 3Q2022'!E19</f>
        <v>0</v>
      </c>
      <c r="F19" s="327">
        <f>'CFS (Before Changes) '!F19-'CFS 3Q2022'!F19</f>
        <v>0</v>
      </c>
      <c r="G19" s="327">
        <f>'CFS (Before Changes) '!G19-'CFS 3Q2022'!G19</f>
        <v>0</v>
      </c>
      <c r="H19" s="328">
        <f>'CFS (Before Changes) '!H19-'CFS 3Q2022'!H19</f>
        <v>0</v>
      </c>
      <c r="I19" s="327">
        <f>'CFS (Before Changes) '!I19-'CFS 3Q2022'!I19</f>
        <v>0</v>
      </c>
      <c r="J19" s="327">
        <f>'CFS (Before Changes) '!J19-'CFS 3Q2022'!J19</f>
        <v>0</v>
      </c>
      <c r="K19" s="327">
        <f>'CFS (Before Changes) '!K19-'CFS 3Q2022'!K19</f>
        <v>0</v>
      </c>
      <c r="L19" s="327">
        <f>'CFS (Before Changes) '!L19-'CFS 3Q2022'!L19</f>
        <v>0</v>
      </c>
      <c r="M19" s="328">
        <f>'CFS (Before Changes) '!M19-'CFS 3Q2022'!M19</f>
        <v>0</v>
      </c>
      <c r="N19" s="327">
        <f>'CFS (Before Changes) '!N19-'CFS 3Q2022'!N19</f>
        <v>0</v>
      </c>
      <c r="O19" s="327">
        <f>'CFS (Before Changes) '!O19-'CFS 3Q2022'!O19</f>
        <v>0</v>
      </c>
      <c r="P19" s="327">
        <f>'CFS (Before Changes) '!P19-'CFS 3Q2022'!P19</f>
        <v>0</v>
      </c>
      <c r="Q19" s="327">
        <f>'CFS (Before Changes) '!Q19-'CFS 3Q2022'!Q19</f>
        <v>0</v>
      </c>
      <c r="R19" s="328">
        <f>'CFS (Before Changes) '!R19-'CFS 3Q2022'!R19</f>
        <v>0</v>
      </c>
      <c r="S19" s="327">
        <f>'CFS (Before Changes) '!S19-'CFS 3Q2022'!S19</f>
        <v>0</v>
      </c>
      <c r="T19" s="327">
        <f>'CFS (Before Changes) '!T19-'CFS 3Q2022'!T19</f>
        <v>0</v>
      </c>
      <c r="U19" s="327">
        <f>'CFS (Before Changes) '!U19-'CFS 3Q2022'!U19</f>
        <v>0</v>
      </c>
      <c r="V19" s="327">
        <f>'CFS (Before Changes) '!V19-'CFS 3Q2022'!V19</f>
        <v>-91.269999999999982</v>
      </c>
      <c r="W19" s="328">
        <f>'CFS (Before Changes) '!W19-'CFS 3Q2022'!W19</f>
        <v>-91.269999999999982</v>
      </c>
      <c r="X19" s="327">
        <f>'CFS (Before Changes) '!X19-'CFS 3Q2022'!X19</f>
        <v>-19.161000000000058</v>
      </c>
      <c r="Y19" s="327">
        <f>'CFS (Before Changes) '!Y19-'CFS 3Q2022'!Y19</f>
        <v>12.454649999999901</v>
      </c>
      <c r="Z19" s="327">
        <f>'CFS (Before Changes) '!Z19-'CFS 3Q2022'!Z19</f>
        <v>0.70576350000010279</v>
      </c>
      <c r="AA19" s="327">
        <f>'CFS (Before Changes) '!AA19-'CFS 3Q2022'!AA19</f>
        <v>0.69870586499996534</v>
      </c>
      <c r="AB19" s="328">
        <f>'CFS (Before Changes) '!AB19-'CFS 3Q2022'!AB19</f>
        <v>-5.3018806350000887</v>
      </c>
      <c r="AC19" s="327">
        <f>'CFS (Before Changes) '!AC19-'CFS 3Q2022'!AC19</f>
        <v>-20.751564190500176</v>
      </c>
      <c r="AD19" s="327">
        <f>'CFS (Before Changes) '!AD19-'CFS 3Q2022'!AD19</f>
        <v>13.488516723824887</v>
      </c>
      <c r="AE19" s="327">
        <f>'CFS (Before Changes) '!AE19-'CFS 3Q2022'!AE19</f>
        <v>0.76434928101684818</v>
      </c>
      <c r="AF19" s="327">
        <f>'CFS (Before Changes) '!AF19-'CFS 3Q2022'!AF19</f>
        <v>0.75670578820677292</v>
      </c>
      <c r="AG19" s="328">
        <f>'CFS (Before Changes) '!AG19-'CFS 3Q2022'!AG19</f>
        <v>-5.7419923974516678</v>
      </c>
      <c r="AH19" s="327">
        <f>'CFS (Before Changes) '!AH19-'CFS 3Q2022'!AH19</f>
        <v>-22.474161909735813</v>
      </c>
      <c r="AI19" s="327">
        <f>'CFS (Before Changes) '!AI19-'CFS 3Q2022'!AI19</f>
        <v>14.608205241328051</v>
      </c>
      <c r="AJ19" s="327">
        <f>'CFS (Before Changes) '!AJ19-'CFS 3Q2022'!AJ19</f>
        <v>0.8277982970089397</v>
      </c>
      <c r="AK19" s="327">
        <f>'CFS (Before Changes) '!AK19-'CFS 3Q2022'!AK19</f>
        <v>0.81952031403852743</v>
      </c>
      <c r="AL19" s="328">
        <f>'CFS (Before Changes) '!AL19-'CFS 3Q2022'!AL19</f>
        <v>-6.2186380573602946</v>
      </c>
      <c r="AM19" s="327">
        <f>'CFS (Before Changes) '!AM19-'CFS 3Q2022'!AM19</f>
        <v>-24.339753326943537</v>
      </c>
      <c r="AN19" s="327">
        <f>'CFS (Before Changes) '!AN19-'CFS 3Q2022'!AN19</f>
        <v>15.820839662513663</v>
      </c>
      <c r="AO19" s="327">
        <f>'CFS (Before Changes) '!AO19-'CFS 3Q2022'!AO19</f>
        <v>0.89651424754219988</v>
      </c>
      <c r="AP19" s="327">
        <f>'CFS (Before Changes) '!AP19-'CFS 3Q2022'!AP19</f>
        <v>0.88754910506713713</v>
      </c>
      <c r="AQ19" s="328">
        <f>'CFS (Before Changes) '!AQ19-'CFS 3Q2022'!AQ19</f>
        <v>-6.7348503118205372</v>
      </c>
      <c r="AR19" s="327">
        <f>'CFS (Before Changes) '!AR19-'CFS 3Q2022'!AR19</f>
        <v>-26.360208420489471</v>
      </c>
      <c r="AS19" s="327">
        <f>'CFS (Before Changes) '!AS19-'CFS 3Q2022'!AS19</f>
        <v>17.134135473318565</v>
      </c>
      <c r="AT19" s="327">
        <f>'CFS (Before Changes) '!AT19-'CFS 3Q2022'!AT19</f>
        <v>0.97093434348789742</v>
      </c>
      <c r="AU19" s="327">
        <f>'CFS (Before Changes) '!AU19-'CFS 3Q2022'!AU19</f>
        <v>0.96122500005321854</v>
      </c>
      <c r="AV19" s="328">
        <f>'CFS (Before Changes) '!AV19-'CFS 3Q2022'!AV19</f>
        <v>-7.2939136036297896</v>
      </c>
    </row>
    <row r="20" spans="2:48" outlineLevel="1" x14ac:dyDescent="0.3">
      <c r="B20" s="325" t="s">
        <v>278</v>
      </c>
      <c r="C20" s="326"/>
      <c r="D20" s="327">
        <f>'CFS (Before Changes) '!D20-'CFS 3Q2022'!D20</f>
        <v>0</v>
      </c>
      <c r="E20" s="327">
        <f>'CFS (Before Changes) '!E20-'CFS 3Q2022'!E20</f>
        <v>0</v>
      </c>
      <c r="F20" s="327">
        <f>'CFS (Before Changes) '!F20-'CFS 3Q2022'!F20</f>
        <v>0</v>
      </c>
      <c r="G20" s="327">
        <f>'CFS (Before Changes) '!G20-'CFS 3Q2022'!G20</f>
        <v>0</v>
      </c>
      <c r="H20" s="328">
        <f>'CFS (Before Changes) '!H20-'CFS 3Q2022'!H20</f>
        <v>0</v>
      </c>
      <c r="I20" s="327">
        <f>'CFS (Before Changes) '!I20-'CFS 3Q2022'!I20</f>
        <v>0</v>
      </c>
      <c r="J20" s="327">
        <f>'CFS (Before Changes) '!J20-'CFS 3Q2022'!J20</f>
        <v>0</v>
      </c>
      <c r="K20" s="327">
        <f>'CFS (Before Changes) '!K20-'CFS 3Q2022'!K20</f>
        <v>0</v>
      </c>
      <c r="L20" s="327">
        <f>'CFS (Before Changes) '!L20-'CFS 3Q2022'!L20</f>
        <v>0</v>
      </c>
      <c r="M20" s="328">
        <f>'CFS (Before Changes) '!M20-'CFS 3Q2022'!M20</f>
        <v>0</v>
      </c>
      <c r="N20" s="327">
        <f>'CFS (Before Changes) '!N20-'CFS 3Q2022'!N20</f>
        <v>0</v>
      </c>
      <c r="O20" s="327">
        <f>'CFS (Before Changes) '!O20-'CFS 3Q2022'!O20</f>
        <v>0</v>
      </c>
      <c r="P20" s="327">
        <f>'CFS (Before Changes) '!P20-'CFS 3Q2022'!P20</f>
        <v>0</v>
      </c>
      <c r="Q20" s="327">
        <f>'CFS (Before Changes) '!Q20-'CFS 3Q2022'!Q20</f>
        <v>0</v>
      </c>
      <c r="R20" s="328">
        <f>'CFS (Before Changes) '!R20-'CFS 3Q2022'!R20</f>
        <v>0</v>
      </c>
      <c r="S20" s="327">
        <f>'CFS (Before Changes) '!S20-'CFS 3Q2022'!S20</f>
        <v>0</v>
      </c>
      <c r="T20" s="327">
        <f>'CFS (Before Changes) '!T20-'CFS 3Q2022'!T20</f>
        <v>0</v>
      </c>
      <c r="U20" s="327">
        <f>'CFS (Before Changes) '!U20-'CFS 3Q2022'!U20</f>
        <v>0</v>
      </c>
      <c r="V20" s="327">
        <f>'CFS (Before Changes) '!V20-'CFS 3Q2022'!V20</f>
        <v>-149.6</v>
      </c>
      <c r="W20" s="328">
        <f>'CFS (Before Changes) '!W20-'CFS 3Q2022'!W20</f>
        <v>-149.6</v>
      </c>
      <c r="X20" s="327">
        <f>'CFS (Before Changes) '!X20-'CFS 3Q2022'!X20</f>
        <v>0</v>
      </c>
      <c r="Y20" s="327">
        <f>'CFS (Before Changes) '!Y20-'CFS 3Q2022'!Y20</f>
        <v>0</v>
      </c>
      <c r="Z20" s="327">
        <f>'CFS (Before Changes) '!Z20-'CFS 3Q2022'!Z20</f>
        <v>0</v>
      </c>
      <c r="AA20" s="327">
        <f>'CFS (Before Changes) '!AA20-'CFS 3Q2022'!AA20</f>
        <v>0</v>
      </c>
      <c r="AB20" s="328">
        <f>'CFS (Before Changes) '!AB20-'CFS 3Q2022'!AB20</f>
        <v>0</v>
      </c>
      <c r="AC20" s="327">
        <f>'CFS (Before Changes) '!AC20-'CFS 3Q2022'!AC20</f>
        <v>0</v>
      </c>
      <c r="AD20" s="327">
        <f>'CFS (Before Changes) '!AD20-'CFS 3Q2022'!AD20</f>
        <v>0</v>
      </c>
      <c r="AE20" s="327">
        <f>'CFS (Before Changes) '!AE20-'CFS 3Q2022'!AE20</f>
        <v>0</v>
      </c>
      <c r="AF20" s="327">
        <f>'CFS (Before Changes) '!AF20-'CFS 3Q2022'!AF20</f>
        <v>0</v>
      </c>
      <c r="AG20" s="328">
        <f>'CFS (Before Changes) '!AG20-'CFS 3Q2022'!AG20</f>
        <v>0</v>
      </c>
      <c r="AH20" s="327">
        <f>'CFS (Before Changes) '!AH20-'CFS 3Q2022'!AH20</f>
        <v>0</v>
      </c>
      <c r="AI20" s="327">
        <f>'CFS (Before Changes) '!AI20-'CFS 3Q2022'!AI20</f>
        <v>0</v>
      </c>
      <c r="AJ20" s="327">
        <f>'CFS (Before Changes) '!AJ20-'CFS 3Q2022'!AJ20</f>
        <v>0</v>
      </c>
      <c r="AK20" s="327">
        <f>'CFS (Before Changes) '!AK20-'CFS 3Q2022'!AK20</f>
        <v>0</v>
      </c>
      <c r="AL20" s="328">
        <f>'CFS (Before Changes) '!AL20-'CFS 3Q2022'!AL20</f>
        <v>0</v>
      </c>
      <c r="AM20" s="327">
        <f>'CFS (Before Changes) '!AM20-'CFS 3Q2022'!AM20</f>
        <v>0</v>
      </c>
      <c r="AN20" s="327">
        <f>'CFS (Before Changes) '!AN20-'CFS 3Q2022'!AN20</f>
        <v>0</v>
      </c>
      <c r="AO20" s="327">
        <f>'CFS (Before Changes) '!AO20-'CFS 3Q2022'!AO20</f>
        <v>0</v>
      </c>
      <c r="AP20" s="327">
        <f>'CFS (Before Changes) '!AP20-'CFS 3Q2022'!AP20</f>
        <v>0</v>
      </c>
      <c r="AQ20" s="328">
        <f>'CFS (Before Changes) '!AQ20-'CFS 3Q2022'!AQ20</f>
        <v>0</v>
      </c>
      <c r="AR20" s="327">
        <f>'CFS (Before Changes) '!AR20-'CFS 3Q2022'!AR20</f>
        <v>0</v>
      </c>
      <c r="AS20" s="327">
        <f>'CFS (Before Changes) '!AS20-'CFS 3Q2022'!AS20</f>
        <v>0</v>
      </c>
      <c r="AT20" s="327">
        <f>'CFS (Before Changes) '!AT20-'CFS 3Q2022'!AT20</f>
        <v>0</v>
      </c>
      <c r="AU20" s="327">
        <f>'CFS (Before Changes) '!AU20-'CFS 3Q2022'!AU20</f>
        <v>0</v>
      </c>
      <c r="AV20" s="328">
        <f>'CFS (Before Changes) '!AV20-'CFS 3Q2022'!AV20</f>
        <v>0</v>
      </c>
    </row>
    <row r="21" spans="2:48" ht="16.2" outlineLevel="1" x14ac:dyDescent="0.45">
      <c r="B21" s="538" t="s">
        <v>279</v>
      </c>
      <c r="C21" s="539"/>
      <c r="D21" s="329">
        <f>'CFS (Before Changes) '!D21-'CFS 3Q2022'!D21</f>
        <v>0</v>
      </c>
      <c r="E21" s="329">
        <f>'CFS (Before Changes) '!E21-'CFS 3Q2022'!E21</f>
        <v>0</v>
      </c>
      <c r="F21" s="329">
        <f>'CFS (Before Changes) '!F21-'CFS 3Q2022'!F21</f>
        <v>0</v>
      </c>
      <c r="G21" s="329">
        <f>'CFS (Before Changes) '!G21-'CFS 3Q2022'!G21</f>
        <v>0</v>
      </c>
      <c r="H21" s="330">
        <f>'CFS (Before Changes) '!H21-'CFS 3Q2022'!H21</f>
        <v>0</v>
      </c>
      <c r="I21" s="329">
        <f>'CFS (Before Changes) '!I21-'CFS 3Q2022'!I21</f>
        <v>0</v>
      </c>
      <c r="J21" s="329">
        <f>'CFS (Before Changes) '!J21-'CFS 3Q2022'!J21</f>
        <v>0</v>
      </c>
      <c r="K21" s="329">
        <f>'CFS (Before Changes) '!K21-'CFS 3Q2022'!K21</f>
        <v>0</v>
      </c>
      <c r="L21" s="329">
        <f>'CFS (Before Changes) '!L21-'CFS 3Q2022'!L21</f>
        <v>0</v>
      </c>
      <c r="M21" s="330">
        <f>'CFS (Before Changes) '!M21-'CFS 3Q2022'!M21</f>
        <v>0</v>
      </c>
      <c r="N21" s="329">
        <f>'CFS (Before Changes) '!N21-'CFS 3Q2022'!N21</f>
        <v>0</v>
      </c>
      <c r="O21" s="329">
        <f>'CFS (Before Changes) '!O21-'CFS 3Q2022'!O21</f>
        <v>0</v>
      </c>
      <c r="P21" s="329">
        <f>'CFS (Before Changes) '!P21-'CFS 3Q2022'!P21</f>
        <v>0</v>
      </c>
      <c r="Q21" s="329">
        <f>'CFS (Before Changes) '!Q21-'CFS 3Q2022'!Q21</f>
        <v>0</v>
      </c>
      <c r="R21" s="330">
        <f>'CFS (Before Changes) '!R21-'CFS 3Q2022'!R21</f>
        <v>0</v>
      </c>
      <c r="S21" s="329">
        <f>'CFS (Before Changes) '!S21-'CFS 3Q2022'!S21</f>
        <v>0</v>
      </c>
      <c r="T21" s="329">
        <f>'CFS (Before Changes) '!T21-'CFS 3Q2022'!T21</f>
        <v>0</v>
      </c>
      <c r="U21" s="329">
        <f>'CFS (Before Changes) '!U21-'CFS 3Q2022'!U21</f>
        <v>0</v>
      </c>
      <c r="V21" s="329">
        <f>'CFS (Before Changes) '!V21-'CFS 3Q2022'!V21</f>
        <v>-53.875299999999697</v>
      </c>
      <c r="W21" s="330">
        <f>'CFS (Before Changes) '!W21-'CFS 3Q2022'!W21</f>
        <v>-53.875299999999697</v>
      </c>
      <c r="X21" s="329">
        <f>'CFS (Before Changes) '!X21-'CFS 3Q2022'!X21</f>
        <v>-3.4364300000333969E-2</v>
      </c>
      <c r="Y21" s="329">
        <f>'CFS (Before Changes) '!Y21-'CFS 3Q2022'!Y21</f>
        <v>-3.4335515299744657E-2</v>
      </c>
      <c r="Z21" s="329">
        <f>'CFS (Before Changes) '!Z21-'CFS 3Q2022'!Z21</f>
        <v>-3.4306302376990061E-2</v>
      </c>
      <c r="AA21" s="329">
        <f>'CFS (Before Changes) '!AA21-'CFS 3Q2022'!AA21</f>
        <v>-3.4276665658580896E-2</v>
      </c>
      <c r="AB21" s="330">
        <f>'CFS (Before Changes) '!AB21-'CFS 3Q2022'!AB21</f>
        <v>-0.13728278333564958</v>
      </c>
      <c r="AC21" s="329">
        <f>'CFS (Before Changes) '!AC21-'CFS 3Q2022'!AC21</f>
        <v>-3.4246609545562023E-2</v>
      </c>
      <c r="AD21" s="329">
        <f>'CFS (Before Changes) '!AD21-'CFS 3Q2022'!AD21</f>
        <v>-3.4216138403962759E-2</v>
      </c>
      <c r="AE21" s="329">
        <f>'CFS (Before Changes) '!AE21-'CFS 3Q2022'!AE21</f>
        <v>-3.4185256570935962E-2</v>
      </c>
      <c r="AF21" s="329">
        <f>'CFS (Before Changes) '!AF21-'CFS 3Q2022'!AF21</f>
        <v>-3.4153968350437935E-2</v>
      </c>
      <c r="AG21" s="330">
        <f>'CFS (Before Changes) '!AG21-'CFS 3Q2022'!AG21</f>
        <v>-0.13680197287089868</v>
      </c>
      <c r="AH21" s="329">
        <f>'CFS (Before Changes) '!AH21-'CFS 3Q2022'!AH21</f>
        <v>-3.4122278020277008E-2</v>
      </c>
      <c r="AI21" s="329">
        <f>'CFS (Before Changes) '!AI21-'CFS 3Q2022'!AI21</f>
        <v>-3.409018982233647E-2</v>
      </c>
      <c r="AJ21" s="329">
        <f>'CFS (Before Changes) '!AJ21-'CFS 3Q2022'!AJ21</f>
        <v>-3.4057707973033757E-2</v>
      </c>
      <c r="AK21" s="329">
        <f>'CFS (Before Changes) '!AK21-'CFS 3Q2022'!AK21</f>
        <v>-3.4024836656271873E-2</v>
      </c>
      <c r="AL21" s="330">
        <f>'CFS (Before Changes) '!AL21-'CFS 3Q2022'!AL21</f>
        <v>-0.13629501247191911</v>
      </c>
      <c r="AM21" s="329">
        <f>'CFS (Before Changes) '!AM21-'CFS 3Q2022'!AM21</f>
        <v>-3.3991580027986856E-2</v>
      </c>
      <c r="AN21" s="329">
        <f>'CFS (Before Changes) '!AN21-'CFS 3Q2022'!AN21</f>
        <v>-3.395794221273718E-2</v>
      </c>
      <c r="AO21" s="329">
        <f>'CFS (Before Changes) '!AO21-'CFS 3Q2022'!AO21</f>
        <v>-3.3923927306432233E-2</v>
      </c>
      <c r="AP21" s="329">
        <f>'CFS (Before Changes) '!AP21-'CFS 3Q2022'!AP21</f>
        <v>-3.3889539374513333E-2</v>
      </c>
      <c r="AQ21" s="330">
        <f>'CFS (Before Changes) '!AQ21-'CFS 3Q2022'!AQ21</f>
        <v>-0.1357629889216696</v>
      </c>
      <c r="AR21" s="329">
        <f>'CFS (Before Changes) '!AR21-'CFS 3Q2022'!AR21</f>
        <v>-3.3854782455136956E-2</v>
      </c>
      <c r="AS21" s="329">
        <f>'CFS (Before Changes) '!AS21-'CFS 3Q2022'!AS21</f>
        <v>-3.3819660557810494E-2</v>
      </c>
      <c r="AT21" s="329">
        <f>'CFS (Before Changes) '!AT21-'CFS 3Q2022'!AT21</f>
        <v>-3.3784177662028014E-2</v>
      </c>
      <c r="AU21" s="329">
        <f>'CFS (Before Changes) '!AU21-'CFS 3Q2022'!AU21</f>
        <v>-3.3748337718861876E-2</v>
      </c>
      <c r="AV21" s="330">
        <f>'CFS (Before Changes) '!AV21-'CFS 3Q2022'!AV21</f>
        <v>-0.13520695839383734</v>
      </c>
    </row>
    <row r="22" spans="2:48" outlineLevel="1" x14ac:dyDescent="0.3">
      <c r="B22" s="540" t="s">
        <v>280</v>
      </c>
      <c r="C22" s="541"/>
      <c r="D22" s="331">
        <f>'CFS (Before Changes) '!D22-'CFS 3Q2022'!D22</f>
        <v>0</v>
      </c>
      <c r="E22" s="331">
        <f>'CFS (Before Changes) '!E22-'CFS 3Q2022'!E22</f>
        <v>0</v>
      </c>
      <c r="F22" s="331">
        <f>'CFS (Before Changes) '!F22-'CFS 3Q2022'!F22</f>
        <v>0</v>
      </c>
      <c r="G22" s="331">
        <f>'CFS (Before Changes) '!G22-'CFS 3Q2022'!G22</f>
        <v>0</v>
      </c>
      <c r="H22" s="332">
        <f>'CFS (Before Changes) '!H22-'CFS 3Q2022'!H22</f>
        <v>0</v>
      </c>
      <c r="I22" s="331">
        <f>'CFS (Before Changes) '!I22-'CFS 3Q2022'!I22</f>
        <v>0</v>
      </c>
      <c r="J22" s="331">
        <f>'CFS (Before Changes) '!J22-'CFS 3Q2022'!J22</f>
        <v>0</v>
      </c>
      <c r="K22" s="331">
        <f>'CFS (Before Changes) '!K22-'CFS 3Q2022'!K22</f>
        <v>0</v>
      </c>
      <c r="L22" s="331">
        <f>'CFS (Before Changes) '!L22-'CFS 3Q2022'!L22</f>
        <v>0</v>
      </c>
      <c r="M22" s="332">
        <f>'CFS (Before Changes) '!M22-'CFS 3Q2022'!M22</f>
        <v>0</v>
      </c>
      <c r="N22" s="331">
        <f>'CFS (Before Changes) '!N22-'CFS 3Q2022'!N22</f>
        <v>0</v>
      </c>
      <c r="O22" s="331">
        <f>'CFS (Before Changes) '!O22-'CFS 3Q2022'!O22</f>
        <v>0</v>
      </c>
      <c r="P22" s="331">
        <f>'CFS (Before Changes) '!P22-'CFS 3Q2022'!P22</f>
        <v>0</v>
      </c>
      <c r="Q22" s="331">
        <f>'CFS (Before Changes) '!Q22-'CFS 3Q2022'!Q22</f>
        <v>0</v>
      </c>
      <c r="R22" s="332">
        <f>'CFS (Before Changes) '!R22-'CFS 3Q2022'!R22</f>
        <v>0</v>
      </c>
      <c r="S22" s="331">
        <f>'CFS (Before Changes) '!S22-'CFS 3Q2022'!S22</f>
        <v>0</v>
      </c>
      <c r="T22" s="331">
        <f>'CFS (Before Changes) '!T22-'CFS 3Q2022'!T22</f>
        <v>0</v>
      </c>
      <c r="U22" s="331">
        <f>'CFS (Before Changes) '!U22-'CFS 3Q2022'!U22</f>
        <v>0</v>
      </c>
      <c r="V22" s="331">
        <f>'CFS (Before Changes) '!V22-'CFS 3Q2022'!V22</f>
        <v>-237.63909382033125</v>
      </c>
      <c r="W22" s="332">
        <f>'CFS (Before Changes) '!W22-'CFS 3Q2022'!W22</f>
        <v>-237.63909382033125</v>
      </c>
      <c r="X22" s="331">
        <f>'CFS (Before Changes) '!X22-'CFS 3Q2022'!X22</f>
        <v>342.80422490178921</v>
      </c>
      <c r="Y22" s="331">
        <f>'CFS (Before Changes) '!Y22-'CFS 3Q2022'!Y22</f>
        <v>42.615616837500852</v>
      </c>
      <c r="Z22" s="331">
        <f>'CFS (Before Changes) '!Z22-'CFS 3Q2022'!Z22</f>
        <v>30.953108787641895</v>
      </c>
      <c r="AA22" s="331">
        <f>'CFS (Before Changes) '!AA22-'CFS 3Q2022'!AA22</f>
        <v>-56.926620309065356</v>
      </c>
      <c r="AB22" s="332">
        <f>'CFS (Before Changes) '!AB22-'CFS 3Q2022'!AB22</f>
        <v>359.44633021786649</v>
      </c>
      <c r="AC22" s="331">
        <f>'CFS (Before Changes) '!AC22-'CFS 3Q2022'!AC22</f>
        <v>124.29638943858299</v>
      </c>
      <c r="AD22" s="331">
        <f>'CFS (Before Changes) '!AD22-'CFS 3Q2022'!AD22</f>
        <v>46.63379280015431</v>
      </c>
      <c r="AE22" s="331">
        <f>'CFS (Before Changes) '!AE22-'CFS 3Q2022'!AE22</f>
        <v>34.683516417803958</v>
      </c>
      <c r="AF22" s="331">
        <f>'CFS (Before Changes) '!AF22-'CFS 3Q2022'!AF22</f>
        <v>-95.487306950915809</v>
      </c>
      <c r="AG22" s="332">
        <f>'CFS (Before Changes) '!AG22-'CFS 3Q2022'!AG22</f>
        <v>110.12639170562579</v>
      </c>
      <c r="AH22" s="331">
        <f>'CFS (Before Changes) '!AH22-'CFS 3Q2022'!AH22</f>
        <v>159.42356086625523</v>
      </c>
      <c r="AI22" s="331">
        <f>'CFS (Before Changes) '!AI22-'CFS 3Q2022'!AI22</f>
        <v>51.206598761267287</v>
      </c>
      <c r="AJ22" s="331">
        <f>'CFS (Before Changes) '!AJ22-'CFS 3Q2022'!AJ22</f>
        <v>38.656250421138111</v>
      </c>
      <c r="AK22" s="331">
        <f>'CFS (Before Changes) '!AK22-'CFS 3Q2022'!AK22</f>
        <v>-183.23986818098911</v>
      </c>
      <c r="AL22" s="332">
        <f>'CFS (Before Changes) '!AL22-'CFS 3Q2022'!AL22</f>
        <v>66.046541867671294</v>
      </c>
      <c r="AM22" s="331">
        <f>'CFS (Before Changes) '!AM22-'CFS 3Q2022'!AM22</f>
        <v>236.29470019182872</v>
      </c>
      <c r="AN22" s="331">
        <f>'CFS (Before Changes) '!AN22-'CFS 3Q2022'!AN22</f>
        <v>48.64931289665742</v>
      </c>
      <c r="AO22" s="331">
        <f>'CFS (Before Changes) '!AO22-'CFS 3Q2022'!AO22</f>
        <v>34.809957609613548</v>
      </c>
      <c r="AP22" s="331">
        <f>'CFS (Before Changes) '!AP22-'CFS 3Q2022'!AP22</f>
        <v>-142.72699891728735</v>
      </c>
      <c r="AQ22" s="332">
        <f>'CFS (Before Changes) '!AQ22-'CFS 3Q2022'!AQ22</f>
        <v>177.02697178081326</v>
      </c>
      <c r="AR22" s="331">
        <f>'CFS (Before Changes) '!AR22-'CFS 3Q2022'!AR22</f>
        <v>194.72384925250753</v>
      </c>
      <c r="AS22" s="331">
        <f>'CFS (Before Changes) '!AS22-'CFS 3Q2022'!AS22</f>
        <v>52.063717373509689</v>
      </c>
      <c r="AT22" s="331">
        <f>'CFS (Before Changes) '!AT22-'CFS 3Q2022'!AT22</f>
        <v>37.005326023964244</v>
      </c>
      <c r="AU22" s="331">
        <f>'CFS (Before Changes) '!AU22-'CFS 3Q2022'!AU22</f>
        <v>-170.83223485320559</v>
      </c>
      <c r="AV22" s="332">
        <f>'CFS (Before Changes) '!AV22-'CFS 3Q2022'!AV22</f>
        <v>112.96065779677519</v>
      </c>
    </row>
    <row r="23" spans="2:48" outlineLevel="1" x14ac:dyDescent="0.3">
      <c r="B23" s="506" t="s">
        <v>281</v>
      </c>
      <c r="C23" s="507"/>
      <c r="D23" s="333">
        <f>'CFS (Before Changes) '!D23-'CFS 3Q2022'!D23</f>
        <v>0</v>
      </c>
      <c r="E23" s="334">
        <f>'CFS (Before Changes) '!E23-'CFS 3Q2022'!E23</f>
        <v>0</v>
      </c>
      <c r="F23" s="334">
        <f>'CFS (Before Changes) '!F23-'CFS 3Q2022'!F23</f>
        <v>0</v>
      </c>
      <c r="G23" s="334">
        <f>'CFS (Before Changes) '!G23-'CFS 3Q2022'!G23</f>
        <v>0</v>
      </c>
      <c r="H23" s="335">
        <f>'CFS (Before Changes) '!H23-'CFS 3Q2022'!H23</f>
        <v>0</v>
      </c>
      <c r="I23" s="336">
        <f>'CFS (Before Changes) '!I23-'CFS 3Q2022'!I23</f>
        <v>0</v>
      </c>
      <c r="J23" s="336">
        <f>'CFS (Before Changes) '!J23-'CFS 3Q2022'!J23</f>
        <v>0</v>
      </c>
      <c r="K23" s="334">
        <f>'CFS (Before Changes) '!K23-'CFS 3Q2022'!K23</f>
        <v>0</v>
      </c>
      <c r="L23" s="334">
        <f>'CFS (Before Changes) '!L23-'CFS 3Q2022'!L23</f>
        <v>0</v>
      </c>
      <c r="M23" s="337">
        <f>'CFS (Before Changes) '!M23-'CFS 3Q2022'!M23</f>
        <v>0</v>
      </c>
      <c r="N23" s="334">
        <f>'CFS (Before Changes) '!N23-'CFS 3Q2022'!N23</f>
        <v>0</v>
      </c>
      <c r="O23" s="334">
        <f>'CFS (Before Changes) '!O23-'CFS 3Q2022'!O23</f>
        <v>0</v>
      </c>
      <c r="P23" s="334">
        <f>'CFS (Before Changes) '!P23-'CFS 3Q2022'!P23</f>
        <v>0</v>
      </c>
      <c r="Q23" s="334">
        <f>'CFS (Before Changes) '!Q23-'CFS 3Q2022'!Q23</f>
        <v>0</v>
      </c>
      <c r="R23" s="337">
        <f>'CFS (Before Changes) '!R23-'CFS 3Q2022'!R23</f>
        <v>0</v>
      </c>
      <c r="S23" s="334">
        <f>'CFS (Before Changes) '!S23-'CFS 3Q2022'!S23</f>
        <v>0</v>
      </c>
      <c r="T23" s="334">
        <f>'CFS (Before Changes) '!T23-'CFS 3Q2022'!T23</f>
        <v>0</v>
      </c>
      <c r="U23" s="334">
        <f>'CFS (Before Changes) '!U23-'CFS 3Q2022'!U23</f>
        <v>0</v>
      </c>
      <c r="V23" s="334">
        <f>'CFS (Before Changes) '!V23-'CFS 3Q2022'!V23</f>
        <v>0</v>
      </c>
      <c r="W23" s="337">
        <f>'CFS (Before Changes) '!W23-'CFS 3Q2022'!W23</f>
        <v>0</v>
      </c>
      <c r="X23" s="334">
        <f>'CFS (Before Changes) '!X23-'CFS 3Q2022'!X23</f>
        <v>0</v>
      </c>
      <c r="Y23" s="334">
        <f>'CFS (Before Changes) '!Y23-'CFS 3Q2022'!Y23</f>
        <v>0</v>
      </c>
      <c r="Z23" s="334">
        <f>'CFS (Before Changes) '!Z23-'CFS 3Q2022'!Z23</f>
        <v>0</v>
      </c>
      <c r="AA23" s="334">
        <f>'CFS (Before Changes) '!AA23-'CFS 3Q2022'!AA23</f>
        <v>0</v>
      </c>
      <c r="AB23" s="337">
        <f>'CFS (Before Changes) '!AB23-'CFS 3Q2022'!AB23</f>
        <v>0</v>
      </c>
      <c r="AC23" s="334">
        <f>'CFS (Before Changes) '!AC23-'CFS 3Q2022'!AC23</f>
        <v>0</v>
      </c>
      <c r="AD23" s="334">
        <f>'CFS (Before Changes) '!AD23-'CFS 3Q2022'!AD23</f>
        <v>0</v>
      </c>
      <c r="AE23" s="334">
        <f>'CFS (Before Changes) '!AE23-'CFS 3Q2022'!AE23</f>
        <v>0</v>
      </c>
      <c r="AF23" s="334">
        <f>'CFS (Before Changes) '!AF23-'CFS 3Q2022'!AF23</f>
        <v>0</v>
      </c>
      <c r="AG23" s="337">
        <f>'CFS (Before Changes) '!AG23-'CFS 3Q2022'!AG23</f>
        <v>0</v>
      </c>
      <c r="AH23" s="334">
        <f>'CFS (Before Changes) '!AH23-'CFS 3Q2022'!AH23</f>
        <v>0</v>
      </c>
      <c r="AI23" s="334">
        <f>'CFS (Before Changes) '!AI23-'CFS 3Q2022'!AI23</f>
        <v>0</v>
      </c>
      <c r="AJ23" s="334">
        <f>'CFS (Before Changes) '!AJ23-'CFS 3Q2022'!AJ23</f>
        <v>0</v>
      </c>
      <c r="AK23" s="334">
        <f>'CFS (Before Changes) '!AK23-'CFS 3Q2022'!AK23</f>
        <v>0</v>
      </c>
      <c r="AL23" s="337">
        <f>'CFS (Before Changes) '!AL23-'CFS 3Q2022'!AL23</f>
        <v>0</v>
      </c>
      <c r="AM23" s="334">
        <f>'CFS (Before Changes) '!AM23-'CFS 3Q2022'!AM23</f>
        <v>0</v>
      </c>
      <c r="AN23" s="334">
        <f>'CFS (Before Changes) '!AN23-'CFS 3Q2022'!AN23</f>
        <v>0</v>
      </c>
      <c r="AO23" s="334">
        <f>'CFS (Before Changes) '!AO23-'CFS 3Q2022'!AO23</f>
        <v>0</v>
      </c>
      <c r="AP23" s="334">
        <f>'CFS (Before Changes) '!AP23-'CFS 3Q2022'!AP23</f>
        <v>0</v>
      </c>
      <c r="AQ23" s="337">
        <f>'CFS (Before Changes) '!AQ23-'CFS 3Q2022'!AQ23</f>
        <v>0</v>
      </c>
      <c r="AR23" s="334">
        <f>'CFS (Before Changes) '!AR23-'CFS 3Q2022'!AR23</f>
        <v>0</v>
      </c>
      <c r="AS23" s="334">
        <f>'CFS (Before Changes) '!AS23-'CFS 3Q2022'!AS23</f>
        <v>0</v>
      </c>
      <c r="AT23" s="334">
        <f>'CFS (Before Changes) '!AT23-'CFS 3Q2022'!AT23</f>
        <v>0</v>
      </c>
      <c r="AU23" s="334">
        <f>'CFS (Before Changes) '!AU23-'CFS 3Q2022'!AU23</f>
        <v>0</v>
      </c>
      <c r="AV23" s="337">
        <f>'CFS (Before Changes) '!AV23-'CFS 3Q2022'!AV23</f>
        <v>0</v>
      </c>
    </row>
    <row r="24" spans="2:48" outlineLevel="1" x14ac:dyDescent="0.3">
      <c r="B24" s="200" t="s">
        <v>282</v>
      </c>
      <c r="C24" s="201"/>
      <c r="D24" s="16">
        <f>'CFS (Before Changes) '!D24-'CFS 3Q2022'!D24</f>
        <v>0</v>
      </c>
      <c r="E24" s="16">
        <f>'CFS (Before Changes) '!E24-'CFS 3Q2022'!E24</f>
        <v>0</v>
      </c>
      <c r="F24" s="16">
        <f>'CFS (Before Changes) '!F24-'CFS 3Q2022'!F24</f>
        <v>0</v>
      </c>
      <c r="G24" s="16">
        <f>'CFS (Before Changes) '!G24-'CFS 3Q2022'!G24</f>
        <v>0</v>
      </c>
      <c r="H24" s="17">
        <f>'CFS (Before Changes) '!H24-'CFS 3Q2022'!H24</f>
        <v>0</v>
      </c>
      <c r="I24" s="16">
        <f>'CFS (Before Changes) '!I24-'CFS 3Q2022'!I24</f>
        <v>0</v>
      </c>
      <c r="J24" s="16">
        <f>'CFS (Before Changes) '!J24-'CFS 3Q2022'!J24</f>
        <v>0</v>
      </c>
      <c r="K24" s="16">
        <f>'CFS (Before Changes) '!K24-'CFS 3Q2022'!K24</f>
        <v>0</v>
      </c>
      <c r="L24" s="16">
        <f>'CFS (Before Changes) '!L24-'CFS 3Q2022'!L24</f>
        <v>0</v>
      </c>
      <c r="M24" s="17">
        <f>'CFS (Before Changes) '!M24-'CFS 3Q2022'!M24</f>
        <v>0</v>
      </c>
      <c r="N24" s="16">
        <f>'CFS (Before Changes) '!N24-'CFS 3Q2022'!N24</f>
        <v>0</v>
      </c>
      <c r="O24" s="16">
        <f>'CFS (Before Changes) '!O24-'CFS 3Q2022'!O24</f>
        <v>0</v>
      </c>
      <c r="P24" s="16">
        <f>'CFS (Before Changes) '!P24-'CFS 3Q2022'!P24</f>
        <v>0</v>
      </c>
      <c r="Q24" s="16">
        <f>'CFS (Before Changes) '!Q24-'CFS 3Q2022'!Q24</f>
        <v>0</v>
      </c>
      <c r="R24" s="17">
        <f>'CFS (Before Changes) '!R24-'CFS 3Q2022'!R24</f>
        <v>0</v>
      </c>
      <c r="S24" s="16">
        <f>'CFS (Before Changes) '!S24-'CFS 3Q2022'!S24</f>
        <v>0</v>
      </c>
      <c r="T24" s="16">
        <f>'CFS (Before Changes) '!T24-'CFS 3Q2022'!T24</f>
        <v>0</v>
      </c>
      <c r="U24" s="16">
        <f>'CFS (Before Changes) '!U24-'CFS 3Q2022'!U24</f>
        <v>0</v>
      </c>
      <c r="V24" s="16">
        <f>'CFS (Before Changes) '!V24-'CFS 3Q2022'!V24</f>
        <v>-248.67400064183505</v>
      </c>
      <c r="W24" s="17">
        <f>'CFS (Before Changes) '!W24-'CFS 3Q2022'!W24</f>
        <v>-248.67400064183505</v>
      </c>
      <c r="X24" s="16">
        <f>'CFS (Before Changes) '!X24-'CFS 3Q2022'!X24</f>
        <v>202.06248494876664</v>
      </c>
      <c r="Y24" s="16">
        <f>'CFS (Before Changes) '!Y24-'CFS 3Q2022'!Y24</f>
        <v>-17.333441025556596</v>
      </c>
      <c r="Z24" s="16">
        <f>'CFS (Before Changes) '!Z24-'CFS 3Q2022'!Z24</f>
        <v>-24.498683189563522</v>
      </c>
      <c r="AA24" s="16">
        <f>'CFS (Before Changes) '!AA24-'CFS 3Q2022'!AA24</f>
        <v>-30.644115618876967</v>
      </c>
      <c r="AB24" s="17">
        <f>'CFS (Before Changes) '!AB24-'CFS 3Q2022'!AB24</f>
        <v>129.58624511476955</v>
      </c>
      <c r="AC24" s="16">
        <f>'CFS (Before Changes) '!AC24-'CFS 3Q2022'!AC24</f>
        <v>32.886088088077244</v>
      </c>
      <c r="AD24" s="16">
        <f>'CFS (Before Changes) '!AD24-'CFS 3Q2022'!AD24</f>
        <v>-8.703672275050252</v>
      </c>
      <c r="AE24" s="16">
        <f>'CFS (Before Changes) '!AE24-'CFS 3Q2022'!AE24</f>
        <v>-8.8642792829776766</v>
      </c>
      <c r="AF24" s="16">
        <f>'CFS (Before Changes) '!AF24-'CFS 3Q2022'!AF24</f>
        <v>-4.5233954277968706</v>
      </c>
      <c r="AG24" s="17">
        <f>'CFS (Before Changes) '!AG24-'CFS 3Q2022'!AG24</f>
        <v>10.794741102252445</v>
      </c>
      <c r="AH24" s="16">
        <f>'CFS (Before Changes) '!AH24-'CFS 3Q2022'!AH24</f>
        <v>1.7462314927411597</v>
      </c>
      <c r="AI24" s="16">
        <f>'CFS (Before Changes) '!AI24-'CFS 3Q2022'!AI24</f>
        <v>-3.0952280088852291</v>
      </c>
      <c r="AJ24" s="16">
        <f>'CFS (Before Changes) '!AJ24-'CFS 3Q2022'!AJ24</f>
        <v>-5.9843233650554168</v>
      </c>
      <c r="AK24" s="16">
        <f>'CFS (Before Changes) '!AK24-'CFS 3Q2022'!AK24</f>
        <v>20.905436040340717</v>
      </c>
      <c r="AL24" s="17">
        <f>'CFS (Before Changes) '!AL24-'CFS 3Q2022'!AL24</f>
        <v>13.572116159141231</v>
      </c>
      <c r="AM24" s="16">
        <f>'CFS (Before Changes) '!AM24-'CFS 3Q2022'!AM24</f>
        <v>-2.9656659415106219</v>
      </c>
      <c r="AN24" s="16">
        <f>'CFS (Before Changes) '!AN24-'CFS 3Q2022'!AN24</f>
        <v>-0.38345876385861288</v>
      </c>
      <c r="AO24" s="16">
        <f>'CFS (Before Changes) '!AO24-'CFS 3Q2022'!AO24</f>
        <v>-4.0325904594573814</v>
      </c>
      <c r="AP24" s="16">
        <f>'CFS (Before Changes) '!AP24-'CFS 3Q2022'!AP24</f>
        <v>-3.1330465164903529</v>
      </c>
      <c r="AQ24" s="17">
        <f>'CFS (Before Changes) '!AQ24-'CFS 3Q2022'!AQ24</f>
        <v>-10.514761681316969</v>
      </c>
      <c r="AR24" s="16">
        <f>'CFS (Before Changes) '!AR24-'CFS 3Q2022'!AR24</f>
        <v>-4.3235028939937621</v>
      </c>
      <c r="AS24" s="16">
        <f>'CFS (Before Changes) '!AS24-'CFS 3Q2022'!AS24</f>
        <v>-0.30567844869210603</v>
      </c>
      <c r="AT24" s="16">
        <f>'CFS (Before Changes) '!AT24-'CFS 3Q2022'!AT24</f>
        <v>-4.4098310927848274</v>
      </c>
      <c r="AU24" s="16">
        <f>'CFS (Before Changes) '!AU24-'CFS 3Q2022'!AU24</f>
        <v>-3.6603279704296909</v>
      </c>
      <c r="AV24" s="17">
        <f>'CFS (Before Changes) '!AV24-'CFS 3Q2022'!AV24</f>
        <v>-12.699340405900386</v>
      </c>
    </row>
    <row r="25" spans="2:48" outlineLevel="1" x14ac:dyDescent="0.3">
      <c r="B25" s="486" t="s">
        <v>283</v>
      </c>
      <c r="C25" s="487"/>
      <c r="D25" s="16">
        <f>'CFS (Before Changes) '!D25-'CFS 3Q2022'!D25</f>
        <v>0</v>
      </c>
      <c r="E25" s="16">
        <f>'CFS (Before Changes) '!E25-'CFS 3Q2022'!E25</f>
        <v>0</v>
      </c>
      <c r="F25" s="16">
        <f>'CFS (Before Changes) '!F25-'CFS 3Q2022'!F25</f>
        <v>0</v>
      </c>
      <c r="G25" s="16">
        <f>'CFS (Before Changes) '!G25-'CFS 3Q2022'!G25</f>
        <v>0</v>
      </c>
      <c r="H25" s="169">
        <f>'CFS (Before Changes) '!H25-'CFS 3Q2022'!H25</f>
        <v>0</v>
      </c>
      <c r="I25" s="16">
        <f>'CFS (Before Changes) '!I25-'CFS 3Q2022'!I25</f>
        <v>0</v>
      </c>
      <c r="J25" s="16">
        <f>'CFS (Before Changes) '!J25-'CFS 3Q2022'!J25</f>
        <v>0</v>
      </c>
      <c r="K25" s="16">
        <f>'CFS (Before Changes) '!K25-'CFS 3Q2022'!K25</f>
        <v>0</v>
      </c>
      <c r="L25" s="16">
        <f>'CFS (Before Changes) '!L25-'CFS 3Q2022'!L25</f>
        <v>0</v>
      </c>
      <c r="M25" s="169">
        <f>'CFS (Before Changes) '!M25-'CFS 3Q2022'!M25</f>
        <v>0</v>
      </c>
      <c r="N25" s="16">
        <f>'CFS (Before Changes) '!N25-'CFS 3Q2022'!N25</f>
        <v>0</v>
      </c>
      <c r="O25" s="16">
        <f>'CFS (Before Changes) '!O25-'CFS 3Q2022'!O25</f>
        <v>0</v>
      </c>
      <c r="P25" s="16">
        <f>'CFS (Before Changes) '!P25-'CFS 3Q2022'!P25</f>
        <v>0</v>
      </c>
      <c r="Q25" s="16">
        <f>'CFS (Before Changes) '!Q25-'CFS 3Q2022'!Q25</f>
        <v>0</v>
      </c>
      <c r="R25" s="169">
        <f>'CFS (Before Changes) '!R25-'CFS 3Q2022'!R25</f>
        <v>0</v>
      </c>
      <c r="S25" s="16">
        <f>'CFS (Before Changes) '!S25-'CFS 3Q2022'!S25</f>
        <v>0</v>
      </c>
      <c r="T25" s="16">
        <f>'CFS (Before Changes) '!T25-'CFS 3Q2022'!T25</f>
        <v>0</v>
      </c>
      <c r="U25" s="16">
        <f>'CFS (Before Changes) '!U25-'CFS 3Q2022'!U25</f>
        <v>0</v>
      </c>
      <c r="V25" s="16">
        <f>'CFS (Before Changes) '!V25-'CFS 3Q2022'!V25</f>
        <v>-58.358312535110656</v>
      </c>
      <c r="W25" s="169">
        <f>'CFS (Before Changes) '!W25-'CFS 3Q2022'!W25</f>
        <v>-58.358312535110599</v>
      </c>
      <c r="X25" s="16">
        <f>'CFS (Before Changes) '!X25-'CFS 3Q2022'!X25</f>
        <v>62.25898590559234</v>
      </c>
      <c r="Y25" s="16">
        <f>'CFS (Before Changes) '!Y25-'CFS 3Q2022'!Y25</f>
        <v>60.340364103234378</v>
      </c>
      <c r="Z25" s="16">
        <f>'CFS (Before Changes) '!Z25-'CFS 3Q2022'!Z25</f>
        <v>66.11574304033536</v>
      </c>
      <c r="AA25" s="16">
        <f>'CFS (Before Changes) '!AA25-'CFS 3Q2022'!AA25</f>
        <v>61.284906950837353</v>
      </c>
      <c r="AB25" s="418">
        <f>'CFS (Before Changes) '!AB25-'CFS 3Q2022'!AB25</f>
        <v>249.99999999999955</v>
      </c>
      <c r="AC25" s="16">
        <f>'CFS (Before Changes) '!AC25-'CFS 3Q2022'!AC25</f>
        <v>1.4726357732820361</v>
      </c>
      <c r="AD25" s="16">
        <f>'CFS (Before Changes) '!AD25-'CFS 3Q2022'!AD25</f>
        <v>1.4776440858978503</v>
      </c>
      <c r="AE25" s="16">
        <f>'CFS (Before Changes) '!AE25-'CFS 3Q2022'!AE25</f>
        <v>1.6645465638157475</v>
      </c>
      <c r="AF25" s="16">
        <f>'CFS (Before Changes) '!AF25-'CFS 3Q2022'!AF25</f>
        <v>-4.6148264229955203</v>
      </c>
      <c r="AG25" s="418">
        <f>'CFS (Before Changes) '!AG25-'CFS 3Q2022'!AG25</f>
        <v>0</v>
      </c>
      <c r="AH25" s="16">
        <f>'CFS (Before Changes) '!AH25-'CFS 3Q2022'!AH25</f>
        <v>1.3917919043062739</v>
      </c>
      <c r="AI25" s="16">
        <f>'CFS (Before Changes) '!AI25-'CFS 3Q2022'!AI25</f>
        <v>1.3922090847127038</v>
      </c>
      <c r="AJ25" s="16">
        <f>'CFS (Before Changes) '!AJ25-'CFS 3Q2022'!AJ25</f>
        <v>1.5727060457303423</v>
      </c>
      <c r="AK25" s="16">
        <f>'CFS (Before Changes) '!AK25-'CFS 3Q2022'!AK25</f>
        <v>-4.3567070347572781</v>
      </c>
      <c r="AL25" s="418">
        <f>'CFS (Before Changes) '!AL25-'CFS 3Q2022'!AL25</f>
        <v>-7.73070496506989E-12</v>
      </c>
      <c r="AM25" s="16">
        <f>'CFS (Before Changes) '!AM25-'CFS 3Q2022'!AM25</f>
        <v>1.7381868030500982</v>
      </c>
      <c r="AN25" s="16">
        <f>'CFS (Before Changes) '!AN25-'CFS 3Q2022'!AN25</f>
        <v>1.6942455150282285</v>
      </c>
      <c r="AO25" s="16">
        <f>'CFS (Before Changes) '!AO25-'CFS 3Q2022'!AO25</f>
        <v>1.8833700481499136</v>
      </c>
      <c r="AP25" s="16">
        <f>'CFS (Before Changes) '!AP25-'CFS 3Q2022'!AP25</f>
        <v>-4.2815598690888237</v>
      </c>
      <c r="AQ25" s="17">
        <f>'CFS (Before Changes) '!AQ25-'CFS 3Q2022'!AQ25</f>
        <v>1.0342424971395303</v>
      </c>
      <c r="AR25" s="16">
        <f>'CFS (Before Changes) '!AR25-'CFS 3Q2022'!AR25</f>
        <v>2.0032892829651701</v>
      </c>
      <c r="AS25" s="16">
        <f>'CFS (Before Changes) '!AS25-'CFS 3Q2022'!AS25</f>
        <v>1.9408497181779012</v>
      </c>
      <c r="AT25" s="16">
        <f>'CFS (Before Changes) '!AT25-'CFS 3Q2022'!AT25</f>
        <v>2.1524142424719912</v>
      </c>
      <c r="AU25" s="16">
        <f>'CFS (Before Changes) '!AU25-'CFS 3Q2022'!AU25</f>
        <v>-4.1065444546558183</v>
      </c>
      <c r="AV25" s="17">
        <f>'CFS (Before Changes) '!AV25-'CFS 3Q2022'!AV25</f>
        <v>1.9900087889591305</v>
      </c>
    </row>
    <row r="26" spans="2:48" ht="16.2" outlineLevel="1" x14ac:dyDescent="0.45">
      <c r="B26" s="486" t="s">
        <v>284</v>
      </c>
      <c r="C26" s="487"/>
      <c r="D26" s="260">
        <f>'CFS (Before Changes) '!D26-'CFS 3Q2022'!D26</f>
        <v>0</v>
      </c>
      <c r="E26" s="260">
        <f>'CFS (Before Changes) '!E26-'CFS 3Q2022'!E26</f>
        <v>0</v>
      </c>
      <c r="F26" s="260">
        <f>'CFS (Before Changes) '!F26-'CFS 3Q2022'!F26</f>
        <v>0</v>
      </c>
      <c r="G26" s="260">
        <f>'CFS (Before Changes) '!G26-'CFS 3Q2022'!G26</f>
        <v>0</v>
      </c>
      <c r="H26" s="261">
        <f>'CFS (Before Changes) '!H26-'CFS 3Q2022'!H26</f>
        <v>0</v>
      </c>
      <c r="I26" s="260">
        <f>'CFS (Before Changes) '!I26-'CFS 3Q2022'!I26</f>
        <v>0</v>
      </c>
      <c r="J26" s="260">
        <f>'CFS (Before Changes) '!J26-'CFS 3Q2022'!J26</f>
        <v>0</v>
      </c>
      <c r="K26" s="260">
        <f>'CFS (Before Changes) '!K26-'CFS 3Q2022'!K26</f>
        <v>0</v>
      </c>
      <c r="L26" s="260">
        <f>'CFS (Before Changes) '!L26-'CFS 3Q2022'!L26</f>
        <v>0</v>
      </c>
      <c r="M26" s="261">
        <f>'CFS (Before Changes) '!M26-'CFS 3Q2022'!M26</f>
        <v>0</v>
      </c>
      <c r="N26" s="260">
        <f>'CFS (Before Changes) '!N26-'CFS 3Q2022'!N26</f>
        <v>0</v>
      </c>
      <c r="O26" s="260">
        <f>'CFS (Before Changes) '!O26-'CFS 3Q2022'!O26</f>
        <v>0</v>
      </c>
      <c r="P26" s="260">
        <f>'CFS (Before Changes) '!P26-'CFS 3Q2022'!P26</f>
        <v>0</v>
      </c>
      <c r="Q26" s="260">
        <f>'CFS (Before Changes) '!Q26-'CFS 3Q2022'!Q26</f>
        <v>0</v>
      </c>
      <c r="R26" s="261">
        <f>'CFS (Before Changes) '!R26-'CFS 3Q2022'!R26</f>
        <v>0</v>
      </c>
      <c r="S26" s="260">
        <f>'CFS (Before Changes) '!S26-'CFS 3Q2022'!S26</f>
        <v>0</v>
      </c>
      <c r="T26" s="260">
        <f>'CFS (Before Changes) '!T26-'CFS 3Q2022'!T26</f>
        <v>0</v>
      </c>
      <c r="U26" s="260">
        <f>'CFS (Before Changes) '!U26-'CFS 3Q2022'!U26</f>
        <v>0</v>
      </c>
      <c r="V26" s="260">
        <f>'CFS (Before Changes) '!V26-'CFS 3Q2022'!V26</f>
        <v>7.0538439191659776</v>
      </c>
      <c r="W26" s="261">
        <f>'CFS (Before Changes) '!W26-'CFS 3Q2022'!W26</f>
        <v>7.0538439191659847</v>
      </c>
      <c r="X26" s="260">
        <f>'CFS (Before Changes) '!X26-'CFS 3Q2022'!X26</f>
        <v>1.1831896940625768</v>
      </c>
      <c r="Y26" s="260">
        <f>'CFS (Before Changes) '!Y26-'CFS 3Q2022'!Y26</f>
        <v>-3.2101821095877767</v>
      </c>
      <c r="Z26" s="260">
        <f>'CFS (Before Changes) '!Z26-'CFS 3Q2022'!Z26</f>
        <v>-0.80606767658915146</v>
      </c>
      <c r="AA26" s="260">
        <f>'CFS (Before Changes) '!AA26-'CFS 3Q2022'!AA26</f>
        <v>-2.8293077144884649</v>
      </c>
      <c r="AB26" s="261">
        <f>'CFS (Before Changes) '!AB26-'CFS 3Q2022'!AB26</f>
        <v>-5.6623678066028162</v>
      </c>
      <c r="AC26" s="260">
        <f>'CFS (Before Changes) '!AC26-'CFS 3Q2022'!AC26</f>
        <v>1.9450956771919437</v>
      </c>
      <c r="AD26" s="260">
        <f>'CFS (Before Changes) '!AD26-'CFS 3Q2022'!AD26</f>
        <v>-2.5005649532567702</v>
      </c>
      <c r="AE26" s="260">
        <f>'CFS (Before Changes) '!AE26-'CFS 3Q2022'!AE26</f>
        <v>-0.24738549257241971</v>
      </c>
      <c r="AF26" s="260">
        <f>'CFS (Before Changes) '!AF26-'CFS 3Q2022'!AF26</f>
        <v>-2.0472225558091424</v>
      </c>
      <c r="AG26" s="261">
        <f>'CFS (Before Changes) '!AG26-'CFS 3Q2022'!AG26</f>
        <v>-2.8500773244463886</v>
      </c>
      <c r="AH26" s="260">
        <f>'CFS (Before Changes) '!AH26-'CFS 3Q2022'!AH26</f>
        <v>2.9916529213386553</v>
      </c>
      <c r="AI26" s="260">
        <f>'CFS (Before Changes) '!AI26-'CFS 3Q2022'!AI26</f>
        <v>-1.9231001633572049</v>
      </c>
      <c r="AJ26" s="260">
        <f>'CFS (Before Changes) '!AJ26-'CFS 3Q2022'!AJ26</f>
        <v>1.6227380252703938</v>
      </c>
      <c r="AK26" s="260">
        <f>'CFS (Before Changes) '!AK26-'CFS 3Q2022'!AK26</f>
        <v>-11.659341830776597</v>
      </c>
      <c r="AL26" s="261">
        <f>'CFS (Before Changes) '!AL26-'CFS 3Q2022'!AL26</f>
        <v>-8.968051047524753</v>
      </c>
      <c r="AM26" s="260">
        <f>'CFS (Before Changes) '!AM26-'CFS 3Q2022'!AM26</f>
        <v>3.6604157560296713</v>
      </c>
      <c r="AN26" s="260">
        <f>'CFS (Before Changes) '!AN26-'CFS 3Q2022'!AN26</f>
        <v>-1.8895837890557559</v>
      </c>
      <c r="AO26" s="260">
        <f>'CFS (Before Changes) '!AO26-'CFS 3Q2022'!AO26</f>
        <v>1.3212676208826437</v>
      </c>
      <c r="AP26" s="260">
        <f>'CFS (Before Changes) '!AP26-'CFS 3Q2022'!AP26</f>
        <v>-1.2704905899410761</v>
      </c>
      <c r="AQ26" s="261">
        <f>'CFS (Before Changes) '!AQ26-'CFS 3Q2022'!AQ26</f>
        <v>1.821608997915483</v>
      </c>
      <c r="AR26" s="260">
        <f>'CFS (Before Changes) '!AR26-'CFS 3Q2022'!AR26</f>
        <v>4.2914374576842391</v>
      </c>
      <c r="AS26" s="260">
        <f>'CFS (Before Changes) '!AS26-'CFS 3Q2022'!AS26</f>
        <v>-1.4556680150904739</v>
      </c>
      <c r="AT26" s="260">
        <f>'CFS (Before Changes) '!AT26-'CFS 3Q2022'!AT26</f>
        <v>1.8828178138255289</v>
      </c>
      <c r="AU26" s="260">
        <f>'CFS (Before Changes) '!AU26-'CFS 3Q2022'!AU26</f>
        <v>-0.83265824093148666</v>
      </c>
      <c r="AV26" s="261">
        <f>'CFS (Before Changes) '!AV26-'CFS 3Q2022'!AV26</f>
        <v>3.8859290154878039</v>
      </c>
    </row>
    <row r="27" spans="2:48" outlineLevel="1" x14ac:dyDescent="0.3">
      <c r="B27" s="500" t="s">
        <v>285</v>
      </c>
      <c r="C27" s="501"/>
      <c r="D27" s="21">
        <f>'CFS (Before Changes) '!D27-'CFS 3Q2022'!D27</f>
        <v>0</v>
      </c>
      <c r="E27" s="21">
        <f>'CFS (Before Changes) '!E27-'CFS 3Q2022'!E27</f>
        <v>0</v>
      </c>
      <c r="F27" s="21">
        <f>'CFS (Before Changes) '!F27-'CFS 3Q2022'!F27</f>
        <v>0</v>
      </c>
      <c r="G27" s="21">
        <f>'CFS (Before Changes) '!G27-'CFS 3Q2022'!G27</f>
        <v>0</v>
      </c>
      <c r="H27" s="22">
        <f>'CFS (Before Changes) '!H27-'CFS 3Q2022'!H27</f>
        <v>0</v>
      </c>
      <c r="I27" s="21">
        <f>'CFS (Before Changes) '!I27-'CFS 3Q2022'!I27</f>
        <v>0</v>
      </c>
      <c r="J27" s="21">
        <f>'CFS (Before Changes) '!J27-'CFS 3Q2022'!J27</f>
        <v>0</v>
      </c>
      <c r="K27" s="21">
        <f>'CFS (Before Changes) '!K27-'CFS 3Q2022'!K27</f>
        <v>0</v>
      </c>
      <c r="L27" s="21">
        <f>'CFS (Before Changes) '!L27-'CFS 3Q2022'!L27</f>
        <v>0</v>
      </c>
      <c r="M27" s="22">
        <f>'CFS (Before Changes) '!M27-'CFS 3Q2022'!M27</f>
        <v>0</v>
      </c>
      <c r="N27" s="21">
        <f>'CFS (Before Changes) '!N27-'CFS 3Q2022'!N27</f>
        <v>0</v>
      </c>
      <c r="O27" s="21">
        <f>'CFS (Before Changes) '!O27-'CFS 3Q2022'!O27</f>
        <v>0</v>
      </c>
      <c r="P27" s="21">
        <f>'CFS (Before Changes) '!P27-'CFS 3Q2022'!P27</f>
        <v>0</v>
      </c>
      <c r="Q27" s="21">
        <f>'CFS (Before Changes) '!Q27-'CFS 3Q2022'!Q27</f>
        <v>0</v>
      </c>
      <c r="R27" s="22">
        <f>'CFS (Before Changes) '!R27-'CFS 3Q2022'!R27</f>
        <v>0</v>
      </c>
      <c r="S27" s="21">
        <f>'CFS (Before Changes) '!S27-'CFS 3Q2022'!S27</f>
        <v>0</v>
      </c>
      <c r="T27" s="21">
        <f>'CFS (Before Changes) '!T27-'CFS 3Q2022'!T27</f>
        <v>0</v>
      </c>
      <c r="U27" s="21">
        <f>'CFS (Before Changes) '!U27-'CFS 3Q2022'!U27</f>
        <v>0</v>
      </c>
      <c r="V27" s="21">
        <f>'CFS (Before Changes) '!V27-'CFS 3Q2022'!V27</f>
        <v>-299.97846925777975</v>
      </c>
      <c r="W27" s="22">
        <f>'CFS (Before Changes) '!W27-'CFS 3Q2022'!W27</f>
        <v>-299.97846925777958</v>
      </c>
      <c r="X27" s="21">
        <f>'CFS (Before Changes) '!X27-'CFS 3Q2022'!X27</f>
        <v>265.50466054842161</v>
      </c>
      <c r="Y27" s="21">
        <f>'CFS (Before Changes) '!Y27-'CFS 3Q2022'!Y27</f>
        <v>39.796740968090035</v>
      </c>
      <c r="Z27" s="21">
        <f>'CFS (Before Changes) '!Z27-'CFS 3Q2022'!Z27</f>
        <v>40.810992174182729</v>
      </c>
      <c r="AA27" s="21">
        <f>'CFS (Before Changes) '!AA27-'CFS 3Q2022'!AA27</f>
        <v>27.811483617472049</v>
      </c>
      <c r="AB27" s="22">
        <f>'CFS (Before Changes) '!AB27-'CFS 3Q2022'!AB27</f>
        <v>373.92387730816608</v>
      </c>
      <c r="AC27" s="21">
        <f>'CFS (Before Changes) '!AC27-'CFS 3Q2022'!AC27</f>
        <v>36.303819538551124</v>
      </c>
      <c r="AD27" s="21">
        <f>'CFS (Before Changes) '!AD27-'CFS 3Q2022'!AD27</f>
        <v>-9.7265931424092287</v>
      </c>
      <c r="AE27" s="21">
        <f>'CFS (Before Changes) '!AE27-'CFS 3Q2022'!AE27</f>
        <v>-7.4471182117343915</v>
      </c>
      <c r="AF27" s="21">
        <f>'CFS (Before Changes) '!AF27-'CFS 3Q2022'!AF27</f>
        <v>-11.185444406601619</v>
      </c>
      <c r="AG27" s="22">
        <f>'CFS (Before Changes) '!AG27-'CFS 3Q2022'!AG27</f>
        <v>7.9446637778059994</v>
      </c>
      <c r="AH27" s="21">
        <f>'CFS (Before Changes) '!AH27-'CFS 3Q2022'!AH27</f>
        <v>6.1296763183861458</v>
      </c>
      <c r="AI27" s="21">
        <f>'CFS (Before Changes) '!AI27-'CFS 3Q2022'!AI27</f>
        <v>-3.6261190875296734</v>
      </c>
      <c r="AJ27" s="21">
        <f>'CFS (Before Changes) '!AJ27-'CFS 3Q2022'!AJ27</f>
        <v>-2.7888792940547091</v>
      </c>
      <c r="AK27" s="21">
        <f>'CFS (Before Changes) '!AK27-'CFS 3Q2022'!AK27</f>
        <v>4.8893871748069841</v>
      </c>
      <c r="AL27" s="22">
        <f>'CFS (Before Changes) '!AL27-'CFS 3Q2022'!AL27</f>
        <v>4.6040651116086337</v>
      </c>
      <c r="AM27" s="21">
        <f>'CFS (Before Changes) '!AM27-'CFS 3Q2022'!AM27</f>
        <v>2.4329366175691121</v>
      </c>
      <c r="AN27" s="21">
        <f>'CFS (Before Changes) '!AN27-'CFS 3Q2022'!AN27</f>
        <v>-0.57879703788614734</v>
      </c>
      <c r="AO27" s="21">
        <f>'CFS (Before Changes) '!AO27-'CFS 3Q2022'!AO27</f>
        <v>-0.82795279042477432</v>
      </c>
      <c r="AP27" s="21">
        <f>'CFS (Before Changes) '!AP27-'CFS 3Q2022'!AP27</f>
        <v>-8.6850969755203096</v>
      </c>
      <c r="AQ27" s="22">
        <f>'CFS (Before Changes) '!AQ27-'CFS 3Q2022'!AQ27</f>
        <v>-7.6589101862618918</v>
      </c>
      <c r="AR27" s="21">
        <f>'CFS (Before Changes) '!AR27-'CFS 3Q2022'!AR27</f>
        <v>1.9712238466556755</v>
      </c>
      <c r="AS27" s="21">
        <f>'CFS (Before Changes) '!AS27-'CFS 3Q2022'!AS27</f>
        <v>0.17950325439539938</v>
      </c>
      <c r="AT27" s="21">
        <f>'CFS (Before Changes) '!AT27-'CFS 3Q2022'!AT27</f>
        <v>-0.37459903648721138</v>
      </c>
      <c r="AU27" s="21">
        <f>'CFS (Before Changes) '!AU27-'CFS 3Q2022'!AU27</f>
        <v>-8.5995306660169035</v>
      </c>
      <c r="AV27" s="22">
        <f>'CFS (Before Changes) '!AV27-'CFS 3Q2022'!AV27</f>
        <v>-6.8234026014533811</v>
      </c>
    </row>
    <row r="28" spans="2:48" outlineLevel="1" x14ac:dyDescent="0.3">
      <c r="B28" s="542" t="s">
        <v>286</v>
      </c>
      <c r="C28" s="543"/>
      <c r="D28" s="321">
        <f>'CFS (Before Changes) '!D28-'CFS 3Q2022'!D28</f>
        <v>0</v>
      </c>
      <c r="E28" s="323">
        <f>'CFS (Before Changes) '!E28-'CFS 3Q2022'!E28</f>
        <v>0</v>
      </c>
      <c r="F28" s="323">
        <f>'CFS (Before Changes) '!F28-'CFS 3Q2022'!F28</f>
        <v>0</v>
      </c>
      <c r="G28" s="323">
        <f>'CFS (Before Changes) '!G28-'CFS 3Q2022'!G28</f>
        <v>0</v>
      </c>
      <c r="H28" s="324">
        <f>'CFS (Before Changes) '!H28-'CFS 3Q2022'!H28</f>
        <v>0</v>
      </c>
      <c r="I28" s="323">
        <f>'CFS (Before Changes) '!I28-'CFS 3Q2022'!I28</f>
        <v>0</v>
      </c>
      <c r="J28" s="323">
        <f>'CFS (Before Changes) '!J28-'CFS 3Q2022'!J28</f>
        <v>0</v>
      </c>
      <c r="K28" s="323">
        <f>'CFS (Before Changes) '!K28-'CFS 3Q2022'!K28</f>
        <v>0</v>
      </c>
      <c r="L28" s="323">
        <f>'CFS (Before Changes) '!L28-'CFS 3Q2022'!L28</f>
        <v>0</v>
      </c>
      <c r="M28" s="324">
        <f>'CFS (Before Changes) '!M28-'CFS 3Q2022'!M28</f>
        <v>0</v>
      </c>
      <c r="N28" s="323">
        <f>'CFS (Before Changes) '!N28-'CFS 3Q2022'!N28</f>
        <v>0</v>
      </c>
      <c r="O28" s="323">
        <f>'CFS (Before Changes) '!O28-'CFS 3Q2022'!O28</f>
        <v>0</v>
      </c>
      <c r="P28" s="323">
        <f>'CFS (Before Changes) '!P28-'CFS 3Q2022'!P28</f>
        <v>0</v>
      </c>
      <c r="Q28" s="323">
        <f>'CFS (Before Changes) '!Q28-'CFS 3Q2022'!Q28</f>
        <v>0</v>
      </c>
      <c r="R28" s="324">
        <f>'CFS (Before Changes) '!R28-'CFS 3Q2022'!R28</f>
        <v>0</v>
      </c>
      <c r="S28" s="323">
        <f>'CFS (Before Changes) '!S28-'CFS 3Q2022'!S28</f>
        <v>0</v>
      </c>
      <c r="T28" s="323">
        <f>'CFS (Before Changes) '!T28-'CFS 3Q2022'!T28</f>
        <v>0</v>
      </c>
      <c r="U28" s="323">
        <f>'CFS (Before Changes) '!U28-'CFS 3Q2022'!U28</f>
        <v>0</v>
      </c>
      <c r="V28" s="323">
        <f>'CFS (Before Changes) '!V28-'CFS 3Q2022'!V28</f>
        <v>0</v>
      </c>
      <c r="W28" s="324">
        <f>'CFS (Before Changes) '!W28-'CFS 3Q2022'!W28</f>
        <v>0</v>
      </c>
      <c r="X28" s="323">
        <f>'CFS (Before Changes) '!X28-'CFS 3Q2022'!X28</f>
        <v>0</v>
      </c>
      <c r="Y28" s="323">
        <f>'CFS (Before Changes) '!Y28-'CFS 3Q2022'!Y28</f>
        <v>0</v>
      </c>
      <c r="Z28" s="323">
        <f>'CFS (Before Changes) '!Z28-'CFS 3Q2022'!Z28</f>
        <v>0</v>
      </c>
      <c r="AA28" s="323">
        <f>'CFS (Before Changes) '!AA28-'CFS 3Q2022'!AA28</f>
        <v>0</v>
      </c>
      <c r="AB28" s="324">
        <f>'CFS (Before Changes) '!AB28-'CFS 3Q2022'!AB28</f>
        <v>0</v>
      </c>
      <c r="AC28" s="323">
        <f>'CFS (Before Changes) '!AC28-'CFS 3Q2022'!AC28</f>
        <v>0</v>
      </c>
      <c r="AD28" s="323">
        <f>'CFS (Before Changes) '!AD28-'CFS 3Q2022'!AD28</f>
        <v>0</v>
      </c>
      <c r="AE28" s="323">
        <f>'CFS (Before Changes) '!AE28-'CFS 3Q2022'!AE28</f>
        <v>0</v>
      </c>
      <c r="AF28" s="323">
        <f>'CFS (Before Changes) '!AF28-'CFS 3Q2022'!AF28</f>
        <v>0</v>
      </c>
      <c r="AG28" s="324">
        <f>'CFS (Before Changes) '!AG28-'CFS 3Q2022'!AG28</f>
        <v>0</v>
      </c>
      <c r="AH28" s="323">
        <f>'CFS (Before Changes) '!AH28-'CFS 3Q2022'!AH28</f>
        <v>0</v>
      </c>
      <c r="AI28" s="323">
        <f>'CFS (Before Changes) '!AI28-'CFS 3Q2022'!AI28</f>
        <v>0</v>
      </c>
      <c r="AJ28" s="323">
        <f>'CFS (Before Changes) '!AJ28-'CFS 3Q2022'!AJ28</f>
        <v>0</v>
      </c>
      <c r="AK28" s="323">
        <f>'CFS (Before Changes) '!AK28-'CFS 3Q2022'!AK28</f>
        <v>0</v>
      </c>
      <c r="AL28" s="324">
        <f>'CFS (Before Changes) '!AL28-'CFS 3Q2022'!AL28</f>
        <v>0</v>
      </c>
      <c r="AM28" s="323">
        <f>'CFS (Before Changes) '!AM28-'CFS 3Q2022'!AM28</f>
        <v>0</v>
      </c>
      <c r="AN28" s="323">
        <f>'CFS (Before Changes) '!AN28-'CFS 3Q2022'!AN28</f>
        <v>0</v>
      </c>
      <c r="AO28" s="323">
        <f>'CFS (Before Changes) '!AO28-'CFS 3Q2022'!AO28</f>
        <v>0</v>
      </c>
      <c r="AP28" s="323">
        <f>'CFS (Before Changes) '!AP28-'CFS 3Q2022'!AP28</f>
        <v>0</v>
      </c>
      <c r="AQ28" s="324">
        <f>'CFS (Before Changes) '!AQ28-'CFS 3Q2022'!AQ28</f>
        <v>0</v>
      </c>
      <c r="AR28" s="323">
        <f>'CFS (Before Changes) '!AR28-'CFS 3Q2022'!AR28</f>
        <v>0</v>
      </c>
      <c r="AS28" s="323">
        <f>'CFS (Before Changes) '!AS28-'CFS 3Q2022'!AS28</f>
        <v>0</v>
      </c>
      <c r="AT28" s="323">
        <f>'CFS (Before Changes) '!AT28-'CFS 3Q2022'!AT28</f>
        <v>0</v>
      </c>
      <c r="AU28" s="323">
        <f>'CFS (Before Changes) '!AU28-'CFS 3Q2022'!AU28</f>
        <v>0</v>
      </c>
      <c r="AV28" s="324">
        <f>'CFS (Before Changes) '!AV28-'CFS 3Q2022'!AV28</f>
        <v>0</v>
      </c>
    </row>
    <row r="29" spans="2:48" outlineLevel="1" x14ac:dyDescent="0.3">
      <c r="B29" s="538" t="s">
        <v>263</v>
      </c>
      <c r="C29" s="539"/>
      <c r="D29" s="327">
        <f>'CFS (Before Changes) '!D29-'CFS 3Q2022'!D29</f>
        <v>0</v>
      </c>
      <c r="E29" s="327">
        <f>'CFS (Before Changes) '!E29-'CFS 3Q2022'!E29</f>
        <v>0</v>
      </c>
      <c r="F29" s="327">
        <f>'CFS (Before Changes) '!F29-'CFS 3Q2022'!F29</f>
        <v>0</v>
      </c>
      <c r="G29" s="327">
        <f>'CFS (Before Changes) '!G29-'CFS 3Q2022'!G29</f>
        <v>0</v>
      </c>
      <c r="H29" s="328">
        <f>'CFS (Before Changes) '!H29-'CFS 3Q2022'!H29</f>
        <v>0</v>
      </c>
      <c r="I29" s="327">
        <f>'CFS (Before Changes) '!I29-'CFS 3Q2022'!I29</f>
        <v>0</v>
      </c>
      <c r="J29" s="327">
        <f>'CFS (Before Changes) '!J29-'CFS 3Q2022'!J29</f>
        <v>0</v>
      </c>
      <c r="K29" s="327">
        <f>'CFS (Before Changes) '!K29-'CFS 3Q2022'!K29</f>
        <v>0</v>
      </c>
      <c r="L29" s="327">
        <f>'CFS (Before Changes) '!L29-'CFS 3Q2022'!L29</f>
        <v>0</v>
      </c>
      <c r="M29" s="328">
        <f>'CFS (Before Changes) '!M29-'CFS 3Q2022'!M29</f>
        <v>0</v>
      </c>
      <c r="N29" s="327">
        <f>'CFS (Before Changes) '!N29-'CFS 3Q2022'!N29</f>
        <v>0</v>
      </c>
      <c r="O29" s="327">
        <f>'CFS (Before Changes) '!O29-'CFS 3Q2022'!O29</f>
        <v>0</v>
      </c>
      <c r="P29" s="327">
        <f>'CFS (Before Changes) '!P29-'CFS 3Q2022'!P29</f>
        <v>0</v>
      </c>
      <c r="Q29" s="327">
        <f>'CFS (Before Changes) '!Q29-'CFS 3Q2022'!Q29</f>
        <v>0</v>
      </c>
      <c r="R29" s="328">
        <f>'CFS (Before Changes) '!R29-'CFS 3Q2022'!R29</f>
        <v>0</v>
      </c>
      <c r="S29" s="327">
        <f>'CFS (Before Changes) '!S29-'CFS 3Q2022'!S29</f>
        <v>0</v>
      </c>
      <c r="T29" s="327">
        <f>'CFS (Before Changes) '!T29-'CFS 3Q2022'!T29</f>
        <v>0</v>
      </c>
      <c r="U29" s="327">
        <f>'CFS (Before Changes) '!U29-'CFS 3Q2022'!U29</f>
        <v>0</v>
      </c>
      <c r="V29" s="327">
        <f>'CFS (Before Changes) '!V29-'CFS 3Q2022'!V29</f>
        <v>-1039.9000000000001</v>
      </c>
      <c r="W29" s="328">
        <f>'CFS (Before Changes) '!W29-'CFS 3Q2022'!W29</f>
        <v>-1039.9000000000001</v>
      </c>
      <c r="X29" s="327">
        <f>'CFS (Before Changes) '!X29-'CFS 3Q2022'!X29</f>
        <v>0</v>
      </c>
      <c r="Y29" s="327">
        <f>'CFS (Before Changes) '!Y29-'CFS 3Q2022'!Y29</f>
        <v>0</v>
      </c>
      <c r="Z29" s="327">
        <f>'CFS (Before Changes) '!Z29-'CFS 3Q2022'!Z29</f>
        <v>0</v>
      </c>
      <c r="AA29" s="327">
        <f>'CFS (Before Changes) '!AA29-'CFS 3Q2022'!AA29</f>
        <v>0</v>
      </c>
      <c r="AB29" s="328">
        <f>'CFS (Before Changes) '!AB29-'CFS 3Q2022'!AB29</f>
        <v>0</v>
      </c>
      <c r="AC29" s="327">
        <f>'CFS (Before Changes) '!AC29-'CFS 3Q2022'!AC29</f>
        <v>0</v>
      </c>
      <c r="AD29" s="327">
        <f>'CFS (Before Changes) '!AD29-'CFS 3Q2022'!AD29</f>
        <v>0</v>
      </c>
      <c r="AE29" s="327">
        <f>'CFS (Before Changes) '!AE29-'CFS 3Q2022'!AE29</f>
        <v>0</v>
      </c>
      <c r="AF29" s="327">
        <f>'CFS (Before Changes) '!AF29-'CFS 3Q2022'!AF29</f>
        <v>0</v>
      </c>
      <c r="AG29" s="328">
        <f>'CFS (Before Changes) '!AG29-'CFS 3Q2022'!AG29</f>
        <v>0</v>
      </c>
      <c r="AH29" s="327">
        <f>'CFS (Before Changes) '!AH29-'CFS 3Q2022'!AH29</f>
        <v>0</v>
      </c>
      <c r="AI29" s="327">
        <f>'CFS (Before Changes) '!AI29-'CFS 3Q2022'!AI29</f>
        <v>0</v>
      </c>
      <c r="AJ29" s="327">
        <f>'CFS (Before Changes) '!AJ29-'CFS 3Q2022'!AJ29</f>
        <v>251.38281446409928</v>
      </c>
      <c r="AK29" s="327">
        <f>'CFS (Before Changes) '!AK29-'CFS 3Q2022'!AK29</f>
        <v>0</v>
      </c>
      <c r="AL29" s="328">
        <f>'CFS (Before Changes) '!AL29-'CFS 3Q2022'!AL29</f>
        <v>251.38281446409928</v>
      </c>
      <c r="AM29" s="327">
        <f>'CFS (Before Changes) '!AM29-'CFS 3Q2022'!AM29</f>
        <v>0</v>
      </c>
      <c r="AN29" s="327">
        <f>'CFS (Before Changes) '!AN29-'CFS 3Q2022'!AN29</f>
        <v>0</v>
      </c>
      <c r="AO29" s="327">
        <f>'CFS (Before Changes) '!AO29-'CFS 3Q2022'!AO29</f>
        <v>0</v>
      </c>
      <c r="AP29" s="327">
        <f>'CFS (Before Changes) '!AP29-'CFS 3Q2022'!AP29</f>
        <v>0</v>
      </c>
      <c r="AQ29" s="328">
        <f>'CFS (Before Changes) '!AQ29-'CFS 3Q2022'!AQ29</f>
        <v>0</v>
      </c>
      <c r="AR29" s="327">
        <f>'CFS (Before Changes) '!AR29-'CFS 3Q2022'!AR29</f>
        <v>0</v>
      </c>
      <c r="AS29" s="327">
        <f>'CFS (Before Changes) '!AS29-'CFS 3Q2022'!AS29</f>
        <v>0</v>
      </c>
      <c r="AT29" s="327">
        <f>'CFS (Before Changes) '!AT29-'CFS 3Q2022'!AT29</f>
        <v>0</v>
      </c>
      <c r="AU29" s="327">
        <f>'CFS (Before Changes) '!AU29-'CFS 3Q2022'!AU29</f>
        <v>0</v>
      </c>
      <c r="AV29" s="328">
        <f>'CFS (Before Changes) '!AV29-'CFS 3Q2022'!AV29</f>
        <v>0</v>
      </c>
    </row>
    <row r="30" spans="2:48" outlineLevel="1" x14ac:dyDescent="0.3">
      <c r="B30" s="325" t="s">
        <v>287</v>
      </c>
      <c r="C30" s="326"/>
      <c r="D30" s="327">
        <f>'CFS (Before Changes) '!D30-'CFS 3Q2022'!D30</f>
        <v>0</v>
      </c>
      <c r="E30" s="327">
        <f>'CFS (Before Changes) '!E30-'CFS 3Q2022'!E30</f>
        <v>0</v>
      </c>
      <c r="F30" s="327">
        <f>'CFS (Before Changes) '!F30-'CFS 3Q2022'!F30</f>
        <v>0</v>
      </c>
      <c r="G30" s="327">
        <f>'CFS (Before Changes) '!G30-'CFS 3Q2022'!G30</f>
        <v>0</v>
      </c>
      <c r="H30" s="328">
        <f>'CFS (Before Changes) '!H30-'CFS 3Q2022'!H30</f>
        <v>0</v>
      </c>
      <c r="I30" s="327">
        <f>'CFS (Before Changes) '!I30-'CFS 3Q2022'!I30</f>
        <v>0</v>
      </c>
      <c r="J30" s="327">
        <f>'CFS (Before Changes) '!J30-'CFS 3Q2022'!J30</f>
        <v>0</v>
      </c>
      <c r="K30" s="327">
        <f>'CFS (Before Changes) '!K30-'CFS 3Q2022'!K30</f>
        <v>0</v>
      </c>
      <c r="L30" s="327">
        <f>'CFS (Before Changes) '!L30-'CFS 3Q2022'!L30</f>
        <v>0</v>
      </c>
      <c r="M30" s="328">
        <f>'CFS (Before Changes) '!M30-'CFS 3Q2022'!M30</f>
        <v>0</v>
      </c>
      <c r="N30" s="327">
        <f>'CFS (Before Changes) '!N30-'CFS 3Q2022'!N30</f>
        <v>0</v>
      </c>
      <c r="O30" s="327">
        <f>'CFS (Before Changes) '!O30-'CFS 3Q2022'!O30</f>
        <v>0</v>
      </c>
      <c r="P30" s="327">
        <f>'CFS (Before Changes) '!P30-'CFS 3Q2022'!P30</f>
        <v>0</v>
      </c>
      <c r="Q30" s="327">
        <f>'CFS (Before Changes) '!Q30-'CFS 3Q2022'!Q30</f>
        <v>0</v>
      </c>
      <c r="R30" s="328">
        <f>'CFS (Before Changes) '!R30-'CFS 3Q2022'!R30</f>
        <v>0</v>
      </c>
      <c r="S30" s="327">
        <f>'CFS (Before Changes) '!S30-'CFS 3Q2022'!S30</f>
        <v>0</v>
      </c>
      <c r="T30" s="327">
        <f>'CFS (Before Changes) '!T30-'CFS 3Q2022'!T30</f>
        <v>0</v>
      </c>
      <c r="U30" s="327">
        <f>'CFS (Before Changes) '!U30-'CFS 3Q2022'!U30</f>
        <v>0</v>
      </c>
      <c r="V30" s="327">
        <f>'CFS (Before Changes) '!V30-'CFS 3Q2022'!V30</f>
        <v>1213.9000000000001</v>
      </c>
      <c r="W30" s="328">
        <f>'CFS (Before Changes) '!W30-'CFS 3Q2022'!W30</f>
        <v>1213.9000000000001</v>
      </c>
      <c r="X30" s="327">
        <f>'CFS (Before Changes) '!X30-'CFS 3Q2022'!X30</f>
        <v>0</v>
      </c>
      <c r="Y30" s="327">
        <f>'CFS (Before Changes) '!Y30-'CFS 3Q2022'!Y30</f>
        <v>0</v>
      </c>
      <c r="Z30" s="327">
        <f>'CFS (Before Changes) '!Z30-'CFS 3Q2022'!Z30</f>
        <v>0</v>
      </c>
      <c r="AA30" s="327">
        <f>'CFS (Before Changes) '!AA30-'CFS 3Q2022'!AA30</f>
        <v>0</v>
      </c>
      <c r="AB30" s="328">
        <f>'CFS (Before Changes) '!AB30-'CFS 3Q2022'!AB30</f>
        <v>0</v>
      </c>
      <c r="AC30" s="327">
        <f>'CFS (Before Changes) '!AC30-'CFS 3Q2022'!AC30</f>
        <v>0</v>
      </c>
      <c r="AD30" s="327">
        <f>'CFS (Before Changes) '!AD30-'CFS 3Q2022'!AD30</f>
        <v>0</v>
      </c>
      <c r="AE30" s="327">
        <f>'CFS (Before Changes) '!AE30-'CFS 3Q2022'!AE30</f>
        <v>0</v>
      </c>
      <c r="AF30" s="327">
        <f>'CFS (Before Changes) '!AF30-'CFS 3Q2022'!AF30</f>
        <v>0</v>
      </c>
      <c r="AG30" s="328">
        <f>'CFS (Before Changes) '!AG30-'CFS 3Q2022'!AG30</f>
        <v>0</v>
      </c>
      <c r="AH30" s="327">
        <f>'CFS (Before Changes) '!AH30-'CFS 3Q2022'!AH30</f>
        <v>0</v>
      </c>
      <c r="AI30" s="327">
        <f>'CFS (Before Changes) '!AI30-'CFS 3Q2022'!AI30</f>
        <v>0</v>
      </c>
      <c r="AJ30" s="327">
        <f>'CFS (Before Changes) '!AJ30-'CFS 3Q2022'!AJ30</f>
        <v>0</v>
      </c>
      <c r="AK30" s="327">
        <f>'CFS (Before Changes) '!AK30-'CFS 3Q2022'!AK30</f>
        <v>0</v>
      </c>
      <c r="AL30" s="328">
        <f>'CFS (Before Changes) '!AL30-'CFS 3Q2022'!AL30</f>
        <v>0</v>
      </c>
      <c r="AM30" s="327">
        <f>'CFS (Before Changes) '!AM30-'CFS 3Q2022'!AM30</f>
        <v>0</v>
      </c>
      <c r="AN30" s="327">
        <f>'CFS (Before Changes) '!AN30-'CFS 3Q2022'!AN30</f>
        <v>0</v>
      </c>
      <c r="AO30" s="327">
        <f>'CFS (Before Changes) '!AO30-'CFS 3Q2022'!AO30</f>
        <v>0</v>
      </c>
      <c r="AP30" s="327">
        <f>'CFS (Before Changes) '!AP30-'CFS 3Q2022'!AP30</f>
        <v>0</v>
      </c>
      <c r="AQ30" s="328">
        <f>'CFS (Before Changes) '!AQ30-'CFS 3Q2022'!AQ30</f>
        <v>0</v>
      </c>
      <c r="AR30" s="327">
        <f>'CFS (Before Changes) '!AR30-'CFS 3Q2022'!AR30</f>
        <v>0</v>
      </c>
      <c r="AS30" s="327">
        <f>'CFS (Before Changes) '!AS30-'CFS 3Q2022'!AS30</f>
        <v>0</v>
      </c>
      <c r="AT30" s="327">
        <f>'CFS (Before Changes) '!AT30-'CFS 3Q2022'!AT30</f>
        <v>0</v>
      </c>
      <c r="AU30" s="327">
        <f>'CFS (Before Changes) '!AU30-'CFS 3Q2022'!AU30</f>
        <v>0</v>
      </c>
      <c r="AV30" s="328">
        <f>'CFS (Before Changes) '!AV30-'CFS 3Q2022'!AV30</f>
        <v>0</v>
      </c>
    </row>
    <row r="31" spans="2:48" outlineLevel="1" x14ac:dyDescent="0.3">
      <c r="B31" s="325" t="s">
        <v>288</v>
      </c>
      <c r="C31" s="326"/>
      <c r="D31" s="327">
        <f>'CFS (Before Changes) '!D31-'CFS 3Q2022'!D31</f>
        <v>0</v>
      </c>
      <c r="E31" s="327">
        <f>'CFS (Before Changes) '!E31-'CFS 3Q2022'!E31</f>
        <v>0</v>
      </c>
      <c r="F31" s="327">
        <f>'CFS (Before Changes) '!F31-'CFS 3Q2022'!F31</f>
        <v>0</v>
      </c>
      <c r="G31" s="327">
        <f>'CFS (Before Changes) '!G31-'CFS 3Q2022'!G31</f>
        <v>0</v>
      </c>
      <c r="H31" s="328">
        <f>'CFS (Before Changes) '!H31-'CFS 3Q2022'!H31</f>
        <v>0</v>
      </c>
      <c r="I31" s="327">
        <f>'CFS (Before Changes) '!I31-'CFS 3Q2022'!I31</f>
        <v>0</v>
      </c>
      <c r="J31" s="327">
        <f>'CFS (Before Changes) '!J31-'CFS 3Q2022'!J31</f>
        <v>0</v>
      </c>
      <c r="K31" s="327">
        <f>'CFS (Before Changes) '!K31-'CFS 3Q2022'!K31</f>
        <v>0</v>
      </c>
      <c r="L31" s="327">
        <f>'CFS (Before Changes) '!L31-'CFS 3Q2022'!L31</f>
        <v>0</v>
      </c>
      <c r="M31" s="328">
        <f>'CFS (Before Changes) '!M31-'CFS 3Q2022'!M31</f>
        <v>0</v>
      </c>
      <c r="N31" s="327">
        <f>'CFS (Before Changes) '!N31-'CFS 3Q2022'!N31</f>
        <v>0</v>
      </c>
      <c r="O31" s="327">
        <f>'CFS (Before Changes) '!O31-'CFS 3Q2022'!O31</f>
        <v>0</v>
      </c>
      <c r="P31" s="327">
        <f>'CFS (Before Changes) '!P31-'CFS 3Q2022'!P31</f>
        <v>0</v>
      </c>
      <c r="Q31" s="327">
        <f>'CFS (Before Changes) '!Q31-'CFS 3Q2022'!Q31</f>
        <v>0</v>
      </c>
      <c r="R31" s="328">
        <f>'CFS (Before Changes) '!R31-'CFS 3Q2022'!R31</f>
        <v>0</v>
      </c>
      <c r="S31" s="327">
        <f>'CFS (Before Changes) '!S31-'CFS 3Q2022'!S31</f>
        <v>0</v>
      </c>
      <c r="T31" s="327">
        <f>'CFS (Before Changes) '!T31-'CFS 3Q2022'!T31</f>
        <v>0</v>
      </c>
      <c r="U31" s="327">
        <f>'CFS (Before Changes) '!U31-'CFS 3Q2022'!U31</f>
        <v>0</v>
      </c>
      <c r="V31" s="327">
        <f>'CFS (Before Changes) '!V31-'CFS 3Q2022'!V31</f>
        <v>0</v>
      </c>
      <c r="W31" s="328">
        <f>'CFS (Before Changes) '!W31-'CFS 3Q2022'!W31</f>
        <v>0</v>
      </c>
      <c r="X31" s="327">
        <f>'CFS (Before Changes) '!X31-'CFS 3Q2022'!X31</f>
        <v>0</v>
      </c>
      <c r="Y31" s="327">
        <f>'CFS (Before Changes) '!Y31-'CFS 3Q2022'!Y31</f>
        <v>0</v>
      </c>
      <c r="Z31" s="327">
        <f>'CFS (Before Changes) '!Z31-'CFS 3Q2022'!Z31</f>
        <v>0</v>
      </c>
      <c r="AA31" s="327">
        <f>'CFS (Before Changes) '!AA31-'CFS 3Q2022'!AA31</f>
        <v>0</v>
      </c>
      <c r="AB31" s="328">
        <f>'CFS (Before Changes) '!AB31-'CFS 3Q2022'!AB31</f>
        <v>0</v>
      </c>
      <c r="AC31" s="327">
        <f>'CFS (Before Changes) '!AC31-'CFS 3Q2022'!AC31</f>
        <v>0</v>
      </c>
      <c r="AD31" s="327">
        <f>'CFS (Before Changes) '!AD31-'CFS 3Q2022'!AD31</f>
        <v>0</v>
      </c>
      <c r="AE31" s="327">
        <f>'CFS (Before Changes) '!AE31-'CFS 3Q2022'!AE31</f>
        <v>0</v>
      </c>
      <c r="AF31" s="327">
        <f>'CFS (Before Changes) '!AF31-'CFS 3Q2022'!AF31</f>
        <v>0</v>
      </c>
      <c r="AG31" s="328">
        <f>'CFS (Before Changes) '!AG31-'CFS 3Q2022'!AG31</f>
        <v>0</v>
      </c>
      <c r="AH31" s="327">
        <f>'CFS (Before Changes) '!AH31-'CFS 3Q2022'!AH31</f>
        <v>0</v>
      </c>
      <c r="AI31" s="327">
        <f>'CFS (Before Changes) '!AI31-'CFS 3Q2022'!AI31</f>
        <v>0</v>
      </c>
      <c r="AJ31" s="327">
        <f>'CFS (Before Changes) '!AJ31-'CFS 3Q2022'!AJ31</f>
        <v>0</v>
      </c>
      <c r="AK31" s="327">
        <f>'CFS (Before Changes) '!AK31-'CFS 3Q2022'!AK31</f>
        <v>0</v>
      </c>
      <c r="AL31" s="328">
        <f>'CFS (Before Changes) '!AL31-'CFS 3Q2022'!AL31</f>
        <v>0</v>
      </c>
      <c r="AM31" s="327">
        <f>'CFS (Before Changes) '!AM31-'CFS 3Q2022'!AM31</f>
        <v>0</v>
      </c>
      <c r="AN31" s="327">
        <f>'CFS (Before Changes) '!AN31-'CFS 3Q2022'!AN31</f>
        <v>0</v>
      </c>
      <c r="AO31" s="327">
        <f>'CFS (Before Changes) '!AO31-'CFS 3Q2022'!AO31</f>
        <v>0</v>
      </c>
      <c r="AP31" s="327">
        <f>'CFS (Before Changes) '!AP31-'CFS 3Q2022'!AP31</f>
        <v>0</v>
      </c>
      <c r="AQ31" s="328">
        <f>'CFS (Before Changes) '!AQ31-'CFS 3Q2022'!AQ31</f>
        <v>0</v>
      </c>
      <c r="AR31" s="327">
        <f>'CFS (Before Changes) '!AR31-'CFS 3Q2022'!AR31</f>
        <v>0</v>
      </c>
      <c r="AS31" s="327">
        <f>'CFS (Before Changes) '!AS31-'CFS 3Q2022'!AS31</f>
        <v>0</v>
      </c>
      <c r="AT31" s="327">
        <f>'CFS (Before Changes) '!AT31-'CFS 3Q2022'!AT31</f>
        <v>0</v>
      </c>
      <c r="AU31" s="327">
        <f>'CFS (Before Changes) '!AU31-'CFS 3Q2022'!AU31</f>
        <v>0</v>
      </c>
      <c r="AV31" s="328">
        <f>'CFS (Before Changes) '!AV31-'CFS 3Q2022'!AV31</f>
        <v>0</v>
      </c>
    </row>
    <row r="32" spans="2:48" outlineLevel="1" x14ac:dyDescent="0.3">
      <c r="B32" s="325" t="s">
        <v>289</v>
      </c>
      <c r="C32" s="326"/>
      <c r="D32" s="327">
        <f>'CFS (Before Changes) '!D32-'CFS 3Q2022'!D32</f>
        <v>0</v>
      </c>
      <c r="E32" s="327">
        <f>'CFS (Before Changes) '!E32-'CFS 3Q2022'!E32</f>
        <v>0</v>
      </c>
      <c r="F32" s="327">
        <f>'CFS (Before Changes) '!F32-'CFS 3Q2022'!F32</f>
        <v>0</v>
      </c>
      <c r="G32" s="327">
        <f>'CFS (Before Changes) '!G32-'CFS 3Q2022'!G32</f>
        <v>0</v>
      </c>
      <c r="H32" s="328">
        <f>'CFS (Before Changes) '!H32-'CFS 3Q2022'!H32</f>
        <v>0</v>
      </c>
      <c r="I32" s="327">
        <f>'CFS (Before Changes) '!I32-'CFS 3Q2022'!I32</f>
        <v>0</v>
      </c>
      <c r="J32" s="327">
        <f>'CFS (Before Changes) '!J32-'CFS 3Q2022'!J32</f>
        <v>0</v>
      </c>
      <c r="K32" s="327">
        <f>'CFS (Before Changes) '!K32-'CFS 3Q2022'!K32</f>
        <v>0</v>
      </c>
      <c r="L32" s="327">
        <f>'CFS (Before Changes) '!L32-'CFS 3Q2022'!L32</f>
        <v>0</v>
      </c>
      <c r="M32" s="328">
        <f>'CFS (Before Changes) '!M32-'CFS 3Q2022'!M32</f>
        <v>0</v>
      </c>
      <c r="N32" s="327">
        <f>'CFS (Before Changes) '!N32-'CFS 3Q2022'!N32</f>
        <v>0</v>
      </c>
      <c r="O32" s="327">
        <f>'CFS (Before Changes) '!O32-'CFS 3Q2022'!O32</f>
        <v>0</v>
      </c>
      <c r="P32" s="327">
        <f>'CFS (Before Changes) '!P32-'CFS 3Q2022'!P32</f>
        <v>0</v>
      </c>
      <c r="Q32" s="327">
        <f>'CFS (Before Changes) '!Q32-'CFS 3Q2022'!Q32</f>
        <v>0</v>
      </c>
      <c r="R32" s="328">
        <f>'CFS (Before Changes) '!R32-'CFS 3Q2022'!R32</f>
        <v>0</v>
      </c>
      <c r="S32" s="327">
        <f>'CFS (Before Changes) '!S32-'CFS 3Q2022'!S32</f>
        <v>0</v>
      </c>
      <c r="T32" s="327">
        <f>'CFS (Before Changes) '!T32-'CFS 3Q2022'!T32</f>
        <v>0</v>
      </c>
      <c r="U32" s="327">
        <f>'CFS (Before Changes) '!U32-'CFS 3Q2022'!U32</f>
        <v>0</v>
      </c>
      <c r="V32" s="327">
        <f>'CFS (Before Changes) '!V32-'CFS 3Q2022'!V32</f>
        <v>26.099999999999994</v>
      </c>
      <c r="W32" s="328">
        <f>'CFS (Before Changes) '!W32-'CFS 3Q2022'!W32</f>
        <v>26.099999999999994</v>
      </c>
      <c r="X32" s="327">
        <f>'CFS (Before Changes) '!X32-'CFS 3Q2022'!X32</f>
        <v>0</v>
      </c>
      <c r="Y32" s="327">
        <f>'CFS (Before Changes) '!Y32-'CFS 3Q2022'!Y32</f>
        <v>0</v>
      </c>
      <c r="Z32" s="327">
        <f>'CFS (Before Changes) '!Z32-'CFS 3Q2022'!Z32</f>
        <v>0</v>
      </c>
      <c r="AA32" s="327">
        <f>'CFS (Before Changes) '!AA32-'CFS 3Q2022'!AA32</f>
        <v>0</v>
      </c>
      <c r="AB32" s="328">
        <f>'CFS (Before Changes) '!AB32-'CFS 3Q2022'!AB32</f>
        <v>0</v>
      </c>
      <c r="AC32" s="327">
        <f>'CFS (Before Changes) '!AC32-'CFS 3Q2022'!AC32</f>
        <v>0</v>
      </c>
      <c r="AD32" s="327">
        <f>'CFS (Before Changes) '!AD32-'CFS 3Q2022'!AD32</f>
        <v>0</v>
      </c>
      <c r="AE32" s="327">
        <f>'CFS (Before Changes) '!AE32-'CFS 3Q2022'!AE32</f>
        <v>0</v>
      </c>
      <c r="AF32" s="327">
        <f>'CFS (Before Changes) '!AF32-'CFS 3Q2022'!AF32</f>
        <v>0</v>
      </c>
      <c r="AG32" s="328">
        <f>'CFS (Before Changes) '!AG32-'CFS 3Q2022'!AG32</f>
        <v>0</v>
      </c>
      <c r="AH32" s="327">
        <f>'CFS (Before Changes) '!AH32-'CFS 3Q2022'!AH32</f>
        <v>0</v>
      </c>
      <c r="AI32" s="327">
        <f>'CFS (Before Changes) '!AI32-'CFS 3Q2022'!AI32</f>
        <v>0</v>
      </c>
      <c r="AJ32" s="327">
        <f>'CFS (Before Changes) '!AJ32-'CFS 3Q2022'!AJ32</f>
        <v>0</v>
      </c>
      <c r="AK32" s="327">
        <f>'CFS (Before Changes) '!AK32-'CFS 3Q2022'!AK32</f>
        <v>0</v>
      </c>
      <c r="AL32" s="328">
        <f>'CFS (Before Changes) '!AL32-'CFS 3Q2022'!AL32</f>
        <v>0</v>
      </c>
      <c r="AM32" s="327">
        <f>'CFS (Before Changes) '!AM32-'CFS 3Q2022'!AM32</f>
        <v>0</v>
      </c>
      <c r="AN32" s="327">
        <f>'CFS (Before Changes) '!AN32-'CFS 3Q2022'!AN32</f>
        <v>0</v>
      </c>
      <c r="AO32" s="327">
        <f>'CFS (Before Changes) '!AO32-'CFS 3Q2022'!AO32</f>
        <v>0</v>
      </c>
      <c r="AP32" s="327">
        <f>'CFS (Before Changes) '!AP32-'CFS 3Q2022'!AP32</f>
        <v>0</v>
      </c>
      <c r="AQ32" s="328">
        <f>'CFS (Before Changes) '!AQ32-'CFS 3Q2022'!AQ32</f>
        <v>0</v>
      </c>
      <c r="AR32" s="327">
        <f>'CFS (Before Changes) '!AR32-'CFS 3Q2022'!AR32</f>
        <v>0</v>
      </c>
      <c r="AS32" s="327">
        <f>'CFS (Before Changes) '!AS32-'CFS 3Q2022'!AS32</f>
        <v>0</v>
      </c>
      <c r="AT32" s="327">
        <f>'CFS (Before Changes) '!AT32-'CFS 3Q2022'!AT32</f>
        <v>0</v>
      </c>
      <c r="AU32" s="327">
        <f>'CFS (Before Changes) '!AU32-'CFS 3Q2022'!AU32</f>
        <v>0</v>
      </c>
      <c r="AV32" s="328">
        <f>'CFS (Before Changes) '!AV32-'CFS 3Q2022'!AV32</f>
        <v>0</v>
      </c>
    </row>
    <row r="33" spans="2:48" outlineLevel="1" x14ac:dyDescent="0.3">
      <c r="B33" s="325" t="s">
        <v>290</v>
      </c>
      <c r="C33" s="326"/>
      <c r="D33" s="327">
        <f>'CFS (Before Changes) '!D33-'CFS 3Q2022'!D33</f>
        <v>0</v>
      </c>
      <c r="E33" s="327">
        <f>'CFS (Before Changes) '!E33-'CFS 3Q2022'!E33</f>
        <v>0</v>
      </c>
      <c r="F33" s="327">
        <f>'CFS (Before Changes) '!F33-'CFS 3Q2022'!F33</f>
        <v>0</v>
      </c>
      <c r="G33" s="327">
        <f>'CFS (Before Changes) '!G33-'CFS 3Q2022'!G33</f>
        <v>0</v>
      </c>
      <c r="H33" s="328">
        <f>'CFS (Before Changes) '!H33-'CFS 3Q2022'!H33</f>
        <v>0</v>
      </c>
      <c r="I33" s="327">
        <f>'CFS (Before Changes) '!I33-'CFS 3Q2022'!I33</f>
        <v>0</v>
      </c>
      <c r="J33" s="327">
        <f>'CFS (Before Changes) '!J33-'CFS 3Q2022'!J33</f>
        <v>0</v>
      </c>
      <c r="K33" s="327">
        <f>'CFS (Before Changes) '!K33-'CFS 3Q2022'!K33</f>
        <v>0</v>
      </c>
      <c r="L33" s="327">
        <f>'CFS (Before Changes) '!L33-'CFS 3Q2022'!L33</f>
        <v>0</v>
      </c>
      <c r="M33" s="328">
        <f>'CFS (Before Changes) '!M33-'CFS 3Q2022'!M33</f>
        <v>0</v>
      </c>
      <c r="N33" s="327">
        <f>'CFS (Before Changes) '!N33-'CFS 3Q2022'!N33</f>
        <v>0</v>
      </c>
      <c r="O33" s="327">
        <f>'CFS (Before Changes) '!O33-'CFS 3Q2022'!O33</f>
        <v>0</v>
      </c>
      <c r="P33" s="327">
        <f>'CFS (Before Changes) '!P33-'CFS 3Q2022'!P33</f>
        <v>0</v>
      </c>
      <c r="Q33" s="327">
        <f>'CFS (Before Changes) '!Q33-'CFS 3Q2022'!Q33</f>
        <v>0</v>
      </c>
      <c r="R33" s="328">
        <f>'CFS (Before Changes) '!R33-'CFS 3Q2022'!R33</f>
        <v>0</v>
      </c>
      <c r="S33" s="327">
        <f>'CFS (Before Changes) '!S33-'CFS 3Q2022'!S33</f>
        <v>0</v>
      </c>
      <c r="T33" s="327">
        <f>'CFS (Before Changes) '!T33-'CFS 3Q2022'!T33</f>
        <v>0</v>
      </c>
      <c r="U33" s="327">
        <f>'CFS (Before Changes) '!U33-'CFS 3Q2022'!U33</f>
        <v>0</v>
      </c>
      <c r="V33" s="327">
        <f>'CFS (Before Changes) '!V33-'CFS 3Q2022'!V33</f>
        <v>29.111762999999769</v>
      </c>
      <c r="W33" s="328">
        <f>'CFS (Before Changes) '!W33-'CFS 3Q2022'!W33</f>
        <v>29.111762999999883</v>
      </c>
      <c r="X33" s="327">
        <f>'CFS (Before Changes) '!X33-'CFS 3Q2022'!X33</f>
        <v>-17.08592118844615</v>
      </c>
      <c r="Y33" s="327">
        <f>'CFS (Before Changes) '!Y33-'CFS 3Q2022'!Y33</f>
        <v>-17.120093030823114</v>
      </c>
      <c r="Z33" s="327">
        <f>'CFS (Before Changes) '!Z33-'CFS 3Q2022'!Z33</f>
        <v>-17.154333216884652</v>
      </c>
      <c r="AA33" s="327">
        <f>'CFS (Before Changes) '!AA33-'CFS 3Q2022'!AA33</f>
        <v>-18.048073977484478</v>
      </c>
      <c r="AB33" s="328">
        <f>'CFS (Before Changes) '!AB33-'CFS 3Q2022'!AB33</f>
        <v>-69.40842141363828</v>
      </c>
      <c r="AC33" s="327">
        <f>'CFS (Before Changes) '!AC33-'CFS 3Q2022'!AC33</f>
        <v>-17.08592118844615</v>
      </c>
      <c r="AD33" s="327">
        <f>'CFS (Before Changes) '!AD33-'CFS 3Q2022'!AD33</f>
        <v>-17.120093030823114</v>
      </c>
      <c r="AE33" s="327">
        <f>'CFS (Before Changes) '!AE33-'CFS 3Q2022'!AE33</f>
        <v>-17.154333216884652</v>
      </c>
      <c r="AF33" s="327">
        <f>'CFS (Before Changes) '!AF33-'CFS 3Q2022'!AF33</f>
        <v>-18.048073977484478</v>
      </c>
      <c r="AG33" s="328">
        <f>'CFS (Before Changes) '!AG33-'CFS 3Q2022'!AG33</f>
        <v>-69.40842141363828</v>
      </c>
      <c r="AH33" s="327">
        <f>'CFS (Before Changes) '!AH33-'CFS 3Q2022'!AH33</f>
        <v>-18.084170125439528</v>
      </c>
      <c r="AI33" s="327">
        <f>'CFS (Before Changes) '!AI33-'CFS 3Q2022'!AI33</f>
        <v>-18.120338465690338</v>
      </c>
      <c r="AJ33" s="327">
        <f>'CFS (Before Changes) '!AJ33-'CFS 3Q2022'!AJ33</f>
        <v>-18.156579142621808</v>
      </c>
      <c r="AK33" s="327">
        <f>'CFS (Before Changes) '!AK33-'CFS 3Q2022'!AK33</f>
        <v>-19.102536915952442</v>
      </c>
      <c r="AL33" s="328">
        <f>'CFS (Before Changes) '!AL33-'CFS 3Q2022'!AL33</f>
        <v>-73.463624649703888</v>
      </c>
      <c r="AM33" s="327">
        <f>'CFS (Before Changes) '!AM33-'CFS 3Q2022'!AM33</f>
        <v>-19.140741989784487</v>
      </c>
      <c r="AN33" s="327">
        <f>'CFS (Before Changes) '!AN33-'CFS 3Q2022'!AN33</f>
        <v>-19.179023473764119</v>
      </c>
      <c r="AO33" s="327">
        <f>'CFS (Before Changes) '!AO33-'CFS 3Q2022'!AO33</f>
        <v>-17.975984906074132</v>
      </c>
      <c r="AP33" s="327">
        <f>'CFS (Before Changes) '!AP33-'CFS 3Q2022'!AP33</f>
        <v>-17.609067274311201</v>
      </c>
      <c r="AQ33" s="328">
        <f>'CFS (Before Changes) '!AQ33-'CFS 3Q2022'!AQ33</f>
        <v>-73.904817643934166</v>
      </c>
      <c r="AR33" s="327">
        <f>'CFS (Before Changes) '!AR33-'CFS 3Q2022'!AR33</f>
        <v>-17.644285408859787</v>
      </c>
      <c r="AS33" s="327">
        <f>'CFS (Before Changes) '!AS33-'CFS 3Q2022'!AS33</f>
        <v>-17.679573979677571</v>
      </c>
      <c r="AT33" s="327">
        <f>'CFS (Before Changes) '!AT33-'CFS 3Q2022'!AT33</f>
        <v>-17.714933127636868</v>
      </c>
      <c r="AU33" s="327">
        <f>'CFS (Before Changes) '!AU33-'CFS 3Q2022'!AU33</f>
        <v>-18.105370253770047</v>
      </c>
      <c r="AV33" s="328">
        <f>'CFS (Before Changes) '!AV33-'CFS 3Q2022'!AV33</f>
        <v>-71.14416276994416</v>
      </c>
    </row>
    <row r="34" spans="2:48" outlineLevel="1" x14ac:dyDescent="0.3">
      <c r="B34" s="325" t="s">
        <v>291</v>
      </c>
      <c r="C34" s="338"/>
      <c r="D34" s="327">
        <f>'CFS (Before Changes) '!D34-'CFS 3Q2022'!D34</f>
        <v>0</v>
      </c>
      <c r="E34" s="327">
        <f>'CFS (Before Changes) '!E34-'CFS 3Q2022'!E34</f>
        <v>0</v>
      </c>
      <c r="F34" s="327">
        <f>'CFS (Before Changes) '!F34-'CFS 3Q2022'!F34</f>
        <v>0</v>
      </c>
      <c r="G34" s="327">
        <f>'CFS (Before Changes) '!G34-'CFS 3Q2022'!G34</f>
        <v>0</v>
      </c>
      <c r="H34" s="328">
        <f>'CFS (Before Changes) '!H34-'CFS 3Q2022'!H34</f>
        <v>0</v>
      </c>
      <c r="I34" s="327">
        <f>'CFS (Before Changes) '!I34-'CFS 3Q2022'!I34</f>
        <v>0</v>
      </c>
      <c r="J34" s="327">
        <f>'CFS (Before Changes) '!J34-'CFS 3Q2022'!J34</f>
        <v>0</v>
      </c>
      <c r="K34" s="327">
        <f>'CFS (Before Changes) '!K34-'CFS 3Q2022'!K34</f>
        <v>0</v>
      </c>
      <c r="L34" s="327">
        <f>'CFS (Before Changes) '!L34-'CFS 3Q2022'!L34</f>
        <v>0</v>
      </c>
      <c r="M34" s="328">
        <f>'CFS (Before Changes) '!M34-'CFS 3Q2022'!M34</f>
        <v>0</v>
      </c>
      <c r="N34" s="327">
        <f>'CFS (Before Changes) '!N34-'CFS 3Q2022'!N34</f>
        <v>0</v>
      </c>
      <c r="O34" s="327">
        <f>'CFS (Before Changes) '!O34-'CFS 3Q2022'!O34</f>
        <v>0</v>
      </c>
      <c r="P34" s="327">
        <f>'CFS (Before Changes) '!P34-'CFS 3Q2022'!P34</f>
        <v>0</v>
      </c>
      <c r="Q34" s="327">
        <f>'CFS (Before Changes) '!Q34-'CFS 3Q2022'!Q34</f>
        <v>0</v>
      </c>
      <c r="R34" s="328">
        <f>'CFS (Before Changes) '!R34-'CFS 3Q2022'!R34</f>
        <v>0</v>
      </c>
      <c r="S34" s="327">
        <f>'CFS (Before Changes) '!S34-'CFS 3Q2022'!S34</f>
        <v>0</v>
      </c>
      <c r="T34" s="327">
        <f>'CFS (Before Changes) '!T34-'CFS 3Q2022'!T34</f>
        <v>0</v>
      </c>
      <c r="U34" s="327">
        <f>'CFS (Before Changes) '!U34-'CFS 3Q2022'!U34</f>
        <v>0</v>
      </c>
      <c r="V34" s="327">
        <f>'CFS (Before Changes) '!V34-'CFS 3Q2022'!V34</f>
        <v>0</v>
      </c>
      <c r="W34" s="328">
        <f>'CFS (Before Changes) '!W34-'CFS 3Q2022'!W34</f>
        <v>0</v>
      </c>
      <c r="X34" s="327">
        <f>'CFS (Before Changes) '!X34-'CFS 3Q2022'!X34</f>
        <v>0</v>
      </c>
      <c r="Y34" s="327">
        <f>'CFS (Before Changes) '!Y34-'CFS 3Q2022'!Y34</f>
        <v>0</v>
      </c>
      <c r="Z34" s="327">
        <f>'CFS (Before Changes) '!Z34-'CFS 3Q2022'!Z34</f>
        <v>0</v>
      </c>
      <c r="AA34" s="327">
        <f>'CFS (Before Changes) '!AA34-'CFS 3Q2022'!AA34</f>
        <v>0</v>
      </c>
      <c r="AB34" s="328">
        <f>'CFS (Before Changes) '!AB34-'CFS 3Q2022'!AB34</f>
        <v>0</v>
      </c>
      <c r="AC34" s="327">
        <f>'CFS (Before Changes) '!AC34-'CFS 3Q2022'!AC34</f>
        <v>0</v>
      </c>
      <c r="AD34" s="327">
        <f>'CFS (Before Changes) '!AD34-'CFS 3Q2022'!AD34</f>
        <v>0</v>
      </c>
      <c r="AE34" s="327">
        <f>'CFS (Before Changes) '!AE34-'CFS 3Q2022'!AE34</f>
        <v>0</v>
      </c>
      <c r="AF34" s="327">
        <f>'CFS (Before Changes) '!AF34-'CFS 3Q2022'!AF34</f>
        <v>0</v>
      </c>
      <c r="AG34" s="328">
        <f>'CFS (Before Changes) '!AG34-'CFS 3Q2022'!AG34</f>
        <v>0</v>
      </c>
      <c r="AH34" s="327">
        <f>'CFS (Before Changes) '!AH34-'CFS 3Q2022'!AH34</f>
        <v>0</v>
      </c>
      <c r="AI34" s="327">
        <f>'CFS (Before Changes) '!AI34-'CFS 3Q2022'!AI34</f>
        <v>0</v>
      </c>
      <c r="AJ34" s="327">
        <f>'CFS (Before Changes) '!AJ34-'CFS 3Q2022'!AJ34</f>
        <v>-251.38281446409837</v>
      </c>
      <c r="AK34" s="327">
        <f>'CFS (Before Changes) '!AK34-'CFS 3Q2022'!AK34</f>
        <v>-251.38281446409837</v>
      </c>
      <c r="AL34" s="328">
        <f>'CFS (Before Changes) '!AL34-'CFS 3Q2022'!AL34</f>
        <v>-502.76562892819675</v>
      </c>
      <c r="AM34" s="327">
        <f>'CFS (Before Changes) '!AM34-'CFS 3Q2022'!AM34</f>
        <v>0</v>
      </c>
      <c r="AN34" s="327">
        <f>'CFS (Before Changes) '!AN34-'CFS 3Q2022'!AN34</f>
        <v>0</v>
      </c>
      <c r="AO34" s="327">
        <f>'CFS (Before Changes) '!AO34-'CFS 3Q2022'!AO34</f>
        <v>0</v>
      </c>
      <c r="AP34" s="327">
        <f>'CFS (Before Changes) '!AP34-'CFS 3Q2022'!AP34</f>
        <v>0</v>
      </c>
      <c r="AQ34" s="328">
        <f>'CFS (Before Changes) '!AQ34-'CFS 3Q2022'!AQ34</f>
        <v>0</v>
      </c>
      <c r="AR34" s="327">
        <f>'CFS (Before Changes) '!AR34-'CFS 3Q2022'!AR34</f>
        <v>0</v>
      </c>
      <c r="AS34" s="327">
        <f>'CFS (Before Changes) '!AS34-'CFS 3Q2022'!AS34</f>
        <v>0</v>
      </c>
      <c r="AT34" s="327">
        <f>'CFS (Before Changes) '!AT34-'CFS 3Q2022'!AT34</f>
        <v>0</v>
      </c>
      <c r="AU34" s="327">
        <f>'CFS (Before Changes) '!AU34-'CFS 3Q2022'!AU34</f>
        <v>0</v>
      </c>
      <c r="AV34" s="328">
        <f>'CFS (Before Changes) '!AV34-'CFS 3Q2022'!AV34</f>
        <v>0</v>
      </c>
    </row>
    <row r="35" spans="2:48" outlineLevel="1" x14ac:dyDescent="0.3">
      <c r="B35" s="325" t="s">
        <v>292</v>
      </c>
      <c r="C35" s="339"/>
      <c r="D35" s="327">
        <f>'CFS (Before Changes) '!D35-'CFS 3Q2022'!D35</f>
        <v>0</v>
      </c>
      <c r="E35" s="327">
        <f>'CFS (Before Changes) '!E35-'CFS 3Q2022'!E35</f>
        <v>0</v>
      </c>
      <c r="F35" s="327">
        <f>'CFS (Before Changes) '!F35-'CFS 3Q2022'!F35</f>
        <v>0</v>
      </c>
      <c r="G35" s="327">
        <f>'CFS (Before Changes) '!G35-'CFS 3Q2022'!G35</f>
        <v>0</v>
      </c>
      <c r="H35" s="328">
        <f>'CFS (Before Changes) '!H35-'CFS 3Q2022'!H35</f>
        <v>0</v>
      </c>
      <c r="I35" s="327">
        <f>'CFS (Before Changes) '!I35-'CFS 3Q2022'!I35</f>
        <v>0</v>
      </c>
      <c r="J35" s="327">
        <f>'CFS (Before Changes) '!J35-'CFS 3Q2022'!J35</f>
        <v>0</v>
      </c>
      <c r="K35" s="327">
        <f>'CFS (Before Changes) '!K35-'CFS 3Q2022'!K35</f>
        <v>0</v>
      </c>
      <c r="L35" s="327">
        <f>'CFS (Before Changes) '!L35-'CFS 3Q2022'!L35</f>
        <v>0</v>
      </c>
      <c r="M35" s="328">
        <f>'CFS (Before Changes) '!M35-'CFS 3Q2022'!M35</f>
        <v>0</v>
      </c>
      <c r="N35" s="327">
        <f>'CFS (Before Changes) '!N35-'CFS 3Q2022'!N35</f>
        <v>0</v>
      </c>
      <c r="O35" s="327">
        <f>'CFS (Before Changes) '!O35-'CFS 3Q2022'!O35</f>
        <v>0</v>
      </c>
      <c r="P35" s="327">
        <f>'CFS (Before Changes) '!P35-'CFS 3Q2022'!P35</f>
        <v>0</v>
      </c>
      <c r="Q35" s="327">
        <f>'CFS (Before Changes) '!Q35-'CFS 3Q2022'!Q35</f>
        <v>0</v>
      </c>
      <c r="R35" s="328">
        <f>'CFS (Before Changes) '!R35-'CFS 3Q2022'!R35</f>
        <v>0</v>
      </c>
      <c r="S35" s="327">
        <f>'CFS (Before Changes) '!S35-'CFS 3Q2022'!S35</f>
        <v>0</v>
      </c>
      <c r="T35" s="327">
        <f>'CFS (Before Changes) '!T35-'CFS 3Q2022'!T35</f>
        <v>0</v>
      </c>
      <c r="U35" s="327">
        <f>'CFS (Before Changes) '!U35-'CFS 3Q2022'!U35</f>
        <v>0</v>
      </c>
      <c r="V35" s="327">
        <f>'CFS (Before Changes) '!V35-'CFS 3Q2022'!V35</f>
        <v>-1.9935447612767538</v>
      </c>
      <c r="W35" s="328">
        <f>'CFS (Before Changes) '!W35-'CFS 3Q2022'!W35</f>
        <v>-1.9935447612767518</v>
      </c>
      <c r="X35" s="327">
        <f>'CFS (Before Changes) '!X35-'CFS 3Q2022'!X35</f>
        <v>-2.3679277780242192</v>
      </c>
      <c r="Y35" s="327">
        <f>'CFS (Before Changes) '!Y35-'CFS 3Q2022'!Y35</f>
        <v>-2.0415317321135436</v>
      </c>
      <c r="Z35" s="327">
        <f>'CFS (Before Changes) '!Z35-'CFS 3Q2022'!Z35</f>
        <v>-2.2640518636674183</v>
      </c>
      <c r="AA35" s="327">
        <f>'CFS (Before Changes) '!AA35-'CFS 3Q2022'!AA35</f>
        <v>-2.3888989486859211</v>
      </c>
      <c r="AB35" s="328">
        <f>'CFS (Before Changes) '!AB35-'CFS 3Q2022'!AB35</f>
        <v>-9.0624103224911003</v>
      </c>
      <c r="AC35" s="327">
        <f>'CFS (Before Changes) '!AC35-'CFS 3Q2022'!AC35</f>
        <v>-2.4640820039021882</v>
      </c>
      <c r="AD35" s="327">
        <f>'CFS (Before Changes) '!AD35-'CFS 3Q2022'!AD35</f>
        <v>-2.2831898968402222</v>
      </c>
      <c r="AE35" s="327">
        <f>'CFS (Before Changes) '!AE35-'CFS 3Q2022'!AE35</f>
        <v>-2.5144795973798519</v>
      </c>
      <c r="AF35" s="327">
        <f>'CFS (Before Changes) '!AF35-'CFS 3Q2022'!AF35</f>
        <v>-2.6277177104726328</v>
      </c>
      <c r="AG35" s="328">
        <f>'CFS (Before Changes) '!AG35-'CFS 3Q2022'!AG35</f>
        <v>-9.8894692085948979</v>
      </c>
      <c r="AH35" s="327">
        <f>'CFS (Before Changes) '!AH35-'CFS 3Q2022'!AH35</f>
        <v>-2.7146759235018534</v>
      </c>
      <c r="AI35" s="327">
        <f>'CFS (Before Changes) '!AI35-'CFS 3Q2022'!AI35</f>
        <v>-2.5565648630266993</v>
      </c>
      <c r="AJ35" s="327">
        <f>'CFS (Before Changes) '!AJ35-'CFS 3Q2022'!AJ35</f>
        <v>-2.8071587374896758</v>
      </c>
      <c r="AK35" s="327">
        <f>'CFS (Before Changes) '!AK35-'CFS 3Q2022'!AK35</f>
        <v>-2.929539210017611</v>
      </c>
      <c r="AL35" s="328">
        <f>'CFS (Before Changes) '!AL35-'CFS 3Q2022'!AL35</f>
        <v>-11.007938734035839</v>
      </c>
      <c r="AM35" s="327">
        <f>'CFS (Before Changes) '!AM35-'CFS 3Q2022'!AM35</f>
        <v>-2.9806432673249494</v>
      </c>
      <c r="AN35" s="327">
        <f>'CFS (Before Changes) '!AN35-'CFS 3Q2022'!AN35</f>
        <v>-2.8002188393652458</v>
      </c>
      <c r="AO35" s="327">
        <f>'CFS (Before Changes) '!AO35-'CFS 3Q2022'!AO35</f>
        <v>-3.0604350386193575</v>
      </c>
      <c r="AP35" s="327">
        <f>'CFS (Before Changes) '!AP35-'CFS 3Q2022'!AP35</f>
        <v>-3.1810333428853403</v>
      </c>
      <c r="AQ35" s="328">
        <f>'CFS (Before Changes) '!AQ35-'CFS 3Q2022'!AQ35</f>
        <v>-12.022330488194894</v>
      </c>
      <c r="AR35" s="327">
        <f>'CFS (Before Changes) '!AR35-'CFS 3Q2022'!AR35</f>
        <v>-3.1730345171187593</v>
      </c>
      <c r="AS35" s="327">
        <f>'CFS (Before Changes) '!AS35-'CFS 3Q2022'!AS35</f>
        <v>-2.9798347226853301</v>
      </c>
      <c r="AT35" s="327">
        <f>'CFS (Before Changes) '!AT35-'CFS 3Q2022'!AT35</f>
        <v>-3.2553233449641987</v>
      </c>
      <c r="AU35" s="327">
        <f>'CFS (Before Changes) '!AU35-'CFS 3Q2022'!AU35</f>
        <v>-3.3823254554912983</v>
      </c>
      <c r="AV35" s="328">
        <f>'CFS (Before Changes) '!AV35-'CFS 3Q2022'!AV35</f>
        <v>-12.79051804025959</v>
      </c>
    </row>
    <row r="36" spans="2:48" ht="16.2" outlineLevel="1" x14ac:dyDescent="0.45">
      <c r="B36" s="538" t="s">
        <v>293</v>
      </c>
      <c r="C36" s="539"/>
      <c r="D36" s="329">
        <f>'CFS (Before Changes) '!D36-'CFS 3Q2022'!D36</f>
        <v>0</v>
      </c>
      <c r="E36" s="329">
        <f>'CFS (Before Changes) '!E36-'CFS 3Q2022'!E36</f>
        <v>0</v>
      </c>
      <c r="F36" s="329">
        <f>'CFS (Before Changes) '!F36-'CFS 3Q2022'!F36</f>
        <v>0</v>
      </c>
      <c r="G36" s="329">
        <f>'CFS (Before Changes) '!G36-'CFS 3Q2022'!G36</f>
        <v>0</v>
      </c>
      <c r="H36" s="330">
        <f>'CFS (Before Changes) '!H36-'CFS 3Q2022'!H36</f>
        <v>0</v>
      </c>
      <c r="I36" s="329">
        <f>'CFS (Before Changes) '!I36-'CFS 3Q2022'!I36</f>
        <v>0</v>
      </c>
      <c r="J36" s="329">
        <f>'CFS (Before Changes) '!J36-'CFS 3Q2022'!J36</f>
        <v>0</v>
      </c>
      <c r="K36" s="329">
        <f>'CFS (Before Changes) '!K36-'CFS 3Q2022'!K36</f>
        <v>0</v>
      </c>
      <c r="L36" s="329">
        <f>'CFS (Before Changes) '!L36-'CFS 3Q2022'!L36</f>
        <v>0</v>
      </c>
      <c r="M36" s="330">
        <f>'CFS (Before Changes) '!M36-'CFS 3Q2022'!M36</f>
        <v>0</v>
      </c>
      <c r="N36" s="329">
        <f>'CFS (Before Changes) '!N36-'CFS 3Q2022'!N36</f>
        <v>0</v>
      </c>
      <c r="O36" s="329">
        <f>'CFS (Before Changes) '!O36-'CFS 3Q2022'!O36</f>
        <v>0</v>
      </c>
      <c r="P36" s="329">
        <f>'CFS (Before Changes) '!P36-'CFS 3Q2022'!P36</f>
        <v>0</v>
      </c>
      <c r="Q36" s="329">
        <f>'CFS (Before Changes) '!Q36-'CFS 3Q2022'!Q36</f>
        <v>0</v>
      </c>
      <c r="R36" s="330">
        <f>'CFS (Before Changes) '!R36-'CFS 3Q2022'!R36</f>
        <v>0</v>
      </c>
      <c r="S36" s="329">
        <f>'CFS (Before Changes) '!S36-'CFS 3Q2022'!S36</f>
        <v>0</v>
      </c>
      <c r="T36" s="329">
        <f>'CFS (Before Changes) '!T36-'CFS 3Q2022'!T36</f>
        <v>0</v>
      </c>
      <c r="U36" s="329">
        <f>'CFS (Before Changes) '!U36-'CFS 3Q2022'!U36</f>
        <v>0</v>
      </c>
      <c r="V36" s="329">
        <f>'CFS (Before Changes) '!V36-'CFS 3Q2022'!V36</f>
        <v>0</v>
      </c>
      <c r="W36" s="330">
        <f>'CFS (Before Changes) '!W36-'CFS 3Q2022'!W36</f>
        <v>0</v>
      </c>
      <c r="X36" s="329">
        <f>'CFS (Before Changes) '!X36-'CFS 3Q2022'!X36</f>
        <v>0</v>
      </c>
      <c r="Y36" s="329">
        <f>'CFS (Before Changes) '!Y36-'CFS 3Q2022'!Y36</f>
        <v>0</v>
      </c>
      <c r="Z36" s="329">
        <f>'CFS (Before Changes) '!Z36-'CFS 3Q2022'!Z36</f>
        <v>0</v>
      </c>
      <c r="AA36" s="329">
        <f>'CFS (Before Changes) '!AA36-'CFS 3Q2022'!AA36</f>
        <v>0</v>
      </c>
      <c r="AB36" s="330">
        <f>'CFS (Before Changes) '!AB36-'CFS 3Q2022'!AB36</f>
        <v>0</v>
      </c>
      <c r="AC36" s="329">
        <f>'CFS (Before Changes) '!AC36-'CFS 3Q2022'!AC36</f>
        <v>0</v>
      </c>
      <c r="AD36" s="329">
        <f>'CFS (Before Changes) '!AD36-'CFS 3Q2022'!AD36</f>
        <v>0</v>
      </c>
      <c r="AE36" s="329">
        <f>'CFS (Before Changes) '!AE36-'CFS 3Q2022'!AE36</f>
        <v>0</v>
      </c>
      <c r="AF36" s="329">
        <f>'CFS (Before Changes) '!AF36-'CFS 3Q2022'!AF36</f>
        <v>0</v>
      </c>
      <c r="AG36" s="330">
        <f>'CFS (Before Changes) '!AG36-'CFS 3Q2022'!AG36</f>
        <v>0</v>
      </c>
      <c r="AH36" s="329">
        <f>'CFS (Before Changes) '!AH36-'CFS 3Q2022'!AH36</f>
        <v>0</v>
      </c>
      <c r="AI36" s="329">
        <f>'CFS (Before Changes) '!AI36-'CFS 3Q2022'!AI36</f>
        <v>0</v>
      </c>
      <c r="AJ36" s="329">
        <f>'CFS (Before Changes) '!AJ36-'CFS 3Q2022'!AJ36</f>
        <v>0</v>
      </c>
      <c r="AK36" s="329">
        <f>'CFS (Before Changes) '!AK36-'CFS 3Q2022'!AK36</f>
        <v>0</v>
      </c>
      <c r="AL36" s="330">
        <f>'CFS (Before Changes) '!AL36-'CFS 3Q2022'!AL36</f>
        <v>0</v>
      </c>
      <c r="AM36" s="329">
        <f>'CFS (Before Changes) '!AM36-'CFS 3Q2022'!AM36</f>
        <v>0</v>
      </c>
      <c r="AN36" s="329">
        <f>'CFS (Before Changes) '!AN36-'CFS 3Q2022'!AN36</f>
        <v>0</v>
      </c>
      <c r="AO36" s="329">
        <f>'CFS (Before Changes) '!AO36-'CFS 3Q2022'!AO36</f>
        <v>0</v>
      </c>
      <c r="AP36" s="329">
        <f>'CFS (Before Changes) '!AP36-'CFS 3Q2022'!AP36</f>
        <v>0</v>
      </c>
      <c r="AQ36" s="330">
        <f>'CFS (Before Changes) '!AQ36-'CFS 3Q2022'!AQ36</f>
        <v>0</v>
      </c>
      <c r="AR36" s="329">
        <f>'CFS (Before Changes) '!AR36-'CFS 3Q2022'!AR36</f>
        <v>0</v>
      </c>
      <c r="AS36" s="329">
        <f>'CFS (Before Changes) '!AS36-'CFS 3Q2022'!AS36</f>
        <v>0</v>
      </c>
      <c r="AT36" s="329">
        <f>'CFS (Before Changes) '!AT36-'CFS 3Q2022'!AT36</f>
        <v>0</v>
      </c>
      <c r="AU36" s="329">
        <f>'CFS (Before Changes) '!AU36-'CFS 3Q2022'!AU36</f>
        <v>0</v>
      </c>
      <c r="AV36" s="330">
        <f>'CFS (Before Changes) '!AV36-'CFS 3Q2022'!AV36</f>
        <v>0</v>
      </c>
    </row>
    <row r="37" spans="2:48" outlineLevel="1" x14ac:dyDescent="0.3">
      <c r="B37" s="540" t="s">
        <v>294</v>
      </c>
      <c r="C37" s="541"/>
      <c r="D37" s="331">
        <f>'CFS (Before Changes) '!D37-'CFS 3Q2022'!D37</f>
        <v>0</v>
      </c>
      <c r="E37" s="331">
        <f>'CFS (Before Changes) '!E37-'CFS 3Q2022'!E37</f>
        <v>0</v>
      </c>
      <c r="F37" s="331">
        <f>'CFS (Before Changes) '!F37-'CFS 3Q2022'!F37</f>
        <v>0</v>
      </c>
      <c r="G37" s="331">
        <f>'CFS (Before Changes) '!G37-'CFS 3Q2022'!G37</f>
        <v>0</v>
      </c>
      <c r="H37" s="332">
        <f>'CFS (Before Changes) '!H37-'CFS 3Q2022'!H37</f>
        <v>0</v>
      </c>
      <c r="I37" s="331">
        <f>'CFS (Before Changes) '!I37-'CFS 3Q2022'!I37</f>
        <v>0</v>
      </c>
      <c r="J37" s="331">
        <f>'CFS (Before Changes) '!J37-'CFS 3Q2022'!J37</f>
        <v>0</v>
      </c>
      <c r="K37" s="331">
        <f>'CFS (Before Changes) '!K37-'CFS 3Q2022'!K37</f>
        <v>0</v>
      </c>
      <c r="L37" s="331">
        <f>'CFS (Before Changes) '!L37-'CFS 3Q2022'!L37</f>
        <v>0</v>
      </c>
      <c r="M37" s="332">
        <f>'CFS (Before Changes) '!M37-'CFS 3Q2022'!M37</f>
        <v>0</v>
      </c>
      <c r="N37" s="331">
        <f>'CFS (Before Changes) '!N37-'CFS 3Q2022'!N37</f>
        <v>0</v>
      </c>
      <c r="O37" s="331">
        <f>'CFS (Before Changes) '!O37-'CFS 3Q2022'!O37</f>
        <v>0</v>
      </c>
      <c r="P37" s="331">
        <f>'CFS (Before Changes) '!P37-'CFS 3Q2022'!P37</f>
        <v>0</v>
      </c>
      <c r="Q37" s="331">
        <f>'CFS (Before Changes) '!Q37-'CFS 3Q2022'!Q37</f>
        <v>0</v>
      </c>
      <c r="R37" s="332">
        <f>'CFS (Before Changes) '!R37-'CFS 3Q2022'!R37</f>
        <v>0</v>
      </c>
      <c r="S37" s="331">
        <f>'CFS (Before Changes) '!S37-'CFS 3Q2022'!S37</f>
        <v>0</v>
      </c>
      <c r="T37" s="331">
        <f>'CFS (Before Changes) '!T37-'CFS 3Q2022'!T37</f>
        <v>0</v>
      </c>
      <c r="U37" s="331">
        <f>'CFS (Before Changes) '!U37-'CFS 3Q2022'!U37</f>
        <v>0</v>
      </c>
      <c r="V37" s="331">
        <f>'CFS (Before Changes) '!V37-'CFS 3Q2022'!V37</f>
        <v>227.21821823872301</v>
      </c>
      <c r="W37" s="332">
        <f>'CFS (Before Changes) '!W37-'CFS 3Q2022'!W37</f>
        <v>227.21821823872233</v>
      </c>
      <c r="X37" s="331">
        <f>'CFS (Before Changes) '!X37-'CFS 3Q2022'!X37</f>
        <v>-19.453848966470446</v>
      </c>
      <c r="Y37" s="331">
        <f>'CFS (Before Changes) '!Y37-'CFS 3Q2022'!Y37</f>
        <v>-19.161624762936754</v>
      </c>
      <c r="Z37" s="331">
        <f>'CFS (Before Changes) '!Z37-'CFS 3Q2022'!Z37</f>
        <v>-19.418385080552071</v>
      </c>
      <c r="AA37" s="331">
        <f>'CFS (Before Changes) '!AA37-'CFS 3Q2022'!AA37</f>
        <v>-20.436972926170483</v>
      </c>
      <c r="AB37" s="332">
        <f>'CFS (Before Changes) '!AB37-'CFS 3Q2022'!AB37</f>
        <v>-78.470831736129185</v>
      </c>
      <c r="AC37" s="331">
        <f>'CFS (Before Changes) '!AC37-'CFS 3Q2022'!AC37</f>
        <v>-19.550003192348299</v>
      </c>
      <c r="AD37" s="331">
        <f>'CFS (Before Changes) '!AD37-'CFS 3Q2022'!AD37</f>
        <v>-19.403282927663327</v>
      </c>
      <c r="AE37" s="331">
        <f>'CFS (Before Changes) '!AE37-'CFS 3Q2022'!AE37</f>
        <v>-19.66881281426447</v>
      </c>
      <c r="AF37" s="331">
        <f>'CFS (Before Changes) '!AF37-'CFS 3Q2022'!AF37</f>
        <v>-20.67579168795703</v>
      </c>
      <c r="AG37" s="332">
        <f>'CFS (Before Changes) '!AG37-'CFS 3Q2022'!AG37</f>
        <v>-79.297890622232899</v>
      </c>
      <c r="AH37" s="331">
        <f>'CFS (Before Changes) '!AH37-'CFS 3Q2022'!AH37</f>
        <v>-20.798846048941414</v>
      </c>
      <c r="AI37" s="331">
        <f>'CFS (Before Changes) '!AI37-'CFS 3Q2022'!AI37</f>
        <v>-20.676903328717003</v>
      </c>
      <c r="AJ37" s="331">
        <f>'CFS (Before Changes) '!AJ37-'CFS 3Q2022'!AJ37</f>
        <v>-20.963737880110671</v>
      </c>
      <c r="AK37" s="331">
        <f>'CFS (Before Changes) '!AK37-'CFS 3Q2022'!AK37</f>
        <v>-273.41489059006744</v>
      </c>
      <c r="AL37" s="332">
        <f>'CFS (Before Changes) '!AL37-'CFS 3Q2022'!AL37</f>
        <v>-335.85437784783699</v>
      </c>
      <c r="AM37" s="331">
        <f>'CFS (Before Changes) '!AM37-'CFS 3Q2022'!AM37</f>
        <v>-22.121385257109523</v>
      </c>
      <c r="AN37" s="331">
        <f>'CFS (Before Changes) '!AN37-'CFS 3Q2022'!AN37</f>
        <v>-21.979242313129362</v>
      </c>
      <c r="AO37" s="331">
        <f>'CFS (Before Changes) '!AO37-'CFS 3Q2022'!AO37</f>
        <v>-21.036419944693534</v>
      </c>
      <c r="AP37" s="331">
        <f>'CFS (Before Changes) '!AP37-'CFS 3Q2022'!AP37</f>
        <v>-20.790100617196572</v>
      </c>
      <c r="AQ37" s="332">
        <f>'CFS (Before Changes) '!AQ37-'CFS 3Q2022'!AQ37</f>
        <v>-85.927148132129332</v>
      </c>
      <c r="AR37" s="331">
        <f>'CFS (Before Changes) '!AR37-'CFS 3Q2022'!AR37</f>
        <v>-20.817319925978609</v>
      </c>
      <c r="AS37" s="331">
        <f>'CFS (Before Changes) '!AS37-'CFS 3Q2022'!AS37</f>
        <v>-20.659408702362953</v>
      </c>
      <c r="AT37" s="331">
        <f>'CFS (Before Changes) '!AT37-'CFS 3Q2022'!AT37</f>
        <v>-20.970256472601022</v>
      </c>
      <c r="AU37" s="331">
        <f>'CFS (Before Changes) '!AU37-'CFS 3Q2022'!AU37</f>
        <v>-21.487695709261288</v>
      </c>
      <c r="AV37" s="332">
        <f>'CFS (Before Changes) '!AV37-'CFS 3Q2022'!AV37</f>
        <v>-83.934680810203645</v>
      </c>
    </row>
    <row r="38" spans="2:48" outlineLevel="1" x14ac:dyDescent="0.3">
      <c r="B38" s="248" t="s">
        <v>295</v>
      </c>
      <c r="C38" s="249"/>
      <c r="D38" s="333">
        <f>'CFS (Before Changes) '!D38-'CFS 3Q2022'!D38</f>
        <v>0</v>
      </c>
      <c r="E38" s="340">
        <f>'CFS (Before Changes) '!E38-'CFS 3Q2022'!E38</f>
        <v>0</v>
      </c>
      <c r="F38" s="340">
        <f>'CFS (Before Changes) '!F38-'CFS 3Q2022'!F38</f>
        <v>0</v>
      </c>
      <c r="G38" s="340">
        <f>'CFS (Before Changes) '!G38-'CFS 3Q2022'!G38</f>
        <v>0</v>
      </c>
      <c r="H38" s="337">
        <f>'CFS (Before Changes) '!H38-'CFS 3Q2022'!H38</f>
        <v>0</v>
      </c>
      <c r="I38" s="340">
        <f>'CFS (Before Changes) '!I38-'CFS 3Q2022'!I38</f>
        <v>0</v>
      </c>
      <c r="J38" s="340">
        <f>'CFS (Before Changes) '!J38-'CFS 3Q2022'!J38</f>
        <v>0</v>
      </c>
      <c r="K38" s="340">
        <f>'CFS (Before Changes) '!K38-'CFS 3Q2022'!K38</f>
        <v>0</v>
      </c>
      <c r="L38" s="340">
        <f>'CFS (Before Changes) '!L38-'CFS 3Q2022'!L38</f>
        <v>0</v>
      </c>
      <c r="M38" s="337">
        <f>'CFS (Before Changes) '!M38-'CFS 3Q2022'!M38</f>
        <v>0</v>
      </c>
      <c r="N38" s="340">
        <f>'CFS (Before Changes) '!N38-'CFS 3Q2022'!N38</f>
        <v>0</v>
      </c>
      <c r="O38" s="340">
        <f>'CFS (Before Changes) '!O38-'CFS 3Q2022'!O38</f>
        <v>0</v>
      </c>
      <c r="P38" s="340">
        <f>'CFS (Before Changes) '!P38-'CFS 3Q2022'!P38</f>
        <v>0</v>
      </c>
      <c r="Q38" s="340">
        <f>'CFS (Before Changes) '!Q38-'CFS 3Q2022'!Q38</f>
        <v>0</v>
      </c>
      <c r="R38" s="337">
        <f>'CFS (Before Changes) '!R38-'CFS 3Q2022'!R38</f>
        <v>0</v>
      </c>
      <c r="S38" s="340">
        <f>'CFS (Before Changes) '!S38-'CFS 3Q2022'!S38</f>
        <v>0</v>
      </c>
      <c r="T38" s="340">
        <f>'CFS (Before Changes) '!T38-'CFS 3Q2022'!T38</f>
        <v>0</v>
      </c>
      <c r="U38" s="340">
        <f>'CFS (Before Changes) '!U38-'CFS 3Q2022'!U38</f>
        <v>0</v>
      </c>
      <c r="V38" s="341">
        <f>'CFS (Before Changes) '!V38-'CFS 3Q2022'!V38</f>
        <v>-124.00000000000003</v>
      </c>
      <c r="W38" s="337">
        <f>'CFS (Before Changes) '!W38-'CFS 3Q2022'!W38</f>
        <v>-124.00000000000003</v>
      </c>
      <c r="X38" s="341">
        <f>'CFS (Before Changes) '!X38-'CFS 3Q2022'!X38</f>
        <v>0</v>
      </c>
      <c r="Y38" s="341">
        <f>'CFS (Before Changes) '!Y38-'CFS 3Q2022'!Y38</f>
        <v>0</v>
      </c>
      <c r="Z38" s="341">
        <f>'CFS (Before Changes) '!Z38-'CFS 3Q2022'!Z38</f>
        <v>0</v>
      </c>
      <c r="AA38" s="341">
        <f>'CFS (Before Changes) '!AA38-'CFS 3Q2022'!AA38</f>
        <v>0</v>
      </c>
      <c r="AB38" s="337">
        <f>'CFS (Before Changes) '!AB38-'CFS 3Q2022'!AB38</f>
        <v>0</v>
      </c>
      <c r="AC38" s="341">
        <f>'CFS (Before Changes) '!AC38-'CFS 3Q2022'!AC38</f>
        <v>0</v>
      </c>
      <c r="AD38" s="341">
        <f>'CFS (Before Changes) '!AD38-'CFS 3Q2022'!AD38</f>
        <v>0</v>
      </c>
      <c r="AE38" s="341">
        <f>'CFS (Before Changes) '!AE38-'CFS 3Q2022'!AE38</f>
        <v>0</v>
      </c>
      <c r="AF38" s="341">
        <f>'CFS (Before Changes) '!AF38-'CFS 3Q2022'!AF38</f>
        <v>0</v>
      </c>
      <c r="AG38" s="337">
        <f>'CFS (Before Changes) '!AG38-'CFS 3Q2022'!AG38</f>
        <v>0</v>
      </c>
      <c r="AH38" s="341">
        <f>'CFS (Before Changes) '!AH38-'CFS 3Q2022'!AH38</f>
        <v>0</v>
      </c>
      <c r="AI38" s="341">
        <f>'CFS (Before Changes) '!AI38-'CFS 3Q2022'!AI38</f>
        <v>0</v>
      </c>
      <c r="AJ38" s="341">
        <f>'CFS (Before Changes) '!AJ38-'CFS 3Q2022'!AJ38</f>
        <v>0</v>
      </c>
      <c r="AK38" s="341">
        <f>'CFS (Before Changes) '!AK38-'CFS 3Q2022'!AK38</f>
        <v>0</v>
      </c>
      <c r="AL38" s="337">
        <f>'CFS (Before Changes) '!AL38-'CFS 3Q2022'!AL38</f>
        <v>0</v>
      </c>
      <c r="AM38" s="341">
        <f>'CFS (Before Changes) '!AM38-'CFS 3Q2022'!AM38</f>
        <v>0</v>
      </c>
      <c r="AN38" s="341">
        <f>'CFS (Before Changes) '!AN38-'CFS 3Q2022'!AN38</f>
        <v>0</v>
      </c>
      <c r="AO38" s="341">
        <f>'CFS (Before Changes) '!AO38-'CFS 3Q2022'!AO38</f>
        <v>0</v>
      </c>
      <c r="AP38" s="341">
        <f>'CFS (Before Changes) '!AP38-'CFS 3Q2022'!AP38</f>
        <v>0</v>
      </c>
      <c r="AQ38" s="337">
        <f>'CFS (Before Changes) '!AQ38-'CFS 3Q2022'!AQ38</f>
        <v>0</v>
      </c>
      <c r="AR38" s="341">
        <f>'CFS (Before Changes) '!AR38-'CFS 3Q2022'!AR38</f>
        <v>0</v>
      </c>
      <c r="AS38" s="341">
        <f>'CFS (Before Changes) '!AS38-'CFS 3Q2022'!AS38</f>
        <v>0</v>
      </c>
      <c r="AT38" s="341">
        <f>'CFS (Before Changes) '!AT38-'CFS 3Q2022'!AT38</f>
        <v>0</v>
      </c>
      <c r="AU38" s="341">
        <f>'CFS (Before Changes) '!AU38-'CFS 3Q2022'!AU38</f>
        <v>0</v>
      </c>
      <c r="AV38" s="337">
        <f>'CFS (Before Changes) '!AV38-'CFS 3Q2022'!AV38</f>
        <v>0</v>
      </c>
    </row>
    <row r="39" spans="2:48" ht="16.2" outlineLevel="1" x14ac:dyDescent="0.45">
      <c r="B39" s="486" t="s">
        <v>296</v>
      </c>
      <c r="C39" s="487"/>
      <c r="D39" s="260">
        <f>'CFS (Before Changes) '!D39-'CFS 3Q2022'!D39</f>
        <v>0</v>
      </c>
      <c r="E39" s="260">
        <f>'CFS (Before Changes) '!E39-'CFS 3Q2022'!E39</f>
        <v>0</v>
      </c>
      <c r="F39" s="260">
        <f>'CFS (Before Changes) '!F39-'CFS 3Q2022'!F39</f>
        <v>0</v>
      </c>
      <c r="G39" s="260">
        <f>'CFS (Before Changes) '!G39-'CFS 3Q2022'!G39</f>
        <v>0</v>
      </c>
      <c r="H39" s="261">
        <f>'CFS (Before Changes) '!H39-'CFS 3Q2022'!H39</f>
        <v>0</v>
      </c>
      <c r="I39" s="260">
        <f>'CFS (Before Changes) '!I39-'CFS 3Q2022'!I39</f>
        <v>0</v>
      </c>
      <c r="J39" s="260">
        <f>'CFS (Before Changes) '!J39-'CFS 3Q2022'!J39</f>
        <v>0</v>
      </c>
      <c r="K39" s="260">
        <f>'CFS (Before Changes) '!K39-'CFS 3Q2022'!K39</f>
        <v>0</v>
      </c>
      <c r="L39" s="260">
        <f>'CFS (Before Changes) '!L39-'CFS 3Q2022'!L39</f>
        <v>0</v>
      </c>
      <c r="M39" s="261">
        <f>'CFS (Before Changes) '!M39-'CFS 3Q2022'!M39</f>
        <v>0</v>
      </c>
      <c r="N39" s="260">
        <f>'CFS (Before Changes) '!N39-'CFS 3Q2022'!N39</f>
        <v>0</v>
      </c>
      <c r="O39" s="260">
        <f>'CFS (Before Changes) '!O39-'CFS 3Q2022'!O39</f>
        <v>0</v>
      </c>
      <c r="P39" s="260">
        <f>'CFS (Before Changes) '!P39-'CFS 3Q2022'!P39</f>
        <v>0</v>
      </c>
      <c r="Q39" s="260">
        <f>'CFS (Before Changes) '!Q39-'CFS 3Q2022'!Q39</f>
        <v>0</v>
      </c>
      <c r="R39" s="261">
        <f>'CFS (Before Changes) '!R39-'CFS 3Q2022'!R39</f>
        <v>0</v>
      </c>
      <c r="S39" s="260">
        <f>'CFS (Before Changes) '!S39-'CFS 3Q2022'!S39</f>
        <v>0</v>
      </c>
      <c r="T39" s="260">
        <f>'CFS (Before Changes) '!T39-'CFS 3Q2022'!T39</f>
        <v>0</v>
      </c>
      <c r="U39" s="260">
        <f>'CFS (Before Changes) '!U39-'CFS 3Q2022'!U39</f>
        <v>0</v>
      </c>
      <c r="V39" s="260">
        <f>'CFS (Before Changes) '!V39-'CFS 3Q2022'!V39</f>
        <v>-434.39934483938805</v>
      </c>
      <c r="W39" s="261">
        <f>'CFS (Before Changes) '!W39-'CFS 3Q2022'!W39</f>
        <v>-434.3993448393885</v>
      </c>
      <c r="X39" s="260">
        <f>'CFS (Before Changes) '!X39-'CFS 3Q2022'!X39</f>
        <v>588.85503648374038</v>
      </c>
      <c r="Y39" s="260">
        <f>'CFS (Before Changes) '!Y39-'CFS 3Q2022'!Y39</f>
        <v>63.250733042654133</v>
      </c>
      <c r="Z39" s="260">
        <f>'CFS (Before Changes) '!Z39-'CFS 3Q2022'!Z39</f>
        <v>52.345715881272554</v>
      </c>
      <c r="AA39" s="260">
        <f>'CFS (Before Changes) '!AA39-'CFS 3Q2022'!AA39</f>
        <v>-49.55210961776379</v>
      </c>
      <c r="AB39" s="261">
        <f>'CFS (Before Changes) '!AB39-'CFS 3Q2022'!AB39</f>
        <v>654.89937578990339</v>
      </c>
      <c r="AC39" s="260">
        <f>'CFS (Before Changes) '!AC39-'CFS 3Q2022'!AC39</f>
        <v>141.05020578478593</v>
      </c>
      <c r="AD39" s="260">
        <f>'CFS (Before Changes) '!AD39-'CFS 3Q2022'!AD39</f>
        <v>17.503916730081642</v>
      </c>
      <c r="AE39" s="260">
        <f>'CFS (Before Changes) '!AE39-'CFS 3Q2022'!AE39</f>
        <v>7.5675853918050962</v>
      </c>
      <c r="AF39" s="260">
        <f>'CFS (Before Changes) '!AF39-'CFS 3Q2022'!AF39</f>
        <v>-127.34854304547457</v>
      </c>
      <c r="AG39" s="261">
        <f>'CFS (Before Changes) '!AG39-'CFS 3Q2022'!AG39</f>
        <v>38.773164861198893</v>
      </c>
      <c r="AH39" s="260">
        <f>'CFS (Before Changes) '!AH39-'CFS 3Q2022'!AH39</f>
        <v>144.75439113569973</v>
      </c>
      <c r="AI39" s="260">
        <f>'CFS (Before Changes) '!AI39-'CFS 3Q2022'!AI39</f>
        <v>26.90357634502061</v>
      </c>
      <c r="AJ39" s="260">
        <f>'CFS (Before Changes) '!AJ39-'CFS 3Q2022'!AJ39</f>
        <v>14.903633246972504</v>
      </c>
      <c r="AK39" s="260">
        <f>'CFS (Before Changes) '!AK39-'CFS 3Q2022'!AK39</f>
        <v>-451.76537159624968</v>
      </c>
      <c r="AL39" s="261">
        <f>'CFS (Before Changes) '!AL39-'CFS 3Q2022'!AL39</f>
        <v>-265.20377086855751</v>
      </c>
      <c r="AM39" s="260">
        <f>'CFS (Before Changes) '!AM39-'CFS 3Q2022'!AM39</f>
        <v>216.60625155228809</v>
      </c>
      <c r="AN39" s="260">
        <f>'CFS (Before Changes) '!AN39-'CFS 3Q2022'!AN39</f>
        <v>26.091273545642025</v>
      </c>
      <c r="AO39" s="260">
        <f>'CFS (Before Changes) '!AO39-'CFS 3Q2022'!AO39</f>
        <v>12.945584874495125</v>
      </c>
      <c r="AP39" s="260">
        <f>'CFS (Before Changes) '!AP39-'CFS 3Q2022'!AP39</f>
        <v>-172.20219651000434</v>
      </c>
      <c r="AQ39" s="261">
        <f>'CFS (Before Changes) '!AQ39-'CFS 3Q2022'!AQ39</f>
        <v>83.440913462422031</v>
      </c>
      <c r="AR39" s="260">
        <f>'CFS (Before Changes) '!AR39-'CFS 3Q2022'!AR39</f>
        <v>175.87775317318483</v>
      </c>
      <c r="AS39" s="260">
        <f>'CFS (Before Changes) '!AS39-'CFS 3Q2022'!AS39</f>
        <v>31.58381192554225</v>
      </c>
      <c r="AT39" s="260">
        <f>'CFS (Before Changes) '!AT39-'CFS 3Q2022'!AT39</f>
        <v>15.660470514875897</v>
      </c>
      <c r="AU39" s="260">
        <f>'CFS (Before Changes) '!AU39-'CFS 3Q2022'!AU39</f>
        <v>-200.91946122848367</v>
      </c>
      <c r="AV39" s="261">
        <f>'CFS (Before Changes) '!AV39-'CFS 3Q2022'!AV39</f>
        <v>22.202574385118169</v>
      </c>
    </row>
    <row r="40" spans="2:48" ht="16.2" outlineLevel="1" x14ac:dyDescent="0.45">
      <c r="B40" s="486" t="s">
        <v>297</v>
      </c>
      <c r="C40" s="487"/>
      <c r="D40" s="260">
        <f>'CFS (Before Changes) '!D40-'CFS 3Q2022'!D40</f>
        <v>0</v>
      </c>
      <c r="E40" s="260">
        <f>'CFS (Before Changes) '!E40-'CFS 3Q2022'!E40</f>
        <v>0</v>
      </c>
      <c r="F40" s="260">
        <f>'CFS (Before Changes) '!F40-'CFS 3Q2022'!F40</f>
        <v>0</v>
      </c>
      <c r="G40" s="260">
        <f>'CFS (Before Changes) '!G40-'CFS 3Q2022'!G40</f>
        <v>0</v>
      </c>
      <c r="H40" s="261">
        <f>'CFS (Before Changes) '!H40-'CFS 3Q2022'!H40</f>
        <v>0</v>
      </c>
      <c r="I40" s="112">
        <f>'CFS (Before Changes) '!I40-'CFS 3Q2022'!I40</f>
        <v>0</v>
      </c>
      <c r="J40" s="260">
        <f>'CFS (Before Changes) '!J40-'CFS 3Q2022'!J40</f>
        <v>0</v>
      </c>
      <c r="K40" s="260">
        <f>'CFS (Before Changes) '!K40-'CFS 3Q2022'!K40</f>
        <v>0</v>
      </c>
      <c r="L40" s="260">
        <f>'CFS (Before Changes) '!L40-'CFS 3Q2022'!L40</f>
        <v>0</v>
      </c>
      <c r="M40" s="261">
        <f>'CFS (Before Changes) '!M40-'CFS 3Q2022'!M40</f>
        <v>0</v>
      </c>
      <c r="N40" s="260">
        <f>'CFS (Before Changes) '!N40-'CFS 3Q2022'!N40</f>
        <v>0</v>
      </c>
      <c r="O40" s="260">
        <f>'CFS (Before Changes) '!O40-'CFS 3Q2022'!O40</f>
        <v>0</v>
      </c>
      <c r="P40" s="260">
        <f>'CFS (Before Changes) '!P40-'CFS 3Q2022'!P40</f>
        <v>0</v>
      </c>
      <c r="Q40" s="260">
        <f>'CFS (Before Changes) '!Q40-'CFS 3Q2022'!Q40</f>
        <v>0</v>
      </c>
      <c r="R40" s="261">
        <f>'CFS (Before Changes) '!R40-'CFS 3Q2022'!R40</f>
        <v>0</v>
      </c>
      <c r="S40" s="260">
        <f>'CFS (Before Changes) '!S40-'CFS 3Q2022'!S40</f>
        <v>0</v>
      </c>
      <c r="T40" s="260">
        <f>'CFS (Before Changes) '!T40-'CFS 3Q2022'!T40</f>
        <v>0</v>
      </c>
      <c r="U40" s="260">
        <f>'CFS (Before Changes) '!U40-'CFS 3Q2022'!U40</f>
        <v>0</v>
      </c>
      <c r="V40" s="260">
        <f>'CFS (Before Changes) '!V40-'CFS 3Q2022'!V40</f>
        <v>0</v>
      </c>
      <c r="W40" s="261">
        <f>'CFS (Before Changes) '!W40-'CFS 3Q2022'!W40</f>
        <v>0</v>
      </c>
      <c r="X40" s="260">
        <f>'CFS (Before Changes) '!X40-'CFS 3Q2022'!X40</f>
        <v>-434.3993448393885</v>
      </c>
      <c r="Y40" s="260">
        <f>'CFS (Before Changes) '!Y40-'CFS 3Q2022'!Y40</f>
        <v>154.4556916443521</v>
      </c>
      <c r="Z40" s="260">
        <f>'CFS (Before Changes) '!Z40-'CFS 3Q2022'!Z40</f>
        <v>217.70642468700589</v>
      </c>
      <c r="AA40" s="260">
        <f>'CFS (Before Changes) '!AA40-'CFS 3Q2022'!AA40</f>
        <v>270.05214056827845</v>
      </c>
      <c r="AB40" s="261">
        <f>'CFS (Before Changes) '!AB40-'CFS 3Q2022'!AB40</f>
        <v>-434.3993448393885</v>
      </c>
      <c r="AC40" s="260">
        <f>'CFS (Before Changes) '!AC40-'CFS 3Q2022'!AC40</f>
        <v>220.50003095051488</v>
      </c>
      <c r="AD40" s="260">
        <f>'CFS (Before Changes) '!AD40-'CFS 3Q2022'!AD40</f>
        <v>361.55023673530104</v>
      </c>
      <c r="AE40" s="260">
        <f>'CFS (Before Changes) '!AE40-'CFS 3Q2022'!AE40</f>
        <v>379.05415346538257</v>
      </c>
      <c r="AF40" s="260">
        <f>'CFS (Before Changes) '!AF40-'CFS 3Q2022'!AF40</f>
        <v>386.62173885718767</v>
      </c>
      <c r="AG40" s="261">
        <f>'CFS (Before Changes) '!AG40-'CFS 3Q2022'!AG40</f>
        <v>220.50003095051488</v>
      </c>
      <c r="AH40" s="260">
        <f>'CFS (Before Changes) '!AH40-'CFS 3Q2022'!AH40</f>
        <v>259.27319581171378</v>
      </c>
      <c r="AI40" s="260">
        <f>'CFS (Before Changes) '!AI40-'CFS 3Q2022'!AI40</f>
        <v>404.02758694741351</v>
      </c>
      <c r="AJ40" s="260">
        <f>'CFS (Before Changes) '!AJ40-'CFS 3Q2022'!AJ40</f>
        <v>430.93116329243367</v>
      </c>
      <c r="AK40" s="260">
        <f>'CFS (Before Changes) '!AK40-'CFS 3Q2022'!AK40</f>
        <v>445.83479653940685</v>
      </c>
      <c r="AL40" s="261">
        <f>'CFS (Before Changes) '!AL40-'CFS 3Q2022'!AL40</f>
        <v>259.27319581171378</v>
      </c>
      <c r="AM40" s="260">
        <f>'CFS (Before Changes) '!AM40-'CFS 3Q2022'!AM40</f>
        <v>-5.9305750568437361</v>
      </c>
      <c r="AN40" s="260">
        <f>'CFS (Before Changes) '!AN40-'CFS 3Q2022'!AN40</f>
        <v>210.67567649544435</v>
      </c>
      <c r="AO40" s="260">
        <f>'CFS (Before Changes) '!AO40-'CFS 3Q2022'!AO40</f>
        <v>236.76695004108637</v>
      </c>
      <c r="AP40" s="260">
        <f>'CFS (Before Changes) '!AP40-'CFS 3Q2022'!AP40</f>
        <v>249.71253491558173</v>
      </c>
      <c r="AQ40" s="261">
        <f>'CFS (Before Changes) '!AQ40-'CFS 3Q2022'!AQ40</f>
        <v>-5.9305750568437361</v>
      </c>
      <c r="AR40" s="260">
        <f>'CFS (Before Changes) '!AR40-'CFS 3Q2022'!AR40</f>
        <v>77.510338405578295</v>
      </c>
      <c r="AS40" s="260">
        <f>'CFS (Before Changes) '!AS40-'CFS 3Q2022'!AS40</f>
        <v>253.38809157876312</v>
      </c>
      <c r="AT40" s="260">
        <f>'CFS (Before Changes) '!AT40-'CFS 3Q2022'!AT40</f>
        <v>284.97190350430537</v>
      </c>
      <c r="AU40" s="260">
        <f>'CFS (Before Changes) '!AU40-'CFS 3Q2022'!AU40</f>
        <v>300.6323740191815</v>
      </c>
      <c r="AV40" s="261">
        <f>'CFS (Before Changes) '!AV40-'CFS 3Q2022'!AV40</f>
        <v>77.510338405578295</v>
      </c>
    </row>
    <row r="41" spans="2:48" outlineLevel="1" x14ac:dyDescent="0.3">
      <c r="B41" s="529" t="s">
        <v>298</v>
      </c>
      <c r="C41" s="530"/>
      <c r="D41" s="116">
        <f>'CFS (Before Changes) '!D41-'CFS 3Q2022'!D41</f>
        <v>0</v>
      </c>
      <c r="E41" s="116">
        <f>'CFS (Before Changes) '!E41-'CFS 3Q2022'!E41</f>
        <v>0</v>
      </c>
      <c r="F41" s="116">
        <f>'CFS (Before Changes) '!F41-'CFS 3Q2022'!F41</f>
        <v>0</v>
      </c>
      <c r="G41" s="116">
        <f>'CFS (Before Changes) '!G41-'CFS 3Q2022'!G41</f>
        <v>0</v>
      </c>
      <c r="H41" s="150">
        <f>'CFS (Before Changes) '!H41-'CFS 3Q2022'!H41</f>
        <v>0</v>
      </c>
      <c r="I41" s="116">
        <f>'CFS (Before Changes) '!I41-'CFS 3Q2022'!I41</f>
        <v>0</v>
      </c>
      <c r="J41" s="116">
        <f>'CFS (Before Changes) '!J41-'CFS 3Q2022'!J41</f>
        <v>0</v>
      </c>
      <c r="K41" s="116">
        <f>'CFS (Before Changes) '!K41-'CFS 3Q2022'!K41</f>
        <v>0</v>
      </c>
      <c r="L41" s="21">
        <f>'CFS (Before Changes) '!L41-'CFS 3Q2022'!L41</f>
        <v>0</v>
      </c>
      <c r="M41" s="22">
        <f>'CFS (Before Changes) '!M41-'CFS 3Q2022'!M41</f>
        <v>0</v>
      </c>
      <c r="N41" s="21">
        <f>'CFS (Before Changes) '!N41-'CFS 3Q2022'!N41</f>
        <v>0</v>
      </c>
      <c r="O41" s="21">
        <f>'CFS (Before Changes) '!O41-'CFS 3Q2022'!O41</f>
        <v>0</v>
      </c>
      <c r="P41" s="21">
        <f>'CFS (Before Changes) '!P41-'CFS 3Q2022'!P41</f>
        <v>0</v>
      </c>
      <c r="Q41" s="21">
        <f>'CFS (Before Changes) '!Q41-'CFS 3Q2022'!Q41</f>
        <v>0</v>
      </c>
      <c r="R41" s="22">
        <f>'CFS (Before Changes) '!R41-'CFS 3Q2022'!R41</f>
        <v>0</v>
      </c>
      <c r="S41" s="21">
        <f>'CFS (Before Changes) '!S41-'CFS 3Q2022'!S41</f>
        <v>0</v>
      </c>
      <c r="T41" s="21">
        <f>'CFS (Before Changes) '!T41-'CFS 3Q2022'!T41</f>
        <v>0</v>
      </c>
      <c r="U41" s="21">
        <f>'CFS (Before Changes) '!U41-'CFS 3Q2022'!U41</f>
        <v>0</v>
      </c>
      <c r="V41" s="21">
        <f>'CFS (Before Changes) '!V41-'CFS 3Q2022'!V41</f>
        <v>-434.39934483938805</v>
      </c>
      <c r="W41" s="22">
        <f>'CFS (Before Changes) '!W41-'CFS 3Q2022'!W41</f>
        <v>-434.3993448393885</v>
      </c>
      <c r="X41" s="21">
        <f>'CFS (Before Changes) '!X41-'CFS 3Q2022'!X41</f>
        <v>154.4556916443521</v>
      </c>
      <c r="Y41" s="21">
        <f>'CFS (Before Changes) '!Y41-'CFS 3Q2022'!Y41</f>
        <v>217.70642468700589</v>
      </c>
      <c r="Z41" s="21">
        <f>'CFS (Before Changes) '!Z41-'CFS 3Q2022'!Z41</f>
        <v>270.05214056827845</v>
      </c>
      <c r="AA41" s="21">
        <f>'CFS (Before Changes) '!AA41-'CFS 3Q2022'!AA41</f>
        <v>220.50003095051488</v>
      </c>
      <c r="AB41" s="22">
        <f>'CFS (Before Changes) '!AB41-'CFS 3Q2022'!AB41</f>
        <v>220.50003095051488</v>
      </c>
      <c r="AC41" s="21">
        <f>'CFS (Before Changes) '!AC41-'CFS 3Q2022'!AC41</f>
        <v>361.55023673530104</v>
      </c>
      <c r="AD41" s="21">
        <f>'CFS (Before Changes) '!AD41-'CFS 3Q2022'!AD41</f>
        <v>379.05415346538257</v>
      </c>
      <c r="AE41" s="21">
        <f>'CFS (Before Changes) '!AE41-'CFS 3Q2022'!AE41</f>
        <v>386.62173885718767</v>
      </c>
      <c r="AF41" s="21">
        <f>'CFS (Before Changes) '!AF41-'CFS 3Q2022'!AF41</f>
        <v>259.27319581171287</v>
      </c>
      <c r="AG41" s="22">
        <f>'CFS (Before Changes) '!AG41-'CFS 3Q2022'!AG41</f>
        <v>259.27319581171378</v>
      </c>
      <c r="AH41" s="21">
        <f>'CFS (Before Changes) '!AH41-'CFS 3Q2022'!AH41</f>
        <v>404.02758694741351</v>
      </c>
      <c r="AI41" s="21">
        <f>'CFS (Before Changes) '!AI41-'CFS 3Q2022'!AI41</f>
        <v>430.93116329243367</v>
      </c>
      <c r="AJ41" s="21">
        <f>'CFS (Before Changes) '!AJ41-'CFS 3Q2022'!AJ41</f>
        <v>445.83479653940685</v>
      </c>
      <c r="AK41" s="21">
        <f>'CFS (Before Changes) '!AK41-'CFS 3Q2022'!AK41</f>
        <v>-5.9305750568428266</v>
      </c>
      <c r="AL41" s="22">
        <f>'CFS (Before Changes) '!AL41-'CFS 3Q2022'!AL41</f>
        <v>-5.9305750568437361</v>
      </c>
      <c r="AM41" s="21">
        <f>'CFS (Before Changes) '!AM41-'CFS 3Q2022'!AM41</f>
        <v>210.67567649544435</v>
      </c>
      <c r="AN41" s="21">
        <f>'CFS (Before Changes) '!AN41-'CFS 3Q2022'!AN41</f>
        <v>236.76695004108637</v>
      </c>
      <c r="AO41" s="21">
        <f>'CFS (Before Changes) '!AO41-'CFS 3Q2022'!AO41</f>
        <v>249.71253491558173</v>
      </c>
      <c r="AP41" s="21">
        <f>'CFS (Before Changes) '!AP41-'CFS 3Q2022'!AP41</f>
        <v>77.510338405577386</v>
      </c>
      <c r="AQ41" s="22">
        <f>'CFS (Before Changes) '!AQ41-'CFS 3Q2022'!AQ41</f>
        <v>77.510338405578295</v>
      </c>
      <c r="AR41" s="21">
        <f>'CFS (Before Changes) '!AR41-'CFS 3Q2022'!AR41</f>
        <v>253.38809157876312</v>
      </c>
      <c r="AS41" s="21">
        <f>'CFS (Before Changes) '!AS41-'CFS 3Q2022'!AS41</f>
        <v>284.97190350430537</v>
      </c>
      <c r="AT41" s="21">
        <f>'CFS (Before Changes) '!AT41-'CFS 3Q2022'!AT41</f>
        <v>300.6323740191815</v>
      </c>
      <c r="AU41" s="21">
        <f>'CFS (Before Changes) '!AU41-'CFS 3Q2022'!AU41</f>
        <v>99.712912790698283</v>
      </c>
      <c r="AV41" s="22">
        <f>'CFS (Before Changes) '!AV41-'CFS 3Q2022'!AV41</f>
        <v>99.712912790696464</v>
      </c>
    </row>
    <row r="42" spans="2:48" s="23" customFormat="1" outlineLevel="1" x14ac:dyDescent="0.3">
      <c r="B42" s="531" t="s">
        <v>299</v>
      </c>
      <c r="C42" s="532"/>
      <c r="D42" s="321">
        <f>'CFS (Before Changes) '!D42-'CFS 3Q2022'!D42</f>
        <v>2004.2250000000004</v>
      </c>
      <c r="E42" s="321">
        <f>'CFS (Before Changes) '!E42-'CFS 3Q2022'!E42</f>
        <v>31.994499999999611</v>
      </c>
      <c r="F42" s="321">
        <f>'CFS (Before Changes) '!F42-'CFS 3Q2022'!F42</f>
        <v>799.53200000000095</v>
      </c>
      <c r="G42" s="321">
        <f>'CFS (Before Changes) '!G42-'CFS 3Q2022'!G42</f>
        <v>654.45350000000076</v>
      </c>
      <c r="H42" s="342">
        <f>'CFS (Before Changes) '!H42-'CFS 3Q2022'!H42</f>
        <v>3490.2050000000017</v>
      </c>
      <c r="I42" s="321">
        <f>'CFS (Before Changes) '!I42-'CFS 3Q2022'!I42</f>
        <v>1511.1844999999985</v>
      </c>
      <c r="J42" s="321">
        <f>'CFS (Before Changes) '!J42-'CFS 3Q2022'!J42</f>
        <v>-1650.4040000000009</v>
      </c>
      <c r="K42" s="321">
        <f>'CFS (Before Changes) '!K42-'CFS 3Q2022'!K42</f>
        <v>-656.59599999999932</v>
      </c>
      <c r="L42" s="321">
        <f>'CFS (Before Changes) '!L42-'CFS 3Q2022'!L42</f>
        <v>1239.8750000000016</v>
      </c>
      <c r="M42" s="342">
        <f>'CFS (Before Changes) '!M42-'CFS 3Q2022'!M42</f>
        <v>444.05949999999984</v>
      </c>
      <c r="N42" s="321">
        <f>'CFS (Before Changes) '!N42-'CFS 3Q2022'!N42</f>
        <v>1602.6285000000003</v>
      </c>
      <c r="O42" s="321">
        <f>'CFS (Before Changes) '!O42-'CFS 3Q2022'!O42</f>
        <v>646.92500000000007</v>
      </c>
      <c r="P42" s="321">
        <f>'CFS (Before Changes) '!P42-'CFS 3Q2022'!P42</f>
        <v>1496.8169999999991</v>
      </c>
      <c r="Q42" s="321">
        <f>'CFS (Before Changes) '!Q42-'CFS 3Q2022'!Q42</f>
        <v>1127.4529999999995</v>
      </c>
      <c r="R42" s="342">
        <f>'CFS (Before Changes) '!R42-'CFS 3Q2022'!R42</f>
        <v>4873.8234999999986</v>
      </c>
      <c r="S42" s="321">
        <f>'CFS (Before Changes) '!S42-'CFS 3Q2022'!S42</f>
        <v>1541.1514999999999</v>
      </c>
      <c r="T42" s="321">
        <f>'CFS (Before Changes) '!T42-'CFS 3Q2022'!T42</f>
        <v>-203.27949999999981</v>
      </c>
      <c r="U42" s="321">
        <f>'CFS (Before Changes) '!U42-'CFS 3Q2022'!U42</f>
        <v>934.24049999999897</v>
      </c>
      <c r="V42" s="321">
        <f>'CFS (Before Changes) '!V42-'CFS 3Q2022'!V42</f>
        <v>648.30149999999912</v>
      </c>
      <c r="W42" s="342">
        <f>'CFS (Before Changes) '!W42-'CFS 3Q2022'!W42</f>
        <v>2920.4139999999984</v>
      </c>
      <c r="X42" s="321">
        <f>'CFS (Before Changes) '!X42-'CFS 3Q2022'!X42</f>
        <v>1521.2094885296985</v>
      </c>
      <c r="Y42" s="321">
        <f>'CFS (Before Changes) '!Y42-'CFS 3Q2022'!Y42</f>
        <v>274.97720815186955</v>
      </c>
      <c r="Z42" s="321">
        <f>'CFS (Before Changes) '!Z42-'CFS 3Q2022'!Z42</f>
        <v>566.93911975247636</v>
      </c>
      <c r="AA42" s="321">
        <f>'CFS (Before Changes) '!AA42-'CFS 3Q2022'!AA42</f>
        <v>1329.3376889142553</v>
      </c>
      <c r="AB42" s="342">
        <f>'CFS (Before Changes) '!AB42-'CFS 3Q2022'!AB42</f>
        <v>3692.4635053482998</v>
      </c>
      <c r="AC42" s="321">
        <f>'CFS (Before Changes) '!AC42-'CFS 3Q2022'!AC42</f>
        <v>1646.8425628775135</v>
      </c>
      <c r="AD42" s="321">
        <f>'CFS (Before Changes) '!AD42-'CFS 3Q2022'!AD42</f>
        <v>495.54711647230221</v>
      </c>
      <c r="AE42" s="321">
        <f>'CFS (Before Changes) '!AE42-'CFS 3Q2022'!AE42</f>
        <v>886.1103223311228</v>
      </c>
      <c r="AF42" s="321">
        <f>'CFS (Before Changes) '!AF42-'CFS 3Q2022'!AF42</f>
        <v>1183.5776931331429</v>
      </c>
      <c r="AG42" s="342">
        <f>'CFS (Before Changes) '!AG42-'CFS 3Q2022'!AG42</f>
        <v>4212.077694814081</v>
      </c>
      <c r="AH42" s="321">
        <f>'CFS (Before Changes) '!AH42-'CFS 3Q2022'!AH42</f>
        <v>1906.5158443725859</v>
      </c>
      <c r="AI42" s="321">
        <f>'CFS (Before Changes) '!AI42-'CFS 3Q2022'!AI42</f>
        <v>645.62880546307554</v>
      </c>
      <c r="AJ42" s="321">
        <f>'CFS (Before Changes) '!AJ42-'CFS 3Q2022'!AJ42</f>
        <v>1071.3813168015902</v>
      </c>
      <c r="AK42" s="321">
        <f>'CFS (Before Changes) '!AK42-'CFS 3Q2022'!AK42</f>
        <v>1444.5586635043273</v>
      </c>
      <c r="AL42" s="342">
        <f>'CFS (Before Changes) '!AL42-'CFS 3Q2022'!AL42</f>
        <v>5068.0846301415786</v>
      </c>
      <c r="AM42" s="321">
        <f>'CFS (Before Changes) '!AM42-'CFS 3Q2022'!AM42</f>
        <v>2226.7604256791028</v>
      </c>
      <c r="AN42" s="321">
        <f>'CFS (Before Changes) '!AN42-'CFS 3Q2022'!AN42</f>
        <v>727.02435743557658</v>
      </c>
      <c r="AO42" s="321">
        <f>'CFS (Before Changes) '!AO42-'CFS 3Q2022'!AO42</f>
        <v>1158.9333693899828</v>
      </c>
      <c r="AP42" s="321">
        <f>'CFS (Before Changes) '!AP42-'CFS 3Q2022'!AP42</f>
        <v>1641.1526900862834</v>
      </c>
      <c r="AQ42" s="342">
        <f>'CFS (Before Changes) '!AQ42-'CFS 3Q2022'!AQ42</f>
        <v>5753.8708425909454</v>
      </c>
      <c r="AR42" s="321">
        <f>'CFS (Before Changes) '!AR42-'CFS 3Q2022'!AR42</f>
        <v>2379.1033946930679</v>
      </c>
      <c r="AS42" s="321">
        <f>'CFS (Before Changes) '!AS42-'CFS 3Q2022'!AS42</f>
        <v>801.2591736587292</v>
      </c>
      <c r="AT42" s="321">
        <f>'CFS (Before Changes) '!AT42-'CFS 3Q2022'!AT42</f>
        <v>1297.6069079135957</v>
      </c>
      <c r="AU42" s="321">
        <f>'CFS (Before Changes) '!AU42-'CFS 3Q2022'!AU42</f>
        <v>1704.811693444972</v>
      </c>
      <c r="AV42" s="342">
        <f>'CFS (Before Changes) '!AV42-'CFS 3Q2022'!AV42</f>
        <v>6182.7811697103643</v>
      </c>
    </row>
    <row r="43" spans="2:48" s="23" customFormat="1" outlineLevel="1" x14ac:dyDescent="0.3">
      <c r="B43" s="325" t="s">
        <v>300</v>
      </c>
      <c r="C43" s="326"/>
      <c r="D43" s="327">
        <f>'CFS (Before Changes) '!D43-'CFS 3Q2022'!D43</f>
        <v>0</v>
      </c>
      <c r="E43" s="327">
        <f>'CFS (Before Changes) '!E43-'CFS 3Q2022'!E43</f>
        <v>0</v>
      </c>
      <c r="F43" s="343">
        <f>'CFS (Before Changes) '!F43-'CFS 3Q2022'!F43</f>
        <v>0</v>
      </c>
      <c r="G43" s="327">
        <f>'CFS (Before Changes) '!G43-'CFS 3Q2022'!G43</f>
        <v>0</v>
      </c>
      <c r="H43" s="328">
        <f>'CFS (Before Changes) '!H43-'CFS 3Q2022'!H43</f>
        <v>0</v>
      </c>
      <c r="I43" s="327">
        <f>'CFS (Before Changes) '!I43-'CFS 3Q2022'!I43</f>
        <v>0</v>
      </c>
      <c r="J43" s="327">
        <f>'CFS (Before Changes) '!J43-'CFS 3Q2022'!J43</f>
        <v>0</v>
      </c>
      <c r="K43" s="327">
        <f>'CFS (Before Changes) '!K43-'CFS 3Q2022'!K43</f>
        <v>0</v>
      </c>
      <c r="L43" s="327">
        <f>'CFS (Before Changes) '!L43-'CFS 3Q2022'!L43</f>
        <v>0</v>
      </c>
      <c r="M43" s="328">
        <f>'CFS (Before Changes) '!M43-'CFS 3Q2022'!M43</f>
        <v>0</v>
      </c>
      <c r="N43" s="327">
        <f>'CFS (Before Changes) '!N43-'CFS 3Q2022'!N43</f>
        <v>0</v>
      </c>
      <c r="O43" s="327">
        <f>'CFS (Before Changes) '!O43-'CFS 3Q2022'!O43</f>
        <v>0</v>
      </c>
      <c r="P43" s="327">
        <f>'CFS (Before Changes) '!P43-'CFS 3Q2022'!P43</f>
        <v>0</v>
      </c>
      <c r="Q43" s="327">
        <f>'CFS (Before Changes) '!Q43-'CFS 3Q2022'!Q43</f>
        <v>0</v>
      </c>
      <c r="R43" s="328">
        <f>'CFS (Before Changes) '!R43-'CFS 3Q2022'!R43</f>
        <v>0</v>
      </c>
      <c r="S43" s="327">
        <f>'CFS (Before Changes) '!S43-'CFS 3Q2022'!S43</f>
        <v>0</v>
      </c>
      <c r="T43" s="327">
        <f>'CFS (Before Changes) '!T43-'CFS 3Q2022'!T43</f>
        <v>0</v>
      </c>
      <c r="U43" s="327">
        <f>'CFS (Before Changes) '!U43-'CFS 3Q2022'!U43</f>
        <v>0</v>
      </c>
      <c r="V43" s="327">
        <f>'CFS (Before Changes) '!V43-'CFS 3Q2022'!V43</f>
        <v>0</v>
      </c>
      <c r="W43" s="328">
        <f>'CFS (Before Changes) '!W43-'CFS 3Q2022'!W43</f>
        <v>0</v>
      </c>
      <c r="X43" s="327">
        <f>'CFS (Before Changes) '!X43-'CFS 3Q2022'!X43</f>
        <v>0</v>
      </c>
      <c r="Y43" s="327">
        <f>'CFS (Before Changes) '!Y43-'CFS 3Q2022'!Y43</f>
        <v>0</v>
      </c>
      <c r="Z43" s="327">
        <f>'CFS (Before Changes) '!Z43-'CFS 3Q2022'!Z43</f>
        <v>0</v>
      </c>
      <c r="AA43" s="327">
        <f>'CFS (Before Changes) '!AA43-'CFS 3Q2022'!AA43</f>
        <v>0</v>
      </c>
      <c r="AB43" s="328">
        <f>'CFS (Before Changes) '!AB43-'CFS 3Q2022'!AB43</f>
        <v>1</v>
      </c>
      <c r="AC43" s="327">
        <f>'CFS (Before Changes) '!AC43-'CFS 3Q2022'!AC43</f>
        <v>0</v>
      </c>
      <c r="AD43" s="327">
        <f>'CFS (Before Changes) '!AD43-'CFS 3Q2022'!AD43</f>
        <v>0</v>
      </c>
      <c r="AE43" s="327">
        <f>'CFS (Before Changes) '!AE43-'CFS 3Q2022'!AE43</f>
        <v>0</v>
      </c>
      <c r="AF43" s="327">
        <f>'CFS (Before Changes) '!AF43-'CFS 3Q2022'!AF43</f>
        <v>0</v>
      </c>
      <c r="AG43" s="328">
        <f>'CFS (Before Changes) '!AG43-'CFS 3Q2022'!AG43</f>
        <v>2</v>
      </c>
      <c r="AH43" s="327">
        <f>'CFS (Before Changes) '!AH43-'CFS 3Q2022'!AH43</f>
        <v>0</v>
      </c>
      <c r="AI43" s="327">
        <f>'CFS (Before Changes) '!AI43-'CFS 3Q2022'!AI43</f>
        <v>0</v>
      </c>
      <c r="AJ43" s="327">
        <f>'CFS (Before Changes) '!AJ43-'CFS 3Q2022'!AJ43</f>
        <v>0</v>
      </c>
      <c r="AK43" s="327">
        <f>'CFS (Before Changes) '!AK43-'CFS 3Q2022'!AK43</f>
        <v>0</v>
      </c>
      <c r="AL43" s="328">
        <f>'CFS (Before Changes) '!AL43-'CFS 3Q2022'!AL43</f>
        <v>3</v>
      </c>
      <c r="AM43" s="327">
        <f>'CFS (Before Changes) '!AM43-'CFS 3Q2022'!AM43</f>
        <v>0</v>
      </c>
      <c r="AN43" s="327">
        <f>'CFS (Before Changes) '!AN43-'CFS 3Q2022'!AN43</f>
        <v>0</v>
      </c>
      <c r="AO43" s="327">
        <f>'CFS (Before Changes) '!AO43-'CFS 3Q2022'!AO43</f>
        <v>0</v>
      </c>
      <c r="AP43" s="327">
        <f>'CFS (Before Changes) '!AP43-'CFS 3Q2022'!AP43</f>
        <v>0</v>
      </c>
      <c r="AQ43" s="328">
        <f>'CFS (Before Changes) '!AQ43-'CFS 3Q2022'!AQ43</f>
        <v>4</v>
      </c>
      <c r="AR43" s="327">
        <f>'CFS (Before Changes) '!AR43-'CFS 3Q2022'!AR43</f>
        <v>0</v>
      </c>
      <c r="AS43" s="327">
        <f>'CFS (Before Changes) '!AS43-'CFS 3Q2022'!AS43</f>
        <v>0</v>
      </c>
      <c r="AT43" s="327">
        <f>'CFS (Before Changes) '!AT43-'CFS 3Q2022'!AT43</f>
        <v>0</v>
      </c>
      <c r="AU43" s="327">
        <f>'CFS (Before Changes) '!AU43-'CFS 3Q2022'!AU43</f>
        <v>0</v>
      </c>
      <c r="AV43" s="328">
        <f>'CFS (Before Changes) '!AV43-'CFS 3Q2022'!AV43</f>
        <v>5</v>
      </c>
    </row>
    <row r="44" spans="2:48" s="23" customFormat="1" outlineLevel="1" x14ac:dyDescent="0.3">
      <c r="B44" s="533" t="s">
        <v>301</v>
      </c>
      <c r="C44" s="534"/>
      <c r="D44" s="344">
        <f>'CFS (Before Changes) '!D44-'CFS 3Q2022'!D44</f>
        <v>0</v>
      </c>
      <c r="E44" s="344">
        <f>'CFS (Before Changes) '!E44-'CFS 3Q2022'!E44</f>
        <v>0</v>
      </c>
      <c r="F44" s="344">
        <f>'CFS (Before Changes) '!F44-'CFS 3Q2022'!F44</f>
        <v>0</v>
      </c>
      <c r="G44" s="344">
        <f>'CFS (Before Changes) '!G44-'CFS 3Q2022'!G44</f>
        <v>0</v>
      </c>
      <c r="H44" s="345">
        <f>'CFS (Before Changes) '!H44-'CFS 3Q2022'!H44</f>
        <v>0</v>
      </c>
      <c r="I44" s="344">
        <f>'CFS (Before Changes) '!I44-'CFS 3Q2022'!I44</f>
        <v>0</v>
      </c>
      <c r="J44" s="344">
        <f>'CFS (Before Changes) '!J44-'CFS 3Q2022'!J44</f>
        <v>0</v>
      </c>
      <c r="K44" s="344">
        <f>'CFS (Before Changes) '!K44-'CFS 3Q2022'!K44</f>
        <v>0</v>
      </c>
      <c r="L44" s="344">
        <f>'CFS (Before Changes) '!L44-'CFS 3Q2022'!L44</f>
        <v>0</v>
      </c>
      <c r="M44" s="345">
        <f>'CFS (Before Changes) '!M44-'CFS 3Q2022'!M44</f>
        <v>0</v>
      </c>
      <c r="N44" s="344">
        <f>'CFS (Before Changes) '!N44-'CFS 3Q2022'!N44</f>
        <v>0</v>
      </c>
      <c r="O44" s="344">
        <f>'CFS (Before Changes) '!O44-'CFS 3Q2022'!O44</f>
        <v>0</v>
      </c>
      <c r="P44" s="344">
        <f>'CFS (Before Changes) '!P44-'CFS 3Q2022'!P44</f>
        <v>0</v>
      </c>
      <c r="Q44" s="344">
        <f>'CFS (Before Changes) '!Q44-'CFS 3Q2022'!Q44</f>
        <v>0</v>
      </c>
      <c r="R44" s="345">
        <f>'CFS (Before Changes) '!R44-'CFS 3Q2022'!R44</f>
        <v>0</v>
      </c>
      <c r="S44" s="344">
        <f>'CFS (Before Changes) '!S44-'CFS 3Q2022'!S44</f>
        <v>0</v>
      </c>
      <c r="T44" s="344">
        <f>'CFS (Before Changes) '!T44-'CFS 3Q2022'!T44</f>
        <v>0</v>
      </c>
      <c r="U44" s="344">
        <f>'CFS (Before Changes) '!U44-'CFS 3Q2022'!U44</f>
        <v>0</v>
      </c>
      <c r="V44" s="344">
        <f>'CFS (Before Changes) '!V44-'CFS 3Q2022'!V44</f>
        <v>0</v>
      </c>
      <c r="W44" s="345">
        <f>'CFS (Before Changes) '!W44-'CFS 3Q2022'!W44</f>
        <v>2920.4139999999984</v>
      </c>
      <c r="X44" s="344">
        <f>'CFS (Before Changes) '!X44-'CFS 3Q2022'!X44</f>
        <v>0</v>
      </c>
      <c r="Y44" s="344">
        <f>'CFS (Before Changes) '!Y44-'CFS 3Q2022'!Y44</f>
        <v>0</v>
      </c>
      <c r="Z44" s="344">
        <f>'CFS (Before Changes) '!Z44-'CFS 3Q2022'!Z44</f>
        <v>0</v>
      </c>
      <c r="AA44" s="344">
        <f>'CFS (Before Changes) '!AA44-'CFS 3Q2022'!AA44</f>
        <v>0</v>
      </c>
      <c r="AB44" s="345">
        <f>'CFS (Before Changes) '!AB44-'CFS 3Q2022'!AB44</f>
        <v>3312.5546873364465</v>
      </c>
      <c r="AC44" s="344">
        <f>'CFS (Before Changes) '!AC44-'CFS 3Q2022'!AC44</f>
        <v>0</v>
      </c>
      <c r="AD44" s="344">
        <f>'CFS (Before Changes) '!AD44-'CFS 3Q2022'!AD44</f>
        <v>0</v>
      </c>
      <c r="AE44" s="344">
        <f>'CFS (Before Changes) '!AE44-'CFS 3Q2022'!AE44</f>
        <v>0</v>
      </c>
      <c r="AF44" s="344">
        <f>'CFS (Before Changes) '!AF44-'CFS 3Q2022'!AF44</f>
        <v>0</v>
      </c>
      <c r="AG44" s="345">
        <f>'CFS (Before Changes) '!AG44-'CFS 3Q2022'!AG44</f>
        <v>3389.9247972452249</v>
      </c>
      <c r="AH44" s="344">
        <f>'CFS (Before Changes) '!AH44-'CFS 3Q2022'!AH44</f>
        <v>0</v>
      </c>
      <c r="AI44" s="344">
        <f>'CFS (Before Changes) '!AI44-'CFS 3Q2022'!AI44</f>
        <v>0</v>
      </c>
      <c r="AJ44" s="344">
        <f>'CFS (Before Changes) '!AJ44-'CFS 3Q2022'!AJ44</f>
        <v>0</v>
      </c>
      <c r="AK44" s="344">
        <f>'CFS (Before Changes) '!AK44-'CFS 3Q2022'!AK44</f>
        <v>0</v>
      </c>
      <c r="AL44" s="345">
        <f>'CFS (Before Changes) '!AL44-'CFS 3Q2022'!AL44</f>
        <v>3659.185227380367</v>
      </c>
      <c r="AM44" s="344">
        <f>'CFS (Before Changes) '!AM44-'CFS 3Q2022'!AM44</f>
        <v>0</v>
      </c>
      <c r="AN44" s="344">
        <f>'CFS (Before Changes) '!AN44-'CFS 3Q2022'!AN44</f>
        <v>0</v>
      </c>
      <c r="AO44" s="344">
        <f>'CFS (Before Changes) '!AO44-'CFS 3Q2022'!AO44</f>
        <v>0</v>
      </c>
      <c r="AP44" s="344">
        <f>'CFS (Before Changes) '!AP44-'CFS 3Q2022'!AP44</f>
        <v>0</v>
      </c>
      <c r="AQ44" s="345">
        <f>'CFS (Before Changes) '!AQ44-'CFS 3Q2022'!AQ44</f>
        <v>3726.8978532566935</v>
      </c>
      <c r="AR44" s="344">
        <f>'CFS (Before Changes) '!AR44-'CFS 3Q2022'!AR44</f>
        <v>0</v>
      </c>
      <c r="AS44" s="344">
        <f>'CFS (Before Changes) '!AS44-'CFS 3Q2022'!AS44</f>
        <v>0</v>
      </c>
      <c r="AT44" s="344">
        <f>'CFS (Before Changes) '!AT44-'CFS 3Q2022'!AT44</f>
        <v>0</v>
      </c>
      <c r="AU44" s="344">
        <f>'CFS (Before Changes) '!AU44-'CFS 3Q2022'!AU44</f>
        <v>0</v>
      </c>
      <c r="AV44" s="345">
        <f>'CFS (Before Changes) '!AV44-'CFS 3Q2022'!AV44</f>
        <v>3592.6764029974274</v>
      </c>
    </row>
    <row r="45" spans="2:48" outlineLevel="1" x14ac:dyDescent="0.3">
      <c r="B45" s="250" t="s">
        <v>302</v>
      </c>
      <c r="C45" s="249"/>
      <c r="D45" s="334">
        <f>'CFS (Before Changes) '!D45-'CFS 3Q2022'!D45</f>
        <v>0</v>
      </c>
      <c r="E45" s="334">
        <f>'CFS (Before Changes) '!E45-'CFS 3Q2022'!E45</f>
        <v>0</v>
      </c>
      <c r="F45" s="334">
        <f>'CFS (Before Changes) '!F45-'CFS 3Q2022'!F45</f>
        <v>0</v>
      </c>
      <c r="G45" s="334">
        <f>'CFS (Before Changes) '!G45-'CFS 3Q2022'!G45</f>
        <v>0</v>
      </c>
      <c r="H45" s="335">
        <f>'CFS (Before Changes) '!H45-'CFS 3Q2022'!H45</f>
        <v>0</v>
      </c>
      <c r="I45" s="334">
        <f>'CFS (Before Changes) '!I45-'CFS 3Q2022'!I45</f>
        <v>0</v>
      </c>
      <c r="J45" s="334">
        <f>'CFS (Before Changes) '!J45-'CFS 3Q2022'!J45</f>
        <v>0</v>
      </c>
      <c r="K45" s="334">
        <f>'CFS (Before Changes) '!K45-'CFS 3Q2022'!K45</f>
        <v>0</v>
      </c>
      <c r="L45" s="334">
        <f>'CFS (Before Changes) '!L45-'CFS 3Q2022'!L45</f>
        <v>0</v>
      </c>
      <c r="M45" s="335">
        <f>'CFS (Before Changes) '!M45-'CFS 3Q2022'!M45</f>
        <v>0</v>
      </c>
      <c r="N45" s="334">
        <f>'CFS (Before Changes) '!N45-'CFS 3Q2022'!N45</f>
        <v>0</v>
      </c>
      <c r="O45" s="334">
        <f>'CFS (Before Changes) '!O45-'CFS 3Q2022'!O45</f>
        <v>0</v>
      </c>
      <c r="P45" s="334">
        <f>'CFS (Before Changes) '!P45-'CFS 3Q2022'!P45</f>
        <v>0</v>
      </c>
      <c r="Q45" s="334">
        <f>'CFS (Before Changes) '!Q45-'CFS 3Q2022'!Q45</f>
        <v>0</v>
      </c>
      <c r="R45" s="335">
        <f>'CFS (Before Changes) '!R45-'CFS 3Q2022'!R45</f>
        <v>0</v>
      </c>
      <c r="S45" s="334">
        <f>'CFS (Before Changes) '!S45-'CFS 3Q2022'!S45</f>
        <v>0</v>
      </c>
      <c r="T45" s="334">
        <f>'CFS (Before Changes) '!T45-'CFS 3Q2022'!T45</f>
        <v>0</v>
      </c>
      <c r="U45" s="334">
        <f>'CFS (Before Changes) '!U45-'CFS 3Q2022'!U45</f>
        <v>0</v>
      </c>
      <c r="V45" s="334">
        <f>'CFS (Before Changes) '!V45-'CFS 3Q2022'!V45</f>
        <v>0</v>
      </c>
      <c r="W45" s="335">
        <f>'CFS (Before Changes) '!W45-'CFS 3Q2022'!W45</f>
        <v>0</v>
      </c>
      <c r="X45" s="334">
        <f>'CFS (Before Changes) '!X45-'CFS 3Q2022'!X45</f>
        <v>0</v>
      </c>
      <c r="Y45" s="334">
        <f>'CFS (Before Changes) '!Y45-'CFS 3Q2022'!Y45</f>
        <v>0</v>
      </c>
      <c r="Z45" s="334">
        <f>'CFS (Before Changes) '!Z45-'CFS 3Q2022'!Z45</f>
        <v>0</v>
      </c>
      <c r="AA45" s="334">
        <f>'CFS (Before Changes) '!AA45-'CFS 3Q2022'!AA45</f>
        <v>0</v>
      </c>
      <c r="AB45" s="335">
        <f>'CFS (Before Changes) '!AB45-'CFS 3Q2022'!AB45</f>
        <v>0</v>
      </c>
      <c r="AC45" s="334">
        <f>'CFS (Before Changes) '!AC45-'CFS 3Q2022'!AC45</f>
        <v>0</v>
      </c>
      <c r="AD45" s="334">
        <f>'CFS (Before Changes) '!AD45-'CFS 3Q2022'!AD45</f>
        <v>0</v>
      </c>
      <c r="AE45" s="334">
        <f>'CFS (Before Changes) '!AE45-'CFS 3Q2022'!AE45</f>
        <v>0</v>
      </c>
      <c r="AF45" s="334">
        <f>'CFS (Before Changes) '!AF45-'CFS 3Q2022'!AF45</f>
        <v>0</v>
      </c>
      <c r="AG45" s="335">
        <f>'CFS (Before Changes) '!AG45-'CFS 3Q2022'!AG45</f>
        <v>0</v>
      </c>
      <c r="AH45" s="334">
        <f>'CFS (Before Changes) '!AH45-'CFS 3Q2022'!AH45</f>
        <v>0</v>
      </c>
      <c r="AI45" s="334">
        <f>'CFS (Before Changes) '!AI45-'CFS 3Q2022'!AI45</f>
        <v>0</v>
      </c>
      <c r="AJ45" s="334">
        <f>'CFS (Before Changes) '!AJ45-'CFS 3Q2022'!AJ45</f>
        <v>0</v>
      </c>
      <c r="AK45" s="334">
        <f>'CFS (Before Changes) '!AK45-'CFS 3Q2022'!AK45</f>
        <v>0</v>
      </c>
      <c r="AL45" s="335">
        <f>'CFS (Before Changes) '!AL45-'CFS 3Q2022'!AL45</f>
        <v>0</v>
      </c>
      <c r="AM45" s="334">
        <f>'CFS (Before Changes) '!AM45-'CFS 3Q2022'!AM45</f>
        <v>0</v>
      </c>
      <c r="AN45" s="334">
        <f>'CFS (Before Changes) '!AN45-'CFS 3Q2022'!AN45</f>
        <v>0</v>
      </c>
      <c r="AO45" s="334">
        <f>'CFS (Before Changes) '!AO45-'CFS 3Q2022'!AO45</f>
        <v>0</v>
      </c>
      <c r="AP45" s="334">
        <f>'CFS (Before Changes) '!AP45-'CFS 3Q2022'!AP45</f>
        <v>0</v>
      </c>
      <c r="AQ45" s="335">
        <f>'CFS (Before Changes) '!AQ45-'CFS 3Q2022'!AQ45</f>
        <v>0</v>
      </c>
      <c r="AR45" s="334">
        <f>'CFS (Before Changes) '!AR45-'CFS 3Q2022'!AR45</f>
        <v>0</v>
      </c>
      <c r="AS45" s="334">
        <f>'CFS (Before Changes) '!AS45-'CFS 3Q2022'!AS45</f>
        <v>0</v>
      </c>
      <c r="AT45" s="334">
        <f>'CFS (Before Changes) '!AT45-'CFS 3Q2022'!AT45</f>
        <v>0</v>
      </c>
      <c r="AU45" s="334">
        <f>'CFS (Before Changes) '!AU45-'CFS 3Q2022'!AU45</f>
        <v>0</v>
      </c>
      <c r="AV45" s="335">
        <f>'CFS (Before Changes) '!AV45-'CFS 3Q2022'!AV45</f>
        <v>0</v>
      </c>
    </row>
    <row r="46" spans="2:48" outlineLevel="1" x14ac:dyDescent="0.3">
      <c r="B46" s="200" t="s">
        <v>303</v>
      </c>
      <c r="C46" s="201"/>
      <c r="D46" s="16">
        <f>'CFS (Before Changes) '!D46-'CFS 3Q2022'!D46</f>
        <v>0</v>
      </c>
      <c r="E46" s="16">
        <f>'CFS (Before Changes) '!E46-'CFS 3Q2022'!E46</f>
        <v>0</v>
      </c>
      <c r="F46" s="16">
        <f>'CFS (Before Changes) '!F46-'CFS 3Q2022'!F46</f>
        <v>0</v>
      </c>
      <c r="G46" s="16">
        <f>'CFS (Before Changes) '!G46-'CFS 3Q2022'!G46</f>
        <v>0</v>
      </c>
      <c r="H46" s="17">
        <f>'CFS (Before Changes) '!H46-'CFS 3Q2022'!H46</f>
        <v>0</v>
      </c>
      <c r="I46" s="16">
        <f>'CFS (Before Changes) '!I46-'CFS 3Q2022'!I46</f>
        <v>0</v>
      </c>
      <c r="J46" s="16">
        <f>'CFS (Before Changes) '!J46-'CFS 3Q2022'!J46</f>
        <v>0</v>
      </c>
      <c r="K46" s="16">
        <f>'CFS (Before Changes) '!K46-'CFS 3Q2022'!K46</f>
        <v>0</v>
      </c>
      <c r="L46" s="16">
        <f>'CFS (Before Changes) '!L46-'CFS 3Q2022'!L46</f>
        <v>0</v>
      </c>
      <c r="M46" s="17">
        <f>'CFS (Before Changes) '!M46-'CFS 3Q2022'!M46</f>
        <v>0</v>
      </c>
      <c r="N46" s="16">
        <f>'CFS (Before Changes) '!N46-'CFS 3Q2022'!N46</f>
        <v>0</v>
      </c>
      <c r="O46" s="16">
        <f>'CFS (Before Changes) '!O46-'CFS 3Q2022'!O46</f>
        <v>0</v>
      </c>
      <c r="P46" s="16">
        <f>'CFS (Before Changes) '!P46-'CFS 3Q2022'!P46</f>
        <v>0</v>
      </c>
      <c r="Q46" s="16">
        <f>'CFS (Before Changes) '!Q46-'CFS 3Q2022'!Q46</f>
        <v>0</v>
      </c>
      <c r="R46" s="17">
        <f>'CFS (Before Changes) '!R46-'CFS 3Q2022'!R46</f>
        <v>0</v>
      </c>
      <c r="S46" s="16">
        <f>'CFS (Before Changes) '!S46-'CFS 3Q2022'!S46</f>
        <v>0</v>
      </c>
      <c r="T46" s="16">
        <f>'CFS (Before Changes) '!T46-'CFS 3Q2022'!T46</f>
        <v>0</v>
      </c>
      <c r="U46" s="16">
        <f>'CFS (Before Changes) '!U46-'CFS 3Q2022'!U46</f>
        <v>0</v>
      </c>
      <c r="V46" s="16">
        <f>'CFS (Before Changes) '!V46-'CFS 3Q2022'!V46</f>
        <v>-164.32534419755302</v>
      </c>
      <c r="W46" s="17">
        <f>'CFS (Before Changes) '!W46-'CFS 3Q2022'!W46</f>
        <v>-164.32534419755302</v>
      </c>
      <c r="X46" s="16">
        <f>'CFS (Before Changes) '!X46-'CFS 3Q2022'!X46</f>
        <v>222.46720733742086</v>
      </c>
      <c r="Y46" s="16">
        <f>'CFS (Before Changes) '!Y46-'CFS 3Q2022'!Y46</f>
        <v>303.05138140563076</v>
      </c>
      <c r="Z46" s="16">
        <f>'CFS (Before Changes) '!Z46-'CFS 3Q2022'!Z46</f>
        <v>379.89578047646728</v>
      </c>
      <c r="AA46" s="16">
        <f>'CFS (Before Changes) '!AA46-'CFS 3Q2022'!AA46</f>
        <v>360.98778647758081</v>
      </c>
      <c r="AB46" s="17">
        <f>'CFS (Before Changes) '!AB46-'CFS 3Q2022'!AB46</f>
        <v>360.98778647758081</v>
      </c>
      <c r="AC46" s="16">
        <f>'CFS (Before Changes) '!AC46-'CFS 3Q2022'!AC46</f>
        <v>469.15190417429039</v>
      </c>
      <c r="AD46" s="16">
        <f>'CFS (Before Changes) '!AD46-'CFS 3Q2022'!AD46</f>
        <v>495.35949317942141</v>
      </c>
      <c r="AE46" s="16">
        <f>'CFS (Before Changes) '!AE46-'CFS 3Q2022'!AE46</f>
        <v>511.79135785420385</v>
      </c>
      <c r="AF46" s="16">
        <f>'CFS (Before Changes) '!AF46-'CFS 3Q2022'!AF46</f>
        <v>388.96621023652642</v>
      </c>
      <c r="AG46" s="17">
        <f>'CFS (Before Changes) '!AG46-'CFS 3Q2022'!AG46</f>
        <v>388.96621023652642</v>
      </c>
      <c r="AH46" s="16">
        <f>'CFS (Before Changes) '!AH46-'CFS 3Q2022'!AH46</f>
        <v>531.97436987948549</v>
      </c>
      <c r="AI46" s="16">
        <f>'CFS (Before Changes) '!AI46-'CFS 3Q2022'!AI46</f>
        <v>561.97317423339064</v>
      </c>
      <c r="AJ46" s="16">
        <f>'CFS (Before Changes) '!AJ46-'CFS 3Q2022'!AJ46</f>
        <v>582.86113084541921</v>
      </c>
      <c r="AK46" s="16">
        <f>'CFS (Before Changes) '!AK46-'CFS 3Q2022'!AK46</f>
        <v>110.19032320882911</v>
      </c>
      <c r="AL46" s="17">
        <f>'CFS (Before Changes) '!AL46-'CFS 3Q2022'!AL46</f>
        <v>110.19032320882911</v>
      </c>
      <c r="AM46" s="16">
        <f>'CFS (Before Changes) '!AM46-'CFS 3Q2022'!AM46</f>
        <v>329.76224070262697</v>
      </c>
      <c r="AN46" s="16">
        <f>'CFS (Before Changes) '!AN46-'CFS 3Q2022'!AN46</f>
        <v>356.23697301212769</v>
      </c>
      <c r="AO46" s="16">
        <f>'CFS (Before Changes) '!AO46-'CFS 3Q2022'!AO46</f>
        <v>373.2151483460807</v>
      </c>
      <c r="AP46" s="16">
        <f>'CFS (Before Changes) '!AP46-'CFS 3Q2022'!AP46</f>
        <v>204.14599835256604</v>
      </c>
      <c r="AQ46" s="17">
        <f>'CFS (Before Changes) '!AQ46-'CFS 3Q2022'!AQ46</f>
        <v>204.14599835256604</v>
      </c>
      <c r="AR46" s="16">
        <f>'CFS (Before Changes) '!AR46-'CFS 3Q2022'!AR46</f>
        <v>384.3472544197457</v>
      </c>
      <c r="AS46" s="16">
        <f>'CFS (Before Changes) '!AS46-'CFS 3Q2022'!AS46</f>
        <v>416.23674479398051</v>
      </c>
      <c r="AT46" s="16">
        <f>'CFS (Before Changes) '!AT46-'CFS 3Q2022'!AT46</f>
        <v>436.30704640164095</v>
      </c>
      <c r="AU46" s="16">
        <f>'CFS (Before Changes) '!AU46-'CFS 3Q2022'!AU46</f>
        <v>239.04791314358772</v>
      </c>
      <c r="AV46" s="17">
        <f>'CFS (Before Changes) '!AV46-'CFS 3Q2022'!AV46</f>
        <v>239.04791314358772</v>
      </c>
    </row>
    <row r="47" spans="2:48" outlineLevel="1" x14ac:dyDescent="0.3">
      <c r="B47" s="200" t="s">
        <v>304</v>
      </c>
      <c r="C47" s="201"/>
      <c r="D47" s="16">
        <f>'CFS (Before Changes) '!D47-'CFS 3Q2022'!D47</f>
        <v>0</v>
      </c>
      <c r="E47" s="16">
        <f>'CFS (Before Changes) '!E47-'CFS 3Q2022'!E47</f>
        <v>0</v>
      </c>
      <c r="F47" s="16">
        <f>'CFS (Before Changes) '!F47-'CFS 3Q2022'!F47</f>
        <v>0</v>
      </c>
      <c r="G47" s="16">
        <f>'CFS (Before Changes) '!G47-'CFS 3Q2022'!G47</f>
        <v>0</v>
      </c>
      <c r="H47" s="17">
        <f>'CFS (Before Changes) '!H47-'CFS 3Q2022'!H47</f>
        <v>0</v>
      </c>
      <c r="I47" s="16">
        <f>'CFS (Before Changes) '!I47-'CFS 3Q2022'!I47</f>
        <v>0</v>
      </c>
      <c r="J47" s="16">
        <f>'CFS (Before Changes) '!J47-'CFS 3Q2022'!J47</f>
        <v>0</v>
      </c>
      <c r="K47" s="16">
        <f>'CFS (Before Changes) '!K47-'CFS 3Q2022'!K47</f>
        <v>0</v>
      </c>
      <c r="L47" s="16">
        <f>'CFS (Before Changes) '!L47-'CFS 3Q2022'!L47</f>
        <v>0</v>
      </c>
      <c r="M47" s="17">
        <f>'CFS (Before Changes) '!M47-'CFS 3Q2022'!M47</f>
        <v>0</v>
      </c>
      <c r="N47" s="16">
        <f>'CFS (Before Changes) '!N47-'CFS 3Q2022'!N47</f>
        <v>0</v>
      </c>
      <c r="O47" s="16">
        <f>'CFS (Before Changes) '!O47-'CFS 3Q2022'!O47</f>
        <v>0</v>
      </c>
      <c r="P47" s="16">
        <f>'CFS (Before Changes) '!P47-'CFS 3Q2022'!P47</f>
        <v>0</v>
      </c>
      <c r="Q47" s="16">
        <f>'CFS (Before Changes) '!Q47-'CFS 3Q2022'!Q47</f>
        <v>0</v>
      </c>
      <c r="R47" s="17">
        <f>'CFS (Before Changes) '!R47-'CFS 3Q2022'!R47</f>
        <v>0</v>
      </c>
      <c r="S47" s="16">
        <f>'CFS (Before Changes) '!S47-'CFS 3Q2022'!S47</f>
        <v>0</v>
      </c>
      <c r="T47" s="16">
        <f>'CFS (Before Changes) '!T47-'CFS 3Q2022'!T47</f>
        <v>0</v>
      </c>
      <c r="U47" s="16">
        <f>'CFS (Before Changes) '!U47-'CFS 3Q2022'!U47</f>
        <v>0</v>
      </c>
      <c r="V47" s="16">
        <f>'CFS (Before Changes) '!V47-'CFS 3Q2022'!V47</f>
        <v>113</v>
      </c>
      <c r="W47" s="17">
        <f>'CFS (Before Changes) '!W47-'CFS 3Q2022'!W47</f>
        <v>113</v>
      </c>
      <c r="X47" s="16">
        <f>'CFS (Before Changes) '!X47-'CFS 3Q2022'!X47</f>
        <v>113</v>
      </c>
      <c r="Y47" s="16">
        <f>'CFS (Before Changes) '!Y47-'CFS 3Q2022'!Y47</f>
        <v>113</v>
      </c>
      <c r="Z47" s="16">
        <f>'CFS (Before Changes) '!Z47-'CFS 3Q2022'!Z47</f>
        <v>113.00000000000182</v>
      </c>
      <c r="AA47" s="16">
        <f>'CFS (Before Changes) '!AA47-'CFS 3Q2022'!AA47</f>
        <v>113.00000000000182</v>
      </c>
      <c r="AB47" s="17">
        <f>'CFS (Before Changes) '!AB47-'CFS 3Q2022'!AB47</f>
        <v>113.00000000000182</v>
      </c>
      <c r="AC47" s="16">
        <f>'CFS (Before Changes) '!AC47-'CFS 3Q2022'!AC47</f>
        <v>113.00000000000182</v>
      </c>
      <c r="AD47" s="16">
        <f>'CFS (Before Changes) '!AD47-'CFS 3Q2022'!AD47</f>
        <v>113</v>
      </c>
      <c r="AE47" s="16">
        <f>'CFS (Before Changes) '!AE47-'CFS 3Q2022'!AE47</f>
        <v>113</v>
      </c>
      <c r="AF47" s="16">
        <f>'CFS (Before Changes) '!AF47-'CFS 3Q2022'!AF47</f>
        <v>113</v>
      </c>
      <c r="AG47" s="17">
        <f>'CFS (Before Changes) '!AG47-'CFS 3Q2022'!AG47</f>
        <v>113</v>
      </c>
      <c r="AH47" s="16">
        <f>'CFS (Before Changes) '!AH47-'CFS 3Q2022'!AH47</f>
        <v>113</v>
      </c>
      <c r="AI47" s="16">
        <f>'CFS (Before Changes) '!AI47-'CFS 3Q2022'!AI47</f>
        <v>113</v>
      </c>
      <c r="AJ47" s="16">
        <f>'CFS (Before Changes) '!AJ47-'CFS 3Q2022'!AJ47</f>
        <v>364.3828144641011</v>
      </c>
      <c r="AK47" s="16">
        <f>'CFS (Before Changes) '!AK47-'CFS 3Q2022'!AK47</f>
        <v>364.3828144641011</v>
      </c>
      <c r="AL47" s="17">
        <f>'CFS (Before Changes) '!AL47-'CFS 3Q2022'!AL47</f>
        <v>364.3828144641011</v>
      </c>
      <c r="AM47" s="16">
        <f>'CFS (Before Changes) '!AM47-'CFS 3Q2022'!AM47</f>
        <v>364.3828144641011</v>
      </c>
      <c r="AN47" s="16">
        <f>'CFS (Before Changes) '!AN47-'CFS 3Q2022'!AN47</f>
        <v>364.3828144641011</v>
      </c>
      <c r="AO47" s="16">
        <f>'CFS (Before Changes) '!AO47-'CFS 3Q2022'!AO47</f>
        <v>364.3828144641011</v>
      </c>
      <c r="AP47" s="16">
        <f>'CFS (Before Changes) '!AP47-'CFS 3Q2022'!AP47</f>
        <v>364.3828144641011</v>
      </c>
      <c r="AQ47" s="17">
        <f>'CFS (Before Changes) '!AQ47-'CFS 3Q2022'!AQ47</f>
        <v>364.3828144641011</v>
      </c>
      <c r="AR47" s="16">
        <f>'CFS (Before Changes) '!AR47-'CFS 3Q2022'!AR47</f>
        <v>364.3828144641011</v>
      </c>
      <c r="AS47" s="16">
        <f>'CFS (Before Changes) '!AS47-'CFS 3Q2022'!AS47</f>
        <v>364.3828144641011</v>
      </c>
      <c r="AT47" s="16">
        <f>'CFS (Before Changes) '!AT47-'CFS 3Q2022'!AT47</f>
        <v>364.3828144641011</v>
      </c>
      <c r="AU47" s="16">
        <f>'CFS (Before Changes) '!AU47-'CFS 3Q2022'!AU47</f>
        <v>364.3828144641011</v>
      </c>
      <c r="AV47" s="17">
        <f>'CFS (Before Changes) '!AV47-'CFS 3Q2022'!AV47</f>
        <v>364.3828144641011</v>
      </c>
    </row>
    <row r="48" spans="2:48" outlineLevel="1" x14ac:dyDescent="0.3">
      <c r="B48" s="535" t="s">
        <v>305</v>
      </c>
      <c r="C48" s="536"/>
      <c r="D48" s="346">
        <f>'CFS (Before Changes) '!D48-'CFS 3Q2022'!D48</f>
        <v>0</v>
      </c>
      <c r="E48" s="346">
        <f>'CFS (Before Changes) '!E48-'CFS 3Q2022'!E48</f>
        <v>0</v>
      </c>
      <c r="F48" s="346">
        <f>'CFS (Before Changes) '!F48-'CFS 3Q2022'!F48</f>
        <v>0</v>
      </c>
      <c r="G48" s="346">
        <f>'CFS (Before Changes) '!G48-'CFS 3Q2022'!G48</f>
        <v>0</v>
      </c>
      <c r="H48" s="347">
        <f>'CFS (Before Changes) '!H48-'CFS 3Q2022'!H48</f>
        <v>0</v>
      </c>
      <c r="I48" s="346">
        <f>'CFS (Before Changes) '!I48-'CFS 3Q2022'!I48</f>
        <v>0</v>
      </c>
      <c r="J48" s="346">
        <f>'CFS (Before Changes) '!J48-'CFS 3Q2022'!J48</f>
        <v>0</v>
      </c>
      <c r="K48" s="346">
        <f>'CFS (Before Changes) '!K48-'CFS 3Q2022'!K48</f>
        <v>0</v>
      </c>
      <c r="L48" s="346">
        <f>'CFS (Before Changes) '!L48-'CFS 3Q2022'!L48</f>
        <v>0</v>
      </c>
      <c r="M48" s="347">
        <f>'CFS (Before Changes) '!M48-'CFS 3Q2022'!M48</f>
        <v>0</v>
      </c>
      <c r="N48" s="346">
        <f>'CFS (Before Changes) '!N48-'CFS 3Q2022'!N48</f>
        <v>0</v>
      </c>
      <c r="O48" s="346">
        <f>'CFS (Before Changes) '!O48-'CFS 3Q2022'!O48</f>
        <v>0</v>
      </c>
      <c r="P48" s="346">
        <f>'CFS (Before Changes) '!P48-'CFS 3Q2022'!P48</f>
        <v>0</v>
      </c>
      <c r="Q48" s="346">
        <f>'CFS (Before Changes) '!Q48-'CFS 3Q2022'!Q48</f>
        <v>0</v>
      </c>
      <c r="R48" s="347">
        <f>'CFS (Before Changes) '!R48-'CFS 3Q2022'!R48</f>
        <v>0</v>
      </c>
      <c r="S48" s="346">
        <f>'CFS (Before Changes) '!S48-'CFS 3Q2022'!S48</f>
        <v>0</v>
      </c>
      <c r="T48" s="346">
        <f>'CFS (Before Changes) '!T48-'CFS 3Q2022'!T48</f>
        <v>0</v>
      </c>
      <c r="U48" s="346">
        <f>'CFS (Before Changes) '!U48-'CFS 3Q2022'!U48</f>
        <v>0</v>
      </c>
      <c r="V48" s="346">
        <f>'CFS (Before Changes) '!V48-'CFS 3Q2022'!V48</f>
        <v>-0.23765815718601502</v>
      </c>
      <c r="W48" s="347">
        <f>'CFS (Before Changes) '!W48-'CFS 3Q2022'!W48</f>
        <v>-0.24044487068879938</v>
      </c>
      <c r="X48" s="346">
        <f>'CFS (Before Changes) '!X48-'CFS 3Q2022'!X48</f>
        <v>9.7746073739390482E-2</v>
      </c>
      <c r="Y48" s="346">
        <f>'CFS (Before Changes) '!Y48-'CFS 3Q2022'!Y48</f>
        <v>0.16756324428362923</v>
      </c>
      <c r="Z48" s="346">
        <f>'CFS (Before Changes) '!Z48-'CFS 3Q2022'!Z48</f>
        <v>0.23393288149097913</v>
      </c>
      <c r="AA48" s="346">
        <f>'CFS (Before Changes) '!AA48-'CFS 3Q2022'!AA48</f>
        <v>0.21720145091578047</v>
      </c>
      <c r="AB48" s="347">
        <f>'CFS (Before Changes) '!AB48-'CFS 3Q2022'!AB48</f>
        <v>0.21766125096247535</v>
      </c>
      <c r="AC48" s="346">
        <f>'CFS (Before Changes) '!AC48-'CFS 3Q2022'!AC48</f>
        <v>0.310156938956899</v>
      </c>
      <c r="AD48" s="346">
        <f>'CFS (Before Changes) '!AD48-'CFS 3Q2022'!AD48</f>
        <v>0.3325139553182499</v>
      </c>
      <c r="AE48" s="346">
        <f>'CFS (Before Changes) '!AE48-'CFS 3Q2022'!AE48</f>
        <v>0.34680337566864416</v>
      </c>
      <c r="AF48" s="346">
        <f>'CFS (Before Changes) '!AF48-'CFS 3Q2022'!AF48</f>
        <v>0.24091033052025779</v>
      </c>
      <c r="AG48" s="347">
        <f>'CFS (Before Changes) '!AG48-'CFS 3Q2022'!AG48</f>
        <v>0.24084654721074905</v>
      </c>
      <c r="AH48" s="346">
        <f>'CFS (Before Changes) '!AH48-'CFS 3Q2022'!AH48</f>
        <v>0.3640033665540523</v>
      </c>
      <c r="AI48" s="346">
        <f>'CFS (Before Changes) '!AI48-'CFS 3Q2022'!AI48</f>
        <v>0.39000720254055299</v>
      </c>
      <c r="AJ48" s="346">
        <f>'CFS (Before Changes) '!AJ48-'CFS 3Q2022'!AJ48</f>
        <v>0.19185819147224947</v>
      </c>
      <c r="AK48" s="346">
        <f>'CFS (Before Changes) '!AK48-'CFS 3Q2022'!AK48</f>
        <v>-0.25587926201851374</v>
      </c>
      <c r="AL48" s="347">
        <f>'CFS (Before Changes) '!AL48-'CFS 3Q2022'!AL48</f>
        <v>-0.23181699291562552</v>
      </c>
      <c r="AM48" s="346">
        <f>'CFS (Before Changes) '!AM48-'CFS 3Q2022'!AM48</f>
        <v>-4.9085178828299547E-2</v>
      </c>
      <c r="AN48" s="346">
        <f>'CFS (Before Changes) '!AN48-'CFS 3Q2022'!AN48</f>
        <v>-2.3800110538335417E-2</v>
      </c>
      <c r="AO48" s="346">
        <f>'CFS (Before Changes) '!AO48-'CFS 3Q2022'!AO48</f>
        <v>-6.9414535205893912E-3</v>
      </c>
      <c r="AP48" s="346">
        <f>'CFS (Before Changes) '!AP48-'CFS 3Q2022'!AP48</f>
        <v>-0.16387583358099533</v>
      </c>
      <c r="AQ48" s="347">
        <f>'CFS (Before Changes) '!AQ48-'CFS 3Q2022'!AQ48</f>
        <v>-0.16510169843731859</v>
      </c>
      <c r="AR48" s="346">
        <f>'CFS (Before Changes) '!AR48-'CFS 3Q2022'!AR48</f>
        <v>6.7072886488830363E-3</v>
      </c>
      <c r="AS48" s="346">
        <f>'CFS (Before Changes) '!AS48-'CFS 3Q2022'!AS48</f>
        <v>3.7267687972647678E-2</v>
      </c>
      <c r="AT48" s="346">
        <f>'CFS (Before Changes) '!AT48-'CFS 3Q2022'!AT48</f>
        <v>5.7122413884959755E-2</v>
      </c>
      <c r="AU48" s="346">
        <f>'CFS (Before Changes) '!AU48-'CFS 3Q2022'!AU48</f>
        <v>-0.12701314725516433</v>
      </c>
      <c r="AV48" s="347">
        <f>'CFS (Before Changes) '!AV48-'CFS 3Q2022'!AV48</f>
        <v>-0.12812229122137531</v>
      </c>
    </row>
    <row r="49" spans="2:48" x14ac:dyDescent="0.3">
      <c r="B49" s="537"/>
      <c r="C49" s="5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494" t="s">
        <v>306</v>
      </c>
      <c r="C50" s="495"/>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5" t="s">
        <v>20</v>
      </c>
      <c r="W50" s="41" t="s">
        <v>20</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12"/>
      <c r="C51" s="513"/>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2" t="s">
        <v>25</v>
      </c>
      <c r="W51" s="42" t="s">
        <v>26</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510" t="s">
        <v>307</v>
      </c>
      <c r="C52" s="511"/>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16">
        <f>'CFS (Before Changes) '!D53-'CFS 3Q2022'!D53</f>
        <v>0</v>
      </c>
      <c r="E53" s="281">
        <f>'CFS (Before Changes) '!E53-'CFS 3Q2022'!E53</f>
        <v>0</v>
      </c>
      <c r="F53" s="113">
        <f>'CFS (Before Changes) '!F53-'CFS 3Q2022'!F53</f>
        <v>0</v>
      </c>
      <c r="G53" s="113">
        <f>'CFS (Before Changes) '!G53-'CFS 3Q2022'!G53</f>
        <v>0</v>
      </c>
      <c r="H53" s="125">
        <f>'CFS (Before Changes) '!H53-'CFS 3Q2022'!H53</f>
        <v>0</v>
      </c>
      <c r="I53" s="113">
        <f>'CFS (Before Changes) '!I53-'CFS 3Q2022'!I53</f>
        <v>0</v>
      </c>
      <c r="J53" s="113">
        <f>'CFS (Before Changes) '!J53-'CFS 3Q2022'!J53</f>
        <v>0</v>
      </c>
      <c r="K53" s="113">
        <f>'CFS (Before Changes) '!K53-'CFS 3Q2022'!K53</f>
        <v>0</v>
      </c>
      <c r="L53" s="113">
        <f>'CFS (Before Changes) '!L53-'CFS 3Q2022'!L53</f>
        <v>0</v>
      </c>
      <c r="M53" s="282">
        <f>'CFS (Before Changes) '!M53-'CFS 3Q2022'!M53</f>
        <v>0</v>
      </c>
      <c r="N53" s="113">
        <f>'CFS (Before Changes) '!N53-'CFS 3Q2022'!N53</f>
        <v>0</v>
      </c>
      <c r="O53" s="113">
        <f>'CFS (Before Changes) '!O53-'CFS 3Q2022'!O53</f>
        <v>0</v>
      </c>
      <c r="P53" s="113">
        <f>'CFS (Before Changes) '!P53-'CFS 3Q2022'!P53</f>
        <v>0</v>
      </c>
      <c r="Q53" s="113">
        <f>'CFS (Before Changes) '!Q53-'CFS 3Q2022'!Q53</f>
        <v>0</v>
      </c>
      <c r="R53" s="282">
        <f>'CFS (Before Changes) '!R53-'CFS 3Q2022'!R53</f>
        <v>0</v>
      </c>
      <c r="S53" s="113">
        <f>'CFS (Before Changes) '!S53-'CFS 3Q2022'!S53</f>
        <v>0</v>
      </c>
      <c r="T53" s="113">
        <f>'CFS (Before Changes) '!T53-'CFS 3Q2022'!T53</f>
        <v>0</v>
      </c>
      <c r="U53" s="113">
        <f>'CFS (Before Changes) '!U53-'CFS 3Q2022'!U53</f>
        <v>0</v>
      </c>
      <c r="V53" s="35">
        <f>'CFS (Before Changes) '!V53-'CFS 3Q2022'!V53</f>
        <v>-7.2880755601455616E-4</v>
      </c>
      <c r="W53" s="282">
        <f>'CFS (Before Changes) '!W53-'CFS 3Q2022'!W53</f>
        <v>0</v>
      </c>
      <c r="X53" s="35">
        <f>'CFS (Before Changes) '!X53-'CFS 3Q2022'!X53</f>
        <v>-1.8220188900363969E-4</v>
      </c>
      <c r="Y53" s="35">
        <f>'CFS (Before Changes) '!Y53-'CFS 3Q2022'!Y53</f>
        <v>-2.2775236125454918E-4</v>
      </c>
      <c r="Z53" s="35">
        <f>'CFS (Before Changes) '!Z53-'CFS 3Q2022'!Z53</f>
        <v>-2.8469045156818539E-4</v>
      </c>
      <c r="AA53" s="35">
        <f>'CFS (Before Changes) '!AA53-'CFS 3Q2022'!AA53</f>
        <v>-3.5586306446023196E-4</v>
      </c>
      <c r="AB53" s="282">
        <f>'CFS (Before Changes) '!AB53-'CFS 3Q2022'!AB53</f>
        <v>0</v>
      </c>
      <c r="AC53" s="35">
        <f>'CFS (Before Changes) '!AC53-'CFS 3Q2022'!AC53</f>
        <v>-2.6262694157165069E-4</v>
      </c>
      <c r="AD53" s="35">
        <f>'CFS (Before Changes) '!AD53-'CFS 3Q2022'!AD53</f>
        <v>-2.827332047136543E-4</v>
      </c>
      <c r="AE53" s="35">
        <f>'CFS (Before Changes) '!AE53-'CFS 3Q2022'!AE53</f>
        <v>-2.964784155784295E-4</v>
      </c>
      <c r="AF53" s="35">
        <f>'CFS (Before Changes) '!AF53-'CFS 3Q2022'!AF53</f>
        <v>-2.9942540658099356E-4</v>
      </c>
      <c r="AG53" s="282">
        <f>'CFS (Before Changes) '!AG53-'CFS 3Q2022'!AG53</f>
        <v>0</v>
      </c>
      <c r="AH53" s="35">
        <f>'CFS (Before Changes) '!AH53-'CFS 3Q2022'!AH53</f>
        <v>-2.853159921111844E-4</v>
      </c>
      <c r="AI53" s="35">
        <f>'CFS (Before Changes) '!AI53-'CFS 3Q2022'!AI53</f>
        <v>-2.9098825474606523E-4</v>
      </c>
      <c r="AJ53" s="35">
        <f>'CFS (Before Changes) '!AJ53-'CFS 3Q2022'!AJ53</f>
        <v>-2.9305201725416882E-4</v>
      </c>
      <c r="AK53" s="35">
        <f>'CFS (Before Changes) '!AK53-'CFS 3Q2022'!AK53</f>
        <v>-2.92195417673103E-4</v>
      </c>
      <c r="AL53" s="282">
        <f>'CFS (Before Changes) '!AL53-'CFS 3Q2022'!AL53</f>
        <v>0</v>
      </c>
      <c r="AM53" s="35">
        <f>'CFS (Before Changes) '!AM53-'CFS 3Q2022'!AM53</f>
        <v>-2.9038792044613036E-4</v>
      </c>
      <c r="AN53" s="35">
        <f>'CFS (Before Changes) '!AN53-'CFS 3Q2022'!AN53</f>
        <v>-2.9165590252986685E-4</v>
      </c>
      <c r="AO53" s="35">
        <f>'CFS (Before Changes) '!AO53-'CFS 3Q2022'!AO53</f>
        <v>-2.91822814475819E-4</v>
      </c>
      <c r="AP53" s="35">
        <f>'CFS (Before Changes) '!AP53-'CFS 3Q2022'!AP53</f>
        <v>-2.9151551378122937E-4</v>
      </c>
      <c r="AQ53" s="282">
        <f>'CFS (Before Changes) '!AQ53-'CFS 3Q2022'!AQ53</f>
        <v>0</v>
      </c>
      <c r="AR53" s="35">
        <f>'CFS (Before Changes) '!AR53-'CFS 3Q2022'!AR53</f>
        <v>-2.9134553780826161E-4</v>
      </c>
      <c r="AS53" s="35">
        <f>'CFS (Before Changes) '!AS53-'CFS 3Q2022'!AS53</f>
        <v>-2.9158494214879399E-4</v>
      </c>
      <c r="AT53" s="35">
        <f>'CFS (Before Changes) '!AT53-'CFS 3Q2022'!AT53</f>
        <v>-2.9156720205352621E-4</v>
      </c>
      <c r="AU53" s="35">
        <f>'CFS (Before Changes) '!AU53-'CFS 3Q2022'!AU53</f>
        <v>-2.9150329894795258E-4</v>
      </c>
      <c r="AV53" s="282">
        <f>'CFS (Before Changes) '!AV53-'CFS 3Q2022'!AV53</f>
        <v>0</v>
      </c>
    </row>
    <row r="54" spans="2:48" s="23" customFormat="1" outlineLevel="1" x14ac:dyDescent="0.3">
      <c r="B54" s="200" t="s">
        <v>309</v>
      </c>
      <c r="C54" s="201"/>
      <c r="D54" s="351">
        <f>'CFS (Before Changes) '!D54-'CFS 3Q2022'!D54</f>
        <v>0</v>
      </c>
      <c r="E54" s="351">
        <f>'CFS (Before Changes) '!E54-'CFS 3Q2022'!E54</f>
        <v>0</v>
      </c>
      <c r="F54" s="113">
        <f>'CFS (Before Changes) '!F54-'CFS 3Q2022'!F54</f>
        <v>0</v>
      </c>
      <c r="G54" s="113">
        <f>'CFS (Before Changes) '!G54-'CFS 3Q2022'!G54</f>
        <v>0</v>
      </c>
      <c r="H54" s="125">
        <f>'CFS (Before Changes) '!H54-'CFS 3Q2022'!H54</f>
        <v>0</v>
      </c>
      <c r="I54" s="113">
        <f>'CFS (Before Changes) '!I54-'CFS 3Q2022'!I54</f>
        <v>0</v>
      </c>
      <c r="J54" s="113">
        <f>'CFS (Before Changes) '!J54-'CFS 3Q2022'!J54</f>
        <v>0</v>
      </c>
      <c r="K54" s="113">
        <f>'CFS (Before Changes) '!K54-'CFS 3Q2022'!K54</f>
        <v>0</v>
      </c>
      <c r="L54" s="113">
        <f>'CFS (Before Changes) '!L54-'CFS 3Q2022'!L54</f>
        <v>0</v>
      </c>
      <c r="M54" s="282">
        <f>'CFS (Before Changes) '!M54-'CFS 3Q2022'!M54</f>
        <v>0</v>
      </c>
      <c r="N54" s="113">
        <f>'CFS (Before Changes) '!N54-'CFS 3Q2022'!N54</f>
        <v>0</v>
      </c>
      <c r="O54" s="113">
        <f>'CFS (Before Changes) '!O54-'CFS 3Q2022'!O54</f>
        <v>0</v>
      </c>
      <c r="P54" s="113">
        <f>'CFS (Before Changes) '!P54-'CFS 3Q2022'!P54</f>
        <v>0</v>
      </c>
      <c r="Q54" s="113">
        <f>'CFS (Before Changes) '!Q54-'CFS 3Q2022'!Q54</f>
        <v>0</v>
      </c>
      <c r="R54" s="282">
        <f>'CFS (Before Changes) '!R54-'CFS 3Q2022'!R54</f>
        <v>0</v>
      </c>
      <c r="S54" s="113">
        <f>'CFS (Before Changes) '!S54-'CFS 3Q2022'!S54</f>
        <v>0</v>
      </c>
      <c r="T54" s="113">
        <f>'CFS (Before Changes) '!T54-'CFS 3Q2022'!T54</f>
        <v>0</v>
      </c>
      <c r="U54" s="113">
        <f>'CFS (Before Changes) '!U54-'CFS 3Q2022'!U54</f>
        <v>0</v>
      </c>
      <c r="V54" s="35">
        <f>'CFS (Before Changes) '!V54-'CFS 3Q2022'!V54</f>
        <v>-8.9647812166488872E-2</v>
      </c>
      <c r="W54" s="282">
        <f>'CFS (Before Changes) '!W54-'CFS 3Q2022'!W54</f>
        <v>0</v>
      </c>
      <c r="X54" s="35">
        <f>'CFS (Before Changes) '!X54-'CFS 3Q2022'!X54</f>
        <v>0</v>
      </c>
      <c r="Y54" s="35">
        <f>'CFS (Before Changes) '!Y54-'CFS 3Q2022'!Y54</f>
        <v>0</v>
      </c>
      <c r="Z54" s="35">
        <f>'CFS (Before Changes) '!Z54-'CFS 3Q2022'!Z54</f>
        <v>0</v>
      </c>
      <c r="AA54" s="35">
        <f>'CFS (Before Changes) '!AA54-'CFS 3Q2022'!AA54</f>
        <v>0</v>
      </c>
      <c r="AB54" s="282">
        <f>'CFS (Before Changes) '!AB54-'CFS 3Q2022'!AB54</f>
        <v>0</v>
      </c>
      <c r="AC54" s="35">
        <f>'CFS (Before Changes) '!AC54-'CFS 3Q2022'!AC54</f>
        <v>0</v>
      </c>
      <c r="AD54" s="35">
        <f>'CFS (Before Changes) '!AD54-'CFS 3Q2022'!AD54</f>
        <v>0</v>
      </c>
      <c r="AE54" s="35">
        <f>'CFS (Before Changes) '!AE54-'CFS 3Q2022'!AE54</f>
        <v>0</v>
      </c>
      <c r="AF54" s="35">
        <f>'CFS (Before Changes) '!AF54-'CFS 3Q2022'!AF54</f>
        <v>0</v>
      </c>
      <c r="AG54" s="282">
        <f>'CFS (Before Changes) '!AG54-'CFS 3Q2022'!AG54</f>
        <v>0</v>
      </c>
      <c r="AH54" s="35">
        <f>'CFS (Before Changes) '!AH54-'CFS 3Q2022'!AH54</f>
        <v>0</v>
      </c>
      <c r="AI54" s="35">
        <f>'CFS (Before Changes) '!AI54-'CFS 3Q2022'!AI54</f>
        <v>0</v>
      </c>
      <c r="AJ54" s="35">
        <f>'CFS (Before Changes) '!AJ54-'CFS 3Q2022'!AJ54</f>
        <v>0</v>
      </c>
      <c r="AK54" s="35">
        <f>'CFS (Before Changes) '!AK54-'CFS 3Q2022'!AK54</f>
        <v>0</v>
      </c>
      <c r="AL54" s="282">
        <f>'CFS (Before Changes) '!AL54-'CFS 3Q2022'!AL54</f>
        <v>0</v>
      </c>
      <c r="AM54" s="35">
        <f>'CFS (Before Changes) '!AM54-'CFS 3Q2022'!AM54</f>
        <v>0</v>
      </c>
      <c r="AN54" s="35">
        <f>'CFS (Before Changes) '!AN54-'CFS 3Q2022'!AN54</f>
        <v>0</v>
      </c>
      <c r="AO54" s="35">
        <f>'CFS (Before Changes) '!AO54-'CFS 3Q2022'!AO54</f>
        <v>0</v>
      </c>
      <c r="AP54" s="35">
        <f>'CFS (Before Changes) '!AP54-'CFS 3Q2022'!AP54</f>
        <v>0</v>
      </c>
      <c r="AQ54" s="282">
        <f>'CFS (Before Changes) '!AQ54-'CFS 3Q2022'!AQ54</f>
        <v>0</v>
      </c>
      <c r="AR54" s="35">
        <f>'CFS (Before Changes) '!AR54-'CFS 3Q2022'!AR54</f>
        <v>0</v>
      </c>
      <c r="AS54" s="35">
        <f>'CFS (Before Changes) '!AS54-'CFS 3Q2022'!AS54</f>
        <v>0</v>
      </c>
      <c r="AT54" s="35">
        <f>'CFS (Before Changes) '!AT54-'CFS 3Q2022'!AT54</f>
        <v>0</v>
      </c>
      <c r="AU54" s="35">
        <f>'CFS (Before Changes) '!AU54-'CFS 3Q2022'!AU54</f>
        <v>0</v>
      </c>
      <c r="AV54" s="282">
        <f>'CFS (Before Changes) '!AV54-'CFS 3Q2022'!AV54</f>
        <v>0</v>
      </c>
    </row>
    <row r="55" spans="2:48" s="23" customFormat="1" outlineLevel="1" x14ac:dyDescent="0.3">
      <c r="B55" s="486" t="s">
        <v>310</v>
      </c>
      <c r="C55" s="487"/>
      <c r="D55" s="352">
        <f>'CFS (Before Changes) '!D55-'CFS 3Q2022'!D55</f>
        <v>0</v>
      </c>
      <c r="E55" s="352">
        <f>'CFS (Before Changes) '!E55-'CFS 3Q2022'!E55</f>
        <v>0</v>
      </c>
      <c r="F55" s="352">
        <f>'CFS (Before Changes) '!F55-'CFS 3Q2022'!F55</f>
        <v>0</v>
      </c>
      <c r="G55" s="352">
        <f>'CFS (Before Changes) '!G55-'CFS 3Q2022'!G55</f>
        <v>0</v>
      </c>
      <c r="H55" s="353">
        <f>'CFS (Before Changes) '!H55-'CFS 3Q2022'!H55</f>
        <v>0</v>
      </c>
      <c r="I55" s="352">
        <f>'CFS (Before Changes) '!I55-'CFS 3Q2022'!I55</f>
        <v>0</v>
      </c>
      <c r="J55" s="352">
        <f>'CFS (Before Changes) '!J55-'CFS 3Q2022'!J55</f>
        <v>0</v>
      </c>
      <c r="K55" s="352">
        <f>'CFS (Before Changes) '!K55-'CFS 3Q2022'!K55</f>
        <v>0</v>
      </c>
      <c r="L55" s="352">
        <f>'CFS (Before Changes) '!L55-'CFS 3Q2022'!L55</f>
        <v>0</v>
      </c>
      <c r="M55" s="353">
        <f>'CFS (Before Changes) '!M55-'CFS 3Q2022'!M55</f>
        <v>0</v>
      </c>
      <c r="N55" s="352">
        <f>'CFS (Before Changes) '!N55-'CFS 3Q2022'!N55</f>
        <v>0</v>
      </c>
      <c r="O55" s="352">
        <f>'CFS (Before Changes) '!O55-'CFS 3Q2022'!O55</f>
        <v>0</v>
      </c>
      <c r="P55" s="352">
        <f>'CFS (Before Changes) '!P55-'CFS 3Q2022'!P55</f>
        <v>0</v>
      </c>
      <c r="Q55" s="352">
        <f>'CFS (Before Changes) '!Q55-'CFS 3Q2022'!Q55</f>
        <v>0</v>
      </c>
      <c r="R55" s="353">
        <f>'CFS (Before Changes) '!R55-'CFS 3Q2022'!R55</f>
        <v>0</v>
      </c>
      <c r="S55" s="352">
        <f>'CFS (Before Changes) '!S55-'CFS 3Q2022'!S55</f>
        <v>0</v>
      </c>
      <c r="T55" s="352">
        <f>'CFS (Before Changes) '!T55-'CFS 3Q2022'!T55</f>
        <v>0</v>
      </c>
      <c r="U55" s="352">
        <f>'CFS (Before Changes) '!U55-'CFS 3Q2022'!U55</f>
        <v>0</v>
      </c>
      <c r="V55" s="352">
        <f>'CFS (Before Changes) '!V55-'CFS 3Q2022'!V55</f>
        <v>-0.15626954285548189</v>
      </c>
      <c r="W55" s="353">
        <f>'CFS (Before Changes) '!W55-'CFS 3Q2022'!W55</f>
        <v>-3.9677935921380358E-2</v>
      </c>
      <c r="X55" s="352">
        <f>'CFS (Before Changes) '!X55-'CFS 3Q2022'!X55</f>
        <v>0.18322958196685502</v>
      </c>
      <c r="Y55" s="352">
        <f>'CFS (Before Changes) '!Y55-'CFS 3Q2022'!Y55</f>
        <v>0.26322184581532326</v>
      </c>
      <c r="Z55" s="352">
        <f>'CFS (Before Changes) '!Z55-'CFS 3Q2022'!Z55</f>
        <v>2.4472729908002755E-2</v>
      </c>
      <c r="AA55" s="352">
        <f>'CFS (Before Changes) '!AA55-'CFS 3Q2022'!AA55</f>
        <v>0.2627554749761567</v>
      </c>
      <c r="AB55" s="353">
        <f>'CFS (Before Changes) '!AB55-'CFS 3Q2022'!AB55</f>
        <v>0.14491676223952399</v>
      </c>
      <c r="AC55" s="352">
        <f>'CFS (Before Changes) '!AC55-'CFS 3Q2022'!AC55</f>
        <v>-0.14979530303604038</v>
      </c>
      <c r="AD55" s="352">
        <f>'CFS (Before Changes) '!AD55-'CFS 3Q2022'!AD55</f>
        <v>-1.5794115846756274E-2</v>
      </c>
      <c r="AE55" s="352">
        <f>'CFS (Before Changes) '!AE55-'CFS 3Q2022'!AE55</f>
        <v>-6.3142458095544196E-3</v>
      </c>
      <c r="AF55" s="352">
        <f>'CFS (Before Changes) '!AF55-'CFS 3Q2022'!AF55</f>
        <v>-2.1155945286110089E-2</v>
      </c>
      <c r="AG55" s="353">
        <f>'CFS (Before Changes) '!AG55-'CFS 3Q2022'!AG55</f>
        <v>-5.472685082699269E-2</v>
      </c>
      <c r="AH55" s="352">
        <f>'CFS (Before Changes) '!AH55-'CFS 3Q2022'!AH55</f>
        <v>9.9677195452421152E-3</v>
      </c>
      <c r="AI55" s="352">
        <f>'CFS (Before Changes) '!AI55-'CFS 3Q2022'!AI55</f>
        <v>-1.982115354209002E-3</v>
      </c>
      <c r="AJ55" s="352">
        <f>'CFS (Before Changes) '!AJ55-'CFS 3Q2022'!AJ55</f>
        <v>-1.624348560298472E-4</v>
      </c>
      <c r="AK55" s="352">
        <f>'CFS (Before Changes) '!AK55-'CFS 3Q2022'!AK55</f>
        <v>-4.0231421252715949E-2</v>
      </c>
      <c r="AL55" s="353">
        <f>'CFS (Before Changes) '!AL55-'CFS 3Q2022'!AL55</f>
        <v>-8.9407232174085749E-3</v>
      </c>
      <c r="AM55" s="352">
        <f>'CFS (Before Changes) '!AM55-'CFS 3Q2022'!AM55</f>
        <v>2.3660677028637167E-2</v>
      </c>
      <c r="AN55" s="352">
        <f>'CFS (Before Changes) '!AN55-'CFS 3Q2022'!AN55</f>
        <v>-6.0727792854802232E-3</v>
      </c>
      <c r="AO55" s="352">
        <f>'CFS (Before Changes) '!AO55-'CFS 3Q2022'!AO55</f>
        <v>-3.9221447691479838E-3</v>
      </c>
      <c r="AP55" s="352">
        <f>'CFS (Before Changes) '!AP55-'CFS 3Q2022'!AP55</f>
        <v>2.9124667592020259E-2</v>
      </c>
      <c r="AQ55" s="353">
        <f>'CFS (Before Changes) '!AQ55-'CFS 3Q2022'!AQ55</f>
        <v>1.4277228280397791E-2</v>
      </c>
      <c r="AR55" s="352">
        <f>'CFS (Before Changes) '!AR55-'CFS 3Q2022'!AR55</f>
        <v>-2.2626300044731096E-2</v>
      </c>
      <c r="AS55" s="352">
        <f>'CFS (Before Changes) '!AS55-'CFS 3Q2022'!AS55</f>
        <v>-9.3095529937503585E-4</v>
      </c>
      <c r="AT55" s="352">
        <f>'CFS (Before Changes) '!AT55-'CFS 3Q2022'!AT55</f>
        <v>-8.6133285141731797E-4</v>
      </c>
      <c r="AU55" s="352">
        <f>'CFS (Before Changes) '!AU55-'CFS 3Q2022'!AU55</f>
        <v>-8.6577758112367231E-3</v>
      </c>
      <c r="AV55" s="353">
        <f>'CFS (Before Changes) '!AV55-'CFS 3Q2022'!AV55</f>
        <v>-9.746681273650637E-3</v>
      </c>
    </row>
    <row r="56" spans="2:48" outlineLevel="1" x14ac:dyDescent="0.3">
      <c r="B56" s="200" t="s">
        <v>311</v>
      </c>
      <c r="C56" s="356"/>
      <c r="D56" s="351">
        <f>'CFS (Before Changes) '!D56-'CFS 3Q2022'!D56</f>
        <v>0</v>
      </c>
      <c r="E56" s="351">
        <f>'CFS (Before Changes) '!E56-'CFS 3Q2022'!E56</f>
        <v>0</v>
      </c>
      <c r="F56" s="113">
        <f>'CFS (Before Changes) '!F56-'CFS 3Q2022'!F56</f>
        <v>0</v>
      </c>
      <c r="G56" s="113">
        <f>'CFS (Before Changes) '!G56-'CFS 3Q2022'!G56</f>
        <v>0</v>
      </c>
      <c r="H56" s="363">
        <f>'CFS (Before Changes) '!H56-'CFS 3Q2022'!H56</f>
        <v>0</v>
      </c>
      <c r="I56" s="354">
        <f>'CFS (Before Changes) '!I56-'CFS 3Q2022'!I56</f>
        <v>0</v>
      </c>
      <c r="J56" s="118">
        <f>'CFS (Before Changes) '!J56-'CFS 3Q2022'!J56</f>
        <v>0</v>
      </c>
      <c r="K56" s="118">
        <f>'CFS (Before Changes) '!K56-'CFS 3Q2022'!K56</f>
        <v>0</v>
      </c>
      <c r="L56" s="113">
        <f>'CFS (Before Changes) '!L56-'CFS 3Q2022'!L56</f>
        <v>0</v>
      </c>
      <c r="M56" s="353">
        <f>'CFS (Before Changes) '!M56-'CFS 3Q2022'!M56</f>
        <v>0</v>
      </c>
      <c r="N56" s="354">
        <f>'CFS (Before Changes) '!N56-'CFS 3Q2022'!N56</f>
        <v>0</v>
      </c>
      <c r="O56" s="118">
        <f>'CFS (Before Changes) '!O56-'CFS 3Q2022'!O56</f>
        <v>0</v>
      </c>
      <c r="P56" s="118">
        <f>'CFS (Before Changes) '!P56-'CFS 3Q2022'!P56</f>
        <v>0</v>
      </c>
      <c r="Q56" s="118">
        <f>'CFS (Before Changes) '!Q56-'CFS 3Q2022'!Q56</f>
        <v>0</v>
      </c>
      <c r="R56" s="353">
        <f>'CFS (Before Changes) '!R56-'CFS 3Q2022'!R56</f>
        <v>0</v>
      </c>
      <c r="S56" s="354">
        <f>'CFS (Before Changes) '!S56-'CFS 3Q2022'!S56</f>
        <v>0</v>
      </c>
      <c r="T56" s="118">
        <f>'CFS (Before Changes) '!T56-'CFS 3Q2022'!T56</f>
        <v>0</v>
      </c>
      <c r="U56" s="118">
        <f>'CFS (Before Changes) '!U56-'CFS 3Q2022'!U56</f>
        <v>0</v>
      </c>
      <c r="V56" s="35">
        <f>'CFS (Before Changes) '!V56-'CFS 3Q2022'!V56</f>
        <v>6.0514817624941278E-3</v>
      </c>
      <c r="W56" s="353">
        <f>'CFS (Before Changes) '!W56-'CFS 3Q2022'!W56</f>
        <v>1.5918880884408376E-3</v>
      </c>
      <c r="X56" s="355">
        <f>'CFS (Before Changes) '!X56-'CFS 3Q2022'!X56</f>
        <v>-7.6457181902738203E-3</v>
      </c>
      <c r="Y56" s="355">
        <f>'CFS (Before Changes) '!Y56-'CFS 3Q2022'!Y56</f>
        <v>-7.6457181902738203E-3</v>
      </c>
      <c r="Z56" s="355">
        <f>'CFS (Before Changes) '!Z56-'CFS 3Q2022'!Z56</f>
        <v>-7.6457181902738203E-3</v>
      </c>
      <c r="AA56" s="355">
        <f>'CFS (Before Changes) '!AA56-'CFS 3Q2022'!AA56</f>
        <v>-7.6457181902738203E-3</v>
      </c>
      <c r="AB56" s="353">
        <f>'CFS (Before Changes) '!AB56-'CFS 3Q2022'!AB56</f>
        <v>-7.6457181902738064E-3</v>
      </c>
      <c r="AC56" s="355">
        <f>'CFS (Before Changes) '!AC56-'CFS 3Q2022'!AC56</f>
        <v>-5.9579444040860907E-4</v>
      </c>
      <c r="AD56" s="35">
        <f>'CFS (Before Changes) '!AD56-'CFS 3Q2022'!AD56</f>
        <v>-5.9579444040860907E-4</v>
      </c>
      <c r="AE56" s="35">
        <f>'CFS (Before Changes) '!AE56-'CFS 3Q2022'!AE56</f>
        <v>-5.9579444040860907E-4</v>
      </c>
      <c r="AF56" s="35">
        <f>'CFS (Before Changes) '!AF56-'CFS 3Q2022'!AF56</f>
        <v>-5.9579444040860907E-4</v>
      </c>
      <c r="AG56" s="353">
        <f>'CFS (Before Changes) '!AG56-'CFS 3Q2022'!AG56</f>
        <v>-5.9579444040860907E-4</v>
      </c>
      <c r="AH56" s="355">
        <f>'CFS (Before Changes) '!AH56-'CFS 3Q2022'!AH56</f>
        <v>-5.0875273442226032E-4</v>
      </c>
      <c r="AI56" s="35">
        <f>'CFS (Before Changes) '!AI56-'CFS 3Q2022'!AI56</f>
        <v>-5.0875273442226032E-4</v>
      </c>
      <c r="AJ56" s="35">
        <f>'CFS (Before Changes) '!AJ56-'CFS 3Q2022'!AJ56</f>
        <v>-5.0875273442226032E-4</v>
      </c>
      <c r="AK56" s="35">
        <f>'CFS (Before Changes) '!AK56-'CFS 3Q2022'!AK56</f>
        <v>-5.0875273442226032E-4</v>
      </c>
      <c r="AL56" s="353">
        <f>'CFS (Before Changes) '!AL56-'CFS 3Q2022'!AL56</f>
        <v>-5.0875273442225338E-4</v>
      </c>
      <c r="AM56" s="355">
        <f>'CFS (Before Changes) '!AM56-'CFS 3Q2022'!AM56</f>
        <v>-5.0875273442226032E-4</v>
      </c>
      <c r="AN56" s="35">
        <f>'CFS (Before Changes) '!AN56-'CFS 3Q2022'!AN56</f>
        <v>-5.0875273442226032E-4</v>
      </c>
      <c r="AO56" s="35">
        <f>'CFS (Before Changes) '!AO56-'CFS 3Q2022'!AO56</f>
        <v>-5.0875273442226032E-4</v>
      </c>
      <c r="AP56" s="35">
        <f>'CFS (Before Changes) '!AP56-'CFS 3Q2022'!AP56</f>
        <v>-5.0875273442226032E-4</v>
      </c>
      <c r="AQ56" s="353">
        <f>'CFS (Before Changes) '!AQ56-'CFS 3Q2022'!AQ56</f>
        <v>-5.0875273442224644E-4</v>
      </c>
      <c r="AR56" s="355">
        <f>'CFS (Before Changes) '!AR56-'CFS 3Q2022'!AR56</f>
        <v>-5.0875273442226032E-4</v>
      </c>
      <c r="AS56" s="35">
        <f>'CFS (Before Changes) '!AS56-'CFS 3Q2022'!AS56</f>
        <v>-5.0875273442226032E-4</v>
      </c>
      <c r="AT56" s="35">
        <f>'CFS (Before Changes) '!AT56-'CFS 3Q2022'!AT56</f>
        <v>-5.0875273442226032E-4</v>
      </c>
      <c r="AU56" s="35">
        <f>'CFS (Before Changes) '!AU56-'CFS 3Q2022'!AU56</f>
        <v>-5.0875273442226032E-4</v>
      </c>
      <c r="AV56" s="353">
        <f>'CFS (Before Changes) '!AV56-'CFS 3Q2022'!AV56</f>
        <v>-5.0875273442224644E-4</v>
      </c>
    </row>
    <row r="57" spans="2:48" outlineLevel="1" x14ac:dyDescent="0.3">
      <c r="B57" s="200" t="s">
        <v>312</v>
      </c>
      <c r="C57" s="356"/>
      <c r="D57" s="299">
        <f>'CFS (Before Changes) '!D57-'CFS 3Q2022'!D57</f>
        <v>0</v>
      </c>
      <c r="E57" s="299">
        <f>'CFS (Before Changes) '!E57-'CFS 3Q2022'!E57</f>
        <v>0</v>
      </c>
      <c r="F57" s="146">
        <f>'CFS (Before Changes) '!F57-'CFS 3Q2022'!F57</f>
        <v>0</v>
      </c>
      <c r="G57" s="146">
        <f>'CFS (Before Changes) '!G57-'CFS 3Q2022'!G57</f>
        <v>0</v>
      </c>
      <c r="H57" s="122">
        <f>'CFS (Before Changes) '!H57-'CFS 3Q2022'!H57</f>
        <v>0</v>
      </c>
      <c r="I57" s="299">
        <f>'CFS (Before Changes) '!I57-'CFS 3Q2022'!I57</f>
        <v>0</v>
      </c>
      <c r="J57" s="146">
        <f>'CFS (Before Changes) '!J57-'CFS 3Q2022'!J57</f>
        <v>0</v>
      </c>
      <c r="K57" s="146">
        <f>'CFS (Before Changes) '!K57-'CFS 3Q2022'!K57</f>
        <v>0</v>
      </c>
      <c r="L57" s="146">
        <f>'CFS (Before Changes) '!L57-'CFS 3Q2022'!L57</f>
        <v>0</v>
      </c>
      <c r="M57" s="122">
        <f>'CFS (Before Changes) '!M57-'CFS 3Q2022'!M57</f>
        <v>0</v>
      </c>
      <c r="N57" s="299">
        <f>'CFS (Before Changes) '!N57-'CFS 3Q2022'!N57</f>
        <v>0</v>
      </c>
      <c r="O57" s="146">
        <f>'CFS (Before Changes) '!O57-'CFS 3Q2022'!O57</f>
        <v>0</v>
      </c>
      <c r="P57" s="146">
        <f>'CFS (Before Changes) '!P57-'CFS 3Q2022'!P57</f>
        <v>0</v>
      </c>
      <c r="Q57" s="146">
        <f>'CFS (Before Changes) '!Q57-'CFS 3Q2022'!Q57</f>
        <v>0</v>
      </c>
      <c r="R57" s="122">
        <f>'CFS (Before Changes) '!R57-'CFS 3Q2022'!R57</f>
        <v>0</v>
      </c>
      <c r="S57" s="299">
        <f>'CFS (Before Changes) '!S57-'CFS 3Q2022'!S57</f>
        <v>0</v>
      </c>
      <c r="T57" s="146">
        <f>'CFS (Before Changes) '!T57-'CFS 3Q2022'!T57</f>
        <v>0</v>
      </c>
      <c r="U57" s="146">
        <f>'CFS (Before Changes) '!U57-'CFS 3Q2022'!U57</f>
        <v>0</v>
      </c>
      <c r="V57" s="146">
        <f>'CFS (Before Changes) '!V57-'CFS 3Q2022'!V57</f>
        <v>-29.111762999999769</v>
      </c>
      <c r="W57" s="122">
        <f>'CFS (Before Changes) '!W57-'CFS 3Q2022'!W57</f>
        <v>-29.111762999999883</v>
      </c>
      <c r="X57" s="299">
        <f>'CFS (Before Changes) '!X57-'CFS 3Q2022'!X57</f>
        <v>17.08592118844615</v>
      </c>
      <c r="Y57" s="299">
        <f>'CFS (Before Changes) '!Y57-'CFS 3Q2022'!Y57</f>
        <v>17.120093030823114</v>
      </c>
      <c r="Z57" s="299">
        <f>'CFS (Before Changes) '!Z57-'CFS 3Q2022'!Z57</f>
        <v>17.154333216884652</v>
      </c>
      <c r="AA57" s="299">
        <f>'CFS (Before Changes) '!AA57-'CFS 3Q2022'!AA57</f>
        <v>18.048073977484478</v>
      </c>
      <c r="AB57" s="166">
        <f>'CFS (Before Changes) '!AB57-'CFS 3Q2022'!AB57</f>
        <v>69.40842141363828</v>
      </c>
      <c r="AC57" s="299">
        <f>'CFS (Before Changes) '!AC57-'CFS 3Q2022'!AC57</f>
        <v>17.08592118844615</v>
      </c>
      <c r="AD57" s="146">
        <f>'CFS (Before Changes) '!AD57-'CFS 3Q2022'!AD57</f>
        <v>17.120093030823114</v>
      </c>
      <c r="AE57" s="146">
        <f>'CFS (Before Changes) '!AE57-'CFS 3Q2022'!AE57</f>
        <v>17.154333216884652</v>
      </c>
      <c r="AF57" s="146">
        <f>'CFS (Before Changes) '!AF57-'CFS 3Q2022'!AF57</f>
        <v>18.048073977484478</v>
      </c>
      <c r="AG57" s="166">
        <f>'CFS (Before Changes) '!AG57-'CFS 3Q2022'!AG57</f>
        <v>69.40842141363828</v>
      </c>
      <c r="AH57" s="299">
        <f>'CFS (Before Changes) '!AH57-'CFS 3Q2022'!AH57</f>
        <v>18.084170125439528</v>
      </c>
      <c r="AI57" s="146">
        <f>'CFS (Before Changes) '!AI57-'CFS 3Q2022'!AI57</f>
        <v>18.120338465690338</v>
      </c>
      <c r="AJ57" s="146">
        <f>'CFS (Before Changes) '!AJ57-'CFS 3Q2022'!AJ57</f>
        <v>269.5393936067203</v>
      </c>
      <c r="AK57" s="146">
        <f>'CFS (Before Changes) '!AK57-'CFS 3Q2022'!AK57</f>
        <v>270.48535138004991</v>
      </c>
      <c r="AL57" s="122">
        <f>'CFS (Before Changes) '!AL57-'CFS 3Q2022'!AL57</f>
        <v>576.22925357789973</v>
      </c>
      <c r="AM57" s="299">
        <f>'CFS (Before Changes) '!AM57-'CFS 3Q2022'!AM57</f>
        <v>19.140741989784487</v>
      </c>
      <c r="AN57" s="146">
        <f>'CFS (Before Changes) '!AN57-'CFS 3Q2022'!AN57</f>
        <v>19.179023473764119</v>
      </c>
      <c r="AO57" s="146">
        <f>'CFS (Before Changes) '!AO57-'CFS 3Q2022'!AO57</f>
        <v>17.975984906074132</v>
      </c>
      <c r="AP57" s="146">
        <f>'CFS (Before Changes) '!AP57-'CFS 3Q2022'!AP57</f>
        <v>17.609067274311201</v>
      </c>
      <c r="AQ57" s="122">
        <f>'CFS (Before Changes) '!AQ57-'CFS 3Q2022'!AQ57</f>
        <v>73.904817643934166</v>
      </c>
      <c r="AR57" s="299">
        <f>'CFS (Before Changes) '!AR57-'CFS 3Q2022'!AR57</f>
        <v>17.644285408859787</v>
      </c>
      <c r="AS57" s="146">
        <f>'CFS (Before Changes) '!AS57-'CFS 3Q2022'!AS57</f>
        <v>17.679573979677571</v>
      </c>
      <c r="AT57" s="146">
        <f>'CFS (Before Changes) '!AT57-'CFS 3Q2022'!AT57</f>
        <v>17.714933127636868</v>
      </c>
      <c r="AU57" s="146">
        <f>'CFS (Before Changes) '!AU57-'CFS 3Q2022'!AU57</f>
        <v>18.105370253770047</v>
      </c>
      <c r="AV57" s="122">
        <f>'CFS (Before Changes) '!AV57-'CFS 3Q2022'!AV57</f>
        <v>71.14416276994416</v>
      </c>
    </row>
    <row r="58" spans="2:48" outlineLevel="1" x14ac:dyDescent="0.3">
      <c r="B58" s="203" t="s">
        <v>313</v>
      </c>
      <c r="C58" s="364"/>
      <c r="D58" s="365">
        <f>'CFS (Before Changes) '!D58-'CFS 3Q2022'!D58</f>
        <v>0</v>
      </c>
      <c r="E58" s="365">
        <f>'CFS (Before Changes) '!E58-'CFS 3Q2022'!E58</f>
        <v>0</v>
      </c>
      <c r="F58" s="366">
        <f>'CFS (Before Changes) '!F58-'CFS 3Q2022'!F58</f>
        <v>0</v>
      </c>
      <c r="G58" s="366">
        <f>'CFS (Before Changes) '!G58-'CFS 3Q2022'!G58</f>
        <v>0</v>
      </c>
      <c r="H58" s="367">
        <f>'CFS (Before Changes) '!H58-'CFS 3Q2022'!H58</f>
        <v>0</v>
      </c>
      <c r="I58" s="365">
        <f>'CFS (Before Changes) '!I58-'CFS 3Q2022'!I58</f>
        <v>0</v>
      </c>
      <c r="J58" s="366">
        <f>'CFS (Before Changes) '!J58-'CFS 3Q2022'!J58</f>
        <v>0</v>
      </c>
      <c r="K58" s="366">
        <f>'CFS (Before Changes) '!K58-'CFS 3Q2022'!K58</f>
        <v>0</v>
      </c>
      <c r="L58" s="366">
        <f>'CFS (Before Changes) '!L58-'CFS 3Q2022'!L58</f>
        <v>0</v>
      </c>
      <c r="M58" s="367">
        <f>'CFS (Before Changes) '!M58-'CFS 3Q2022'!M58</f>
        <v>0</v>
      </c>
      <c r="N58" s="365">
        <f>'CFS (Before Changes) '!N58-'CFS 3Q2022'!N58</f>
        <v>0</v>
      </c>
      <c r="O58" s="366">
        <f>'CFS (Before Changes) '!O58-'CFS 3Q2022'!O58</f>
        <v>0</v>
      </c>
      <c r="P58" s="366">
        <f>'CFS (Before Changes) '!P58-'CFS 3Q2022'!P58</f>
        <v>0</v>
      </c>
      <c r="Q58" s="366">
        <f>'CFS (Before Changes) '!Q58-'CFS 3Q2022'!Q58</f>
        <v>0</v>
      </c>
      <c r="R58" s="367">
        <f>'CFS (Before Changes) '!R58-'CFS 3Q2022'!R58</f>
        <v>0</v>
      </c>
      <c r="S58" s="365">
        <f>'CFS (Before Changes) '!S58-'CFS 3Q2022'!S58</f>
        <v>0</v>
      </c>
      <c r="T58" s="366">
        <f>'CFS (Before Changes) '!T58-'CFS 3Q2022'!T58</f>
        <v>0</v>
      </c>
      <c r="U58" s="366">
        <f>'CFS (Before Changes) '!U58-'CFS 3Q2022'!U58</f>
        <v>0</v>
      </c>
      <c r="V58" s="366">
        <f>'CFS (Before Changes) '!V58-'CFS 3Q2022'!V58</f>
        <v>0</v>
      </c>
      <c r="W58" s="367">
        <f>'CFS (Before Changes) '!W58-'CFS 3Q2022'!W58</f>
        <v>0</v>
      </c>
      <c r="X58" s="365">
        <f>'CFS (Before Changes) '!X58-'CFS 3Q2022'!X58</f>
        <v>17.08592118844615</v>
      </c>
      <c r="Y58" s="365">
        <f>'CFS (Before Changes) '!Y58-'CFS 3Q2022'!Y58</f>
        <v>34.206014219269036</v>
      </c>
      <c r="Z58" s="365">
        <f>'CFS (Before Changes) '!Z58-'CFS 3Q2022'!Z58</f>
        <v>51.360347436153688</v>
      </c>
      <c r="AA58" s="365">
        <f>'CFS (Before Changes) '!AA58-'CFS 3Q2022'!AA58</f>
        <v>69.40842141363828</v>
      </c>
      <c r="AB58" s="368">
        <f>'CFS (Before Changes) '!AB58-'CFS 3Q2022'!AB58</f>
        <v>69.40842141363828</v>
      </c>
      <c r="AC58" s="365">
        <f>'CFS (Before Changes) '!AC58-'CFS 3Q2022'!AC58</f>
        <v>86.494342602084544</v>
      </c>
      <c r="AD58" s="365">
        <f>'CFS (Before Changes) '!AD58-'CFS 3Q2022'!AD58</f>
        <v>103.61443563290777</v>
      </c>
      <c r="AE58" s="365">
        <f>'CFS (Before Changes) '!AE58-'CFS 3Q2022'!AE58</f>
        <v>120.76876884979265</v>
      </c>
      <c r="AF58" s="365">
        <f>'CFS (Before Changes) '!AF58-'CFS 3Q2022'!AF58</f>
        <v>138.81684282727656</v>
      </c>
      <c r="AG58" s="368">
        <f>'CFS (Before Changes) '!AG58-'CFS 3Q2022'!AG58</f>
        <v>138.81684282727656</v>
      </c>
      <c r="AH58" s="365">
        <f>'CFS (Before Changes) '!AH58-'CFS 3Q2022'!AH58</f>
        <v>156.90101295271597</v>
      </c>
      <c r="AI58" s="365">
        <f>'CFS (Before Changes) '!AI58-'CFS 3Q2022'!AI58</f>
        <v>175.02135141840608</v>
      </c>
      <c r="AJ58" s="365">
        <f>'CFS (Before Changes) '!AJ58-'CFS 3Q2022'!AJ58</f>
        <v>444.56074502512638</v>
      </c>
      <c r="AK58" s="365">
        <f>'CFS (Before Changes) '!AK58-'CFS 3Q2022'!AK58</f>
        <v>715.0460964051781</v>
      </c>
      <c r="AL58" s="394">
        <f>'CFS (Before Changes) '!AL58-'CFS 3Q2022'!AL58</f>
        <v>715.0460964051781</v>
      </c>
      <c r="AM58" s="365">
        <f>'CFS (Before Changes) '!AM58-'CFS 3Q2022'!AM58</f>
        <v>0</v>
      </c>
      <c r="AN58" s="366">
        <f>'CFS (Before Changes) '!AN58-'CFS 3Q2022'!AN58</f>
        <v>0</v>
      </c>
      <c r="AO58" s="366">
        <f>'CFS (Before Changes) '!AO58-'CFS 3Q2022'!AO58</f>
        <v>0</v>
      </c>
      <c r="AP58" s="366">
        <f>'CFS (Before Changes) '!AP58-'CFS 3Q2022'!AP58</f>
        <v>0</v>
      </c>
      <c r="AQ58" s="367">
        <f>'CFS (Before Changes) '!AQ58-'CFS 3Q2022'!AQ58</f>
        <v>0</v>
      </c>
      <c r="AR58" s="365">
        <f>'CFS (Before Changes) '!AR58-'CFS 3Q2022'!AR58</f>
        <v>0</v>
      </c>
      <c r="AS58" s="366">
        <f>'CFS (Before Changes) '!AS58-'CFS 3Q2022'!AS58</f>
        <v>0</v>
      </c>
      <c r="AT58" s="366">
        <f>'CFS (Before Changes) '!AT58-'CFS 3Q2022'!AT58</f>
        <v>0</v>
      </c>
      <c r="AU58" s="366">
        <f>'CFS (Before Changes) '!AU58-'CFS 3Q2022'!AU58</f>
        <v>0</v>
      </c>
      <c r="AV58" s="367">
        <f>'CFS (Before Changes) '!AV58-'CFS 3Q2022'!AV58</f>
        <v>0</v>
      </c>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'CFS (Before Changes) '!AL59-'CFS 3Q2022'!AL59</f>
        <v>3.0733034525494141E-3</v>
      </c>
    </row>
    <row r="60" spans="2:48" x14ac:dyDescent="0.3">
      <c r="B60" s="308" t="s">
        <v>330</v>
      </c>
      <c r="D60" s="399"/>
      <c r="E60" s="399"/>
      <c r="I60" s="399"/>
      <c r="J60" s="399"/>
      <c r="N60" s="399"/>
      <c r="O60" s="399"/>
      <c r="S60" s="399"/>
      <c r="T60" s="399"/>
      <c r="X60" s="399"/>
      <c r="Y60" s="399"/>
      <c r="AC60" s="399"/>
      <c r="AD60" s="399"/>
      <c r="AH60" s="399"/>
      <c r="AI60" s="399"/>
      <c r="AL60" s="29">
        <f>'CFS (Before Changes) '!AL60-'CFS 3Q2022'!AL60</f>
        <v>2.9072715836848673E-3</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'CFS (Before Changes) '!AL61-'CFS 3Q2022'!AL61</f>
        <v>1.6603186886454679E-4</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'CFS (Before Changes) '!AL62-'CFS 3Q2022'!AL62</f>
        <v>0</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'CFS (Before Changes) '!AL63-'CFS 3Q2022'!AL63</f>
        <v>0</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'CFS (Before Changes) '!AL64-'CFS 3Q2022'!AL64</f>
        <v>-4.3869609973379298E-4</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'CFS (Before Changes) '!AL65-'CFS 3Q2022'!AL65</f>
        <v>1.5666294117526736E-3</v>
      </c>
      <c r="AM65" s="48"/>
      <c r="AN65" s="48"/>
      <c r="AO65" s="309"/>
      <c r="AP65" s="309"/>
      <c r="AQ65" s="309"/>
      <c r="AR65" s="48"/>
      <c r="AS65" s="48"/>
      <c r="AT65" s="309"/>
      <c r="AU65" s="309"/>
      <c r="AV65" s="309"/>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59F7E-41A1-4BC3-B46B-902779C827F6}">
  <sheetPr>
    <tabColor theme="6" tint="0.79998168889431442"/>
  </sheetPr>
  <dimension ref="A1"/>
  <sheetViews>
    <sheetView showGridLines="0" workbookViewId="0">
      <selection activeCell="W1" sqref="W1"/>
    </sheetView>
  </sheetViews>
  <sheetFormatPr defaultRowHeight="14.4" x14ac:dyDescent="0.3"/>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95618-AD44-4750-9082-AEBE8213AA04}">
  <sheetPr>
    <tabColor theme="6" tint="0.79998168889431442"/>
  </sheetPr>
  <dimension ref="B2:G38"/>
  <sheetViews>
    <sheetView showGridLines="0" workbookViewId="0">
      <selection activeCell="B2" sqref="B2:G2"/>
    </sheetView>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72.77734375" customWidth="1"/>
  </cols>
  <sheetData>
    <row r="2" spans="2:7" ht="30" customHeight="1" x14ac:dyDescent="0.3">
      <c r="B2" s="545" t="s">
        <v>394</v>
      </c>
      <c r="C2" s="546"/>
      <c r="D2" s="546"/>
      <c r="E2" s="546"/>
      <c r="F2" s="546"/>
      <c r="G2" s="547"/>
    </row>
    <row r="3" spans="2:7" ht="8.4" customHeight="1" x14ac:dyDescent="0.3"/>
    <row r="4" spans="2:7" ht="15.6" x14ac:dyDescent="0.3">
      <c r="B4" s="494" t="s">
        <v>335</v>
      </c>
      <c r="C4" s="544"/>
      <c r="E4" s="494" t="s">
        <v>350</v>
      </c>
      <c r="F4" s="544"/>
      <c r="G4" s="460" t="s">
        <v>384</v>
      </c>
    </row>
    <row r="5" spans="2:7" ht="14.4" customHeight="1" x14ac:dyDescent="0.3">
      <c r="B5" s="308" t="s">
        <v>338</v>
      </c>
      <c r="C5" s="481">
        <v>27.5</v>
      </c>
      <c r="E5" s="432" t="s">
        <v>351</v>
      </c>
      <c r="F5" s="399"/>
      <c r="G5" s="461"/>
    </row>
    <row r="6" spans="2:7" ht="16.2" customHeight="1" x14ac:dyDescent="0.3">
      <c r="B6" s="308" t="s">
        <v>339</v>
      </c>
      <c r="C6" s="421">
        <v>30.8</v>
      </c>
      <c r="E6" s="433" t="s">
        <v>352</v>
      </c>
      <c r="F6" s="444">
        <v>112</v>
      </c>
      <c r="G6" s="461" t="s">
        <v>399</v>
      </c>
    </row>
    <row r="7" spans="2:7" ht="16.2" x14ac:dyDescent="0.45">
      <c r="B7" s="308" t="s">
        <v>340</v>
      </c>
      <c r="C7" s="421">
        <v>24.7</v>
      </c>
      <c r="E7" s="433" t="s">
        <v>353</v>
      </c>
      <c r="F7" s="445">
        <f>'IS (Before Changes)'!V31</f>
        <v>1152.5</v>
      </c>
      <c r="G7" s="461" t="s">
        <v>400</v>
      </c>
    </row>
    <row r="8" spans="2:7" x14ac:dyDescent="0.3">
      <c r="B8" s="308" t="s">
        <v>341</v>
      </c>
      <c r="C8" s="421" t="s">
        <v>345</v>
      </c>
      <c r="E8" s="434" t="s">
        <v>354</v>
      </c>
      <c r="F8" s="446">
        <f>F7*F6</f>
        <v>129080</v>
      </c>
      <c r="G8" s="461"/>
    </row>
    <row r="9" spans="2:7" x14ac:dyDescent="0.3">
      <c r="B9" s="180" t="s">
        <v>342</v>
      </c>
      <c r="C9" s="482">
        <v>30</v>
      </c>
      <c r="E9" s="442" t="s">
        <v>373</v>
      </c>
      <c r="F9" s="447"/>
      <c r="G9" s="461"/>
    </row>
    <row r="10" spans="2:7" ht="16.2" x14ac:dyDescent="0.45">
      <c r="B10" s="180" t="s">
        <v>336</v>
      </c>
      <c r="C10" s="422">
        <v>0</v>
      </c>
      <c r="E10" s="433" t="s">
        <v>355</v>
      </c>
      <c r="F10" s="480">
        <v>0.90400000000000003</v>
      </c>
      <c r="G10" s="461" t="s">
        <v>401</v>
      </c>
    </row>
    <row r="11" spans="2:7" ht="15" customHeight="1" x14ac:dyDescent="0.3">
      <c r="B11" s="423" t="s">
        <v>337</v>
      </c>
      <c r="C11" s="424">
        <f>C9*('IS (Before Changes)'!X34+'IS (Before Changes)'!Y34+'IS (Before Changes)'!Z34+'IS (Before Changes)'!AA34)</f>
        <v>102.8237035779967</v>
      </c>
      <c r="E11" s="433" t="s">
        <v>356</v>
      </c>
      <c r="F11" s="449">
        <v>0.34899999999999998</v>
      </c>
      <c r="G11" s="461" t="s">
        <v>403</v>
      </c>
    </row>
    <row r="12" spans="2:7" ht="15" customHeight="1" x14ac:dyDescent="0.3">
      <c r="E12" s="433" t="s">
        <v>357</v>
      </c>
      <c r="F12" s="450">
        <v>0.2356</v>
      </c>
      <c r="G12" s="461" t="s">
        <v>404</v>
      </c>
    </row>
    <row r="13" spans="2:7" ht="15" customHeight="1" x14ac:dyDescent="0.3">
      <c r="B13" s="548" t="s">
        <v>409</v>
      </c>
      <c r="C13" s="549"/>
      <c r="E13" s="435" t="s">
        <v>387</v>
      </c>
      <c r="F13" s="451">
        <f>F11*F12</f>
        <v>8.2224399999999989E-2</v>
      </c>
      <c r="G13" s="461" t="s">
        <v>386</v>
      </c>
    </row>
    <row r="14" spans="2:7" x14ac:dyDescent="0.3">
      <c r="B14" s="550"/>
      <c r="C14" s="551"/>
      <c r="E14" s="433" t="s">
        <v>380</v>
      </c>
      <c r="F14" s="479">
        <v>5.0799999999999998E-2</v>
      </c>
      <c r="G14" s="461" t="s">
        <v>395</v>
      </c>
    </row>
    <row r="15" spans="2:7" x14ac:dyDescent="0.3">
      <c r="B15" s="550"/>
      <c r="C15" s="551"/>
      <c r="E15" s="434" t="s">
        <v>374</v>
      </c>
      <c r="F15" s="453">
        <f>F14+(F10*F13)</f>
        <v>0.12513085759999998</v>
      </c>
      <c r="G15" s="461"/>
    </row>
    <row r="16" spans="2:7" x14ac:dyDescent="0.3">
      <c r="B16" s="550"/>
      <c r="C16" s="551"/>
      <c r="E16" s="308" t="s">
        <v>358</v>
      </c>
      <c r="F16" s="454">
        <f>F8/(F8+'BS (Before Changes)'!V28+'BS (Before Changes)'!V31)</f>
        <v>0.89561828399037224</v>
      </c>
      <c r="G16" s="461"/>
    </row>
    <row r="17" spans="2:7" ht="14.4" customHeight="1" x14ac:dyDescent="0.3">
      <c r="B17" s="550"/>
      <c r="C17" s="551"/>
      <c r="E17" s="308" t="s">
        <v>359</v>
      </c>
      <c r="F17" s="454">
        <f>'IS (Before Changes)'!V145*4</f>
        <v>3.322087373814369E-2</v>
      </c>
      <c r="G17" s="461"/>
    </row>
    <row r="18" spans="2:7" ht="14.4" customHeight="1" x14ac:dyDescent="0.3">
      <c r="B18" s="550"/>
      <c r="C18" s="551"/>
      <c r="E18" s="308" t="s">
        <v>2</v>
      </c>
      <c r="F18" s="455">
        <f>'IS (Before Changes)'!AB143</f>
        <v>0.2450000000000005</v>
      </c>
      <c r="G18" s="461"/>
    </row>
    <row r="19" spans="2:7" ht="14.4" customHeight="1" x14ac:dyDescent="0.3">
      <c r="B19" s="550"/>
      <c r="C19" s="551"/>
      <c r="E19" s="308" t="s">
        <v>360</v>
      </c>
      <c r="F19" s="478">
        <f>F17*(1-F18)</f>
        <v>2.5081759672298469E-2</v>
      </c>
      <c r="G19" s="461"/>
    </row>
    <row r="20" spans="2:7" ht="14.4" customHeight="1" x14ac:dyDescent="0.3">
      <c r="B20" s="550"/>
      <c r="C20" s="551"/>
      <c r="E20" s="436" t="s">
        <v>361</v>
      </c>
      <c r="F20" s="456">
        <f>(F16*F15)+((1-F16)*F19)</f>
        <v>0.11468756107309121</v>
      </c>
      <c r="G20" s="461"/>
    </row>
    <row r="21" spans="2:7" ht="14.4" customHeight="1" x14ac:dyDescent="0.3">
      <c r="B21" s="550"/>
      <c r="C21" s="551"/>
      <c r="E21" s="554" t="s">
        <v>372</v>
      </c>
      <c r="F21" s="555"/>
      <c r="G21" s="461"/>
    </row>
    <row r="22" spans="2:7" ht="14.4" customHeight="1" x14ac:dyDescent="0.3">
      <c r="B22" s="550"/>
      <c r="C22" s="551"/>
      <c r="E22" s="308" t="s">
        <v>407</v>
      </c>
      <c r="F22" s="288">
        <v>7.0000000000000007E-2</v>
      </c>
      <c r="G22" s="557" t="s">
        <v>399</v>
      </c>
    </row>
    <row r="23" spans="2:7" ht="14.4" customHeight="1" x14ac:dyDescent="0.3">
      <c r="B23" s="550"/>
      <c r="C23" s="551"/>
      <c r="E23" s="308" t="s">
        <v>362</v>
      </c>
      <c r="F23" s="288">
        <v>7.0000000000000007E-2</v>
      </c>
      <c r="G23" s="557"/>
    </row>
    <row r="24" spans="2:7" ht="14.4" customHeight="1" x14ac:dyDescent="0.3">
      <c r="B24" s="550"/>
      <c r="C24" s="551"/>
      <c r="E24" s="308" t="s">
        <v>363</v>
      </c>
      <c r="F24" s="288">
        <v>0.05</v>
      </c>
      <c r="G24" s="557"/>
    </row>
    <row r="25" spans="2:7" ht="14.4" customHeight="1" x14ac:dyDescent="0.3">
      <c r="B25" s="550"/>
      <c r="C25" s="551"/>
      <c r="E25" s="443" t="s">
        <v>375</v>
      </c>
      <c r="F25" s="457"/>
      <c r="G25" s="461"/>
    </row>
    <row r="26" spans="2:7" ht="14.4" customHeight="1" x14ac:dyDescent="0.3">
      <c r="B26" s="552"/>
      <c r="C26" s="553"/>
      <c r="E26" s="433" t="s">
        <v>377</v>
      </c>
      <c r="F26" s="448">
        <v>0.81799999999999995</v>
      </c>
      <c r="G26" s="461" t="s">
        <v>402</v>
      </c>
    </row>
    <row r="27" spans="2:7" ht="14.4" customHeight="1" x14ac:dyDescent="0.3">
      <c r="B27" s="468"/>
      <c r="C27" s="468"/>
      <c r="E27" s="433" t="s">
        <v>385</v>
      </c>
      <c r="F27" s="449">
        <v>0.34599999999999997</v>
      </c>
      <c r="G27" s="461" t="s">
        <v>398</v>
      </c>
    </row>
    <row r="28" spans="2:7" ht="14.4" customHeight="1" x14ac:dyDescent="0.3">
      <c r="B28" s="494" t="s">
        <v>390</v>
      </c>
      <c r="C28" s="544"/>
      <c r="E28" s="433" t="s">
        <v>376</v>
      </c>
      <c r="F28" s="450">
        <v>0.19500000000000001</v>
      </c>
      <c r="G28" s="461" t="s">
        <v>396</v>
      </c>
    </row>
    <row r="29" spans="2:7" x14ac:dyDescent="0.3">
      <c r="B29" s="395" t="s">
        <v>391</v>
      </c>
      <c r="C29" s="470">
        <f>C11</f>
        <v>102.8237035779967</v>
      </c>
      <c r="E29" s="435" t="s">
        <v>388</v>
      </c>
      <c r="F29" s="451">
        <f>F27*F28</f>
        <v>6.7470000000000002E-2</v>
      </c>
      <c r="G29" s="461"/>
    </row>
    <row r="30" spans="2:7" x14ac:dyDescent="0.3">
      <c r="B30" s="308" t="s">
        <v>392</v>
      </c>
      <c r="C30" s="469">
        <f>F37</f>
        <v>111.85457771807458</v>
      </c>
      <c r="E30" s="433" t="s">
        <v>379</v>
      </c>
      <c r="F30" s="452">
        <v>5.9400000000000001E-2</v>
      </c>
      <c r="G30" s="461" t="s">
        <v>397</v>
      </c>
    </row>
    <row r="31" spans="2:7" x14ac:dyDescent="0.3">
      <c r="B31" s="471" t="s">
        <v>393</v>
      </c>
      <c r="C31" s="472">
        <f>(C29+C30)/2</f>
        <v>107.33914064803564</v>
      </c>
      <c r="E31" s="435" t="s">
        <v>378</v>
      </c>
      <c r="F31" s="451">
        <f>F30+(F26*F29)</f>
        <v>0.11459046000000001</v>
      </c>
      <c r="G31" s="461"/>
    </row>
    <row r="32" spans="2:7" x14ac:dyDescent="0.3">
      <c r="E32" s="319" t="s">
        <v>364</v>
      </c>
      <c r="F32" s="467">
        <f>(F16*(F30+(F26*(F27*F28))))+((1-F16)*F19)</f>
        <v>0.10524738826200299</v>
      </c>
      <c r="G32" s="461"/>
    </row>
    <row r="33" spans="2:7" ht="15.6" x14ac:dyDescent="0.3">
      <c r="B33" s="494" t="s">
        <v>389</v>
      </c>
      <c r="C33" s="544"/>
      <c r="E33" s="437" t="s">
        <v>349</v>
      </c>
      <c r="F33" s="399"/>
      <c r="G33" s="461"/>
    </row>
    <row r="34" spans="2:7" x14ac:dyDescent="0.3">
      <c r="B34" s="395" t="s">
        <v>367</v>
      </c>
      <c r="C34" s="438">
        <v>2.2000000000000001E-3</v>
      </c>
      <c r="E34" s="308" t="s">
        <v>383</v>
      </c>
      <c r="F34" s="458">
        <f>'CFS (Before Changes) '!AB44+'CFS (Before Changes) '!AG44+'CFS (Before Changes) '!AL44+'CFS (Before Changes) '!AQ44+'CFS (Before Changes) '!AV44</f>
        <v>17681.238968216159</v>
      </c>
      <c r="G34" s="461"/>
    </row>
    <row r="35" spans="2:7" x14ac:dyDescent="0.3">
      <c r="B35" s="308" t="s">
        <v>368</v>
      </c>
      <c r="C35" s="439">
        <v>8.7400000000000005E-2</v>
      </c>
      <c r="E35" s="308" t="s">
        <v>382</v>
      </c>
      <c r="F35" s="458">
        <f>(((('CFS (Before Changes) '!AV22*(1+F23))-(F24*'IS (Before Changes)'!AV8*(1+F22))+(F19*('BS (Before Changes)'!AV28+'BS (Before Changes)'!AV31))))/(F32-F22))/(1+F32)^5</f>
        <v>122754.54317752746</v>
      </c>
      <c r="G35" s="461" t="s">
        <v>399</v>
      </c>
    </row>
    <row r="36" spans="2:7" ht="16.2" x14ac:dyDescent="0.45">
      <c r="B36" s="308" t="s">
        <v>369</v>
      </c>
      <c r="C36" s="440">
        <f>C31</f>
        <v>107.33914064803564</v>
      </c>
      <c r="E36" s="308" t="s">
        <v>365</v>
      </c>
      <c r="F36" s="459">
        <f>'CFS (Before Changes) '!W48</f>
        <v>-9.9985955103363526</v>
      </c>
      <c r="G36" s="461" t="s">
        <v>399</v>
      </c>
    </row>
    <row r="37" spans="2:7" x14ac:dyDescent="0.3">
      <c r="B37" s="308" t="s">
        <v>370</v>
      </c>
      <c r="C37" s="440">
        <f>C36*(1+(C34+(2*C35)))</f>
        <v>126.33816854273795</v>
      </c>
      <c r="E37" s="463" t="s">
        <v>366</v>
      </c>
      <c r="F37" s="464">
        <f>(F35+F34)/F7+F36</f>
        <v>111.85457771807458</v>
      </c>
      <c r="G37" s="461"/>
    </row>
    <row r="38" spans="2:7" x14ac:dyDescent="0.3">
      <c r="B38" s="311" t="s">
        <v>371</v>
      </c>
      <c r="C38" s="441">
        <f>C36*(1+(C34-(2*C35)))</f>
        <v>88.812404972184694</v>
      </c>
      <c r="E38" s="465" t="s">
        <v>381</v>
      </c>
      <c r="F38" s="476">
        <f>ROUND((F6-F37),0)</f>
        <v>0</v>
      </c>
      <c r="G38" s="462"/>
    </row>
  </sheetData>
  <mergeCells count="8">
    <mergeCell ref="B33:C33"/>
    <mergeCell ref="B2:G2"/>
    <mergeCell ref="B28:C28"/>
    <mergeCell ref="B13:C26"/>
    <mergeCell ref="B4:C4"/>
    <mergeCell ref="E4:F4"/>
    <mergeCell ref="E21:F21"/>
    <mergeCell ref="G22:G24"/>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81877-F5F2-4495-A8F9-A6145E268575}">
  <sheetPr>
    <tabColor theme="8" tint="0.39997558519241921"/>
    <pageSetUpPr fitToPage="1"/>
  </sheetPr>
  <dimension ref="A1:AV316"/>
  <sheetViews>
    <sheetView showGridLines="0" zoomScaleNormal="100" workbookViewId="0">
      <pane xSplit="3" ySplit="4" topLeftCell="AK5" activePane="bottomRight" state="frozen"/>
      <selection activeCell="Q59" sqref="Q59"/>
      <selection pane="topRight" activeCell="Q59" sqref="Q59"/>
      <selection pane="bottomLeft" activeCell="Q59" sqref="Q59"/>
      <selection pane="bottomRight" activeCell="B1" sqref="B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91"/>
      <c r="AA1" s="391"/>
      <c r="AB1" s="391"/>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22"/>
      <c r="B3" s="494" t="s">
        <v>18</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22"/>
      <c r="B4" s="512" t="s">
        <v>3</v>
      </c>
      <c r="C4" s="513"/>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486" t="s">
        <v>101</v>
      </c>
      <c r="C5" s="487"/>
      <c r="D5" s="475">
        <f>'IS (After Changes)'!D5-'IS (Before Changes)'!D5</f>
        <v>0</v>
      </c>
      <c r="E5" s="105">
        <f>'IS (After Changes)'!E5-'IS (Before Changes)'!E5</f>
        <v>0</v>
      </c>
      <c r="F5" s="105">
        <f>'IS (After Changes)'!F5-'IS (Before Changes)'!F5</f>
        <v>0</v>
      </c>
      <c r="G5" s="105">
        <f>'IS (After Changes)'!G5-'IS (Before Changes)'!G5</f>
        <v>0</v>
      </c>
      <c r="H5" s="170">
        <f>'IS (After Changes)'!H5-'IS (Before Changes)'!H5</f>
        <v>0</v>
      </c>
      <c r="I5" s="105">
        <f>'IS (After Changes)'!I5-'IS (Before Changes)'!I5</f>
        <v>0</v>
      </c>
      <c r="J5" s="105">
        <f>'IS (After Changes)'!J5-'IS (Before Changes)'!J5</f>
        <v>0</v>
      </c>
      <c r="K5" s="105">
        <f>'IS (After Changes)'!K5-'IS (Before Changes)'!K5</f>
        <v>0</v>
      </c>
      <c r="L5" s="105">
        <f>'IS (After Changes)'!L5-'IS (Before Changes)'!L5</f>
        <v>0</v>
      </c>
      <c r="M5" s="49">
        <f>'IS (After Changes)'!M5-'IS (Before Changes)'!M5</f>
        <v>0</v>
      </c>
      <c r="N5" s="48">
        <f>'IS (After Changes)'!N5-'IS (Before Changes)'!N5</f>
        <v>0</v>
      </c>
      <c r="O5" s="48">
        <f>'IS (After Changes)'!O5-'IS (Before Changes)'!O5</f>
        <v>0</v>
      </c>
      <c r="P5" s="48">
        <f>'IS (After Changes)'!P5-'IS (Before Changes)'!P5</f>
        <v>0</v>
      </c>
      <c r="Q5" s="105">
        <f>'IS (After Changes)'!Q5-'IS (Before Changes)'!Q5</f>
        <v>0</v>
      </c>
      <c r="R5" s="49">
        <f>'IS (After Changes)'!R5-'IS (Before Changes)'!R5</f>
        <v>0</v>
      </c>
      <c r="S5" s="48">
        <f>'IS (After Changes)'!S5-'IS (Before Changes)'!S5</f>
        <v>0</v>
      </c>
      <c r="T5" s="48">
        <f>'IS (After Changes)'!T5-'IS (Before Changes)'!T5</f>
        <v>0</v>
      </c>
      <c r="U5" s="48">
        <f>'IS (After Changes)'!U5-'IS (Before Changes)'!U5</f>
        <v>0</v>
      </c>
      <c r="V5" s="48">
        <f>'IS (After Changes)'!V5-'IS (Before Changes)'!V5</f>
        <v>0</v>
      </c>
      <c r="W5" s="49">
        <f>'IS (After Changes)'!W5-'IS (Before Changes)'!W5</f>
        <v>0</v>
      </c>
      <c r="X5" s="48">
        <f>'IS (After Changes)'!X5-'IS (Before Changes)'!X5</f>
        <v>28.928050287813676</v>
      </c>
      <c r="Y5" s="48">
        <f>'IS (After Changes)'!Y5-'IS (Before Changes)'!Y5</f>
        <v>27.419469490656411</v>
      </c>
      <c r="Z5" s="48">
        <f>'IS (After Changes)'!Z5-'IS (Before Changes)'!Z5</f>
        <v>144.86331938062358</v>
      </c>
      <c r="AA5" s="48">
        <f>'IS (After Changes)'!AA5-'IS (Before Changes)'!AA5</f>
        <v>144.79802512644346</v>
      </c>
      <c r="AB5" s="49">
        <f>'IS (After Changes)'!AB5-'IS (Before Changes)'!AB5</f>
        <v>346.00886428554077</v>
      </c>
      <c r="AC5" s="48">
        <f>'IS (After Changes)'!AC5-'IS (Before Changes)'!AC5</f>
        <v>62.373332970715637</v>
      </c>
      <c r="AD5" s="48">
        <f>'IS (After Changes)'!AD5-'IS (Before Changes)'!AD5</f>
        <v>59.176815178617289</v>
      </c>
      <c r="AE5" s="48">
        <f>'IS (After Changes)'!AE5-'IS (Before Changes)'!AE5</f>
        <v>189.192197293758</v>
      </c>
      <c r="AF5" s="48">
        <f>'IS (After Changes)'!AF5-'IS (Before Changes)'!AF5</f>
        <v>189.29985549965932</v>
      </c>
      <c r="AG5" s="49">
        <f>'IS (After Changes)'!AG5-'IS (Before Changes)'!AG5</f>
        <v>500.04220094274933</v>
      </c>
      <c r="AH5" s="48">
        <f>'IS (After Changes)'!AH5-'IS (Before Changes)'!AH5</f>
        <v>103.20004877210158</v>
      </c>
      <c r="AI5" s="48">
        <f>'IS (After Changes)'!AI5-'IS (Before Changes)'!AI5</f>
        <v>98.019036400175537</v>
      </c>
      <c r="AJ5" s="48">
        <f>'IS (After Changes)'!AJ5-'IS (Before Changes)'!AJ5</f>
        <v>245.29684506565354</v>
      </c>
      <c r="AK5" s="48">
        <f>'IS (After Changes)'!AK5-'IS (Before Changes)'!AK5</f>
        <v>245.67597541044779</v>
      </c>
      <c r="AL5" s="49">
        <f>'IS (After Changes)'!AL5-'IS (Before Changes)'!AL5</f>
        <v>692.19190564838209</v>
      </c>
      <c r="AM5" s="48">
        <f>'IS (After Changes)'!AM5-'IS (Before Changes)'!AM5</f>
        <v>111.86460666178027</v>
      </c>
      <c r="AN5" s="48">
        <f>'IS (After Changes)'!AN5-'IS (Before Changes)'!AN5</f>
        <v>106.31690609929137</v>
      </c>
      <c r="AO5" s="48">
        <f>'IS (After Changes)'!AO5-'IS (Before Changes)'!AO5</f>
        <v>266.23087117560863</v>
      </c>
      <c r="AP5" s="48">
        <f>'IS (After Changes)'!AP5-'IS (Before Changes)'!AP5</f>
        <v>266.80824503033182</v>
      </c>
      <c r="AQ5" s="49">
        <f>'IS (After Changes)'!AQ5-'IS (Before Changes)'!AQ5</f>
        <v>751.22062896702118</v>
      </c>
      <c r="AR5" s="48">
        <f>'IS (After Changes)'!AR5-'IS (Before Changes)'!AR5</f>
        <v>119.19224048343676</v>
      </c>
      <c r="AS5" s="48">
        <f>'IS (After Changes)'!AS5-'IS (Before Changes)'!AS5</f>
        <v>113.24888949269734</v>
      </c>
      <c r="AT5" s="48">
        <f>'IS (After Changes)'!AT5-'IS (Before Changes)'!AT5</f>
        <v>283.51003470651449</v>
      </c>
      <c r="AU5" s="48">
        <f>'IS (After Changes)'!AU5-'IS (Before Changes)'!AU5</f>
        <v>284.04665383332394</v>
      </c>
      <c r="AV5" s="49">
        <f>'IS (After Changes)'!AV5-'IS (Before Changes)'!AV5</f>
        <v>799.99781851597072</v>
      </c>
    </row>
    <row r="6" spans="1:48" outlineLevel="1" x14ac:dyDescent="0.3">
      <c r="B6" s="486" t="s">
        <v>102</v>
      </c>
      <c r="C6" s="487"/>
      <c r="D6" s="105">
        <f>'IS (After Changes)'!D6-'IS (Before Changes)'!D6</f>
        <v>0</v>
      </c>
      <c r="E6" s="105">
        <f>'IS (After Changes)'!E6-'IS (Before Changes)'!E6</f>
        <v>0</v>
      </c>
      <c r="F6" s="105">
        <f>'IS (After Changes)'!F6-'IS (Before Changes)'!F6</f>
        <v>0</v>
      </c>
      <c r="G6" s="105">
        <f>'IS (After Changes)'!G6-'IS (Before Changes)'!G6</f>
        <v>0</v>
      </c>
      <c r="H6" s="170">
        <f>'IS (After Changes)'!H6-'IS (Before Changes)'!H6</f>
        <v>0</v>
      </c>
      <c r="I6" s="105">
        <f>'IS (After Changes)'!I6-'IS (Before Changes)'!I6</f>
        <v>0</v>
      </c>
      <c r="J6" s="105">
        <f>'IS (After Changes)'!J6-'IS (Before Changes)'!J6</f>
        <v>0</v>
      </c>
      <c r="K6" s="105">
        <f>'IS (After Changes)'!K6-'IS (Before Changes)'!K6</f>
        <v>0</v>
      </c>
      <c r="L6" s="48">
        <f>'IS (After Changes)'!L6-'IS (Before Changes)'!L6</f>
        <v>0</v>
      </c>
      <c r="M6" s="49">
        <f>'IS (After Changes)'!M6-'IS (Before Changes)'!M6</f>
        <v>0</v>
      </c>
      <c r="N6" s="48">
        <f>'IS (After Changes)'!N6-'IS (Before Changes)'!N6</f>
        <v>0</v>
      </c>
      <c r="O6" s="48">
        <f>'IS (After Changes)'!O6-'IS (Before Changes)'!O6</f>
        <v>0</v>
      </c>
      <c r="P6" s="48">
        <f>'IS (After Changes)'!P6-'IS (Before Changes)'!P6</f>
        <v>0</v>
      </c>
      <c r="Q6" s="105">
        <f>'IS (After Changes)'!Q6-'IS (Before Changes)'!Q6</f>
        <v>0</v>
      </c>
      <c r="R6" s="49">
        <f>'IS (After Changes)'!R6-'IS (Before Changes)'!R6</f>
        <v>0</v>
      </c>
      <c r="S6" s="48">
        <f>'IS (After Changes)'!S6-'IS (Before Changes)'!S6</f>
        <v>0</v>
      </c>
      <c r="T6" s="48">
        <f>'IS (After Changes)'!T6-'IS (Before Changes)'!T6</f>
        <v>0</v>
      </c>
      <c r="U6" s="48">
        <f>'IS (After Changes)'!U6-'IS (Before Changes)'!U6</f>
        <v>0</v>
      </c>
      <c r="V6" s="48">
        <f>'IS (After Changes)'!V6-'IS (Before Changes)'!V6</f>
        <v>0</v>
      </c>
      <c r="W6" s="49">
        <f>'IS (After Changes)'!W6-'IS (Before Changes)'!W6</f>
        <v>0</v>
      </c>
      <c r="X6" s="48">
        <f>'IS (After Changes)'!X6-'IS (Before Changes)'!X6</f>
        <v>0</v>
      </c>
      <c r="Y6" s="48">
        <f>'IS (After Changes)'!Y6-'IS (Before Changes)'!Y6</f>
        <v>0</v>
      </c>
      <c r="Z6" s="48">
        <f>'IS (After Changes)'!Z6-'IS (Before Changes)'!Z6</f>
        <v>0</v>
      </c>
      <c r="AA6" s="48">
        <f>'IS (After Changes)'!AA6-'IS (Before Changes)'!AA6</f>
        <v>0</v>
      </c>
      <c r="AB6" s="49">
        <f>'IS (After Changes)'!AB6-'IS (Before Changes)'!AB6</f>
        <v>0</v>
      </c>
      <c r="AC6" s="48">
        <f>'IS (After Changes)'!AC6-'IS (Before Changes)'!AC6</f>
        <v>0</v>
      </c>
      <c r="AD6" s="48">
        <f>'IS (After Changes)'!AD6-'IS (Before Changes)'!AD6</f>
        <v>0</v>
      </c>
      <c r="AE6" s="48">
        <f>'IS (After Changes)'!AE6-'IS (Before Changes)'!AE6</f>
        <v>0</v>
      </c>
      <c r="AF6" s="48">
        <f>'IS (After Changes)'!AF6-'IS (Before Changes)'!AF6</f>
        <v>0</v>
      </c>
      <c r="AG6" s="49">
        <f>'IS (After Changes)'!AG6-'IS (Before Changes)'!AG6</f>
        <v>0</v>
      </c>
      <c r="AH6" s="48">
        <f>'IS (After Changes)'!AH6-'IS (Before Changes)'!AH6</f>
        <v>0</v>
      </c>
      <c r="AI6" s="48">
        <f>'IS (After Changes)'!AI6-'IS (Before Changes)'!AI6</f>
        <v>0</v>
      </c>
      <c r="AJ6" s="48">
        <f>'IS (After Changes)'!AJ6-'IS (Before Changes)'!AJ6</f>
        <v>0</v>
      </c>
      <c r="AK6" s="48">
        <f>'IS (After Changes)'!AK6-'IS (Before Changes)'!AK6</f>
        <v>0</v>
      </c>
      <c r="AL6" s="49">
        <f>'IS (After Changes)'!AL6-'IS (Before Changes)'!AL6</f>
        <v>0</v>
      </c>
      <c r="AM6" s="48">
        <f>'IS (After Changes)'!AM6-'IS (Before Changes)'!AM6</f>
        <v>0</v>
      </c>
      <c r="AN6" s="48">
        <f>'IS (After Changes)'!AN6-'IS (Before Changes)'!AN6</f>
        <v>0</v>
      </c>
      <c r="AO6" s="48">
        <f>'IS (After Changes)'!AO6-'IS (Before Changes)'!AO6</f>
        <v>0</v>
      </c>
      <c r="AP6" s="48">
        <f>'IS (After Changes)'!AP6-'IS (Before Changes)'!AP6</f>
        <v>0</v>
      </c>
      <c r="AQ6" s="49">
        <f>'IS (After Changes)'!AQ6-'IS (Before Changes)'!AQ6</f>
        <v>0</v>
      </c>
      <c r="AR6" s="48">
        <f>'IS (After Changes)'!AR6-'IS (Before Changes)'!AR6</f>
        <v>0</v>
      </c>
      <c r="AS6" s="48">
        <f>'IS (After Changes)'!AS6-'IS (Before Changes)'!AS6</f>
        <v>0</v>
      </c>
      <c r="AT6" s="48">
        <f>'IS (After Changes)'!AT6-'IS (Before Changes)'!AT6</f>
        <v>0</v>
      </c>
      <c r="AU6" s="48">
        <f>'IS (After Changes)'!AU6-'IS (Before Changes)'!AU6</f>
        <v>0</v>
      </c>
      <c r="AV6" s="49">
        <f>'IS (After Changes)'!AV6-'IS (Before Changes)'!AV6</f>
        <v>0</v>
      </c>
    </row>
    <row r="7" spans="1:48" ht="16.2" outlineLevel="1" x14ac:dyDescent="0.45">
      <c r="B7" s="486" t="s">
        <v>103</v>
      </c>
      <c r="C7" s="487"/>
      <c r="D7" s="104">
        <f>'IS (After Changes)'!D7-'IS (Before Changes)'!D7</f>
        <v>0</v>
      </c>
      <c r="E7" s="104">
        <f>'IS (After Changes)'!E7-'IS (Before Changes)'!E7</f>
        <v>0</v>
      </c>
      <c r="F7" s="104">
        <f>'IS (After Changes)'!F7-'IS (Before Changes)'!F7</f>
        <v>0</v>
      </c>
      <c r="G7" s="104">
        <f>'IS (After Changes)'!G7-'IS (Before Changes)'!G7</f>
        <v>0</v>
      </c>
      <c r="H7" s="173">
        <f>'IS (After Changes)'!H7-'IS (Before Changes)'!H7</f>
        <v>0</v>
      </c>
      <c r="I7" s="104">
        <f>'IS (After Changes)'!I7-'IS (Before Changes)'!I7</f>
        <v>0</v>
      </c>
      <c r="J7" s="104">
        <f>'IS (After Changes)'!J7-'IS (Before Changes)'!J7</f>
        <v>0</v>
      </c>
      <c r="K7" s="104">
        <f>'IS (After Changes)'!K7-'IS (Before Changes)'!K7</f>
        <v>0</v>
      </c>
      <c r="L7" s="52">
        <f>'IS (After Changes)'!L7-'IS (Before Changes)'!L7</f>
        <v>0</v>
      </c>
      <c r="M7" s="53">
        <f>'IS (After Changes)'!M7-'IS (Before Changes)'!M7</f>
        <v>0</v>
      </c>
      <c r="N7" s="52">
        <f>'IS (After Changes)'!N7-'IS (Before Changes)'!N7</f>
        <v>0</v>
      </c>
      <c r="O7" s="52">
        <f>'IS (After Changes)'!O7-'IS (Before Changes)'!O7</f>
        <v>0</v>
      </c>
      <c r="P7" s="52">
        <f>'IS (After Changes)'!P7-'IS (Before Changes)'!P7</f>
        <v>0</v>
      </c>
      <c r="Q7" s="104">
        <f>'IS (After Changes)'!Q7-'IS (Before Changes)'!Q7</f>
        <v>0</v>
      </c>
      <c r="R7" s="53">
        <f>'IS (After Changes)'!R7-'IS (Before Changes)'!R7</f>
        <v>0</v>
      </c>
      <c r="S7" s="52">
        <f>'IS (After Changes)'!S7-'IS (Before Changes)'!S7</f>
        <v>0</v>
      </c>
      <c r="T7" s="52">
        <f>'IS (After Changes)'!T7-'IS (Before Changes)'!T7</f>
        <v>0</v>
      </c>
      <c r="U7" s="52">
        <f>'IS (After Changes)'!U7-'IS (Before Changes)'!U7</f>
        <v>0</v>
      </c>
      <c r="V7" s="52">
        <f>'IS (After Changes)'!V7-'IS (Before Changes)'!V7</f>
        <v>0</v>
      </c>
      <c r="W7" s="173">
        <f>'IS (After Changes)'!W7-'IS (Before Changes)'!W7</f>
        <v>0</v>
      </c>
      <c r="X7" s="52">
        <f>'IS (After Changes)'!X7-'IS (Before Changes)'!X7</f>
        <v>0</v>
      </c>
      <c r="Y7" s="52">
        <f>'IS (After Changes)'!Y7-'IS (Before Changes)'!Y7</f>
        <v>0</v>
      </c>
      <c r="Z7" s="52">
        <f>'IS (After Changes)'!Z7-'IS (Before Changes)'!Z7</f>
        <v>0</v>
      </c>
      <c r="AA7" s="52">
        <f>'IS (After Changes)'!AA7-'IS (Before Changes)'!AA7</f>
        <v>0</v>
      </c>
      <c r="AB7" s="53">
        <f>'IS (After Changes)'!AB7-'IS (Before Changes)'!AB7</f>
        <v>0</v>
      </c>
      <c r="AC7" s="52">
        <f>'IS (After Changes)'!AC7-'IS (Before Changes)'!AC7</f>
        <v>0</v>
      </c>
      <c r="AD7" s="52">
        <f>'IS (After Changes)'!AD7-'IS (Before Changes)'!AD7</f>
        <v>0</v>
      </c>
      <c r="AE7" s="52">
        <f>'IS (After Changes)'!AE7-'IS (Before Changes)'!AE7</f>
        <v>0</v>
      </c>
      <c r="AF7" s="52">
        <f>'IS (After Changes)'!AF7-'IS (Before Changes)'!AF7</f>
        <v>0</v>
      </c>
      <c r="AG7" s="53">
        <f>'IS (After Changes)'!AG7-'IS (Before Changes)'!AG7</f>
        <v>0</v>
      </c>
      <c r="AH7" s="52">
        <f>'IS (After Changes)'!AH7-'IS (Before Changes)'!AH7</f>
        <v>0</v>
      </c>
      <c r="AI7" s="52">
        <f>'IS (After Changes)'!AI7-'IS (Before Changes)'!AI7</f>
        <v>0</v>
      </c>
      <c r="AJ7" s="52">
        <f>'IS (After Changes)'!AJ7-'IS (Before Changes)'!AJ7</f>
        <v>0</v>
      </c>
      <c r="AK7" s="52">
        <f>'IS (After Changes)'!AK7-'IS (Before Changes)'!AK7</f>
        <v>0</v>
      </c>
      <c r="AL7" s="53">
        <f>'IS (After Changes)'!AL7-'IS (Before Changes)'!AL7</f>
        <v>0</v>
      </c>
      <c r="AM7" s="52">
        <f>'IS (After Changes)'!AM7-'IS (Before Changes)'!AM7</f>
        <v>0</v>
      </c>
      <c r="AN7" s="52">
        <f>'IS (After Changes)'!AN7-'IS (Before Changes)'!AN7</f>
        <v>0</v>
      </c>
      <c r="AO7" s="52">
        <f>'IS (After Changes)'!AO7-'IS (Before Changes)'!AO7</f>
        <v>0</v>
      </c>
      <c r="AP7" s="52">
        <f>'IS (After Changes)'!AP7-'IS (Before Changes)'!AP7</f>
        <v>0</v>
      </c>
      <c r="AQ7" s="53">
        <f>'IS (After Changes)'!AQ7-'IS (Before Changes)'!AQ7</f>
        <v>0</v>
      </c>
      <c r="AR7" s="52">
        <f>'IS (After Changes)'!AR7-'IS (Before Changes)'!AR7</f>
        <v>0</v>
      </c>
      <c r="AS7" s="52">
        <f>'IS (After Changes)'!AS7-'IS (Before Changes)'!AS7</f>
        <v>0</v>
      </c>
      <c r="AT7" s="52">
        <f>'IS (After Changes)'!AT7-'IS (Before Changes)'!AT7</f>
        <v>0</v>
      </c>
      <c r="AU7" s="52">
        <f>'IS (After Changes)'!AU7-'IS (Before Changes)'!AU7</f>
        <v>0</v>
      </c>
      <c r="AV7" s="53">
        <f>'IS (After Changes)'!AV7-'IS (Before Changes)'!AV7</f>
        <v>0</v>
      </c>
    </row>
    <row r="8" spans="1:48" s="8" customFormat="1" x14ac:dyDescent="0.3">
      <c r="B8" s="500" t="s">
        <v>104</v>
      </c>
      <c r="C8" s="501"/>
      <c r="D8" s="103">
        <f>'IS (After Changes)'!D8-'IS (Before Changes)'!D8</f>
        <v>0</v>
      </c>
      <c r="E8" s="103">
        <f>'IS (After Changes)'!E8-'IS (Before Changes)'!E8</f>
        <v>0</v>
      </c>
      <c r="F8" s="103">
        <f>'IS (After Changes)'!F8-'IS (Before Changes)'!F8</f>
        <v>0</v>
      </c>
      <c r="G8" s="103">
        <f>'IS (After Changes)'!G8-'IS (Before Changes)'!G8</f>
        <v>0</v>
      </c>
      <c r="H8" s="171">
        <f>'IS (After Changes)'!H8-'IS (Before Changes)'!H8</f>
        <v>0</v>
      </c>
      <c r="I8" s="103">
        <f>'IS (After Changes)'!I8-'IS (Before Changes)'!I8</f>
        <v>0</v>
      </c>
      <c r="J8" s="103">
        <f>'IS (After Changes)'!J8-'IS (Before Changes)'!J8</f>
        <v>0</v>
      </c>
      <c r="K8" s="103">
        <f>'IS (After Changes)'!K8-'IS (Before Changes)'!K8</f>
        <v>0</v>
      </c>
      <c r="L8" s="103">
        <f>'IS (After Changes)'!L8-'IS (Before Changes)'!L8</f>
        <v>0</v>
      </c>
      <c r="M8" s="171">
        <f>'IS (After Changes)'!M8-'IS (Before Changes)'!M8</f>
        <v>0</v>
      </c>
      <c r="N8" s="103">
        <f>'IS (After Changes)'!N8-'IS (Before Changes)'!N8</f>
        <v>0</v>
      </c>
      <c r="O8" s="103">
        <f>'IS (After Changes)'!O8-'IS (Before Changes)'!O8</f>
        <v>0</v>
      </c>
      <c r="P8" s="103">
        <f>'IS (After Changes)'!P8-'IS (Before Changes)'!P8</f>
        <v>0</v>
      </c>
      <c r="Q8" s="103">
        <f>'IS (After Changes)'!Q8-'IS (Before Changes)'!Q8</f>
        <v>0</v>
      </c>
      <c r="R8" s="171">
        <f>'IS (After Changes)'!R8-'IS (Before Changes)'!R8</f>
        <v>0</v>
      </c>
      <c r="S8" s="103">
        <f>'IS (After Changes)'!S8-'IS (Before Changes)'!S8</f>
        <v>0</v>
      </c>
      <c r="T8" s="103">
        <f>'IS (After Changes)'!T8-'IS (Before Changes)'!T8</f>
        <v>0</v>
      </c>
      <c r="U8" s="103">
        <f>'IS (After Changes)'!U8-'IS (Before Changes)'!U8</f>
        <v>0</v>
      </c>
      <c r="V8" s="103">
        <f>'IS (After Changes)'!V8-'IS (Before Changes)'!V8</f>
        <v>0</v>
      </c>
      <c r="W8" s="171">
        <f>'IS (After Changes)'!W8-'IS (Before Changes)'!W8</f>
        <v>0</v>
      </c>
      <c r="X8" s="50">
        <f>'IS (After Changes)'!X8-'IS (Before Changes)'!X8</f>
        <v>28.928050287813676</v>
      </c>
      <c r="Y8" s="50">
        <f>'IS (After Changes)'!Y8-'IS (Before Changes)'!Y8</f>
        <v>27.419469490656411</v>
      </c>
      <c r="Z8" s="50">
        <f>'IS (After Changes)'!Z8-'IS (Before Changes)'!Z8</f>
        <v>144.86331938062358</v>
      </c>
      <c r="AA8" s="50">
        <f>'IS (After Changes)'!AA8-'IS (Before Changes)'!AA8</f>
        <v>144.79802512644164</v>
      </c>
      <c r="AB8" s="171">
        <f>'IS (After Changes)'!AB8-'IS (Before Changes)'!AB8</f>
        <v>346.00886428554077</v>
      </c>
      <c r="AC8" s="50">
        <f>'IS (After Changes)'!AC8-'IS (Before Changes)'!AC8</f>
        <v>62.373332970717456</v>
      </c>
      <c r="AD8" s="50">
        <f>'IS (After Changes)'!AD8-'IS (Before Changes)'!AD8</f>
        <v>59.17681517861638</v>
      </c>
      <c r="AE8" s="50">
        <f>'IS (After Changes)'!AE8-'IS (Before Changes)'!AE8</f>
        <v>189.192197293758</v>
      </c>
      <c r="AF8" s="50">
        <f>'IS (After Changes)'!AF8-'IS (Before Changes)'!AF8</f>
        <v>189.29985549965932</v>
      </c>
      <c r="AG8" s="51">
        <f>'IS (After Changes)'!AG8-'IS (Before Changes)'!AG8</f>
        <v>500.04220094274933</v>
      </c>
      <c r="AH8" s="50">
        <f>'IS (After Changes)'!AH8-'IS (Before Changes)'!AH8</f>
        <v>103.20004877210158</v>
      </c>
      <c r="AI8" s="50">
        <f>'IS (After Changes)'!AI8-'IS (Before Changes)'!AI8</f>
        <v>98.019036400175537</v>
      </c>
      <c r="AJ8" s="50">
        <f>'IS (After Changes)'!AJ8-'IS (Before Changes)'!AJ8</f>
        <v>245.29684506565354</v>
      </c>
      <c r="AK8" s="50">
        <f>'IS (After Changes)'!AK8-'IS (Before Changes)'!AK8</f>
        <v>245.67597541044779</v>
      </c>
      <c r="AL8" s="51">
        <f>'IS (After Changes)'!AL8-'IS (Before Changes)'!AL8</f>
        <v>692.19190564838937</v>
      </c>
      <c r="AM8" s="50">
        <f>'IS (After Changes)'!AM8-'IS (Before Changes)'!AM8</f>
        <v>111.86460666178027</v>
      </c>
      <c r="AN8" s="50">
        <f>'IS (After Changes)'!AN8-'IS (Before Changes)'!AN8</f>
        <v>106.31690609929137</v>
      </c>
      <c r="AO8" s="50">
        <f>'IS (After Changes)'!AO8-'IS (Before Changes)'!AO8</f>
        <v>266.23087117560863</v>
      </c>
      <c r="AP8" s="50">
        <f>'IS (After Changes)'!AP8-'IS (Before Changes)'!AP8</f>
        <v>266.80824503033182</v>
      </c>
      <c r="AQ8" s="51">
        <f>'IS (After Changes)'!AQ8-'IS (Before Changes)'!AQ8</f>
        <v>751.22062896702846</v>
      </c>
      <c r="AR8" s="50">
        <f>'IS (After Changes)'!AR8-'IS (Before Changes)'!AR8</f>
        <v>119.19224048343676</v>
      </c>
      <c r="AS8" s="50">
        <f>'IS (After Changes)'!AS8-'IS (Before Changes)'!AS8</f>
        <v>113.24888949269734</v>
      </c>
      <c r="AT8" s="50">
        <f>'IS (After Changes)'!AT8-'IS (Before Changes)'!AT8</f>
        <v>283.51003470651449</v>
      </c>
      <c r="AU8" s="50">
        <f>'IS (After Changes)'!AU8-'IS (Before Changes)'!AU8</f>
        <v>284.04665383332394</v>
      </c>
      <c r="AV8" s="51">
        <f>'IS (After Changes)'!AV8-'IS (Before Changes)'!AV8</f>
        <v>799.99781851597072</v>
      </c>
    </row>
    <row r="9" spans="1:48" outlineLevel="1" x14ac:dyDescent="0.3">
      <c r="B9" s="514" t="s">
        <v>100</v>
      </c>
      <c r="C9" s="515"/>
      <c r="D9" s="105">
        <f>'IS (After Changes)'!D9-'IS (Before Changes)'!D9</f>
        <v>0</v>
      </c>
      <c r="E9" s="105">
        <f>'IS (After Changes)'!E9-'IS (Before Changes)'!E9</f>
        <v>0</v>
      </c>
      <c r="F9" s="105">
        <f>'IS (After Changes)'!F9-'IS (Before Changes)'!F9</f>
        <v>0</v>
      </c>
      <c r="G9" s="105">
        <f>'IS (After Changes)'!G9-'IS (Before Changes)'!G9</f>
        <v>0</v>
      </c>
      <c r="H9" s="170">
        <f>'IS (After Changes)'!H9-'IS (Before Changes)'!H9</f>
        <v>0</v>
      </c>
      <c r="I9" s="105">
        <f>'IS (After Changes)'!I9-'IS (Before Changes)'!I9</f>
        <v>0</v>
      </c>
      <c r="J9" s="105">
        <f>'IS (After Changes)'!J9-'IS (Before Changes)'!J9</f>
        <v>0</v>
      </c>
      <c r="K9" s="105">
        <f>'IS (After Changes)'!K9-'IS (Before Changes)'!K9</f>
        <v>0</v>
      </c>
      <c r="L9" s="105">
        <f>'IS (After Changes)'!L9-'IS (Before Changes)'!L9</f>
        <v>0</v>
      </c>
      <c r="M9" s="170">
        <f>'IS (After Changes)'!M9-'IS (Before Changes)'!M9</f>
        <v>0</v>
      </c>
      <c r="N9" s="105">
        <f>'IS (After Changes)'!N9-'IS (Before Changes)'!N9</f>
        <v>0</v>
      </c>
      <c r="O9" s="105">
        <f>'IS (After Changes)'!O9-'IS (Before Changes)'!O9</f>
        <v>0</v>
      </c>
      <c r="P9" s="105">
        <f>'IS (After Changes)'!P9-'IS (Before Changes)'!P9</f>
        <v>0</v>
      </c>
      <c r="Q9" s="105">
        <f>'IS (After Changes)'!Q9-'IS (Before Changes)'!Q9</f>
        <v>0</v>
      </c>
      <c r="R9" s="170">
        <f>'IS (After Changes)'!R9-'IS (Before Changes)'!R9</f>
        <v>0</v>
      </c>
      <c r="S9" s="105">
        <f>'IS (After Changes)'!S9-'IS (Before Changes)'!S9</f>
        <v>0</v>
      </c>
      <c r="T9" s="105">
        <f>'IS (After Changes)'!T9-'IS (Before Changes)'!T9</f>
        <v>0</v>
      </c>
      <c r="U9" s="105">
        <f>'IS (After Changes)'!U9-'IS (Before Changes)'!U9</f>
        <v>0</v>
      </c>
      <c r="V9" s="105">
        <f>'IS (After Changes)'!V9-'IS (Before Changes)'!V9</f>
        <v>0</v>
      </c>
      <c r="W9" s="170">
        <f>'IS (After Changes)'!W9-'IS (Before Changes)'!W9</f>
        <v>0</v>
      </c>
      <c r="X9" s="105">
        <f>'IS (After Changes)'!X9-'IS (Before Changes)'!X9</f>
        <v>5.1698636598057419</v>
      </c>
      <c r="Y9" s="105">
        <f>'IS (After Changes)'!Y9-'IS (Before Changes)'!Y9</f>
        <v>35.266531706104161</v>
      </c>
      <c r="Z9" s="105">
        <f>'IS (After Changes)'!Z9-'IS (Before Changes)'!Z9</f>
        <v>71.294543397770212</v>
      </c>
      <c r="AA9" s="105">
        <f>'IS (After Changes)'!AA9-'IS (Before Changes)'!AA9</f>
        <v>155.23712339417671</v>
      </c>
      <c r="AB9" s="49">
        <f>'IS (After Changes)'!AB9-'IS (Before Changes)'!AB9</f>
        <v>266.96806215785728</v>
      </c>
      <c r="AC9" s="105">
        <f>'IS (After Changes)'!AC9-'IS (Before Changes)'!AC9</f>
        <v>10.500139908076108</v>
      </c>
      <c r="AD9" s="105">
        <f>'IS (After Changes)'!AD9-'IS (Before Changes)'!AD9</f>
        <v>-16.019559757056413</v>
      </c>
      <c r="AE9" s="105">
        <f>'IS (After Changes)'!AE9-'IS (Before Changes)'!AE9</f>
        <v>16.784395394081912</v>
      </c>
      <c r="AF9" s="105">
        <f>'IS (After Changes)'!AF9-'IS (Before Changes)'!AF9</f>
        <v>28.417104697611194</v>
      </c>
      <c r="AG9" s="49">
        <f>'IS (After Changes)'!AG9-'IS (Before Changes)'!AG9</f>
        <v>39.68208024271371</v>
      </c>
      <c r="AH9" s="105">
        <f>'IS (After Changes)'!AH9-'IS (Before Changes)'!AH9</f>
        <v>17.229405261255579</v>
      </c>
      <c r="AI9" s="105">
        <f>'IS (After Changes)'!AI9-'IS (Before Changes)'!AI9</f>
        <v>-12.220301488485347</v>
      </c>
      <c r="AJ9" s="105">
        <f>'IS (After Changes)'!AJ9-'IS (Before Changes)'!AJ9</f>
        <v>24.302398941231331</v>
      </c>
      <c r="AK9" s="105">
        <f>'IS (After Changes)'!AK9-'IS (Before Changes)'!AK9</f>
        <v>37.370727024496318</v>
      </c>
      <c r="AL9" s="49">
        <f>'IS (After Changes)'!AL9-'IS (Before Changes)'!AL9</f>
        <v>66.682229738496972</v>
      </c>
      <c r="AM9" s="105">
        <f>'IS (After Changes)'!AM9-'IS (Before Changes)'!AM9</f>
        <v>18.661312999627626</v>
      </c>
      <c r="AN9" s="105">
        <f>'IS (After Changes)'!AN9-'IS (Before Changes)'!AN9</f>
        <v>-13.267476753944266</v>
      </c>
      <c r="AO9" s="105">
        <f>'IS (After Changes)'!AO9-'IS (Before Changes)'!AO9</f>
        <v>26.404488534546545</v>
      </c>
      <c r="AP9" s="105">
        <f>'IS (After Changes)'!AP9-'IS (Before Changes)'!AP9</f>
        <v>40.6382229984888</v>
      </c>
      <c r="AQ9" s="49">
        <f>'IS (After Changes)'!AQ9-'IS (Before Changes)'!AQ9</f>
        <v>72.436547778719614</v>
      </c>
      <c r="AR9" s="105">
        <f>'IS (After Changes)'!AR9-'IS (Before Changes)'!AR9</f>
        <v>19.908607821655096</v>
      </c>
      <c r="AS9" s="105">
        <f>'IS (After Changes)'!AS9-'IS (Before Changes)'!AS9</f>
        <v>-14.043615441584734</v>
      </c>
      <c r="AT9" s="105">
        <f>'IS (After Changes)'!AT9-'IS (Before Changes)'!AT9</f>
        <v>28.208449321733497</v>
      </c>
      <c r="AU9" s="105">
        <f>'IS (After Changes)'!AU9-'IS (Before Changes)'!AU9</f>
        <v>43.332672017748337</v>
      </c>
      <c r="AV9" s="49">
        <f>'IS (After Changes)'!AV9-'IS (Before Changes)'!AV9</f>
        <v>77.406113719553105</v>
      </c>
    </row>
    <row r="10" spans="1:48" outlineLevel="1" x14ac:dyDescent="0.3">
      <c r="B10" s="38" t="s">
        <v>32</v>
      </c>
      <c r="C10" s="18"/>
      <c r="D10" s="105">
        <f>'IS (After Changes)'!D10-'IS (Before Changes)'!D10</f>
        <v>0</v>
      </c>
      <c r="E10" s="105">
        <f>'IS (After Changes)'!E10-'IS (Before Changes)'!E10</f>
        <v>0</v>
      </c>
      <c r="F10" s="105">
        <f>'IS (After Changes)'!F10-'IS (Before Changes)'!F10</f>
        <v>0</v>
      </c>
      <c r="G10" s="105">
        <f>'IS (After Changes)'!G10-'IS (Before Changes)'!G10</f>
        <v>0</v>
      </c>
      <c r="H10" s="170">
        <f>'IS (After Changes)'!H10-'IS (Before Changes)'!H10</f>
        <v>0</v>
      </c>
      <c r="I10" s="105">
        <f>'IS (After Changes)'!I10-'IS (Before Changes)'!I10</f>
        <v>0</v>
      </c>
      <c r="J10" s="105">
        <f>'IS (After Changes)'!J10-'IS (Before Changes)'!J10</f>
        <v>0</v>
      </c>
      <c r="K10" s="105">
        <f>'IS (After Changes)'!K10-'IS (Before Changes)'!K10</f>
        <v>0</v>
      </c>
      <c r="L10" s="48">
        <f>'IS (After Changes)'!L10-'IS (Before Changes)'!L10</f>
        <v>0</v>
      </c>
      <c r="M10" s="49">
        <f>'IS (After Changes)'!M10-'IS (Before Changes)'!M10</f>
        <v>0</v>
      </c>
      <c r="N10" s="48">
        <f>'IS (After Changes)'!N10-'IS (Before Changes)'!N10</f>
        <v>0</v>
      </c>
      <c r="O10" s="105">
        <f>'IS (After Changes)'!O10-'IS (Before Changes)'!O10</f>
        <v>0</v>
      </c>
      <c r="P10" s="105">
        <f>'IS (After Changes)'!P10-'IS (Before Changes)'!P10</f>
        <v>0</v>
      </c>
      <c r="Q10" s="105">
        <f>'IS (After Changes)'!Q10-'IS (Before Changes)'!Q10</f>
        <v>0</v>
      </c>
      <c r="R10" s="170">
        <f>'IS (After Changes)'!R10-'IS (Before Changes)'!R10</f>
        <v>0</v>
      </c>
      <c r="S10" s="48">
        <f>'IS (After Changes)'!S10-'IS (Before Changes)'!S10</f>
        <v>0</v>
      </c>
      <c r="T10" s="48">
        <f>'IS (After Changes)'!T10-'IS (Before Changes)'!T10</f>
        <v>0</v>
      </c>
      <c r="U10" s="48">
        <f>'IS (After Changes)'!U10-'IS (Before Changes)'!U10</f>
        <v>0</v>
      </c>
      <c r="V10" s="48">
        <f>'IS (After Changes)'!V10-'IS (Before Changes)'!V10</f>
        <v>0</v>
      </c>
      <c r="W10" s="170">
        <f>'IS (After Changes)'!W10-'IS (Before Changes)'!W10</f>
        <v>0</v>
      </c>
      <c r="X10" s="48">
        <f>'IS (After Changes)'!X10-'IS (Before Changes)'!X10</f>
        <v>12.230402228331968</v>
      </c>
      <c r="Y10" s="48">
        <f>'IS (After Changes)'!Y10-'IS (Before Changes)'!Y10</f>
        <v>25.674380481752451</v>
      </c>
      <c r="Z10" s="48">
        <f>'IS (After Changes)'!Z10-'IS (Before Changes)'!Z10</f>
        <v>37.806659885472982</v>
      </c>
      <c r="AA10" s="48">
        <f>'IS (After Changes)'!AA10-'IS (Before Changes)'!AA10</f>
        <v>102.30788273345524</v>
      </c>
      <c r="AB10" s="49">
        <f>'IS (After Changes)'!AB10-'IS (Before Changes)'!AB10</f>
        <v>178.01932532901264</v>
      </c>
      <c r="AC10" s="48">
        <f>'IS (After Changes)'!AC10-'IS (Before Changes)'!AC10</f>
        <v>25.731265826490016</v>
      </c>
      <c r="AD10" s="48">
        <f>'IS (After Changes)'!AD10-'IS (Before Changes)'!AD10</f>
        <v>-13.153457496905958</v>
      </c>
      <c r="AE10" s="48">
        <f>'IS (After Changes)'!AE10-'IS (Before Changes)'!AE10</f>
        <v>-6.4874837654415387</v>
      </c>
      <c r="AF10" s="48">
        <f>'IS (After Changes)'!AF10-'IS (Before Changes)'!AF10</f>
        <v>-7.021057444580947</v>
      </c>
      <c r="AG10" s="49">
        <f>'IS (After Changes)'!AG10-'IS (Before Changes)'!AG10</f>
        <v>-0.93073288043888169</v>
      </c>
      <c r="AH10" s="48">
        <f>'IS (After Changes)'!AH10-'IS (Before Changes)'!AH10</f>
        <v>42.444662005726059</v>
      </c>
      <c r="AI10" s="48">
        <f>'IS (After Changes)'!AI10-'IS (Before Changes)'!AI10</f>
        <v>-0.61944991678319639</v>
      </c>
      <c r="AJ10" s="48">
        <f>'IS (After Changes)'!AJ10-'IS (Before Changes)'!AJ10</f>
        <v>6.4612033517623786</v>
      </c>
      <c r="AK10" s="48">
        <f>'IS (After Changes)'!AK10-'IS (Before Changes)'!AK10</f>
        <v>7.0390939732778861</v>
      </c>
      <c r="AL10" s="49">
        <f>'IS (After Changes)'!AL10-'IS (Before Changes)'!AL10</f>
        <v>55.325509413982218</v>
      </c>
      <c r="AM10" s="48">
        <f>'IS (After Changes)'!AM10-'IS (Before Changes)'!AM10</f>
        <v>46.008267211655038</v>
      </c>
      <c r="AN10" s="48">
        <f>'IS (After Changes)'!AN10-'IS (Before Changes)'!AN10</f>
        <v>-0.67188988031921326</v>
      </c>
      <c r="AO10" s="48">
        <f>'IS (After Changes)'!AO10-'IS (Before Changes)'!AO10</f>
        <v>7.0126128068304752</v>
      </c>
      <c r="AP10" s="48">
        <f>'IS (After Changes)'!AP10-'IS (Before Changes)'!AP10</f>
        <v>7.6445745518103649</v>
      </c>
      <c r="AQ10" s="49">
        <f>'IS (After Changes)'!AQ10-'IS (Before Changes)'!AQ10</f>
        <v>59.993564689975756</v>
      </c>
      <c r="AR10" s="48">
        <f>'IS (After Changes)'!AR10-'IS (Before Changes)'!AR10</f>
        <v>49.022015214321073</v>
      </c>
      <c r="AS10" s="48">
        <f>'IS (After Changes)'!AS10-'IS (Before Changes)'!AS10</f>
        <v>-0.71569786593045137</v>
      </c>
      <c r="AT10" s="48">
        <f>'IS (After Changes)'!AT10-'IS (Before Changes)'!AT10</f>
        <v>7.4677519232409395</v>
      </c>
      <c r="AU10" s="48">
        <f>'IS (After Changes)'!AU10-'IS (Before Changes)'!AU10</f>
        <v>8.1384884532872093</v>
      </c>
      <c r="AV10" s="49">
        <f>'IS (After Changes)'!AV10-'IS (Before Changes)'!AV10</f>
        <v>63.912557724921498</v>
      </c>
    </row>
    <row r="11" spans="1:48" outlineLevel="1" x14ac:dyDescent="0.3">
      <c r="B11" s="38" t="s">
        <v>33</v>
      </c>
      <c r="C11" s="18"/>
      <c r="D11" s="105">
        <f>'IS (After Changes)'!D11-'IS (Before Changes)'!D11</f>
        <v>0</v>
      </c>
      <c r="E11" s="105">
        <f>'IS (After Changes)'!E11-'IS (Before Changes)'!E11</f>
        <v>0</v>
      </c>
      <c r="F11" s="105">
        <f>'IS (After Changes)'!F11-'IS (Before Changes)'!F11</f>
        <v>0</v>
      </c>
      <c r="G11" s="105">
        <f>'IS (After Changes)'!G11-'IS (Before Changes)'!G11</f>
        <v>0</v>
      </c>
      <c r="H11" s="170">
        <f>'IS (After Changes)'!H11-'IS (Before Changes)'!H11</f>
        <v>0</v>
      </c>
      <c r="I11" s="105">
        <f>'IS (After Changes)'!I11-'IS (Before Changes)'!I11</f>
        <v>0</v>
      </c>
      <c r="J11" s="105">
        <f>'IS (After Changes)'!J11-'IS (Before Changes)'!J11</f>
        <v>0</v>
      </c>
      <c r="K11" s="105">
        <f>'IS (After Changes)'!K11-'IS (Before Changes)'!K11</f>
        <v>0</v>
      </c>
      <c r="L11" s="48">
        <f>'IS (After Changes)'!L11-'IS (Before Changes)'!L11</f>
        <v>0</v>
      </c>
      <c r="M11" s="49">
        <f>'IS (After Changes)'!M11-'IS (Before Changes)'!M11</f>
        <v>0</v>
      </c>
      <c r="N11" s="48">
        <f>'IS (After Changes)'!N11-'IS (Before Changes)'!N11</f>
        <v>0</v>
      </c>
      <c r="O11" s="105">
        <f>'IS (After Changes)'!O11-'IS (Before Changes)'!O11</f>
        <v>0</v>
      </c>
      <c r="P11" s="105">
        <f>'IS (After Changes)'!P11-'IS (Before Changes)'!P11</f>
        <v>0</v>
      </c>
      <c r="Q11" s="105">
        <f>'IS (After Changes)'!Q11-'IS (Before Changes)'!Q11</f>
        <v>0</v>
      </c>
      <c r="R11" s="170">
        <f>'IS (After Changes)'!R11-'IS (Before Changes)'!R11</f>
        <v>0</v>
      </c>
      <c r="S11" s="48">
        <f>'IS (After Changes)'!S11-'IS (Before Changes)'!S11</f>
        <v>0</v>
      </c>
      <c r="T11" s="48">
        <f>'IS (After Changes)'!T11-'IS (Before Changes)'!T11</f>
        <v>0</v>
      </c>
      <c r="U11" s="48">
        <f>'IS (After Changes)'!U11-'IS (Before Changes)'!U11</f>
        <v>0</v>
      </c>
      <c r="V11" s="48">
        <f>'IS (After Changes)'!V11-'IS (Before Changes)'!V11</f>
        <v>0</v>
      </c>
      <c r="W11" s="170">
        <f>'IS (After Changes)'!W11-'IS (Before Changes)'!W11</f>
        <v>0</v>
      </c>
      <c r="X11" s="48">
        <f>'IS (After Changes)'!X11-'IS (Before Changes)'!X11</f>
        <v>0.24324128602353312</v>
      </c>
      <c r="Y11" s="48">
        <f>'IS (After Changes)'!Y11-'IS (Before Changes)'!Y11</f>
        <v>0.23715170005874597</v>
      </c>
      <c r="Z11" s="48">
        <f>'IS (After Changes)'!Z11-'IS (Before Changes)'!Z11</f>
        <v>1.3246777851720992</v>
      </c>
      <c r="AA11" s="48">
        <f>'IS (After Changes)'!AA11-'IS (Before Changes)'!AA11</f>
        <v>1.2132594045871201</v>
      </c>
      <c r="AB11" s="49">
        <f>'IS (After Changes)'!AB11-'IS (Before Changes)'!AB11</f>
        <v>3.01833017584147</v>
      </c>
      <c r="AC11" s="48">
        <f>'IS (After Changes)'!AC11-'IS (Before Changes)'!AC11</f>
        <v>0.5244656855343095</v>
      </c>
      <c r="AD11" s="48">
        <f>'IS (After Changes)'!AD11-'IS (Before Changes)'!AD11</f>
        <v>0.5118218034252493</v>
      </c>
      <c r="AE11" s="48">
        <f>'IS (After Changes)'!AE11-'IS (Before Changes)'!AE11</f>
        <v>1.730035608423691</v>
      </c>
      <c r="AF11" s="48">
        <f>'IS (After Changes)'!AF11-'IS (Before Changes)'!AF11</f>
        <v>1.5861392430689989</v>
      </c>
      <c r="AG11" s="49">
        <f>'IS (After Changes)'!AG11-'IS (Before Changes)'!AG11</f>
        <v>4.3524623404522345</v>
      </c>
      <c r="AH11" s="48">
        <f>'IS (After Changes)'!AH11-'IS (Before Changes)'!AH11</f>
        <v>0.867756808055276</v>
      </c>
      <c r="AI11" s="48">
        <f>'IS (After Changes)'!AI11-'IS (Before Changes)'!AI11</f>
        <v>0.84776917833303855</v>
      </c>
      <c r="AJ11" s="48">
        <f>'IS (After Changes)'!AJ11-'IS (Before Changes)'!AJ11</f>
        <v>2.2430749400233481</v>
      </c>
      <c r="AK11" s="48">
        <f>'IS (After Changes)'!AK11-'IS (Before Changes)'!AK11</f>
        <v>2.0585134872354445</v>
      </c>
      <c r="AL11" s="49">
        <f>'IS (After Changes)'!AL11-'IS (Before Changes)'!AL11</f>
        <v>6.0171144136470502</v>
      </c>
      <c r="AM11" s="48">
        <f>'IS (After Changes)'!AM11-'IS (Before Changes)'!AM11</f>
        <v>0.94061267573187024</v>
      </c>
      <c r="AN11" s="48">
        <f>'IS (After Changes)'!AN11-'IS (Before Changes)'!AN11</f>
        <v>0.9195376677519107</v>
      </c>
      <c r="AO11" s="48">
        <f>'IS (After Changes)'!AO11-'IS (Before Changes)'!AO11</f>
        <v>2.4345025523452932</v>
      </c>
      <c r="AP11" s="48">
        <f>'IS (After Changes)'!AP11-'IS (Before Changes)'!AP11</f>
        <v>2.235580300365001</v>
      </c>
      <c r="AQ11" s="49">
        <f>'IS (After Changes)'!AQ11-'IS (Before Changes)'!AQ11</f>
        <v>6.5302331961939899</v>
      </c>
      <c r="AR11" s="48">
        <f>'IS (After Changes)'!AR11-'IS (Before Changes)'!AR11</f>
        <v>1.002227027772733</v>
      </c>
      <c r="AS11" s="48">
        <f>'IS (After Changes)'!AS11-'IS (Before Changes)'!AS11</f>
        <v>0.97949257122243694</v>
      </c>
      <c r="AT11" s="48">
        <f>'IS (After Changes)'!AT11-'IS (Before Changes)'!AT11</f>
        <v>2.5925089004920494</v>
      </c>
      <c r="AU11" s="48">
        <f>'IS (After Changes)'!AU11-'IS (Before Changes)'!AU11</f>
        <v>2.3800205410526019</v>
      </c>
      <c r="AV11" s="49">
        <f>'IS (After Changes)'!AV11-'IS (Before Changes)'!AV11</f>
        <v>6.9542490405398212</v>
      </c>
    </row>
    <row r="12" spans="1:48" outlineLevel="1" x14ac:dyDescent="0.3">
      <c r="B12" s="38" t="s">
        <v>34</v>
      </c>
      <c r="C12" s="18"/>
      <c r="D12" s="105">
        <f>'IS (After Changes)'!D12-'IS (Before Changes)'!D12</f>
        <v>0</v>
      </c>
      <c r="E12" s="105">
        <f>'IS (After Changes)'!E12-'IS (Before Changes)'!E12</f>
        <v>0</v>
      </c>
      <c r="F12" s="105">
        <f>'IS (After Changes)'!F12-'IS (Before Changes)'!F12</f>
        <v>0</v>
      </c>
      <c r="G12" s="105">
        <f>'IS (After Changes)'!G12-'IS (Before Changes)'!G12</f>
        <v>0</v>
      </c>
      <c r="H12" s="170">
        <f>'IS (After Changes)'!H12-'IS (Before Changes)'!H12</f>
        <v>0</v>
      </c>
      <c r="I12" s="105">
        <f>'IS (After Changes)'!I12-'IS (Before Changes)'!I12</f>
        <v>0</v>
      </c>
      <c r="J12" s="105">
        <f>'IS (After Changes)'!J12-'IS (Before Changes)'!J12</f>
        <v>0</v>
      </c>
      <c r="K12" s="105">
        <f>'IS (After Changes)'!K12-'IS (Before Changes)'!K12</f>
        <v>0</v>
      </c>
      <c r="L12" s="48">
        <f>'IS (After Changes)'!L12-'IS (Before Changes)'!L12</f>
        <v>0</v>
      </c>
      <c r="M12" s="49">
        <f>'IS (After Changes)'!M12-'IS (Before Changes)'!M12</f>
        <v>0</v>
      </c>
      <c r="N12" s="48">
        <f>'IS (After Changes)'!N12-'IS (Before Changes)'!N12</f>
        <v>0</v>
      </c>
      <c r="O12" s="105">
        <f>'IS (After Changes)'!O12-'IS (Before Changes)'!O12</f>
        <v>0</v>
      </c>
      <c r="P12" s="105">
        <f>'IS (After Changes)'!P12-'IS (Before Changes)'!P12</f>
        <v>0</v>
      </c>
      <c r="Q12" s="105">
        <f>'IS (After Changes)'!Q12-'IS (Before Changes)'!Q12</f>
        <v>0</v>
      </c>
      <c r="R12" s="170">
        <f>'IS (After Changes)'!R12-'IS (Before Changes)'!R12</f>
        <v>0</v>
      </c>
      <c r="S12" s="48">
        <f>'IS (After Changes)'!S12-'IS (Before Changes)'!S12</f>
        <v>0</v>
      </c>
      <c r="T12" s="48">
        <f>'IS (After Changes)'!T12-'IS (Before Changes)'!T12</f>
        <v>0</v>
      </c>
      <c r="U12" s="48">
        <f>'IS (After Changes)'!U12-'IS (Before Changes)'!U12</f>
        <v>0</v>
      </c>
      <c r="V12" s="48">
        <f>'IS (After Changes)'!V12-'IS (Before Changes)'!V12</f>
        <v>0</v>
      </c>
      <c r="W12" s="170">
        <f>'IS (After Changes)'!W12-'IS (Before Changes)'!W12</f>
        <v>0</v>
      </c>
      <c r="X12" s="48">
        <f>'IS (After Changes)'!X12-'IS (Before Changes)'!X12</f>
        <v>0</v>
      </c>
      <c r="Y12" s="48">
        <f>'IS (After Changes)'!Y12-'IS (Before Changes)'!Y12</f>
        <v>0.11300729598792714</v>
      </c>
      <c r="Z12" s="48">
        <f>'IS (After Changes)'!Z12-'IS (Before Changes)'!Z12</f>
        <v>0.21191369072039379</v>
      </c>
      <c r="AA12" s="48">
        <f>'IS (After Changes)'!AA12-'IS (Before Changes)'!AA12</f>
        <v>0.75466774345881049</v>
      </c>
      <c r="AB12" s="49">
        <f>'IS (After Changes)'!AB12-'IS (Before Changes)'!AB12</f>
        <v>1.0795887301669609</v>
      </c>
      <c r="AC12" s="48">
        <f>'IS (After Changes)'!AC12-'IS (Before Changes)'!AC12</f>
        <v>1.2818824693669058</v>
      </c>
      <c r="AD12" s="48">
        <f>'IS (After Changes)'!AD12-'IS (Before Changes)'!AD12</f>
        <v>1.4446991247368715</v>
      </c>
      <c r="AE12" s="48">
        <f>'IS (After Changes)'!AE12-'IS (Before Changes)'!AE12</f>
        <v>1.5857899755414451</v>
      </c>
      <c r="AF12" s="48">
        <f>'IS (After Changes)'!AF12-'IS (Before Changes)'!AF12</f>
        <v>2.2219743384054595</v>
      </c>
      <c r="AG12" s="49">
        <f>'IS (After Changes)'!AG12-'IS (Before Changes)'!AG12</f>
        <v>6.5343459080509092</v>
      </c>
      <c r="AH12" s="48">
        <f>'IS (After Changes)'!AH12-'IS (Before Changes)'!AH12</f>
        <v>2.8267330116234461</v>
      </c>
      <c r="AI12" s="48">
        <f>'IS (After Changes)'!AI12-'IS (Before Changes)'!AI12</f>
        <v>3.0162397690092462</v>
      </c>
      <c r="AJ12" s="48">
        <f>'IS (After Changes)'!AJ12-'IS (Before Changes)'!AJ12</f>
        <v>3.1777436726619044</v>
      </c>
      <c r="AK12" s="48">
        <f>'IS (After Changes)'!AK12-'IS (Before Changes)'!AK12</f>
        <v>3.84081167426109</v>
      </c>
      <c r="AL12" s="49">
        <f>'IS (After Changes)'!AL12-'IS (Before Changes)'!AL12</f>
        <v>12.86152812755563</v>
      </c>
      <c r="AM12" s="48">
        <f>'IS (After Changes)'!AM12-'IS (Before Changes)'!AM12</f>
        <v>4.4669391368571496</v>
      </c>
      <c r="AN12" s="48">
        <f>'IS (After Changes)'!AN12-'IS (Before Changes)'!AN12</f>
        <v>4.591368420255094</v>
      </c>
      <c r="AO12" s="48">
        <f>'IS (After Changes)'!AO12-'IS (Before Changes)'!AO12</f>
        <v>4.6898615731565769</v>
      </c>
      <c r="AP12" s="48">
        <f>'IS (After Changes)'!AP12-'IS (Before Changes)'!AP12</f>
        <v>5.3365543750396682</v>
      </c>
      <c r="AQ12" s="49">
        <f>'IS (After Changes)'!AQ12-'IS (Before Changes)'!AQ12</f>
        <v>19.08472350530883</v>
      </c>
      <c r="AR12" s="48">
        <f>'IS (After Changes)'!AR12-'IS (Before Changes)'!AR12</f>
        <v>5.9472343972412318</v>
      </c>
      <c r="AS12" s="48">
        <f>'IS (After Changes)'!AS12-'IS (Before Changes)'!AS12</f>
        <v>6.010651394078991</v>
      </c>
      <c r="AT12" s="48">
        <f>'IS (After Changes)'!AT12-'IS (Before Changes)'!AT12</f>
        <v>6.0499514076827836</v>
      </c>
      <c r="AU12" s="48">
        <f>'IS (After Changes)'!AU12-'IS (Before Changes)'!AU12</f>
        <v>6.6765062697237454</v>
      </c>
      <c r="AV12" s="49">
        <f>'IS (After Changes)'!AV12-'IS (Before Changes)'!AV12</f>
        <v>24.684343468726638</v>
      </c>
    </row>
    <row r="13" spans="1:48" ht="17.25" customHeight="1" outlineLevel="1" x14ac:dyDescent="0.3">
      <c r="B13" s="38" t="s">
        <v>83</v>
      </c>
      <c r="C13" s="18"/>
      <c r="D13" s="105">
        <f>'IS (After Changes)'!D13-'IS (Before Changes)'!D13</f>
        <v>0</v>
      </c>
      <c r="E13" s="105">
        <f>'IS (After Changes)'!E13-'IS (Before Changes)'!E13</f>
        <v>0</v>
      </c>
      <c r="F13" s="105">
        <f>'IS (After Changes)'!F13-'IS (Before Changes)'!F13</f>
        <v>0</v>
      </c>
      <c r="G13" s="105">
        <f>'IS (After Changes)'!G13-'IS (Before Changes)'!G13</f>
        <v>0</v>
      </c>
      <c r="H13" s="170">
        <f>'IS (After Changes)'!H13-'IS (Before Changes)'!H13</f>
        <v>0</v>
      </c>
      <c r="I13" s="105">
        <f>'IS (After Changes)'!I13-'IS (Before Changes)'!I13</f>
        <v>0</v>
      </c>
      <c r="J13" s="105">
        <f>'IS (After Changes)'!J13-'IS (Before Changes)'!J13</f>
        <v>0</v>
      </c>
      <c r="K13" s="105">
        <f>'IS (After Changes)'!K13-'IS (Before Changes)'!K13</f>
        <v>0</v>
      </c>
      <c r="L13" s="48">
        <f>'IS (After Changes)'!L13-'IS (Before Changes)'!L13</f>
        <v>0</v>
      </c>
      <c r="M13" s="170">
        <f>'IS (After Changes)'!M13-'IS (Before Changes)'!M13</f>
        <v>0</v>
      </c>
      <c r="N13" s="48">
        <f>'IS (After Changes)'!N13-'IS (Before Changes)'!N13</f>
        <v>0</v>
      </c>
      <c r="O13" s="105">
        <f>'IS (After Changes)'!O13-'IS (Before Changes)'!O13</f>
        <v>0</v>
      </c>
      <c r="P13" s="105">
        <f>'IS (After Changes)'!P13-'IS (Before Changes)'!P13</f>
        <v>0</v>
      </c>
      <c r="Q13" s="105">
        <f>'IS (After Changes)'!Q13-'IS (Before Changes)'!Q13</f>
        <v>0</v>
      </c>
      <c r="R13" s="170">
        <f>'IS (After Changes)'!R13-'IS (Before Changes)'!R13</f>
        <v>0</v>
      </c>
      <c r="S13" s="48">
        <f>'IS (After Changes)'!S13-'IS (Before Changes)'!S13</f>
        <v>0</v>
      </c>
      <c r="T13" s="48">
        <f>'IS (After Changes)'!T13-'IS (Before Changes)'!T13</f>
        <v>0</v>
      </c>
      <c r="U13" s="48">
        <f>'IS (After Changes)'!U13-'IS (Before Changes)'!U13</f>
        <v>0</v>
      </c>
      <c r="V13" s="48">
        <f>'IS (After Changes)'!V13-'IS (Before Changes)'!V13</f>
        <v>0</v>
      </c>
      <c r="W13" s="170">
        <f>'IS (After Changes)'!W13-'IS (Before Changes)'!W13</f>
        <v>0</v>
      </c>
      <c r="X13" s="48">
        <f>'IS (After Changes)'!X13-'IS (Before Changes)'!X13</f>
        <v>0.5317067791985437</v>
      </c>
      <c r="Y13" s="48">
        <f>'IS (After Changes)'!Y13-'IS (Before Changes)'!Y13</f>
        <v>0.42754901797684397</v>
      </c>
      <c r="Z13" s="48">
        <f>'IS (After Changes)'!Z13-'IS (Before Changes)'!Z13</f>
        <v>2.1913613772541112</v>
      </c>
      <c r="AA13" s="48">
        <f>'IS (After Changes)'!AA13-'IS (Before Changes)'!AA13</f>
        <v>0.4120361121881615</v>
      </c>
      <c r="AB13" s="49">
        <f>'IS (After Changes)'!AB13-'IS (Before Changes)'!AB13</f>
        <v>3.5626532866176603</v>
      </c>
      <c r="AC13" s="48">
        <f>'IS (After Changes)'!AC13-'IS (Before Changes)'!AC13</f>
        <v>0.9593217298519221</v>
      </c>
      <c r="AD13" s="48">
        <f>'IS (After Changes)'!AD13-'IS (Before Changes)'!AD13</f>
        <v>1.041091731663073</v>
      </c>
      <c r="AE13" s="48">
        <f>'IS (After Changes)'!AE13-'IS (Before Changes)'!AE13</f>
        <v>2.6727363833848585</v>
      </c>
      <c r="AF13" s="48">
        <f>'IS (After Changes)'!AF13-'IS (Before Changes)'!AF13</f>
        <v>0.34937031234102278</v>
      </c>
      <c r="AG13" s="49">
        <f>'IS (After Changes)'!AG13-'IS (Before Changes)'!AG13</f>
        <v>5.0225201572407059</v>
      </c>
      <c r="AH13" s="48">
        <f>'IS (After Changes)'!AH13-'IS (Before Changes)'!AH13</f>
        <v>1.4840495752833931</v>
      </c>
      <c r="AI13" s="48">
        <f>'IS (After Changes)'!AI13-'IS (Before Changes)'!AI13</f>
        <v>1.6264199695481238</v>
      </c>
      <c r="AJ13" s="48">
        <f>'IS (After Changes)'!AJ13-'IS (Before Changes)'!AJ13</f>
        <v>3.2200352981967626</v>
      </c>
      <c r="AK13" s="48">
        <f>'IS (After Changes)'!AK13-'IS (Before Changes)'!AK13</f>
        <v>0.20774165682848889</v>
      </c>
      <c r="AL13" s="49">
        <f>'IS (After Changes)'!AL13-'IS (Before Changes)'!AL13</f>
        <v>6.5382464998569958</v>
      </c>
      <c r="AM13" s="48">
        <f>'IS (After Changes)'!AM13-'IS (Before Changes)'!AM13</f>
        <v>1.6086486777952587</v>
      </c>
      <c r="AN13" s="48">
        <f>'IS (After Changes)'!AN13-'IS (Before Changes)'!AN13</f>
        <v>1.7641056832521826</v>
      </c>
      <c r="AO13" s="48">
        <f>'IS (After Changes)'!AO13-'IS (Before Changes)'!AO13</f>
        <v>3.4948382741150681</v>
      </c>
      <c r="AP13" s="48">
        <f>'IS (After Changes)'!AP13-'IS (Before Changes)'!AP13</f>
        <v>0.22561093646015706</v>
      </c>
      <c r="AQ13" s="49">
        <f>'IS (After Changes)'!AQ13-'IS (Before Changes)'!AQ13</f>
        <v>7.0932035716227801</v>
      </c>
      <c r="AR13" s="48">
        <f>'IS (After Changes)'!AR13-'IS (Before Changes)'!AR13</f>
        <v>1.7140223863375468</v>
      </c>
      <c r="AS13" s="48">
        <f>'IS (After Changes)'!AS13-'IS (Before Changes)'!AS13</f>
        <v>1.8791273834614231</v>
      </c>
      <c r="AT13" s="48">
        <f>'IS (After Changes)'!AT13-'IS (Before Changes)'!AT13</f>
        <v>3.7216635171301959</v>
      </c>
      <c r="AU13" s="48">
        <f>'IS (After Changes)'!AU13-'IS (Before Changes)'!AU13</f>
        <v>0.24018759825969482</v>
      </c>
      <c r="AV13" s="49">
        <f>'IS (After Changes)'!AV13-'IS (Before Changes)'!AV13</f>
        <v>7.5550008851887469</v>
      </c>
    </row>
    <row r="14" spans="1:48" ht="17.25" customHeight="1" outlineLevel="1" x14ac:dyDescent="0.45">
      <c r="B14" s="38" t="s">
        <v>42</v>
      </c>
      <c r="C14" s="18"/>
      <c r="D14" s="104">
        <f>'IS (After Changes)'!D14-'IS (Before Changes)'!D14</f>
        <v>0</v>
      </c>
      <c r="E14" s="104">
        <f>'IS (After Changes)'!E14-'IS (Before Changes)'!E14</f>
        <v>0</v>
      </c>
      <c r="F14" s="104">
        <f>'IS (After Changes)'!F14-'IS (Before Changes)'!F14</f>
        <v>0</v>
      </c>
      <c r="G14" s="104">
        <f>'IS (After Changes)'!G14-'IS (Before Changes)'!G14</f>
        <v>0</v>
      </c>
      <c r="H14" s="173">
        <f>'IS (After Changes)'!H14-'IS (Before Changes)'!H14</f>
        <v>0</v>
      </c>
      <c r="I14" s="104">
        <f>'IS (After Changes)'!I14-'IS (Before Changes)'!I14</f>
        <v>0</v>
      </c>
      <c r="J14" s="104">
        <f>'IS (After Changes)'!J14-'IS (Before Changes)'!J14</f>
        <v>0</v>
      </c>
      <c r="K14" s="104">
        <f>'IS (After Changes)'!K14-'IS (Before Changes)'!K14</f>
        <v>0</v>
      </c>
      <c r="L14" s="104">
        <f>'IS (After Changes)'!L14-'IS (Before Changes)'!L14</f>
        <v>0</v>
      </c>
      <c r="M14" s="53">
        <f>'IS (After Changes)'!M14-'IS (Before Changes)'!M14</f>
        <v>0</v>
      </c>
      <c r="N14" s="52">
        <f>'IS (After Changes)'!N14-'IS (Before Changes)'!N14</f>
        <v>0</v>
      </c>
      <c r="O14" s="104">
        <f>'IS (After Changes)'!O14-'IS (Before Changes)'!O14</f>
        <v>0</v>
      </c>
      <c r="P14" s="104">
        <f>'IS (After Changes)'!P14-'IS (Before Changes)'!P14</f>
        <v>0</v>
      </c>
      <c r="Q14" s="104">
        <f>'IS (After Changes)'!Q14-'IS (Before Changes)'!Q14</f>
        <v>0</v>
      </c>
      <c r="R14" s="173">
        <f>'IS (After Changes)'!R14-'IS (Before Changes)'!R14</f>
        <v>0</v>
      </c>
      <c r="S14" s="52">
        <f>'IS (After Changes)'!S14-'IS (Before Changes)'!S14</f>
        <v>0</v>
      </c>
      <c r="T14" s="52">
        <f>'IS (After Changes)'!T14-'IS (Before Changes)'!T14</f>
        <v>0</v>
      </c>
      <c r="U14" s="52">
        <f>'IS (After Changes)'!U14-'IS (Before Changes)'!U14</f>
        <v>0</v>
      </c>
      <c r="V14" s="52">
        <f>'IS (After Changes)'!V14-'IS (Before Changes)'!V14</f>
        <v>0</v>
      </c>
      <c r="W14" s="173">
        <f>'IS (After Changes)'!W14-'IS (Before Changes)'!W14</f>
        <v>0</v>
      </c>
      <c r="X14" s="52">
        <f>'IS (After Changes)'!X14-'IS (Before Changes)'!X14</f>
        <v>0</v>
      </c>
      <c r="Y14" s="52">
        <f>'IS (After Changes)'!Y14-'IS (Before Changes)'!Y14</f>
        <v>0</v>
      </c>
      <c r="Z14" s="52">
        <f>'IS (After Changes)'!Z14-'IS (Before Changes)'!Z14</f>
        <v>0</v>
      </c>
      <c r="AA14" s="52">
        <f>'IS (After Changes)'!AA14-'IS (Before Changes)'!AA14</f>
        <v>0</v>
      </c>
      <c r="AB14" s="53">
        <f>'IS (After Changes)'!AB14-'IS (Before Changes)'!AB14</f>
        <v>0</v>
      </c>
      <c r="AC14" s="52">
        <f>'IS (After Changes)'!AC14-'IS (Before Changes)'!AC14</f>
        <v>0</v>
      </c>
      <c r="AD14" s="52">
        <f>'IS (After Changes)'!AD14-'IS (Before Changes)'!AD14</f>
        <v>0</v>
      </c>
      <c r="AE14" s="52">
        <f>'IS (After Changes)'!AE14-'IS (Before Changes)'!AE14</f>
        <v>0</v>
      </c>
      <c r="AF14" s="52">
        <f>'IS (After Changes)'!AF14-'IS (Before Changes)'!AF14</f>
        <v>0</v>
      </c>
      <c r="AG14" s="53">
        <f>'IS (After Changes)'!AG14-'IS (Before Changes)'!AG14</f>
        <v>0</v>
      </c>
      <c r="AH14" s="52">
        <f>'IS (After Changes)'!AH14-'IS (Before Changes)'!AH14</f>
        <v>0</v>
      </c>
      <c r="AI14" s="52">
        <f>'IS (After Changes)'!AI14-'IS (Before Changes)'!AI14</f>
        <v>0</v>
      </c>
      <c r="AJ14" s="52">
        <f>'IS (After Changes)'!AJ14-'IS (Before Changes)'!AJ14</f>
        <v>0</v>
      </c>
      <c r="AK14" s="52">
        <f>'IS (After Changes)'!AK14-'IS (Before Changes)'!AK14</f>
        <v>0</v>
      </c>
      <c r="AL14" s="53">
        <f>'IS (After Changes)'!AL14-'IS (Before Changes)'!AL14</f>
        <v>0</v>
      </c>
      <c r="AM14" s="52">
        <f>'IS (After Changes)'!AM14-'IS (Before Changes)'!AM14</f>
        <v>0</v>
      </c>
      <c r="AN14" s="52">
        <f>'IS (After Changes)'!AN14-'IS (Before Changes)'!AN14</f>
        <v>0</v>
      </c>
      <c r="AO14" s="52">
        <f>'IS (After Changes)'!AO14-'IS (Before Changes)'!AO14</f>
        <v>0</v>
      </c>
      <c r="AP14" s="52">
        <f>'IS (After Changes)'!AP14-'IS (Before Changes)'!AP14</f>
        <v>0</v>
      </c>
      <c r="AQ14" s="53">
        <f>'IS (After Changes)'!AQ14-'IS (Before Changes)'!AQ14</f>
        <v>0</v>
      </c>
      <c r="AR14" s="52">
        <f>'IS (After Changes)'!AR14-'IS (Before Changes)'!AR14</f>
        <v>0</v>
      </c>
      <c r="AS14" s="52">
        <f>'IS (After Changes)'!AS14-'IS (Before Changes)'!AS14</f>
        <v>0</v>
      </c>
      <c r="AT14" s="52">
        <f>'IS (After Changes)'!AT14-'IS (Before Changes)'!AT14</f>
        <v>0</v>
      </c>
      <c r="AU14" s="52">
        <f>'IS (After Changes)'!AU14-'IS (Before Changes)'!AU14</f>
        <v>0</v>
      </c>
      <c r="AV14" s="53">
        <f>'IS (After Changes)'!AV14-'IS (Before Changes)'!AV14</f>
        <v>0</v>
      </c>
    </row>
    <row r="15" spans="1:48" s="20" customFormat="1" ht="17.25" customHeight="1" x14ac:dyDescent="0.45">
      <c r="B15" s="46" t="s">
        <v>8</v>
      </c>
      <c r="C15" s="19"/>
      <c r="D15" s="106">
        <f>'IS (After Changes)'!D15-'IS (Before Changes)'!D15</f>
        <v>0</v>
      </c>
      <c r="E15" s="106">
        <f>'IS (After Changes)'!E15-'IS (Before Changes)'!E15</f>
        <v>0</v>
      </c>
      <c r="F15" s="106">
        <f>'IS (After Changes)'!F15-'IS (Before Changes)'!F15</f>
        <v>0</v>
      </c>
      <c r="G15" s="106">
        <f>'IS (After Changes)'!G15-'IS (Before Changes)'!G15</f>
        <v>0</v>
      </c>
      <c r="H15" s="175">
        <f>'IS (After Changes)'!H15-'IS (Before Changes)'!H15</f>
        <v>0</v>
      </c>
      <c r="I15" s="106">
        <f>'IS (After Changes)'!I15-'IS (Before Changes)'!I15</f>
        <v>0</v>
      </c>
      <c r="J15" s="106">
        <f>'IS (After Changes)'!J15-'IS (Before Changes)'!J15</f>
        <v>0</v>
      </c>
      <c r="K15" s="106">
        <f>'IS (After Changes)'!K15-'IS (Before Changes)'!K15</f>
        <v>0</v>
      </c>
      <c r="L15" s="54">
        <f>'IS (After Changes)'!L15-'IS (Before Changes)'!L15</f>
        <v>0</v>
      </c>
      <c r="M15" s="55">
        <f>'IS (After Changes)'!M15-'IS (Before Changes)'!M15</f>
        <v>0</v>
      </c>
      <c r="N15" s="54">
        <f>'IS (After Changes)'!N15-'IS (Before Changes)'!N15</f>
        <v>0</v>
      </c>
      <c r="O15" s="106">
        <f>'IS (After Changes)'!O15-'IS (Before Changes)'!O15</f>
        <v>0</v>
      </c>
      <c r="P15" s="106">
        <f>'IS (After Changes)'!P15-'IS (Before Changes)'!P15</f>
        <v>0</v>
      </c>
      <c r="Q15" s="106">
        <f>'IS (After Changes)'!Q15-'IS (Before Changes)'!Q15</f>
        <v>0</v>
      </c>
      <c r="R15" s="175">
        <f>'IS (After Changes)'!R15-'IS (Before Changes)'!R15</f>
        <v>0</v>
      </c>
      <c r="S15" s="54">
        <f>'IS (After Changes)'!S15-'IS (Before Changes)'!S15</f>
        <v>0</v>
      </c>
      <c r="T15" s="54">
        <f>'IS (After Changes)'!T15-'IS (Before Changes)'!T15</f>
        <v>0</v>
      </c>
      <c r="U15" s="54">
        <f>'IS (After Changes)'!U15-'IS (Before Changes)'!U15</f>
        <v>0</v>
      </c>
      <c r="V15" s="54">
        <f>'IS (After Changes)'!V15-'IS (Before Changes)'!V15</f>
        <v>0</v>
      </c>
      <c r="W15" s="175">
        <f>'IS (After Changes)'!W15-'IS (Before Changes)'!W15</f>
        <v>0</v>
      </c>
      <c r="X15" s="54">
        <f>'IS (After Changes)'!X15-'IS (Before Changes)'!X15</f>
        <v>18.175213953360071</v>
      </c>
      <c r="Y15" s="54">
        <f>'IS (After Changes)'!Y15-'IS (Before Changes)'!Y15</f>
        <v>61.718620201881095</v>
      </c>
      <c r="Z15" s="54">
        <f>'IS (After Changes)'!Z15-'IS (Before Changes)'!Z15</f>
        <v>112.82915613638943</v>
      </c>
      <c r="AA15" s="54">
        <f>'IS (After Changes)'!AA15-'IS (Before Changes)'!AA15</f>
        <v>259.92496938786371</v>
      </c>
      <c r="AB15" s="55">
        <f>'IS (After Changes)'!AB15-'IS (Before Changes)'!AB15</f>
        <v>452.64795967949249</v>
      </c>
      <c r="AC15" s="54">
        <f>'IS (After Changes)'!AC15-'IS (Before Changes)'!AC15</f>
        <v>38.997075619317911</v>
      </c>
      <c r="AD15" s="54">
        <f>'IS (After Changes)'!AD15-'IS (Before Changes)'!AD15</f>
        <v>-26.175404594137035</v>
      </c>
      <c r="AE15" s="54">
        <f>'IS (After Changes)'!AE15-'IS (Before Changes)'!AE15</f>
        <v>16.28547359598997</v>
      </c>
      <c r="AF15" s="54">
        <f>'IS (After Changes)'!AF15-'IS (Before Changes)'!AF15</f>
        <v>25.553531146846581</v>
      </c>
      <c r="AG15" s="55">
        <f>'IS (After Changes)'!AG15-'IS (Before Changes)'!AG15</f>
        <v>54.660675768027431</v>
      </c>
      <c r="AH15" s="54">
        <f>'IS (After Changes)'!AH15-'IS (Before Changes)'!AH15</f>
        <v>64.852606661943355</v>
      </c>
      <c r="AI15" s="54">
        <f>'IS (After Changes)'!AI15-'IS (Before Changes)'!AI15</f>
        <v>-7.3493224883768562</v>
      </c>
      <c r="AJ15" s="54">
        <f>'IS (After Changes)'!AJ15-'IS (Before Changes)'!AJ15</f>
        <v>39.404456203874361</v>
      </c>
      <c r="AK15" s="54">
        <f>'IS (After Changes)'!AK15-'IS (Before Changes)'!AK15</f>
        <v>50.51688781609846</v>
      </c>
      <c r="AL15" s="55">
        <f>'IS (After Changes)'!AL15-'IS (Before Changes)'!AL15</f>
        <v>147.42462819354841</v>
      </c>
      <c r="AM15" s="54">
        <f>'IS (After Changes)'!AM15-'IS (Before Changes)'!AM15</f>
        <v>71.685780701667682</v>
      </c>
      <c r="AN15" s="54">
        <f>'IS (After Changes)'!AN15-'IS (Before Changes)'!AN15</f>
        <v>-6.6643548630054283</v>
      </c>
      <c r="AO15" s="54">
        <f>'IS (After Changes)'!AO15-'IS (Before Changes)'!AO15</f>
        <v>44.036303740995208</v>
      </c>
      <c r="AP15" s="54">
        <f>'IS (After Changes)'!AP15-'IS (Before Changes)'!AP15</f>
        <v>56.08054316216294</v>
      </c>
      <c r="AQ15" s="55">
        <f>'IS (After Changes)'!AQ15-'IS (Before Changes)'!AQ15</f>
        <v>165.13827274181676</v>
      </c>
      <c r="AR15" s="54">
        <f>'IS (After Changes)'!AR15-'IS (Before Changes)'!AR15</f>
        <v>77.594106847327566</v>
      </c>
      <c r="AS15" s="54">
        <f>'IS (After Changes)'!AS15-'IS (Before Changes)'!AS15</f>
        <v>-5.8900419587516808</v>
      </c>
      <c r="AT15" s="54">
        <f>'IS (After Changes)'!AT15-'IS (Before Changes)'!AT15</f>
        <v>48.040325070280232</v>
      </c>
      <c r="AU15" s="54">
        <f>'IS (After Changes)'!AU15-'IS (Before Changes)'!AU15</f>
        <v>60.767874880071759</v>
      </c>
      <c r="AV15" s="55">
        <f>'IS (After Changes)'!AV15-'IS (Before Changes)'!AV15</f>
        <v>180.5122648389297</v>
      </c>
    </row>
    <row r="16" spans="1:48" s="23" customFormat="1" ht="17.25" customHeight="1" x14ac:dyDescent="0.45">
      <c r="B16" s="516" t="s">
        <v>36</v>
      </c>
      <c r="C16" s="517"/>
      <c r="D16" s="104">
        <f>'IS (After Changes)'!D16-'IS (Before Changes)'!D16</f>
        <v>0</v>
      </c>
      <c r="E16" s="104">
        <f>'IS (After Changes)'!E16-'IS (Before Changes)'!E16</f>
        <v>0</v>
      </c>
      <c r="F16" s="104">
        <f>'IS (After Changes)'!F16-'IS (Before Changes)'!F16</f>
        <v>0</v>
      </c>
      <c r="G16" s="104">
        <f>'IS (After Changes)'!G16-'IS (Before Changes)'!G16</f>
        <v>0</v>
      </c>
      <c r="H16" s="173">
        <f>'IS (After Changes)'!H16-'IS (Before Changes)'!H16</f>
        <v>0</v>
      </c>
      <c r="I16" s="104">
        <f>'IS (After Changes)'!I16-'IS (Before Changes)'!I16</f>
        <v>0</v>
      </c>
      <c r="J16" s="104">
        <f>'IS (After Changes)'!J16-'IS (Before Changes)'!J16</f>
        <v>0</v>
      </c>
      <c r="K16" s="104">
        <f>'IS (After Changes)'!K16-'IS (Before Changes)'!K16</f>
        <v>0</v>
      </c>
      <c r="L16" s="52">
        <f>'IS (After Changes)'!L16-'IS (Before Changes)'!L16</f>
        <v>0</v>
      </c>
      <c r="M16" s="53">
        <f>'IS (After Changes)'!M16-'IS (Before Changes)'!M16</f>
        <v>0</v>
      </c>
      <c r="N16" s="52">
        <f>'IS (After Changes)'!N16-'IS (Before Changes)'!N16</f>
        <v>0</v>
      </c>
      <c r="O16" s="104">
        <f>'IS (After Changes)'!O16-'IS (Before Changes)'!O16</f>
        <v>0</v>
      </c>
      <c r="P16" s="104">
        <f>'IS (After Changes)'!P16-'IS (Before Changes)'!P16</f>
        <v>0</v>
      </c>
      <c r="Q16" s="104">
        <f>'IS (After Changes)'!Q16-'IS (Before Changes)'!Q16</f>
        <v>0</v>
      </c>
      <c r="R16" s="173">
        <f>'IS (After Changes)'!R16-'IS (Before Changes)'!R16</f>
        <v>0</v>
      </c>
      <c r="S16" s="52">
        <f>'IS (After Changes)'!S16-'IS (Before Changes)'!S16</f>
        <v>0</v>
      </c>
      <c r="T16" s="52">
        <f>'IS (After Changes)'!T16-'IS (Before Changes)'!T16</f>
        <v>0</v>
      </c>
      <c r="U16" s="52">
        <f>'IS (After Changes)'!U16-'IS (Before Changes)'!U16</f>
        <v>0</v>
      </c>
      <c r="V16" s="52">
        <f>'IS (After Changes)'!V16-'IS (Before Changes)'!V16</f>
        <v>0</v>
      </c>
      <c r="W16" s="173">
        <f>'IS (After Changes)'!W16-'IS (Before Changes)'!W16</f>
        <v>0</v>
      </c>
      <c r="X16" s="52">
        <f>'IS (After Changes)'!X16-'IS (Before Changes)'!X16</f>
        <v>0</v>
      </c>
      <c r="Y16" s="52">
        <f>'IS (After Changes)'!Y16-'IS (Before Changes)'!Y16</f>
        <v>0</v>
      </c>
      <c r="Z16" s="52">
        <f>'IS (After Changes)'!Z16-'IS (Before Changes)'!Z16</f>
        <v>0</v>
      </c>
      <c r="AA16" s="52">
        <f>'IS (After Changes)'!AA16-'IS (Before Changes)'!AA16</f>
        <v>0</v>
      </c>
      <c r="AB16" s="53">
        <f>'IS (After Changes)'!AB16-'IS (Before Changes)'!AB16</f>
        <v>0</v>
      </c>
      <c r="AC16" s="52">
        <f>'IS (After Changes)'!AC16-'IS (Before Changes)'!AC16</f>
        <v>0</v>
      </c>
      <c r="AD16" s="52">
        <f>'IS (After Changes)'!AD16-'IS (Before Changes)'!AD16</f>
        <v>0</v>
      </c>
      <c r="AE16" s="52">
        <f>'IS (After Changes)'!AE16-'IS (Before Changes)'!AE16</f>
        <v>0</v>
      </c>
      <c r="AF16" s="52">
        <f>'IS (After Changes)'!AF16-'IS (Before Changes)'!AF16</f>
        <v>0</v>
      </c>
      <c r="AG16" s="53">
        <f>'IS (After Changes)'!AG16-'IS (Before Changes)'!AG16</f>
        <v>0</v>
      </c>
      <c r="AH16" s="52">
        <f>'IS (After Changes)'!AH16-'IS (Before Changes)'!AH16</f>
        <v>0</v>
      </c>
      <c r="AI16" s="52">
        <f>'IS (After Changes)'!AI16-'IS (Before Changes)'!AI16</f>
        <v>0</v>
      </c>
      <c r="AJ16" s="52">
        <f>'IS (After Changes)'!AJ16-'IS (Before Changes)'!AJ16</f>
        <v>0</v>
      </c>
      <c r="AK16" s="52">
        <f>'IS (After Changes)'!AK16-'IS (Before Changes)'!AK16</f>
        <v>0</v>
      </c>
      <c r="AL16" s="53">
        <f>'IS (After Changes)'!AL16-'IS (Before Changes)'!AL16</f>
        <v>0</v>
      </c>
      <c r="AM16" s="52">
        <f>'IS (After Changes)'!AM16-'IS (Before Changes)'!AM16</f>
        <v>0</v>
      </c>
      <c r="AN16" s="52">
        <f>'IS (After Changes)'!AN16-'IS (Before Changes)'!AN16</f>
        <v>0</v>
      </c>
      <c r="AO16" s="52">
        <f>'IS (After Changes)'!AO16-'IS (Before Changes)'!AO16</f>
        <v>0</v>
      </c>
      <c r="AP16" s="52">
        <f>'IS (After Changes)'!AP16-'IS (Before Changes)'!AP16</f>
        <v>0</v>
      </c>
      <c r="AQ16" s="53">
        <f>'IS (After Changes)'!AQ16-'IS (Before Changes)'!AQ16</f>
        <v>0</v>
      </c>
      <c r="AR16" s="52">
        <f>'IS (After Changes)'!AR16-'IS (Before Changes)'!AR16</f>
        <v>0</v>
      </c>
      <c r="AS16" s="52">
        <f>'IS (After Changes)'!AS16-'IS (Before Changes)'!AS16</f>
        <v>0</v>
      </c>
      <c r="AT16" s="52">
        <f>'IS (After Changes)'!AT16-'IS (Before Changes)'!AT16</f>
        <v>0</v>
      </c>
      <c r="AU16" s="52">
        <f>'IS (After Changes)'!AU16-'IS (Before Changes)'!AU16</f>
        <v>0</v>
      </c>
      <c r="AV16" s="53">
        <f>'IS (After Changes)'!AV16-'IS (Before Changes)'!AV16</f>
        <v>0</v>
      </c>
    </row>
    <row r="17" spans="1:48" x14ac:dyDescent="0.3">
      <c r="B17" s="135" t="s">
        <v>10</v>
      </c>
      <c r="C17" s="136"/>
      <c r="D17" s="103">
        <f>'IS (After Changes)'!D17-'IS (Before Changes)'!D17</f>
        <v>0</v>
      </c>
      <c r="E17" s="103">
        <f>'IS (After Changes)'!E17-'IS (Before Changes)'!E17</f>
        <v>0</v>
      </c>
      <c r="F17" s="103">
        <f>'IS (After Changes)'!F17-'IS (Before Changes)'!F17</f>
        <v>0</v>
      </c>
      <c r="G17" s="103">
        <f>'IS (After Changes)'!G17-'IS (Before Changes)'!G17</f>
        <v>0</v>
      </c>
      <c r="H17" s="171">
        <f>'IS (After Changes)'!H17-'IS (Before Changes)'!H17</f>
        <v>0</v>
      </c>
      <c r="I17" s="103">
        <f>'IS (After Changes)'!I17-'IS (Before Changes)'!I17</f>
        <v>0</v>
      </c>
      <c r="J17" s="103">
        <f>'IS (After Changes)'!J17-'IS (Before Changes)'!J17</f>
        <v>0</v>
      </c>
      <c r="K17" s="103">
        <f>'IS (After Changes)'!K17-'IS (Before Changes)'!K17</f>
        <v>0</v>
      </c>
      <c r="L17" s="50">
        <f>'IS (After Changes)'!L17-'IS (Before Changes)'!L17</f>
        <v>0</v>
      </c>
      <c r="M17" s="51">
        <f>'IS (After Changes)'!M17-'IS (Before Changes)'!M17</f>
        <v>0</v>
      </c>
      <c r="N17" s="50">
        <f>'IS (After Changes)'!N17-'IS (Before Changes)'!N17</f>
        <v>0</v>
      </c>
      <c r="O17" s="103">
        <f>'IS (After Changes)'!O17-'IS (Before Changes)'!O17</f>
        <v>0</v>
      </c>
      <c r="P17" s="103">
        <f>'IS (After Changes)'!P17-'IS (Before Changes)'!P17</f>
        <v>0</v>
      </c>
      <c r="Q17" s="103">
        <f>'IS (After Changes)'!Q17-'IS (Before Changes)'!Q17</f>
        <v>0</v>
      </c>
      <c r="R17" s="171">
        <f>'IS (After Changes)'!R17-'IS (Before Changes)'!R17</f>
        <v>0</v>
      </c>
      <c r="S17" s="50">
        <f>'IS (After Changes)'!S17-'IS (Before Changes)'!S17</f>
        <v>0</v>
      </c>
      <c r="T17" s="50">
        <f>'IS (After Changes)'!T17-'IS (Before Changes)'!T17</f>
        <v>0</v>
      </c>
      <c r="U17" s="50">
        <f>'IS (After Changes)'!U17-'IS (Before Changes)'!U17</f>
        <v>0</v>
      </c>
      <c r="V17" s="50">
        <f>'IS (After Changes)'!V17-'IS (Before Changes)'!V17</f>
        <v>0</v>
      </c>
      <c r="W17" s="171">
        <f>'IS (After Changes)'!W17-'IS (Before Changes)'!W17</f>
        <v>0</v>
      </c>
      <c r="X17" s="50">
        <f>'IS (After Changes)'!X17-'IS (Before Changes)'!X17</f>
        <v>10.752836334453605</v>
      </c>
      <c r="Y17" s="50">
        <f>'IS (After Changes)'!Y17-'IS (Before Changes)'!Y17</f>
        <v>-34.299150711224684</v>
      </c>
      <c r="Z17" s="50">
        <f>'IS (After Changes)'!Z17-'IS (Before Changes)'!Z17</f>
        <v>32.034163244234151</v>
      </c>
      <c r="AA17" s="50">
        <f>'IS (After Changes)'!AA17-'IS (Before Changes)'!AA17</f>
        <v>-115.12694426142207</v>
      </c>
      <c r="AB17" s="51">
        <f>'IS (After Changes)'!AB17-'IS (Before Changes)'!AB17</f>
        <v>-106.63909539395172</v>
      </c>
      <c r="AC17" s="50">
        <f>'IS (After Changes)'!AC17-'IS (Before Changes)'!AC17</f>
        <v>23.376257351399545</v>
      </c>
      <c r="AD17" s="50">
        <f>'IS (After Changes)'!AD17-'IS (Before Changes)'!AD17</f>
        <v>85.352219772753415</v>
      </c>
      <c r="AE17" s="50">
        <f>'IS (After Changes)'!AE17-'IS (Before Changes)'!AE17</f>
        <v>172.90672369776803</v>
      </c>
      <c r="AF17" s="50">
        <f>'IS (After Changes)'!AF17-'IS (Before Changes)'!AF17</f>
        <v>163.74632435281274</v>
      </c>
      <c r="AG17" s="51">
        <f>'IS (After Changes)'!AG17-'IS (Before Changes)'!AG17</f>
        <v>445.3815251747219</v>
      </c>
      <c r="AH17" s="50">
        <f>'IS (After Changes)'!AH17-'IS (Before Changes)'!AH17</f>
        <v>38.347442110158227</v>
      </c>
      <c r="AI17" s="50">
        <f>'IS (After Changes)'!AI17-'IS (Before Changes)'!AI17</f>
        <v>105.36835888855239</v>
      </c>
      <c r="AJ17" s="50">
        <f>'IS (After Changes)'!AJ17-'IS (Before Changes)'!AJ17</f>
        <v>205.89238886177918</v>
      </c>
      <c r="AK17" s="50">
        <f>'IS (After Changes)'!AK17-'IS (Before Changes)'!AK17</f>
        <v>195.15908759434933</v>
      </c>
      <c r="AL17" s="51">
        <f>'IS (After Changes)'!AL17-'IS (Before Changes)'!AL17</f>
        <v>544.76727745484095</v>
      </c>
      <c r="AM17" s="50">
        <f>'IS (After Changes)'!AM17-'IS (Before Changes)'!AM17</f>
        <v>40.17882596011259</v>
      </c>
      <c r="AN17" s="50">
        <f>'IS (After Changes)'!AN17-'IS (Before Changes)'!AN17</f>
        <v>112.9812609622968</v>
      </c>
      <c r="AO17" s="50">
        <f>'IS (After Changes)'!AO17-'IS (Before Changes)'!AO17</f>
        <v>222.19456743461342</v>
      </c>
      <c r="AP17" s="50">
        <f>'IS (After Changes)'!AP17-'IS (Before Changes)'!AP17</f>
        <v>210.72770186816888</v>
      </c>
      <c r="AQ17" s="51">
        <f>'IS (After Changes)'!AQ17-'IS (Before Changes)'!AQ17</f>
        <v>586.0823562252117</v>
      </c>
      <c r="AR17" s="50">
        <f>'IS (After Changes)'!AR17-'IS (Before Changes)'!AR17</f>
        <v>41.598133636109196</v>
      </c>
      <c r="AS17" s="50">
        <f>'IS (After Changes)'!AS17-'IS (Before Changes)'!AS17</f>
        <v>119.13893145144903</v>
      </c>
      <c r="AT17" s="50">
        <f>'IS (After Changes)'!AT17-'IS (Before Changes)'!AT17</f>
        <v>235.46970963623426</v>
      </c>
      <c r="AU17" s="50">
        <f>'IS (After Changes)'!AU17-'IS (Before Changes)'!AU17</f>
        <v>223.27877895325219</v>
      </c>
      <c r="AV17" s="51">
        <f>'IS (After Changes)'!AV17-'IS (Before Changes)'!AV17</f>
        <v>619.48555367704103</v>
      </c>
    </row>
    <row r="18" spans="1:48" ht="16.2" x14ac:dyDescent="0.45">
      <c r="B18" s="123" t="s">
        <v>70</v>
      </c>
      <c r="C18" s="88"/>
      <c r="D18" s="107">
        <f>'IS (After Changes)'!D18-'IS (Before Changes)'!D18</f>
        <v>0</v>
      </c>
      <c r="E18" s="107">
        <f>'IS (After Changes)'!E18-'IS (Before Changes)'!E18</f>
        <v>0</v>
      </c>
      <c r="F18" s="107">
        <f>'IS (After Changes)'!F18-'IS (Before Changes)'!F18</f>
        <v>0</v>
      </c>
      <c r="G18" s="107">
        <f>'IS (After Changes)'!G18-'IS (Before Changes)'!G18</f>
        <v>0</v>
      </c>
      <c r="H18" s="176">
        <f>'IS (After Changes)'!H18-'IS (Before Changes)'!H18</f>
        <v>0</v>
      </c>
      <c r="I18" s="107">
        <f>'IS (After Changes)'!I18-'IS (Before Changes)'!I18</f>
        <v>0</v>
      </c>
      <c r="J18" s="107">
        <f>'IS (After Changes)'!J18-'IS (Before Changes)'!J18</f>
        <v>0</v>
      </c>
      <c r="K18" s="107">
        <f>'IS (After Changes)'!K18-'IS (Before Changes)'!K18</f>
        <v>0</v>
      </c>
      <c r="L18" s="89">
        <f>'IS (After Changes)'!L18-'IS (Before Changes)'!L18</f>
        <v>0</v>
      </c>
      <c r="M18" s="90">
        <f>'IS (After Changes)'!M18-'IS (Before Changes)'!M18</f>
        <v>0</v>
      </c>
      <c r="N18" s="107">
        <f>'IS (After Changes)'!N18-'IS (Before Changes)'!N18</f>
        <v>0</v>
      </c>
      <c r="O18" s="107">
        <f>'IS (After Changes)'!O18-'IS (Before Changes)'!O18</f>
        <v>0</v>
      </c>
      <c r="P18" s="107">
        <f>'IS (After Changes)'!P18-'IS (Before Changes)'!P18</f>
        <v>0</v>
      </c>
      <c r="Q18" s="107">
        <f>'IS (After Changes)'!Q18-'IS (Before Changes)'!Q18</f>
        <v>0</v>
      </c>
      <c r="R18" s="176">
        <f>'IS (After Changes)'!R18-'IS (Before Changes)'!R18</f>
        <v>0</v>
      </c>
      <c r="S18" s="89">
        <f>'IS (After Changes)'!S18-'IS (Before Changes)'!S18</f>
        <v>0</v>
      </c>
      <c r="T18" s="89">
        <f>'IS (After Changes)'!T18-'IS (Before Changes)'!T18</f>
        <v>0</v>
      </c>
      <c r="U18" s="89">
        <f>'IS (After Changes)'!U18-'IS (Before Changes)'!U18</f>
        <v>0</v>
      </c>
      <c r="V18" s="89">
        <f>'IS (After Changes)'!V18-'IS (Before Changes)'!V18</f>
        <v>0</v>
      </c>
      <c r="W18" s="176">
        <f>'IS (After Changes)'!W18-'IS (Before Changes)'!W18</f>
        <v>0</v>
      </c>
      <c r="X18" s="89">
        <f>'IS (After Changes)'!X18-'IS (Before Changes)'!X18</f>
        <v>0</v>
      </c>
      <c r="Y18" s="89">
        <f>'IS (After Changes)'!Y18-'IS (Before Changes)'!Y18</f>
        <v>0</v>
      </c>
      <c r="Z18" s="89">
        <f>'IS (After Changes)'!Z18-'IS (Before Changes)'!Z18</f>
        <v>0</v>
      </c>
      <c r="AA18" s="89">
        <f>'IS (After Changes)'!AA18-'IS (Before Changes)'!AA18</f>
        <v>0</v>
      </c>
      <c r="AB18" s="90">
        <f>'IS (After Changes)'!AB18-'IS (Before Changes)'!AB18</f>
        <v>0</v>
      </c>
      <c r="AC18" s="89">
        <f>'IS (After Changes)'!AC18-'IS (Before Changes)'!AC18</f>
        <v>0</v>
      </c>
      <c r="AD18" s="89">
        <f>'IS (After Changes)'!AD18-'IS (Before Changes)'!AD18</f>
        <v>0</v>
      </c>
      <c r="AE18" s="89">
        <f>'IS (After Changes)'!AE18-'IS (Before Changes)'!AE18</f>
        <v>0</v>
      </c>
      <c r="AF18" s="89">
        <f>'IS (After Changes)'!AF18-'IS (Before Changes)'!AF18</f>
        <v>0</v>
      </c>
      <c r="AG18" s="90">
        <f>'IS (After Changes)'!AG18-'IS (Before Changes)'!AG18</f>
        <v>0</v>
      </c>
      <c r="AH18" s="89">
        <f>'IS (After Changes)'!AH18-'IS (Before Changes)'!AH18</f>
        <v>0</v>
      </c>
      <c r="AI18" s="89">
        <f>'IS (After Changes)'!AI18-'IS (Before Changes)'!AI18</f>
        <v>0</v>
      </c>
      <c r="AJ18" s="89">
        <f>'IS (After Changes)'!AJ18-'IS (Before Changes)'!AJ18</f>
        <v>0</v>
      </c>
      <c r="AK18" s="89">
        <f>'IS (After Changes)'!AK18-'IS (Before Changes)'!AK18</f>
        <v>0</v>
      </c>
      <c r="AL18" s="90">
        <f>'IS (After Changes)'!AL18-'IS (Before Changes)'!AL18</f>
        <v>0</v>
      </c>
      <c r="AM18" s="89">
        <f>'IS (After Changes)'!AM18-'IS (Before Changes)'!AM18</f>
        <v>0</v>
      </c>
      <c r="AN18" s="89">
        <f>'IS (After Changes)'!AN18-'IS (Before Changes)'!AN18</f>
        <v>0</v>
      </c>
      <c r="AO18" s="89">
        <f>'IS (After Changes)'!AO18-'IS (Before Changes)'!AO18</f>
        <v>0</v>
      </c>
      <c r="AP18" s="89">
        <f>'IS (After Changes)'!AP18-'IS (Before Changes)'!AP18</f>
        <v>0</v>
      </c>
      <c r="AQ18" s="90">
        <f>'IS (After Changes)'!AQ18-'IS (Before Changes)'!AQ18</f>
        <v>0</v>
      </c>
      <c r="AR18" s="89">
        <f>'IS (After Changes)'!AR18-'IS (Before Changes)'!AR18</f>
        <v>0</v>
      </c>
      <c r="AS18" s="89">
        <f>'IS (After Changes)'!AS18-'IS (Before Changes)'!AS18</f>
        <v>0</v>
      </c>
      <c r="AT18" s="89">
        <f>'IS (After Changes)'!AT18-'IS (Before Changes)'!AT18</f>
        <v>0</v>
      </c>
      <c r="AU18" s="89">
        <f>'IS (After Changes)'!AU18-'IS (Before Changes)'!AU18</f>
        <v>0</v>
      </c>
      <c r="AV18" s="90">
        <f>'IS (After Changes)'!AV18-'IS (Before Changes)'!AV18</f>
        <v>0</v>
      </c>
    </row>
    <row r="19" spans="1:48" x14ac:dyDescent="0.3">
      <c r="B19" s="124" t="s">
        <v>71</v>
      </c>
      <c r="C19" s="79"/>
      <c r="D19" s="108">
        <f>'IS (After Changes)'!D19-'IS (Before Changes)'!D19</f>
        <v>0</v>
      </c>
      <c r="E19" s="108">
        <f>'IS (After Changes)'!E19-'IS (Before Changes)'!E19</f>
        <v>0</v>
      </c>
      <c r="F19" s="108">
        <f>'IS (After Changes)'!F19-'IS (Before Changes)'!F19</f>
        <v>0</v>
      </c>
      <c r="G19" s="108">
        <f>'IS (After Changes)'!G19-'IS (Before Changes)'!G19</f>
        <v>0</v>
      </c>
      <c r="H19" s="177">
        <f>'IS (After Changes)'!H19-'IS (Before Changes)'!H19</f>
        <v>0</v>
      </c>
      <c r="I19" s="108">
        <f>'IS (After Changes)'!I19-'IS (Before Changes)'!I19</f>
        <v>0</v>
      </c>
      <c r="J19" s="108">
        <f>'IS (After Changes)'!J19-'IS (Before Changes)'!J19</f>
        <v>0</v>
      </c>
      <c r="K19" s="108">
        <f>'IS (After Changes)'!K19-'IS (Before Changes)'!K19</f>
        <v>0</v>
      </c>
      <c r="L19" s="80">
        <f>'IS (After Changes)'!L19-'IS (Before Changes)'!L19</f>
        <v>0</v>
      </c>
      <c r="M19" s="81">
        <f>'IS (After Changes)'!M19-'IS (Before Changes)'!M19</f>
        <v>0</v>
      </c>
      <c r="N19" s="108">
        <f>'IS (After Changes)'!N19-'IS (Before Changes)'!N19</f>
        <v>0</v>
      </c>
      <c r="O19" s="108">
        <f>'IS (After Changes)'!O19-'IS (Before Changes)'!O19</f>
        <v>0</v>
      </c>
      <c r="P19" s="108">
        <f>'IS (After Changes)'!P19-'IS (Before Changes)'!P19</f>
        <v>0</v>
      </c>
      <c r="Q19" s="108">
        <f>'IS (After Changes)'!Q19-'IS (Before Changes)'!Q19</f>
        <v>0</v>
      </c>
      <c r="R19" s="177">
        <f>'IS (After Changes)'!R19-'IS (Before Changes)'!R19</f>
        <v>0</v>
      </c>
      <c r="S19" s="80">
        <f>'IS (After Changes)'!S19-'IS (Before Changes)'!S19</f>
        <v>0</v>
      </c>
      <c r="T19" s="80">
        <f>'IS (After Changes)'!T19-'IS (Before Changes)'!T19</f>
        <v>0</v>
      </c>
      <c r="U19" s="80">
        <f>'IS (After Changes)'!U19-'IS (Before Changes)'!U19</f>
        <v>0</v>
      </c>
      <c r="V19" s="80">
        <f>'IS (After Changes)'!V19-'IS (Before Changes)'!V19</f>
        <v>0</v>
      </c>
      <c r="W19" s="177">
        <f>'IS (After Changes)'!W19-'IS (Before Changes)'!W19</f>
        <v>0</v>
      </c>
      <c r="X19" s="80">
        <f>'IS (After Changes)'!X19-'IS (Before Changes)'!X19</f>
        <v>10.752836334453605</v>
      </c>
      <c r="Y19" s="80">
        <f>'IS (After Changes)'!Y19-'IS (Before Changes)'!Y19</f>
        <v>-34.299150711224684</v>
      </c>
      <c r="Z19" s="80">
        <f>'IS (After Changes)'!Z19-'IS (Before Changes)'!Z19</f>
        <v>32.034163244234151</v>
      </c>
      <c r="AA19" s="80">
        <f>'IS (After Changes)'!AA19-'IS (Before Changes)'!AA19</f>
        <v>-115.12694426142207</v>
      </c>
      <c r="AB19" s="81">
        <f>'IS (After Changes)'!AB19-'IS (Before Changes)'!AB19</f>
        <v>-106.63909539395172</v>
      </c>
      <c r="AC19" s="80">
        <f>'IS (After Changes)'!AC19-'IS (Before Changes)'!AC19</f>
        <v>23.376257351399545</v>
      </c>
      <c r="AD19" s="80">
        <f>'IS (After Changes)'!AD19-'IS (Before Changes)'!AD19</f>
        <v>85.352219772753415</v>
      </c>
      <c r="AE19" s="80">
        <f>'IS (After Changes)'!AE19-'IS (Before Changes)'!AE19</f>
        <v>172.90672369776803</v>
      </c>
      <c r="AF19" s="80">
        <f>'IS (After Changes)'!AF19-'IS (Before Changes)'!AF19</f>
        <v>163.74632435281274</v>
      </c>
      <c r="AG19" s="81">
        <f>'IS (After Changes)'!AG19-'IS (Before Changes)'!AG19</f>
        <v>445.3815251747219</v>
      </c>
      <c r="AH19" s="80">
        <f>'IS (After Changes)'!AH19-'IS (Before Changes)'!AH19</f>
        <v>38.347442110158227</v>
      </c>
      <c r="AI19" s="80">
        <f>'IS (After Changes)'!AI19-'IS (Before Changes)'!AI19</f>
        <v>105.36835888855239</v>
      </c>
      <c r="AJ19" s="80">
        <f>'IS (After Changes)'!AJ19-'IS (Before Changes)'!AJ19</f>
        <v>205.89238886177918</v>
      </c>
      <c r="AK19" s="80">
        <f>'IS (After Changes)'!AK19-'IS (Before Changes)'!AK19</f>
        <v>195.15908759434933</v>
      </c>
      <c r="AL19" s="81">
        <f>'IS (After Changes)'!AL19-'IS (Before Changes)'!AL19</f>
        <v>544.76727745484095</v>
      </c>
      <c r="AM19" s="80">
        <f>'IS (After Changes)'!AM19-'IS (Before Changes)'!AM19</f>
        <v>40.17882596011259</v>
      </c>
      <c r="AN19" s="80">
        <f>'IS (After Changes)'!AN19-'IS (Before Changes)'!AN19</f>
        <v>112.9812609622968</v>
      </c>
      <c r="AO19" s="80">
        <f>'IS (After Changes)'!AO19-'IS (Before Changes)'!AO19</f>
        <v>222.19456743461342</v>
      </c>
      <c r="AP19" s="80">
        <f>'IS (After Changes)'!AP19-'IS (Before Changes)'!AP19</f>
        <v>210.72770186816888</v>
      </c>
      <c r="AQ19" s="81">
        <f>'IS (After Changes)'!AQ19-'IS (Before Changes)'!AQ19</f>
        <v>586.0823562252117</v>
      </c>
      <c r="AR19" s="80">
        <f>'IS (After Changes)'!AR19-'IS (Before Changes)'!AR19</f>
        <v>41.598133636109196</v>
      </c>
      <c r="AS19" s="80">
        <f>'IS (After Changes)'!AS19-'IS (Before Changes)'!AS19</f>
        <v>119.13893145144903</v>
      </c>
      <c r="AT19" s="80">
        <f>'IS (After Changes)'!AT19-'IS (Before Changes)'!AT19</f>
        <v>235.46970963623426</v>
      </c>
      <c r="AU19" s="80">
        <f>'IS (After Changes)'!AU19-'IS (Before Changes)'!AU19</f>
        <v>223.27877895325219</v>
      </c>
      <c r="AV19" s="81">
        <f>'IS (After Changes)'!AV19-'IS (Before Changes)'!AV19</f>
        <v>619.48555367704103</v>
      </c>
    </row>
    <row r="20" spans="1:48" x14ac:dyDescent="0.3">
      <c r="B20" s="38" t="s">
        <v>63</v>
      </c>
      <c r="C20" s="18"/>
      <c r="D20" s="105">
        <f>'IS (After Changes)'!D20-'IS (Before Changes)'!D20</f>
        <v>0</v>
      </c>
      <c r="E20" s="105">
        <f>'IS (After Changes)'!E20-'IS (Before Changes)'!E20</f>
        <v>0</v>
      </c>
      <c r="F20" s="105">
        <f>'IS (After Changes)'!F20-'IS (Before Changes)'!F20</f>
        <v>0</v>
      </c>
      <c r="G20" s="105">
        <f>'IS (After Changes)'!G20-'IS (Before Changes)'!G20</f>
        <v>0</v>
      </c>
      <c r="H20" s="170">
        <f>'IS (After Changes)'!H20-'IS (Before Changes)'!H20</f>
        <v>0</v>
      </c>
      <c r="I20" s="105">
        <f>'IS (After Changes)'!I20-'IS (Before Changes)'!I20</f>
        <v>0</v>
      </c>
      <c r="J20" s="105">
        <f>'IS (After Changes)'!J20-'IS (Before Changes)'!J20</f>
        <v>0</v>
      </c>
      <c r="K20" s="105">
        <f>'IS (After Changes)'!K20-'IS (Before Changes)'!K20</f>
        <v>0</v>
      </c>
      <c r="L20" s="105">
        <f>'IS (After Changes)'!L20-'IS (Before Changes)'!L20</f>
        <v>0</v>
      </c>
      <c r="M20" s="170">
        <f>'IS (After Changes)'!M20-'IS (Before Changes)'!M20</f>
        <v>0</v>
      </c>
      <c r="N20" s="105">
        <f>'IS (After Changes)'!N20-'IS (Before Changes)'!N20</f>
        <v>0</v>
      </c>
      <c r="O20" s="105">
        <f>'IS (After Changes)'!O20-'IS (Before Changes)'!O20</f>
        <v>0</v>
      </c>
      <c r="P20" s="105">
        <f>'IS (After Changes)'!P20-'IS (Before Changes)'!P20</f>
        <v>0</v>
      </c>
      <c r="Q20" s="105">
        <f>'IS (After Changes)'!Q20-'IS (Before Changes)'!Q20</f>
        <v>0</v>
      </c>
      <c r="R20" s="170">
        <f>'IS (After Changes)'!R20-'IS (Before Changes)'!R20</f>
        <v>0</v>
      </c>
      <c r="S20" s="105">
        <f>'IS (After Changes)'!S20-'IS (Before Changes)'!S20</f>
        <v>0</v>
      </c>
      <c r="T20" s="105">
        <f>'IS (After Changes)'!T20-'IS (Before Changes)'!T20</f>
        <v>0</v>
      </c>
      <c r="U20" s="105">
        <f>'IS (After Changes)'!U20-'IS (Before Changes)'!U20</f>
        <v>0</v>
      </c>
      <c r="V20" s="105">
        <f>'IS (After Changes)'!V20-'IS (Before Changes)'!V20</f>
        <v>0</v>
      </c>
      <c r="W20" s="170">
        <f>'IS (After Changes)'!W20-'IS (Before Changes)'!W20</f>
        <v>0</v>
      </c>
      <c r="X20" s="105">
        <f>'IS (After Changes)'!X20-'IS (Before Changes)'!X20</f>
        <v>0</v>
      </c>
      <c r="Y20" s="105">
        <f>'IS (After Changes)'!Y20-'IS (Before Changes)'!Y20</f>
        <v>0</v>
      </c>
      <c r="Z20" s="105">
        <f>'IS (After Changes)'!Z20-'IS (Before Changes)'!Z20</f>
        <v>0</v>
      </c>
      <c r="AA20" s="105">
        <f>'IS (After Changes)'!AA20-'IS (Before Changes)'!AA20</f>
        <v>0</v>
      </c>
      <c r="AB20" s="170">
        <f>'IS (After Changes)'!AB20-'IS (Before Changes)'!AB20</f>
        <v>0</v>
      </c>
      <c r="AC20" s="105">
        <f>'IS (After Changes)'!AC20-'IS (Before Changes)'!AC20</f>
        <v>0</v>
      </c>
      <c r="AD20" s="105">
        <f>'IS (After Changes)'!AD20-'IS (Before Changes)'!AD20</f>
        <v>0</v>
      </c>
      <c r="AE20" s="105">
        <f>'IS (After Changes)'!AE20-'IS (Before Changes)'!AE20</f>
        <v>0</v>
      </c>
      <c r="AF20" s="105">
        <f>'IS (After Changes)'!AF20-'IS (Before Changes)'!AF20</f>
        <v>0</v>
      </c>
      <c r="AG20" s="170">
        <f>'IS (After Changes)'!AG20-'IS (Before Changes)'!AG20</f>
        <v>0</v>
      </c>
      <c r="AH20" s="105">
        <f>'IS (After Changes)'!AH20-'IS (Before Changes)'!AH20</f>
        <v>0</v>
      </c>
      <c r="AI20" s="105">
        <f>'IS (After Changes)'!AI20-'IS (Before Changes)'!AI20</f>
        <v>0</v>
      </c>
      <c r="AJ20" s="105">
        <f>'IS (After Changes)'!AJ20-'IS (Before Changes)'!AJ20</f>
        <v>0</v>
      </c>
      <c r="AK20" s="105">
        <f>'IS (After Changes)'!AK20-'IS (Before Changes)'!AK20</f>
        <v>0</v>
      </c>
      <c r="AL20" s="170">
        <f>'IS (After Changes)'!AL20-'IS (Before Changes)'!AL20</f>
        <v>0</v>
      </c>
      <c r="AM20" s="105">
        <f>'IS (After Changes)'!AM20-'IS (Before Changes)'!AM20</f>
        <v>0</v>
      </c>
      <c r="AN20" s="105">
        <f>'IS (After Changes)'!AN20-'IS (Before Changes)'!AN20</f>
        <v>0</v>
      </c>
      <c r="AO20" s="105">
        <f>'IS (After Changes)'!AO20-'IS (Before Changes)'!AO20</f>
        <v>0</v>
      </c>
      <c r="AP20" s="105">
        <f>'IS (After Changes)'!AP20-'IS (Before Changes)'!AP20</f>
        <v>0</v>
      </c>
      <c r="AQ20" s="170">
        <f>'IS (After Changes)'!AQ20-'IS (Before Changes)'!AQ20</f>
        <v>0</v>
      </c>
      <c r="AR20" s="105">
        <f>'IS (After Changes)'!AR20-'IS (Before Changes)'!AR20</f>
        <v>0</v>
      </c>
      <c r="AS20" s="105">
        <f>'IS (After Changes)'!AS20-'IS (Before Changes)'!AS20</f>
        <v>0</v>
      </c>
      <c r="AT20" s="105">
        <f>'IS (After Changes)'!AT20-'IS (Before Changes)'!AT20</f>
        <v>0</v>
      </c>
      <c r="AU20" s="105">
        <f>'IS (After Changes)'!AU20-'IS (Before Changes)'!AU20</f>
        <v>0</v>
      </c>
      <c r="AV20" s="170">
        <f>'IS (After Changes)'!AV20-'IS (Before Changes)'!AV20</f>
        <v>0</v>
      </c>
    </row>
    <row r="21" spans="1:48" x14ac:dyDescent="0.3">
      <c r="B21" s="38" t="s">
        <v>37</v>
      </c>
      <c r="C21" s="18"/>
      <c r="D21" s="105">
        <f>'IS (After Changes)'!D21-'IS (Before Changes)'!D21</f>
        <v>0</v>
      </c>
      <c r="E21" s="105">
        <f>'IS (After Changes)'!E21-'IS (Before Changes)'!E21</f>
        <v>0</v>
      </c>
      <c r="F21" s="102">
        <f>'IS (After Changes)'!F21-'IS (Before Changes)'!F21</f>
        <v>0</v>
      </c>
      <c r="G21" s="105">
        <f>'IS (After Changes)'!G21-'IS (Before Changes)'!G21</f>
        <v>0</v>
      </c>
      <c r="H21" s="170">
        <f>'IS (After Changes)'!H21-'IS (Before Changes)'!H21</f>
        <v>0</v>
      </c>
      <c r="I21" s="105">
        <f>'IS (After Changes)'!I21-'IS (Before Changes)'!I21</f>
        <v>0</v>
      </c>
      <c r="J21" s="105">
        <f>'IS (After Changes)'!J21-'IS (Before Changes)'!J21</f>
        <v>0</v>
      </c>
      <c r="K21" s="105">
        <f>'IS (After Changes)'!K21-'IS (Before Changes)'!K21</f>
        <v>0</v>
      </c>
      <c r="L21" s="105">
        <f>'IS (After Changes)'!L21-'IS (Before Changes)'!L21</f>
        <v>0</v>
      </c>
      <c r="M21" s="170">
        <f>'IS (After Changes)'!M21-'IS (Before Changes)'!M21</f>
        <v>0</v>
      </c>
      <c r="N21" s="105">
        <f>'IS (After Changes)'!N21-'IS (Before Changes)'!N21</f>
        <v>0</v>
      </c>
      <c r="O21" s="105">
        <f>'IS (After Changes)'!O21-'IS (Before Changes)'!O21</f>
        <v>0</v>
      </c>
      <c r="P21" s="105">
        <f>'IS (After Changes)'!P21-'IS (Before Changes)'!P21</f>
        <v>0</v>
      </c>
      <c r="Q21" s="105">
        <f>'IS (After Changes)'!Q21-'IS (Before Changes)'!Q21</f>
        <v>0</v>
      </c>
      <c r="R21" s="170">
        <f>'IS (After Changes)'!R21-'IS (Before Changes)'!R21</f>
        <v>0</v>
      </c>
      <c r="S21" s="105">
        <f>'IS (After Changes)'!S21-'IS (Before Changes)'!S21</f>
        <v>0</v>
      </c>
      <c r="T21" s="105">
        <f>'IS (After Changes)'!T21-'IS (Before Changes)'!T21</f>
        <v>0</v>
      </c>
      <c r="U21" s="105">
        <f>'IS (After Changes)'!U21-'IS (Before Changes)'!U21</f>
        <v>0</v>
      </c>
      <c r="V21" s="105">
        <f>'IS (After Changes)'!V21-'IS (Before Changes)'!V21</f>
        <v>0</v>
      </c>
      <c r="W21" s="170">
        <f>'IS (After Changes)'!W21-'IS (Before Changes)'!W21</f>
        <v>0</v>
      </c>
      <c r="X21" s="105">
        <f>'IS (After Changes)'!X21-'IS (Before Changes)'!X21</f>
        <v>0</v>
      </c>
      <c r="Y21" s="105">
        <f>'IS (After Changes)'!Y21-'IS (Before Changes)'!Y21</f>
        <v>2.0845559206073005E-2</v>
      </c>
      <c r="Z21" s="105">
        <f>'IS (After Changes)'!Z21-'IS (Before Changes)'!Z21</f>
        <v>-0.44926858090837385</v>
      </c>
      <c r="AA21" s="105">
        <f>'IS (After Changes)'!AA21-'IS (Before Changes)'!AA21</f>
        <v>-0.41159872587954283</v>
      </c>
      <c r="AB21" s="170">
        <f>'IS (After Changes)'!AB21-'IS (Before Changes)'!AB21</f>
        <v>-0.84002174758182946</v>
      </c>
      <c r="AC21" s="105">
        <f>'IS (After Changes)'!AC21-'IS (Before Changes)'!AC21</f>
        <v>-1.3151946255896334</v>
      </c>
      <c r="AD21" s="105">
        <f>'IS (After Changes)'!AD21-'IS (Before Changes)'!AD21</f>
        <v>-0.80913888024259251</v>
      </c>
      <c r="AE21" s="105">
        <f>'IS (After Changes)'!AE21-'IS (Before Changes)'!AE21</f>
        <v>-0.2498480207132161</v>
      </c>
      <c r="AF21" s="105">
        <f>'IS (After Changes)'!AF21-'IS (Before Changes)'!AF21</f>
        <v>0.52272898644417154</v>
      </c>
      <c r="AG21" s="170">
        <f>'IS (After Changes)'!AG21-'IS (Before Changes)'!AG21</f>
        <v>-1.8514525401012634</v>
      </c>
      <c r="AH21" s="105">
        <f>'IS (After Changes)'!AH21-'IS (Before Changes)'!AH21</f>
        <v>1.4614071793214265</v>
      </c>
      <c r="AI21" s="105">
        <f>'IS (After Changes)'!AI21-'IS (Before Changes)'!AI21</f>
        <v>1.8085535112089133</v>
      </c>
      <c r="AJ21" s="105">
        <f>'IS (After Changes)'!AJ21-'IS (Before Changes)'!AJ21</f>
        <v>2.5084802836501936</v>
      </c>
      <c r="AK21" s="105">
        <f>'IS (After Changes)'!AK21-'IS (Before Changes)'!AK21</f>
        <v>3.4602276077630094</v>
      </c>
      <c r="AL21" s="170">
        <f>'IS (After Changes)'!AL21-'IS (Before Changes)'!AL21</f>
        <v>9.2386685819435286</v>
      </c>
      <c r="AM21" s="105">
        <f>'IS (After Changes)'!AM21-'IS (Before Changes)'!AM21</f>
        <v>4.6131837891891614</v>
      </c>
      <c r="AN21" s="105">
        <f>'IS (After Changes)'!AN21-'IS (Before Changes)'!AN21</f>
        <v>5.084228110355081</v>
      </c>
      <c r="AO21" s="105">
        <f>'IS (After Changes)'!AO21-'IS (Before Changes)'!AO21</f>
        <v>5.8664610863321194</v>
      </c>
      <c r="AP21" s="105">
        <f>'IS (After Changes)'!AP21-'IS (Before Changes)'!AP21</f>
        <v>6.9215925517026591</v>
      </c>
      <c r="AQ21" s="170">
        <f>'IS (After Changes)'!AQ21-'IS (Before Changes)'!AQ21</f>
        <v>22.485465537579017</v>
      </c>
      <c r="AR21" s="105">
        <f>'IS (After Changes)'!AR21-'IS (Before Changes)'!AR21</f>
        <v>8.2056984635692025</v>
      </c>
      <c r="AS21" s="105">
        <f>'IS (After Changes)'!AS21-'IS (Before Changes)'!AS21</f>
        <v>8.7299979829936802</v>
      </c>
      <c r="AT21" s="105">
        <f>'IS (After Changes)'!AT21-'IS (Before Changes)'!AT21</f>
        <v>9.5871398254904818</v>
      </c>
      <c r="AU21" s="105">
        <f>'IS (After Changes)'!AU21-'IS (Before Changes)'!AU21</f>
        <v>10.740026782446776</v>
      </c>
      <c r="AV21" s="170">
        <f>'IS (After Changes)'!AV21-'IS (Before Changes)'!AV21</f>
        <v>37.262863054500144</v>
      </c>
    </row>
    <row r="22" spans="1:48" ht="16.2" x14ac:dyDescent="0.45">
      <c r="B22" s="38" t="s">
        <v>38</v>
      </c>
      <c r="C22" s="356"/>
      <c r="D22" s="104">
        <f>'IS (After Changes)'!D22-'IS (Before Changes)'!D22</f>
        <v>0</v>
      </c>
      <c r="E22" s="104">
        <f>'IS (After Changes)'!E22-'IS (Before Changes)'!E22</f>
        <v>0</v>
      </c>
      <c r="F22" s="104">
        <f>'IS (After Changes)'!F22-'IS (Before Changes)'!F22</f>
        <v>0</v>
      </c>
      <c r="G22" s="104">
        <f>'IS (After Changes)'!G22-'IS (Before Changes)'!G22</f>
        <v>0</v>
      </c>
      <c r="H22" s="173">
        <f>'IS (After Changes)'!H22-'IS (Before Changes)'!H22</f>
        <v>0</v>
      </c>
      <c r="I22" s="104">
        <f>'IS (After Changes)'!I22-'IS (Before Changes)'!I22</f>
        <v>0</v>
      </c>
      <c r="J22" s="104">
        <f>'IS (After Changes)'!J22-'IS (Before Changes)'!J22</f>
        <v>0</v>
      </c>
      <c r="K22" s="104">
        <f>'IS (After Changes)'!K22-'IS (Before Changes)'!K22</f>
        <v>0</v>
      </c>
      <c r="L22" s="104">
        <f>'IS (After Changes)'!L22-'IS (Before Changes)'!L22</f>
        <v>0</v>
      </c>
      <c r="M22" s="173">
        <f>'IS (After Changes)'!M22-'IS (Before Changes)'!M22</f>
        <v>0</v>
      </c>
      <c r="N22" s="104">
        <f>'IS (After Changes)'!N22-'IS (Before Changes)'!N22</f>
        <v>0</v>
      </c>
      <c r="O22" s="104">
        <f>'IS (After Changes)'!O22-'IS (Before Changes)'!O22</f>
        <v>0</v>
      </c>
      <c r="P22" s="104">
        <f>'IS (After Changes)'!P22-'IS (Before Changes)'!P22</f>
        <v>0</v>
      </c>
      <c r="Q22" s="104">
        <f>'IS (After Changes)'!Q22-'IS (Before Changes)'!Q22</f>
        <v>0</v>
      </c>
      <c r="R22" s="173">
        <f>'IS (After Changes)'!R22-'IS (Before Changes)'!R22</f>
        <v>0</v>
      </c>
      <c r="S22" s="104">
        <f>'IS (After Changes)'!S22-'IS (Before Changes)'!S22</f>
        <v>0</v>
      </c>
      <c r="T22" s="104">
        <f>'IS (After Changes)'!T22-'IS (Before Changes)'!T22</f>
        <v>0</v>
      </c>
      <c r="U22" s="104">
        <f>'IS (After Changes)'!U22-'IS (Before Changes)'!U22</f>
        <v>0</v>
      </c>
      <c r="V22" s="104">
        <f>'IS (After Changes)'!V22-'IS (Before Changes)'!V22</f>
        <v>0</v>
      </c>
      <c r="W22" s="173">
        <f>'IS (After Changes)'!W22-'IS (Before Changes)'!W22</f>
        <v>0</v>
      </c>
      <c r="X22" s="104">
        <f>'IS (After Changes)'!X22-'IS (Before Changes)'!X22</f>
        <v>0</v>
      </c>
      <c r="Y22" s="104">
        <f>'IS (After Changes)'!Y22-'IS (Before Changes)'!Y22</f>
        <v>0</v>
      </c>
      <c r="Z22" s="104">
        <f>'IS (After Changes)'!Z22-'IS (Before Changes)'!Z22</f>
        <v>0</v>
      </c>
      <c r="AA22" s="104">
        <f>'IS (After Changes)'!AA22-'IS (Before Changes)'!AA22</f>
        <v>0</v>
      </c>
      <c r="AB22" s="430">
        <f>'IS (After Changes)'!AB22-'IS (Before Changes)'!AB22</f>
        <v>0</v>
      </c>
      <c r="AC22" s="104">
        <f>'IS (After Changes)'!AC22-'IS (Before Changes)'!AC22</f>
        <v>0</v>
      </c>
      <c r="AD22" s="104">
        <f>'IS (After Changes)'!AD22-'IS (Before Changes)'!AD22</f>
        <v>0</v>
      </c>
      <c r="AE22" s="104">
        <f>'IS (After Changes)'!AE22-'IS (Before Changes)'!AE22</f>
        <v>0</v>
      </c>
      <c r="AF22" s="104">
        <f>'IS (After Changes)'!AF22-'IS (Before Changes)'!AF22</f>
        <v>0</v>
      </c>
      <c r="AG22" s="173">
        <f>'IS (After Changes)'!AG22-'IS (Before Changes)'!AG22</f>
        <v>0</v>
      </c>
      <c r="AH22" s="104">
        <f>'IS (After Changes)'!AH22-'IS (Before Changes)'!AH22</f>
        <v>0</v>
      </c>
      <c r="AI22" s="104">
        <f>'IS (After Changes)'!AI22-'IS (Before Changes)'!AI22</f>
        <v>0</v>
      </c>
      <c r="AJ22" s="104">
        <f>'IS (After Changes)'!AJ22-'IS (Before Changes)'!AJ22</f>
        <v>0</v>
      </c>
      <c r="AK22" s="104">
        <f>'IS (After Changes)'!AK22-'IS (Before Changes)'!AK22</f>
        <v>0</v>
      </c>
      <c r="AL22" s="173">
        <f>'IS (After Changes)'!AL22-'IS (Before Changes)'!AL22</f>
        <v>0</v>
      </c>
      <c r="AM22" s="104">
        <f>'IS (After Changes)'!AM22-'IS (Before Changes)'!AM22</f>
        <v>0</v>
      </c>
      <c r="AN22" s="104">
        <f>'IS (After Changes)'!AN22-'IS (Before Changes)'!AN22</f>
        <v>0</v>
      </c>
      <c r="AO22" s="104">
        <f>'IS (After Changes)'!AO22-'IS (Before Changes)'!AO22</f>
        <v>0</v>
      </c>
      <c r="AP22" s="104">
        <f>'IS (After Changes)'!AP22-'IS (Before Changes)'!AP22</f>
        <v>0</v>
      </c>
      <c r="AQ22" s="173">
        <f>'IS (After Changes)'!AQ22-'IS (Before Changes)'!AQ22</f>
        <v>0</v>
      </c>
      <c r="AR22" s="104">
        <f>'IS (After Changes)'!AR22-'IS (Before Changes)'!AR22</f>
        <v>0</v>
      </c>
      <c r="AS22" s="104">
        <f>'IS (After Changes)'!AS22-'IS (Before Changes)'!AS22</f>
        <v>0</v>
      </c>
      <c r="AT22" s="104">
        <f>'IS (After Changes)'!AT22-'IS (Before Changes)'!AT22</f>
        <v>0</v>
      </c>
      <c r="AU22" s="104">
        <f>'IS (After Changes)'!AU22-'IS (Before Changes)'!AU22</f>
        <v>0</v>
      </c>
      <c r="AV22" s="173">
        <f>'IS (After Changes)'!AV22-'IS (Before Changes)'!AV22</f>
        <v>0</v>
      </c>
    </row>
    <row r="23" spans="1:48" x14ac:dyDescent="0.3">
      <c r="B23" s="518" t="s">
        <v>11</v>
      </c>
      <c r="C23" s="519"/>
      <c r="D23" s="103">
        <f>'IS (After Changes)'!D23-'IS (Before Changes)'!D23</f>
        <v>0</v>
      </c>
      <c r="E23" s="103">
        <f>'IS (After Changes)'!E23-'IS (Before Changes)'!E23</f>
        <v>0</v>
      </c>
      <c r="F23" s="103">
        <f>'IS (After Changes)'!F23-'IS (Before Changes)'!F23</f>
        <v>0</v>
      </c>
      <c r="G23" s="103">
        <f>'IS (After Changes)'!G23-'IS (Before Changes)'!G23</f>
        <v>0</v>
      </c>
      <c r="H23" s="171">
        <f>'IS (After Changes)'!H23-'IS (Before Changes)'!H23</f>
        <v>0</v>
      </c>
      <c r="I23" s="103">
        <f>'IS (After Changes)'!I23-'IS (Before Changes)'!I23</f>
        <v>0</v>
      </c>
      <c r="J23" s="103">
        <f>'IS (After Changes)'!J23-'IS (Before Changes)'!J23</f>
        <v>0</v>
      </c>
      <c r="K23" s="103">
        <f>'IS (After Changes)'!K23-'IS (Before Changes)'!K23</f>
        <v>0</v>
      </c>
      <c r="L23" s="50">
        <f>'IS (After Changes)'!L23-'IS (Before Changes)'!L23</f>
        <v>0</v>
      </c>
      <c r="M23" s="51">
        <f>'IS (After Changes)'!M23-'IS (Before Changes)'!M23</f>
        <v>0</v>
      </c>
      <c r="N23" s="50">
        <f>'IS (After Changes)'!N23-'IS (Before Changes)'!N23</f>
        <v>0</v>
      </c>
      <c r="O23" s="103">
        <f>'IS (After Changes)'!O23-'IS (Before Changes)'!O23</f>
        <v>0</v>
      </c>
      <c r="P23" s="103">
        <f>'IS (After Changes)'!P23-'IS (Before Changes)'!P23</f>
        <v>0</v>
      </c>
      <c r="Q23" s="103">
        <f>'IS (After Changes)'!Q23-'IS (Before Changes)'!Q23</f>
        <v>0</v>
      </c>
      <c r="R23" s="171">
        <f>'IS (After Changes)'!R23-'IS (Before Changes)'!R23</f>
        <v>0</v>
      </c>
      <c r="S23" s="50">
        <f>'IS (After Changes)'!S23-'IS (Before Changes)'!S23</f>
        <v>0</v>
      </c>
      <c r="T23" s="50">
        <f>'IS (After Changes)'!T23-'IS (Before Changes)'!T23</f>
        <v>0</v>
      </c>
      <c r="U23" s="50">
        <f>'IS (After Changes)'!U23-'IS (Before Changes)'!U23</f>
        <v>0</v>
      </c>
      <c r="V23" s="50">
        <f>'IS (After Changes)'!V23-'IS (Before Changes)'!V23</f>
        <v>0</v>
      </c>
      <c r="W23" s="171">
        <f>'IS (After Changes)'!W23-'IS (Before Changes)'!W23</f>
        <v>0</v>
      </c>
      <c r="X23" s="50">
        <f>'IS (After Changes)'!X23-'IS (Before Changes)'!X23</f>
        <v>10.752836334453605</v>
      </c>
      <c r="Y23" s="50">
        <f>'IS (After Changes)'!Y23-'IS (Before Changes)'!Y23</f>
        <v>-34.278305152018675</v>
      </c>
      <c r="Z23" s="50">
        <f>'IS (After Changes)'!Z23-'IS (Before Changes)'!Z23</f>
        <v>31.58489466332594</v>
      </c>
      <c r="AA23" s="50">
        <f>'IS (After Changes)'!AA23-'IS (Before Changes)'!AA23</f>
        <v>-115.53854298730175</v>
      </c>
      <c r="AB23" s="51">
        <f>'IS (After Changes)'!AB23-'IS (Before Changes)'!AB23</f>
        <v>-107.4791171415327</v>
      </c>
      <c r="AC23" s="50">
        <f>'IS (After Changes)'!AC23-'IS (Before Changes)'!AC23</f>
        <v>22.061062725809734</v>
      </c>
      <c r="AD23" s="50">
        <f>'IS (After Changes)'!AD23-'IS (Before Changes)'!AD23</f>
        <v>84.543080892510943</v>
      </c>
      <c r="AE23" s="50">
        <f>'IS (After Changes)'!AE23-'IS (Before Changes)'!AE23</f>
        <v>172.65687567705481</v>
      </c>
      <c r="AF23" s="50">
        <f>'IS (After Changes)'!AF23-'IS (Before Changes)'!AF23</f>
        <v>164.26905333925697</v>
      </c>
      <c r="AG23" s="51">
        <f>'IS (After Changes)'!AG23-'IS (Before Changes)'!AG23</f>
        <v>443.53007263462132</v>
      </c>
      <c r="AH23" s="50">
        <f>'IS (After Changes)'!AH23-'IS (Before Changes)'!AH23</f>
        <v>39.808849289479667</v>
      </c>
      <c r="AI23" s="50">
        <f>'IS (After Changes)'!AI23-'IS (Before Changes)'!AI23</f>
        <v>107.17691239976148</v>
      </c>
      <c r="AJ23" s="50">
        <f>'IS (After Changes)'!AJ23-'IS (Before Changes)'!AJ23</f>
        <v>208.40086914542917</v>
      </c>
      <c r="AK23" s="50">
        <f>'IS (After Changes)'!AK23-'IS (Before Changes)'!AK23</f>
        <v>198.61931520211238</v>
      </c>
      <c r="AL23" s="51">
        <f>'IS (After Changes)'!AL23-'IS (Before Changes)'!AL23</f>
        <v>554.00594603678564</v>
      </c>
      <c r="AM23" s="50">
        <f>'IS (After Changes)'!AM23-'IS (Before Changes)'!AM23</f>
        <v>44.792009749301997</v>
      </c>
      <c r="AN23" s="50">
        <f>'IS (After Changes)'!AN23-'IS (Before Changes)'!AN23</f>
        <v>118.06548907265187</v>
      </c>
      <c r="AO23" s="50">
        <f>'IS (After Changes)'!AO23-'IS (Before Changes)'!AO23</f>
        <v>228.06102852094568</v>
      </c>
      <c r="AP23" s="50">
        <f>'IS (After Changes)'!AP23-'IS (Before Changes)'!AP23</f>
        <v>217.64929441987147</v>
      </c>
      <c r="AQ23" s="51">
        <f>'IS (After Changes)'!AQ23-'IS (Before Changes)'!AQ23</f>
        <v>608.56782176279012</v>
      </c>
      <c r="AR23" s="50">
        <f>'IS (After Changes)'!AR23-'IS (Before Changes)'!AR23</f>
        <v>49.803832099678402</v>
      </c>
      <c r="AS23" s="50">
        <f>'IS (After Changes)'!AS23-'IS (Before Changes)'!AS23</f>
        <v>127.86892943444263</v>
      </c>
      <c r="AT23" s="50">
        <f>'IS (After Changes)'!AT23-'IS (Before Changes)'!AT23</f>
        <v>245.0568494617246</v>
      </c>
      <c r="AU23" s="50">
        <f>'IS (After Changes)'!AU23-'IS (Before Changes)'!AU23</f>
        <v>234.01880573569906</v>
      </c>
      <c r="AV23" s="51">
        <f>'IS (After Changes)'!AV23-'IS (Before Changes)'!AV23</f>
        <v>656.74841673154242</v>
      </c>
    </row>
    <row r="24" spans="1:48" ht="16.2" x14ac:dyDescent="0.45">
      <c r="B24" s="520" t="s">
        <v>5</v>
      </c>
      <c r="C24" s="521"/>
      <c r="D24" s="104">
        <f>'IS (After Changes)'!D24-'IS (Before Changes)'!D24</f>
        <v>0</v>
      </c>
      <c r="E24" s="104">
        <f>'IS (After Changes)'!E24-'IS (Before Changes)'!E24</f>
        <v>0</v>
      </c>
      <c r="F24" s="104">
        <f>'IS (After Changes)'!F24-'IS (Before Changes)'!F24</f>
        <v>0</v>
      </c>
      <c r="G24" s="104">
        <f>'IS (After Changes)'!G24-'IS (Before Changes)'!G24</f>
        <v>0</v>
      </c>
      <c r="H24" s="173">
        <f>'IS (After Changes)'!H24-'IS (Before Changes)'!H24</f>
        <v>0</v>
      </c>
      <c r="I24" s="104">
        <f>'IS (After Changes)'!I24-'IS (Before Changes)'!I24</f>
        <v>0</v>
      </c>
      <c r="J24" s="104">
        <f>'IS (After Changes)'!J24-'IS (Before Changes)'!J24</f>
        <v>0</v>
      </c>
      <c r="K24" s="104">
        <f>'IS (After Changes)'!K24-'IS (Before Changes)'!K24</f>
        <v>0</v>
      </c>
      <c r="L24" s="52">
        <f>'IS (After Changes)'!L24-'IS (Before Changes)'!L24</f>
        <v>0</v>
      </c>
      <c r="M24" s="53">
        <f>'IS (After Changes)'!M24-'IS (Before Changes)'!M24</f>
        <v>0</v>
      </c>
      <c r="N24" s="52">
        <f>'IS (After Changes)'!N24-'IS (Before Changes)'!N24</f>
        <v>0</v>
      </c>
      <c r="O24" s="104">
        <f>'IS (After Changes)'!O24-'IS (Before Changes)'!O24</f>
        <v>0</v>
      </c>
      <c r="P24" s="104">
        <f>'IS (After Changes)'!P24-'IS (Before Changes)'!P24</f>
        <v>0</v>
      </c>
      <c r="Q24" s="104">
        <f>'IS (After Changes)'!Q24-'IS (Before Changes)'!Q24</f>
        <v>0</v>
      </c>
      <c r="R24" s="173">
        <f>'IS (After Changes)'!R24-'IS (Before Changes)'!R24</f>
        <v>0</v>
      </c>
      <c r="S24" s="52">
        <f>'IS (After Changes)'!S24-'IS (Before Changes)'!S24</f>
        <v>0</v>
      </c>
      <c r="T24" s="52">
        <f>'IS (After Changes)'!T24-'IS (Before Changes)'!T24</f>
        <v>0</v>
      </c>
      <c r="U24" s="52">
        <f>'IS (After Changes)'!U24-'IS (Before Changes)'!U24</f>
        <v>0</v>
      </c>
      <c r="V24" s="52">
        <f>'IS (After Changes)'!V24-'IS (Before Changes)'!V24</f>
        <v>0</v>
      </c>
      <c r="W24" s="173">
        <f>'IS (After Changes)'!W24-'IS (Before Changes)'!W24</f>
        <v>0</v>
      </c>
      <c r="X24" s="52">
        <f>'IS (After Changes)'!X24-'IS (Before Changes)'!X24</f>
        <v>2.6344449019411513</v>
      </c>
      <c r="Y24" s="52">
        <f>'IS (After Changes)'!Y24-'IS (Before Changes)'!Y24</f>
        <v>-8.3981847622445684</v>
      </c>
      <c r="Z24" s="52">
        <f>'IS (After Changes)'!Z24-'IS (Before Changes)'!Z24</f>
        <v>7.7382991925148303</v>
      </c>
      <c r="AA24" s="52">
        <f>'IS (After Changes)'!AA24-'IS (Before Changes)'!AA24</f>
        <v>-28.30694303188892</v>
      </c>
      <c r="AB24" s="53">
        <f>'IS (After Changes)'!AB24-'IS (Before Changes)'!AB24</f>
        <v>-26.332383699677621</v>
      </c>
      <c r="AC24" s="52">
        <f>'IS (After Changes)'!AC24-'IS (Before Changes)'!AC24</f>
        <v>5.404960367823378</v>
      </c>
      <c r="AD24" s="52">
        <f>'IS (After Changes)'!AD24-'IS (Before Changes)'!AD24</f>
        <v>20.713054818665171</v>
      </c>
      <c r="AE24" s="52">
        <f>'IS (After Changes)'!AE24-'IS (Before Changes)'!AE24</f>
        <v>42.300934540878472</v>
      </c>
      <c r="AF24" s="52">
        <f>'IS (After Changes)'!AF24-'IS (Before Changes)'!AF24</f>
        <v>40.245918068117987</v>
      </c>
      <c r="AG24" s="53">
        <f>'IS (After Changes)'!AG24-'IS (Before Changes)'!AG24</f>
        <v>108.66486779548518</v>
      </c>
      <c r="AH24" s="52">
        <f>'IS (After Changes)'!AH24-'IS (Before Changes)'!AH24</f>
        <v>9.753168075922531</v>
      </c>
      <c r="AI24" s="52">
        <f>'IS (After Changes)'!AI24-'IS (Before Changes)'!AI24</f>
        <v>26.258343537941528</v>
      </c>
      <c r="AJ24" s="52">
        <f>'IS (After Changes)'!AJ24-'IS (Before Changes)'!AJ24</f>
        <v>51.058212940630199</v>
      </c>
      <c r="AK24" s="52">
        <f>'IS (After Changes)'!AK24-'IS (Before Changes)'!AK24</f>
        <v>48.66173222451755</v>
      </c>
      <c r="AL24" s="53">
        <f>'IS (After Changes)'!AL24-'IS (Before Changes)'!AL24</f>
        <v>135.73145677901175</v>
      </c>
      <c r="AM24" s="52">
        <f>'IS (After Changes)'!AM24-'IS (Before Changes)'!AM24</f>
        <v>10.974042388578994</v>
      </c>
      <c r="AN24" s="52">
        <f>'IS (After Changes)'!AN24-'IS (Before Changes)'!AN24</f>
        <v>28.926044822799724</v>
      </c>
      <c r="AO24" s="52">
        <f>'IS (After Changes)'!AO24-'IS (Before Changes)'!AO24</f>
        <v>55.874951987631732</v>
      </c>
      <c r="AP24" s="52">
        <f>'IS (After Changes)'!AP24-'IS (Before Changes)'!AP24</f>
        <v>53.324077132868467</v>
      </c>
      <c r="AQ24" s="53">
        <f>'IS (After Changes)'!AQ24-'IS (Before Changes)'!AQ24</f>
        <v>149.09911633187858</v>
      </c>
      <c r="AR24" s="52">
        <f>'IS (After Changes)'!AR24-'IS (Before Changes)'!AR24</f>
        <v>12.201938864421209</v>
      </c>
      <c r="AS24" s="52">
        <f>'IS (After Changes)'!AS24-'IS (Before Changes)'!AS24</f>
        <v>31.32788771143845</v>
      </c>
      <c r="AT24" s="52">
        <f>'IS (After Changes)'!AT24-'IS (Before Changes)'!AT24</f>
        <v>60.038928118122612</v>
      </c>
      <c r="AU24" s="52">
        <f>'IS (After Changes)'!AU24-'IS (Before Changes)'!AU24</f>
        <v>57.334607405246288</v>
      </c>
      <c r="AV24" s="53">
        <f>'IS (After Changes)'!AV24-'IS (Before Changes)'!AV24</f>
        <v>160.90336209922862</v>
      </c>
    </row>
    <row r="25" spans="1:48" x14ac:dyDescent="0.3">
      <c r="A25" s="23"/>
      <c r="B25" s="518" t="s">
        <v>39</v>
      </c>
      <c r="C25" s="519"/>
      <c r="D25" s="103">
        <f>'IS (After Changes)'!D25-'IS (Before Changes)'!D25</f>
        <v>0</v>
      </c>
      <c r="E25" s="103">
        <f>'IS (After Changes)'!E25-'IS (Before Changes)'!E25</f>
        <v>0</v>
      </c>
      <c r="F25" s="103">
        <f>'IS (After Changes)'!F25-'IS (Before Changes)'!F25</f>
        <v>0</v>
      </c>
      <c r="G25" s="103">
        <f>'IS (After Changes)'!G25-'IS (Before Changes)'!G25</f>
        <v>0</v>
      </c>
      <c r="H25" s="171">
        <f>'IS (After Changes)'!H25-'IS (Before Changes)'!H25</f>
        <v>0</v>
      </c>
      <c r="I25" s="103">
        <f>'IS (After Changes)'!I25-'IS (Before Changes)'!I25</f>
        <v>0</v>
      </c>
      <c r="J25" s="103">
        <f>'IS (After Changes)'!J25-'IS (Before Changes)'!J25</f>
        <v>0</v>
      </c>
      <c r="K25" s="103">
        <f>'IS (After Changes)'!K25-'IS (Before Changes)'!K25</f>
        <v>0</v>
      </c>
      <c r="L25" s="50">
        <f>'IS (After Changes)'!L25-'IS (Before Changes)'!L25</f>
        <v>0</v>
      </c>
      <c r="M25" s="51">
        <f>'IS (After Changes)'!M25-'IS (Before Changes)'!M25</f>
        <v>0</v>
      </c>
      <c r="N25" s="50">
        <f>'IS (After Changes)'!N25-'IS (Before Changes)'!N25</f>
        <v>0</v>
      </c>
      <c r="O25" s="103">
        <f>'IS (After Changes)'!O25-'IS (Before Changes)'!O25</f>
        <v>0</v>
      </c>
      <c r="P25" s="103">
        <f>'IS (After Changes)'!P25-'IS (Before Changes)'!P25</f>
        <v>0</v>
      </c>
      <c r="Q25" s="103">
        <f>'IS (After Changes)'!Q25-'IS (Before Changes)'!Q25</f>
        <v>0</v>
      </c>
      <c r="R25" s="171">
        <f>'IS (After Changes)'!R25-'IS (Before Changes)'!R25</f>
        <v>0</v>
      </c>
      <c r="S25" s="50">
        <f>'IS (After Changes)'!S25-'IS (Before Changes)'!S25</f>
        <v>0</v>
      </c>
      <c r="T25" s="50">
        <f>'IS (After Changes)'!T25-'IS (Before Changes)'!T25</f>
        <v>0</v>
      </c>
      <c r="U25" s="50">
        <f>'IS (After Changes)'!U25-'IS (Before Changes)'!U25</f>
        <v>0</v>
      </c>
      <c r="V25" s="50">
        <f>'IS (After Changes)'!V25-'IS (Before Changes)'!V25</f>
        <v>0</v>
      </c>
      <c r="W25" s="171">
        <f>'IS (After Changes)'!W25-'IS (Before Changes)'!W25</f>
        <v>0</v>
      </c>
      <c r="X25" s="50">
        <f>'IS (After Changes)'!X25-'IS (Before Changes)'!X25</f>
        <v>8.1183914325124533</v>
      </c>
      <c r="Y25" s="50">
        <f>'IS (After Changes)'!Y25-'IS (Before Changes)'!Y25</f>
        <v>-25.880120389774106</v>
      </c>
      <c r="Z25" s="50">
        <f>'IS (After Changes)'!Z25-'IS (Before Changes)'!Z25</f>
        <v>23.846595470811053</v>
      </c>
      <c r="AA25" s="50">
        <f>'IS (After Changes)'!AA25-'IS (Before Changes)'!AA25</f>
        <v>-87.231599955412776</v>
      </c>
      <c r="AB25" s="51">
        <f>'IS (After Changes)'!AB25-'IS (Before Changes)'!AB25</f>
        <v>-81.146733441854849</v>
      </c>
      <c r="AC25" s="50">
        <f>'IS (After Changes)'!AC25-'IS (Before Changes)'!AC25</f>
        <v>16.656102357986356</v>
      </c>
      <c r="AD25" s="50">
        <f>'IS (After Changes)'!AD25-'IS (Before Changes)'!AD25</f>
        <v>63.830026073845715</v>
      </c>
      <c r="AE25" s="50">
        <f>'IS (After Changes)'!AE25-'IS (Before Changes)'!AE25</f>
        <v>130.3559411361764</v>
      </c>
      <c r="AF25" s="103">
        <f>'IS (After Changes)'!AF25-'IS (Before Changes)'!AF25</f>
        <v>124.02313527113893</v>
      </c>
      <c r="AG25" s="171">
        <f>'IS (After Changes)'!AG25-'IS (Before Changes)'!AG25</f>
        <v>334.86520483913591</v>
      </c>
      <c r="AH25" s="103">
        <f>'IS (After Changes)'!AH25-'IS (Before Changes)'!AH25</f>
        <v>30.055681213556909</v>
      </c>
      <c r="AI25" s="103">
        <f>'IS (After Changes)'!AI25-'IS (Before Changes)'!AI25</f>
        <v>80.918568861819949</v>
      </c>
      <c r="AJ25" s="103">
        <f>'IS (After Changes)'!AJ25-'IS (Before Changes)'!AJ25</f>
        <v>157.34265620479914</v>
      </c>
      <c r="AK25" s="103">
        <f>'IS (After Changes)'!AK25-'IS (Before Changes)'!AK25</f>
        <v>149.95758297759471</v>
      </c>
      <c r="AL25" s="51">
        <f>'IS (After Changes)'!AL25-'IS (Before Changes)'!AL25</f>
        <v>418.27448925777389</v>
      </c>
      <c r="AM25" s="103">
        <f>'IS (After Changes)'!AM25-'IS (Before Changes)'!AM25</f>
        <v>33.81796736072306</v>
      </c>
      <c r="AN25" s="103">
        <f>'IS (After Changes)'!AN25-'IS (Before Changes)'!AN25</f>
        <v>89.139444249851977</v>
      </c>
      <c r="AO25" s="103">
        <f>'IS (After Changes)'!AO25-'IS (Before Changes)'!AO25</f>
        <v>172.18607653331401</v>
      </c>
      <c r="AP25" s="103">
        <f>'IS (After Changes)'!AP25-'IS (Before Changes)'!AP25</f>
        <v>164.32521728700317</v>
      </c>
      <c r="AQ25" s="51">
        <f>'IS (After Changes)'!AQ25-'IS (Before Changes)'!AQ25</f>
        <v>459.46870543091154</v>
      </c>
      <c r="AR25" s="103">
        <f>'IS (After Changes)'!AR25-'IS (Before Changes)'!AR25</f>
        <v>37.601893235257194</v>
      </c>
      <c r="AS25" s="103">
        <f>'IS (After Changes)'!AS25-'IS (Before Changes)'!AS25</f>
        <v>96.541041723004128</v>
      </c>
      <c r="AT25" s="103">
        <f>'IS (After Changes)'!AT25-'IS (Before Changes)'!AT25</f>
        <v>185.01792134360198</v>
      </c>
      <c r="AU25" s="103">
        <f>'IS (After Changes)'!AU25-'IS (Before Changes)'!AU25</f>
        <v>176.68419833045255</v>
      </c>
      <c r="AV25" s="51">
        <f>'IS (After Changes)'!AV25-'IS (Before Changes)'!AV25</f>
        <v>495.84505463231471</v>
      </c>
    </row>
    <row r="26" spans="1:48" ht="16.2" x14ac:dyDescent="0.45">
      <c r="A26" s="23"/>
      <c r="B26" s="210" t="s">
        <v>40</v>
      </c>
      <c r="C26" s="201"/>
      <c r="D26" s="104">
        <f>'IS (After Changes)'!D26-'IS (Before Changes)'!D26</f>
        <v>0</v>
      </c>
      <c r="E26" s="104">
        <f>'IS (After Changes)'!E26-'IS (Before Changes)'!E26</f>
        <v>0</v>
      </c>
      <c r="F26" s="104">
        <f>'IS (After Changes)'!F26-'IS (Before Changes)'!F26</f>
        <v>0</v>
      </c>
      <c r="G26" s="104">
        <f>'IS (After Changes)'!G26-'IS (Before Changes)'!G26</f>
        <v>0</v>
      </c>
      <c r="H26" s="173">
        <f>'IS (After Changes)'!H26-'IS (Before Changes)'!H26</f>
        <v>0</v>
      </c>
      <c r="I26" s="104">
        <f>'IS (After Changes)'!I26-'IS (Before Changes)'!I26</f>
        <v>0</v>
      </c>
      <c r="J26" s="104">
        <f>'IS (After Changes)'!J26-'IS (Before Changes)'!J26</f>
        <v>0</v>
      </c>
      <c r="K26" s="104">
        <f>'IS (After Changes)'!K26-'IS (Before Changes)'!K26</f>
        <v>0</v>
      </c>
      <c r="L26" s="104">
        <f>'IS (After Changes)'!L26-'IS (Before Changes)'!L26</f>
        <v>0</v>
      </c>
      <c r="M26" s="173">
        <f>'IS (After Changes)'!M26-'IS (Before Changes)'!M26</f>
        <v>0</v>
      </c>
      <c r="N26" s="104">
        <f>'IS (After Changes)'!N26-'IS (Before Changes)'!N26</f>
        <v>0</v>
      </c>
      <c r="O26" s="104">
        <f>'IS (After Changes)'!O26-'IS (Before Changes)'!O26</f>
        <v>0</v>
      </c>
      <c r="P26" s="104">
        <f>'IS (After Changes)'!P26-'IS (Before Changes)'!P26</f>
        <v>0</v>
      </c>
      <c r="Q26" s="104">
        <f>'IS (After Changes)'!Q26-'IS (Before Changes)'!Q26</f>
        <v>0</v>
      </c>
      <c r="R26" s="173">
        <f>'IS (After Changes)'!R26-'IS (Before Changes)'!R26</f>
        <v>0</v>
      </c>
      <c r="S26" s="104">
        <f>'IS (After Changes)'!S26-'IS (Before Changes)'!S26</f>
        <v>0</v>
      </c>
      <c r="T26" s="104">
        <f>'IS (After Changes)'!T26-'IS (Before Changes)'!T26</f>
        <v>0</v>
      </c>
      <c r="U26" s="104">
        <f>'IS (After Changes)'!U26-'IS (Before Changes)'!U26</f>
        <v>0</v>
      </c>
      <c r="V26" s="104">
        <f>'IS (After Changes)'!V26-'IS (Before Changes)'!V26</f>
        <v>0</v>
      </c>
      <c r="W26" s="173">
        <f>'IS (After Changes)'!W26-'IS (Before Changes)'!W26</f>
        <v>0</v>
      </c>
      <c r="X26" s="104">
        <f>'IS (After Changes)'!X26-'IS (Before Changes)'!X26</f>
        <v>0</v>
      </c>
      <c r="Y26" s="104">
        <f>'IS (After Changes)'!Y26-'IS (Before Changes)'!Y26</f>
        <v>0</v>
      </c>
      <c r="Z26" s="104">
        <f>'IS (After Changes)'!Z26-'IS (Before Changes)'!Z26</f>
        <v>0</v>
      </c>
      <c r="AA26" s="104">
        <f>'IS (After Changes)'!AA26-'IS (Before Changes)'!AA26</f>
        <v>0</v>
      </c>
      <c r="AB26" s="173">
        <f>'IS (After Changes)'!AB26-'IS (Before Changes)'!AB26</f>
        <v>0</v>
      </c>
      <c r="AC26" s="104">
        <f>'IS (After Changes)'!AC26-'IS (Before Changes)'!AC26</f>
        <v>0</v>
      </c>
      <c r="AD26" s="104">
        <f>'IS (After Changes)'!AD26-'IS (Before Changes)'!AD26</f>
        <v>0</v>
      </c>
      <c r="AE26" s="104">
        <f>'IS (After Changes)'!AE26-'IS (Before Changes)'!AE26</f>
        <v>0</v>
      </c>
      <c r="AF26" s="104">
        <f>'IS (After Changes)'!AF26-'IS (Before Changes)'!AF26</f>
        <v>0</v>
      </c>
      <c r="AG26" s="173">
        <f>'IS (After Changes)'!AG26-'IS (Before Changes)'!AG26</f>
        <v>0</v>
      </c>
      <c r="AH26" s="104">
        <f>'IS (After Changes)'!AH26-'IS (Before Changes)'!AH26</f>
        <v>0</v>
      </c>
      <c r="AI26" s="104">
        <f>'IS (After Changes)'!AI26-'IS (Before Changes)'!AI26</f>
        <v>0</v>
      </c>
      <c r="AJ26" s="104">
        <f>'IS (After Changes)'!AJ26-'IS (Before Changes)'!AJ26</f>
        <v>0</v>
      </c>
      <c r="AK26" s="104">
        <f>'IS (After Changes)'!AK26-'IS (Before Changes)'!AK26</f>
        <v>0</v>
      </c>
      <c r="AL26" s="53">
        <f>'IS (After Changes)'!AL26-'IS (Before Changes)'!AL26</f>
        <v>0</v>
      </c>
      <c r="AM26" s="104">
        <f>'IS (After Changes)'!AM26-'IS (Before Changes)'!AM26</f>
        <v>0</v>
      </c>
      <c r="AN26" s="104">
        <f>'IS (After Changes)'!AN26-'IS (Before Changes)'!AN26</f>
        <v>0</v>
      </c>
      <c r="AO26" s="104">
        <f>'IS (After Changes)'!AO26-'IS (Before Changes)'!AO26</f>
        <v>0</v>
      </c>
      <c r="AP26" s="104">
        <f>'IS (After Changes)'!AP26-'IS (Before Changes)'!AP26</f>
        <v>0</v>
      </c>
      <c r="AQ26" s="53">
        <f>'IS (After Changes)'!AQ26-'IS (Before Changes)'!AQ26</f>
        <v>0</v>
      </c>
      <c r="AR26" s="104">
        <f>'IS (After Changes)'!AR26-'IS (Before Changes)'!AR26</f>
        <v>0</v>
      </c>
      <c r="AS26" s="104">
        <f>'IS (After Changes)'!AS26-'IS (Before Changes)'!AS26</f>
        <v>0</v>
      </c>
      <c r="AT26" s="104">
        <f>'IS (After Changes)'!AT26-'IS (Before Changes)'!AT26</f>
        <v>0</v>
      </c>
      <c r="AU26" s="104">
        <f>'IS (After Changes)'!AU26-'IS (Before Changes)'!AU26</f>
        <v>0</v>
      </c>
      <c r="AV26" s="53">
        <f>'IS (After Changes)'!AV26-'IS (Before Changes)'!AV26</f>
        <v>0</v>
      </c>
    </row>
    <row r="27" spans="1:48" s="8" customFormat="1" x14ac:dyDescent="0.3">
      <c r="A27" s="20"/>
      <c r="B27" s="209" t="s">
        <v>16</v>
      </c>
      <c r="C27" s="202"/>
      <c r="D27" s="103">
        <f>'IS (After Changes)'!D27-'IS (Before Changes)'!D27</f>
        <v>0</v>
      </c>
      <c r="E27" s="103">
        <f>'IS (After Changes)'!E27-'IS (Before Changes)'!E27</f>
        <v>0</v>
      </c>
      <c r="F27" s="103">
        <f>'IS (After Changes)'!F27-'IS (Before Changes)'!F27</f>
        <v>0</v>
      </c>
      <c r="G27" s="103">
        <f>'IS (After Changes)'!G27-'IS (Before Changes)'!G27</f>
        <v>0</v>
      </c>
      <c r="H27" s="171">
        <f>'IS (After Changes)'!H27-'IS (Before Changes)'!H27</f>
        <v>0</v>
      </c>
      <c r="I27" s="103">
        <f>'IS (After Changes)'!I27-'IS (Before Changes)'!I27</f>
        <v>0</v>
      </c>
      <c r="J27" s="103">
        <f>'IS (After Changes)'!J27-'IS (Before Changes)'!J27</f>
        <v>0</v>
      </c>
      <c r="K27" s="103">
        <f>'IS (After Changes)'!K27-'IS (Before Changes)'!K27</f>
        <v>0</v>
      </c>
      <c r="L27" s="50">
        <f>'IS (After Changes)'!L27-'IS (Before Changes)'!L27</f>
        <v>0</v>
      </c>
      <c r="M27" s="51">
        <f>'IS (After Changes)'!M27-'IS (Before Changes)'!M27</f>
        <v>0</v>
      </c>
      <c r="N27" s="50">
        <f>'IS (After Changes)'!N27-'IS (Before Changes)'!N27</f>
        <v>0</v>
      </c>
      <c r="O27" s="103">
        <f>'IS (After Changes)'!O27-'IS (Before Changes)'!O27</f>
        <v>0</v>
      </c>
      <c r="P27" s="103">
        <f>'IS (After Changes)'!P27-'IS (Before Changes)'!P27</f>
        <v>0</v>
      </c>
      <c r="Q27" s="103">
        <f>'IS (After Changes)'!Q27-'IS (Before Changes)'!Q27</f>
        <v>0</v>
      </c>
      <c r="R27" s="171">
        <f>'IS (After Changes)'!R27-'IS (Before Changes)'!R27</f>
        <v>0</v>
      </c>
      <c r="S27" s="50">
        <f>'IS (After Changes)'!S27-'IS (Before Changes)'!S27</f>
        <v>0</v>
      </c>
      <c r="T27" s="50">
        <f>'IS (After Changes)'!T27-'IS (Before Changes)'!T27</f>
        <v>0</v>
      </c>
      <c r="U27" s="50">
        <f>'IS (After Changes)'!U27-'IS (Before Changes)'!U27</f>
        <v>0</v>
      </c>
      <c r="V27" s="103">
        <f>'IS (After Changes)'!V27-'IS (Before Changes)'!V27</f>
        <v>0</v>
      </c>
      <c r="W27" s="171">
        <f>'IS (After Changes)'!W27-'IS (Before Changes)'!W27</f>
        <v>0</v>
      </c>
      <c r="X27" s="50">
        <f>'IS (After Changes)'!X27-'IS (Before Changes)'!X27</f>
        <v>8.1183914325124533</v>
      </c>
      <c r="Y27" s="50">
        <f>'IS (After Changes)'!Y27-'IS (Before Changes)'!Y27</f>
        <v>-25.880120389774106</v>
      </c>
      <c r="Z27" s="50">
        <f>'IS (After Changes)'!Z27-'IS (Before Changes)'!Z27</f>
        <v>23.846595470811053</v>
      </c>
      <c r="AA27" s="50">
        <f>'IS (After Changes)'!AA27-'IS (Before Changes)'!AA27</f>
        <v>-87.231599955412776</v>
      </c>
      <c r="AB27" s="51">
        <f>'IS (After Changes)'!AB27-'IS (Before Changes)'!AB27</f>
        <v>-81.146733441854849</v>
      </c>
      <c r="AC27" s="50">
        <f>'IS (After Changes)'!AC27-'IS (Before Changes)'!AC27</f>
        <v>16.656102357986356</v>
      </c>
      <c r="AD27" s="50">
        <f>'IS (After Changes)'!AD27-'IS (Before Changes)'!AD27</f>
        <v>63.830026073845715</v>
      </c>
      <c r="AE27" s="50">
        <f>'IS (After Changes)'!AE27-'IS (Before Changes)'!AE27</f>
        <v>130.3559411361764</v>
      </c>
      <c r="AF27" s="50">
        <f>'IS (After Changes)'!AF27-'IS (Before Changes)'!AF27</f>
        <v>124.02313527113893</v>
      </c>
      <c r="AG27" s="51">
        <f>'IS (After Changes)'!AG27-'IS (Before Changes)'!AG27</f>
        <v>334.86520483913591</v>
      </c>
      <c r="AH27" s="50">
        <f>'IS (After Changes)'!AH27-'IS (Before Changes)'!AH27</f>
        <v>30.055681213556909</v>
      </c>
      <c r="AI27" s="50">
        <f>'IS (After Changes)'!AI27-'IS (Before Changes)'!AI27</f>
        <v>80.918568861819949</v>
      </c>
      <c r="AJ27" s="50">
        <f>'IS (After Changes)'!AJ27-'IS (Before Changes)'!AJ27</f>
        <v>157.34265620479914</v>
      </c>
      <c r="AK27" s="50">
        <f>'IS (After Changes)'!AK27-'IS (Before Changes)'!AK27</f>
        <v>149.95758297759471</v>
      </c>
      <c r="AL27" s="51">
        <f>'IS (After Changes)'!AL27-'IS (Before Changes)'!AL27</f>
        <v>418.27448925777389</v>
      </c>
      <c r="AM27" s="50">
        <f>'IS (After Changes)'!AM27-'IS (Before Changes)'!AM27</f>
        <v>33.81796736072306</v>
      </c>
      <c r="AN27" s="50">
        <f>'IS (After Changes)'!AN27-'IS (Before Changes)'!AN27</f>
        <v>89.139444249851977</v>
      </c>
      <c r="AO27" s="50">
        <f>'IS (After Changes)'!AO27-'IS (Before Changes)'!AO27</f>
        <v>172.18607653331401</v>
      </c>
      <c r="AP27" s="50">
        <f>'IS (After Changes)'!AP27-'IS (Before Changes)'!AP27</f>
        <v>164.32521728700317</v>
      </c>
      <c r="AQ27" s="51">
        <f>'IS (After Changes)'!AQ27-'IS (Before Changes)'!AQ27</f>
        <v>459.46870543091154</v>
      </c>
      <c r="AR27" s="50">
        <f>'IS (After Changes)'!AR27-'IS (Before Changes)'!AR27</f>
        <v>37.601893235257194</v>
      </c>
      <c r="AS27" s="50">
        <f>'IS (After Changes)'!AS27-'IS (Before Changes)'!AS27</f>
        <v>96.541041723004128</v>
      </c>
      <c r="AT27" s="50">
        <f>'IS (After Changes)'!AT27-'IS (Before Changes)'!AT27</f>
        <v>185.01792134360198</v>
      </c>
      <c r="AU27" s="50">
        <f>'IS (After Changes)'!AU27-'IS (Before Changes)'!AU27</f>
        <v>176.68419833045255</v>
      </c>
      <c r="AV27" s="51">
        <f>'IS (After Changes)'!AV27-'IS (Before Changes)'!AV27</f>
        <v>495.84505463231471</v>
      </c>
    </row>
    <row r="28" spans="1:48" s="8" customFormat="1" ht="16.2" x14ac:dyDescent="0.45">
      <c r="A28" s="20"/>
      <c r="B28" s="87" t="s">
        <v>72</v>
      </c>
      <c r="C28" s="84"/>
      <c r="D28" s="109">
        <f>'IS (After Changes)'!D28-'IS (Before Changes)'!D28</f>
        <v>0</v>
      </c>
      <c r="E28" s="109">
        <f>'IS (After Changes)'!E28-'IS (Before Changes)'!E28</f>
        <v>0</v>
      </c>
      <c r="F28" s="109">
        <f>'IS (After Changes)'!F28-'IS (Before Changes)'!F28</f>
        <v>0</v>
      </c>
      <c r="G28" s="109">
        <f>'IS (After Changes)'!G28-'IS (Before Changes)'!G28</f>
        <v>0</v>
      </c>
      <c r="H28" s="178">
        <f>'IS (After Changes)'!H28-'IS (Before Changes)'!H28</f>
        <v>0</v>
      </c>
      <c r="I28" s="109">
        <f>'IS (After Changes)'!I28-'IS (Before Changes)'!I28</f>
        <v>0</v>
      </c>
      <c r="J28" s="109">
        <f>'IS (After Changes)'!J28-'IS (Before Changes)'!J28</f>
        <v>0</v>
      </c>
      <c r="K28" s="109">
        <f>'IS (After Changes)'!K28-'IS (Before Changes)'!K28</f>
        <v>0</v>
      </c>
      <c r="L28" s="91">
        <f>'IS (After Changes)'!L28-'IS (Before Changes)'!L28</f>
        <v>0</v>
      </c>
      <c r="M28" s="92">
        <f>'IS (After Changes)'!M28-'IS (Before Changes)'!M28</f>
        <v>0</v>
      </c>
      <c r="N28" s="109">
        <f>'IS (After Changes)'!N28-'IS (Before Changes)'!N28</f>
        <v>0</v>
      </c>
      <c r="O28" s="109">
        <f>'IS (After Changes)'!O28-'IS (Before Changes)'!O28</f>
        <v>0</v>
      </c>
      <c r="P28" s="109">
        <f>'IS (After Changes)'!P28-'IS (Before Changes)'!P28</f>
        <v>0</v>
      </c>
      <c r="Q28" s="109">
        <f>'IS (After Changes)'!Q28-'IS (Before Changes)'!Q28</f>
        <v>0</v>
      </c>
      <c r="R28" s="178">
        <f>'IS (After Changes)'!R28-'IS (Before Changes)'!R28</f>
        <v>0</v>
      </c>
      <c r="S28" s="91">
        <f>'IS (After Changes)'!S28-'IS (Before Changes)'!S28</f>
        <v>0</v>
      </c>
      <c r="T28" s="91">
        <f>'IS (After Changes)'!T28-'IS (Before Changes)'!T28</f>
        <v>0</v>
      </c>
      <c r="U28" s="91">
        <f>'IS (After Changes)'!U28-'IS (Before Changes)'!U28</f>
        <v>0</v>
      </c>
      <c r="V28" s="109">
        <f>'IS (After Changes)'!V28-'IS (Before Changes)'!V28</f>
        <v>0</v>
      </c>
      <c r="W28" s="178">
        <f>'IS (After Changes)'!W28-'IS (Before Changes)'!W28</f>
        <v>0</v>
      </c>
      <c r="X28" s="91">
        <f>'IS (After Changes)'!X28-'IS (Before Changes)'!X28</f>
        <v>0</v>
      </c>
      <c r="Y28" s="91">
        <f>'IS (After Changes)'!Y28-'IS (Before Changes)'!Y28</f>
        <v>0</v>
      </c>
      <c r="Z28" s="91">
        <f>'IS (After Changes)'!Z28-'IS (Before Changes)'!Z28</f>
        <v>0</v>
      </c>
      <c r="AA28" s="91">
        <f>'IS (After Changes)'!AA28-'IS (Before Changes)'!AA28</f>
        <v>0</v>
      </c>
      <c r="AB28" s="92">
        <f>'IS (After Changes)'!AB28-'IS (Before Changes)'!AB28</f>
        <v>0</v>
      </c>
      <c r="AC28" s="91">
        <f>'IS (After Changes)'!AC28-'IS (Before Changes)'!AC28</f>
        <v>0</v>
      </c>
      <c r="AD28" s="91">
        <f>'IS (After Changes)'!AD28-'IS (Before Changes)'!AD28</f>
        <v>0</v>
      </c>
      <c r="AE28" s="91">
        <f>'IS (After Changes)'!AE28-'IS (Before Changes)'!AE28</f>
        <v>0</v>
      </c>
      <c r="AF28" s="91">
        <f>'IS (After Changes)'!AF28-'IS (Before Changes)'!AF28</f>
        <v>0</v>
      </c>
      <c r="AG28" s="92">
        <f>'IS (After Changes)'!AG28-'IS (Before Changes)'!AG28</f>
        <v>0</v>
      </c>
      <c r="AH28" s="91">
        <f>'IS (After Changes)'!AH28-'IS (Before Changes)'!AH28</f>
        <v>0</v>
      </c>
      <c r="AI28" s="91">
        <f>'IS (After Changes)'!AI28-'IS (Before Changes)'!AI28</f>
        <v>0</v>
      </c>
      <c r="AJ28" s="91">
        <f>'IS (After Changes)'!AJ28-'IS (Before Changes)'!AJ28</f>
        <v>0</v>
      </c>
      <c r="AK28" s="91">
        <f>'IS (After Changes)'!AK28-'IS (Before Changes)'!AK28</f>
        <v>0</v>
      </c>
      <c r="AL28" s="92">
        <f>'IS (After Changes)'!AL28-'IS (Before Changes)'!AL28</f>
        <v>0</v>
      </c>
      <c r="AM28" s="91">
        <f>'IS (After Changes)'!AM28-'IS (Before Changes)'!AM28</f>
        <v>0</v>
      </c>
      <c r="AN28" s="91">
        <f>'IS (After Changes)'!AN28-'IS (Before Changes)'!AN28</f>
        <v>0</v>
      </c>
      <c r="AO28" s="91">
        <f>'IS (After Changes)'!AO28-'IS (Before Changes)'!AO28</f>
        <v>0</v>
      </c>
      <c r="AP28" s="91">
        <f>'IS (After Changes)'!AP28-'IS (Before Changes)'!AP28</f>
        <v>0</v>
      </c>
      <c r="AQ28" s="92">
        <f>'IS (After Changes)'!AQ28-'IS (Before Changes)'!AQ28</f>
        <v>0</v>
      </c>
      <c r="AR28" s="91">
        <f>'IS (After Changes)'!AR28-'IS (Before Changes)'!AR28</f>
        <v>0</v>
      </c>
      <c r="AS28" s="91">
        <f>'IS (After Changes)'!AS28-'IS (Before Changes)'!AS28</f>
        <v>0</v>
      </c>
      <c r="AT28" s="91">
        <f>'IS (After Changes)'!AT28-'IS (Before Changes)'!AT28</f>
        <v>0</v>
      </c>
      <c r="AU28" s="91">
        <f>'IS (After Changes)'!AU28-'IS (Before Changes)'!AU28</f>
        <v>0</v>
      </c>
      <c r="AV28" s="92">
        <f>'IS (After Changes)'!AV28-'IS (Before Changes)'!AV28</f>
        <v>0</v>
      </c>
    </row>
    <row r="29" spans="1:48" s="8" customFormat="1" x14ac:dyDescent="0.3">
      <c r="A29" s="20"/>
      <c r="B29" s="85" t="s">
        <v>73</v>
      </c>
      <c r="C29" s="86"/>
      <c r="D29" s="108">
        <f>'IS (After Changes)'!D29-'IS (Before Changes)'!D29</f>
        <v>0</v>
      </c>
      <c r="E29" s="108">
        <f>'IS (After Changes)'!E29-'IS (Before Changes)'!E29</f>
        <v>0</v>
      </c>
      <c r="F29" s="108">
        <f>'IS (After Changes)'!F29-'IS (Before Changes)'!F29</f>
        <v>0</v>
      </c>
      <c r="G29" s="108">
        <f>'IS (After Changes)'!G29-'IS (Before Changes)'!G29</f>
        <v>0</v>
      </c>
      <c r="H29" s="177">
        <f>'IS (After Changes)'!H29-'IS (Before Changes)'!H29</f>
        <v>0</v>
      </c>
      <c r="I29" s="108">
        <f>'IS (After Changes)'!I29-'IS (Before Changes)'!I29</f>
        <v>0</v>
      </c>
      <c r="J29" s="108">
        <f>'IS (After Changes)'!J29-'IS (Before Changes)'!J29</f>
        <v>0</v>
      </c>
      <c r="K29" s="108">
        <f>'IS (After Changes)'!K29-'IS (Before Changes)'!K29</f>
        <v>0</v>
      </c>
      <c r="L29" s="80">
        <f>'IS (After Changes)'!L29-'IS (Before Changes)'!L29</f>
        <v>0</v>
      </c>
      <c r="M29" s="81">
        <f>'IS (After Changes)'!M29-'IS (Before Changes)'!M29</f>
        <v>0</v>
      </c>
      <c r="N29" s="108">
        <f>'IS (After Changes)'!N29-'IS (Before Changes)'!N29</f>
        <v>0</v>
      </c>
      <c r="O29" s="108">
        <f>'IS (After Changes)'!O29-'IS (Before Changes)'!O29</f>
        <v>0</v>
      </c>
      <c r="P29" s="108">
        <f>'IS (After Changes)'!P29-'IS (Before Changes)'!P29</f>
        <v>0</v>
      </c>
      <c r="Q29" s="108">
        <f>'IS (After Changes)'!Q29-'IS (Before Changes)'!Q29</f>
        <v>0</v>
      </c>
      <c r="R29" s="177">
        <f>'IS (After Changes)'!R29-'IS (Before Changes)'!R29</f>
        <v>0</v>
      </c>
      <c r="S29" s="80">
        <f>'IS (After Changes)'!S29-'IS (Before Changes)'!S29</f>
        <v>0</v>
      </c>
      <c r="T29" s="80">
        <f>'IS (After Changes)'!T29-'IS (Before Changes)'!T29</f>
        <v>0</v>
      </c>
      <c r="U29" s="80">
        <f>'IS (After Changes)'!U29-'IS (Before Changes)'!U29</f>
        <v>0</v>
      </c>
      <c r="V29" s="108">
        <f>'IS (After Changes)'!V29-'IS (Before Changes)'!V29</f>
        <v>0</v>
      </c>
      <c r="W29" s="177">
        <f>'IS (After Changes)'!W29-'IS (Before Changes)'!W29</f>
        <v>0</v>
      </c>
      <c r="X29" s="80">
        <f>'IS (After Changes)'!X29-'IS (Before Changes)'!X29</f>
        <v>8.1183914325124533</v>
      </c>
      <c r="Y29" s="80">
        <f>'IS (After Changes)'!Y29-'IS (Before Changes)'!Y29</f>
        <v>-25.880120389774106</v>
      </c>
      <c r="Z29" s="80">
        <f>'IS (After Changes)'!Z29-'IS (Before Changes)'!Z29</f>
        <v>23.846595470810598</v>
      </c>
      <c r="AA29" s="80">
        <f>'IS (After Changes)'!AA29-'IS (Before Changes)'!AA29</f>
        <v>-87.231599955413003</v>
      </c>
      <c r="AB29" s="81">
        <f>'IS (After Changes)'!AB29-'IS (Before Changes)'!AB29</f>
        <v>-81.146733441856668</v>
      </c>
      <c r="AC29" s="80">
        <f>'IS (After Changes)'!AC29-'IS (Before Changes)'!AC29</f>
        <v>16.656102357986583</v>
      </c>
      <c r="AD29" s="80">
        <f>'IS (After Changes)'!AD29-'IS (Before Changes)'!AD29</f>
        <v>63.830026073845715</v>
      </c>
      <c r="AE29" s="80">
        <f>'IS (After Changes)'!AE29-'IS (Before Changes)'!AE29</f>
        <v>130.3559411361764</v>
      </c>
      <c r="AF29" s="80">
        <f>'IS (After Changes)'!AF29-'IS (Before Changes)'!AF29</f>
        <v>124.02313527113893</v>
      </c>
      <c r="AG29" s="81">
        <f>'IS (After Changes)'!AG29-'IS (Before Changes)'!AG29</f>
        <v>334.86520483913591</v>
      </c>
      <c r="AH29" s="80">
        <f>'IS (After Changes)'!AH29-'IS (Before Changes)'!AH29</f>
        <v>30.055681213556909</v>
      </c>
      <c r="AI29" s="80">
        <f>'IS (After Changes)'!AI29-'IS (Before Changes)'!AI29</f>
        <v>80.918568861819949</v>
      </c>
      <c r="AJ29" s="80">
        <f>'IS (After Changes)'!AJ29-'IS (Before Changes)'!AJ29</f>
        <v>157.34265620479914</v>
      </c>
      <c r="AK29" s="80">
        <f>'IS (After Changes)'!AK29-'IS (Before Changes)'!AK29</f>
        <v>149.95758297759494</v>
      </c>
      <c r="AL29" s="81">
        <f>'IS (After Changes)'!AL29-'IS (Before Changes)'!AL29</f>
        <v>418.27448925777389</v>
      </c>
      <c r="AM29" s="80">
        <f>'IS (After Changes)'!AM29-'IS (Before Changes)'!AM29</f>
        <v>33.81796736072306</v>
      </c>
      <c r="AN29" s="80">
        <f>'IS (After Changes)'!AN29-'IS (Before Changes)'!AN29</f>
        <v>89.139444249851977</v>
      </c>
      <c r="AO29" s="80">
        <f>'IS (After Changes)'!AO29-'IS (Before Changes)'!AO29</f>
        <v>172.18607653331378</v>
      </c>
      <c r="AP29" s="80">
        <f>'IS (After Changes)'!AP29-'IS (Before Changes)'!AP29</f>
        <v>164.32521728700317</v>
      </c>
      <c r="AQ29" s="81">
        <f>'IS (After Changes)'!AQ29-'IS (Before Changes)'!AQ29</f>
        <v>459.46870543091245</v>
      </c>
      <c r="AR29" s="80">
        <f>'IS (After Changes)'!AR29-'IS (Before Changes)'!AR29</f>
        <v>37.601893235257194</v>
      </c>
      <c r="AS29" s="80">
        <f>'IS (After Changes)'!AS29-'IS (Before Changes)'!AS29</f>
        <v>96.541041723004128</v>
      </c>
      <c r="AT29" s="80">
        <f>'IS (After Changes)'!AT29-'IS (Before Changes)'!AT29</f>
        <v>185.01792134360198</v>
      </c>
      <c r="AU29" s="80">
        <f>'IS (After Changes)'!AU29-'IS (Before Changes)'!AU29</f>
        <v>176.68419833045255</v>
      </c>
      <c r="AV29" s="81">
        <f>'IS (After Changes)'!AV29-'IS (Before Changes)'!AV29</f>
        <v>495.84505463231289</v>
      </c>
    </row>
    <row r="30" spans="1:48" x14ac:dyDescent="0.3">
      <c r="B30" s="486" t="s">
        <v>0</v>
      </c>
      <c r="C30" s="487"/>
      <c r="D30" s="101">
        <f>'IS (After Changes)'!D30-'IS (Before Changes)'!D30</f>
        <v>0</v>
      </c>
      <c r="E30" s="101">
        <f>'IS (After Changes)'!E30-'IS (Before Changes)'!E30</f>
        <v>0</v>
      </c>
      <c r="F30" s="101">
        <f>'IS (After Changes)'!F30-'IS (Before Changes)'!F30</f>
        <v>0</v>
      </c>
      <c r="G30" s="101">
        <f>'IS (After Changes)'!G30-'IS (Before Changes)'!G30</f>
        <v>0</v>
      </c>
      <c r="H30" s="169">
        <f>'IS (After Changes)'!H30-'IS (Before Changes)'!H30</f>
        <v>0</v>
      </c>
      <c r="I30" s="101">
        <f>'IS (After Changes)'!I30-'IS (Before Changes)'!I30</f>
        <v>0</v>
      </c>
      <c r="J30" s="101">
        <f>'IS (After Changes)'!J30-'IS (Before Changes)'!J30</f>
        <v>0</v>
      </c>
      <c r="K30" s="101">
        <f>'IS (After Changes)'!K30-'IS (Before Changes)'!K30</f>
        <v>0</v>
      </c>
      <c r="L30" s="101">
        <f>'IS (After Changes)'!L30-'IS (Before Changes)'!L30</f>
        <v>0</v>
      </c>
      <c r="M30" s="17">
        <f>'IS (After Changes)'!M30-'IS (Before Changes)'!M30</f>
        <v>0</v>
      </c>
      <c r="N30" s="101">
        <f>'IS (After Changes)'!N30-'IS (Before Changes)'!N30</f>
        <v>0</v>
      </c>
      <c r="O30" s="101">
        <f>'IS (After Changes)'!O30-'IS (Before Changes)'!O30</f>
        <v>0</v>
      </c>
      <c r="P30" s="101">
        <f>'IS (After Changes)'!P30-'IS (Before Changes)'!P30</f>
        <v>0</v>
      </c>
      <c r="Q30" s="101">
        <f>'IS (After Changes)'!Q30-'IS (Before Changes)'!Q30</f>
        <v>0</v>
      </c>
      <c r="R30" s="169">
        <f>'IS (After Changes)'!R30-'IS (Before Changes)'!R30</f>
        <v>0</v>
      </c>
      <c r="S30" s="16">
        <f>'IS (After Changes)'!S30-'IS (Before Changes)'!S30</f>
        <v>0</v>
      </c>
      <c r="T30" s="16">
        <f>'IS (After Changes)'!T30-'IS (Before Changes)'!T30</f>
        <v>0</v>
      </c>
      <c r="U30" s="16">
        <f>'IS (After Changes)'!U30-'IS (Before Changes)'!U30</f>
        <v>0</v>
      </c>
      <c r="V30" s="101">
        <f>'IS (After Changes)'!V30-'IS (Before Changes)'!V30</f>
        <v>0</v>
      </c>
      <c r="W30" s="169">
        <f>'IS (After Changes)'!W30-'IS (Before Changes)'!W30</f>
        <v>0</v>
      </c>
      <c r="X30" s="16">
        <f>'IS (After Changes)'!X30-'IS (Before Changes)'!X30</f>
        <v>0</v>
      </c>
      <c r="Y30" s="16">
        <f>'IS (After Changes)'!Y30-'IS (Before Changes)'!Y30</f>
        <v>0</v>
      </c>
      <c r="Z30" s="16">
        <f>'IS (After Changes)'!Z30-'IS (Before Changes)'!Z30</f>
        <v>0</v>
      </c>
      <c r="AA30" s="16">
        <f>'IS (After Changes)'!AA30-'IS (Before Changes)'!AA30</f>
        <v>0</v>
      </c>
      <c r="AB30" s="17">
        <f>'IS (After Changes)'!AB30-'IS (Before Changes)'!AB30</f>
        <v>-6.3541485948007903E-2</v>
      </c>
      <c r="AC30" s="16">
        <f>'IS (After Changes)'!AC30-'IS (Before Changes)'!AC30</f>
        <v>0</v>
      </c>
      <c r="AD30" s="16">
        <f>'IS (After Changes)'!AD30-'IS (Before Changes)'!AD30</f>
        <v>0</v>
      </c>
      <c r="AE30" s="16">
        <f>'IS (After Changes)'!AE30-'IS (Before Changes)'!AE30</f>
        <v>0</v>
      </c>
      <c r="AF30" s="16">
        <f>'IS (After Changes)'!AF30-'IS (Before Changes)'!AF30</f>
        <v>0</v>
      </c>
      <c r="AG30" s="17">
        <f>'IS (After Changes)'!AG30-'IS (Before Changes)'!AG30</f>
        <v>6.5501175097324449E-2</v>
      </c>
      <c r="AH30" s="16">
        <f>'IS (After Changes)'!AH30-'IS (Before Changes)'!AH30</f>
        <v>0</v>
      </c>
      <c r="AI30" s="16">
        <f>'IS (After Changes)'!AI30-'IS (Before Changes)'!AI30</f>
        <v>0</v>
      </c>
      <c r="AJ30" s="16">
        <f>'IS (After Changes)'!AJ30-'IS (Before Changes)'!AJ30</f>
        <v>0</v>
      </c>
      <c r="AK30" s="16">
        <f>'IS (After Changes)'!AK30-'IS (Before Changes)'!AK30</f>
        <v>0</v>
      </c>
      <c r="AL30" s="17">
        <f>'IS (After Changes)'!AL30-'IS (Before Changes)'!AL30</f>
        <v>-0.93864435597538431</v>
      </c>
      <c r="AM30" s="16">
        <f>'IS (After Changes)'!AM30-'IS (Before Changes)'!AM30</f>
        <v>0</v>
      </c>
      <c r="AN30" s="16">
        <f>'IS (After Changes)'!AN30-'IS (Before Changes)'!AN30</f>
        <v>0</v>
      </c>
      <c r="AO30" s="16">
        <f>'IS (After Changes)'!AO30-'IS (Before Changes)'!AO30</f>
        <v>0</v>
      </c>
      <c r="AP30" s="16">
        <f>'IS (After Changes)'!AP30-'IS (Before Changes)'!AP30</f>
        <v>0</v>
      </c>
      <c r="AQ30" s="17">
        <f>'IS (After Changes)'!AQ30-'IS (Before Changes)'!AQ30</f>
        <v>4.7516575439203734E-3</v>
      </c>
      <c r="AR30" s="16">
        <f>'IS (After Changes)'!AR30-'IS (Before Changes)'!AR30</f>
        <v>0</v>
      </c>
      <c r="AS30" s="16">
        <f>'IS (After Changes)'!AS30-'IS (Before Changes)'!AS30</f>
        <v>0</v>
      </c>
      <c r="AT30" s="16">
        <f>'IS (After Changes)'!AT30-'IS (Before Changes)'!AT30</f>
        <v>0</v>
      </c>
      <c r="AU30" s="16">
        <f>'IS (After Changes)'!AU30-'IS (Before Changes)'!AU30</f>
        <v>0</v>
      </c>
      <c r="AV30" s="17">
        <f>'IS (After Changes)'!AV30-'IS (Before Changes)'!AV30</f>
        <v>6.1694324365362263E-3</v>
      </c>
    </row>
    <row r="31" spans="1:48" ht="15.75" customHeight="1" x14ac:dyDescent="0.3">
      <c r="B31" s="486" t="s">
        <v>1</v>
      </c>
      <c r="C31" s="487"/>
      <c r="D31" s="101">
        <f>'IS (After Changes)'!D31-'IS (Before Changes)'!D31</f>
        <v>0</v>
      </c>
      <c r="E31" s="101">
        <f>'IS (After Changes)'!E31-'IS (Before Changes)'!E31</f>
        <v>0</v>
      </c>
      <c r="F31" s="101">
        <f>'IS (After Changes)'!F31-'IS (Before Changes)'!F31</f>
        <v>0</v>
      </c>
      <c r="G31" s="101">
        <f>'IS (After Changes)'!G31-'IS (Before Changes)'!G31</f>
        <v>0</v>
      </c>
      <c r="H31" s="169">
        <f>'IS (After Changes)'!H31-'IS (Before Changes)'!H31</f>
        <v>0</v>
      </c>
      <c r="I31" s="101">
        <f>'IS (After Changes)'!I31-'IS (Before Changes)'!I31</f>
        <v>0</v>
      </c>
      <c r="J31" s="101">
        <f>'IS (After Changes)'!J31-'IS (Before Changes)'!J31</f>
        <v>0</v>
      </c>
      <c r="K31" s="101">
        <f>'IS (After Changes)'!K31-'IS (Before Changes)'!K31</f>
        <v>0</v>
      </c>
      <c r="L31" s="101">
        <f>'IS (After Changes)'!L31-'IS (Before Changes)'!L31</f>
        <v>0</v>
      </c>
      <c r="M31" s="17">
        <f>'IS (After Changes)'!M31-'IS (Before Changes)'!M31</f>
        <v>0</v>
      </c>
      <c r="N31" s="101">
        <f>'IS (After Changes)'!N31-'IS (Before Changes)'!N31</f>
        <v>0</v>
      </c>
      <c r="O31" s="101">
        <f>'IS (After Changes)'!O31-'IS (Before Changes)'!O31</f>
        <v>0</v>
      </c>
      <c r="P31" s="101">
        <f>'IS (After Changes)'!P31-'IS (Before Changes)'!P31</f>
        <v>0</v>
      </c>
      <c r="Q31" s="101">
        <f>'IS (After Changes)'!Q31-'IS (Before Changes)'!Q31</f>
        <v>0</v>
      </c>
      <c r="R31" s="169">
        <f>'IS (After Changes)'!R31-'IS (Before Changes)'!R31</f>
        <v>0</v>
      </c>
      <c r="S31" s="16">
        <f>'IS (After Changes)'!S31-'IS (Before Changes)'!S31</f>
        <v>0</v>
      </c>
      <c r="T31" s="16">
        <f>'IS (After Changes)'!T31-'IS (Before Changes)'!T31</f>
        <v>0</v>
      </c>
      <c r="U31" s="16">
        <f>'IS (After Changes)'!U31-'IS (Before Changes)'!U31</f>
        <v>0</v>
      </c>
      <c r="V31" s="16">
        <f>'IS (After Changes)'!V31-'IS (Before Changes)'!V31</f>
        <v>0</v>
      </c>
      <c r="W31" s="169">
        <f>'IS (After Changes)'!W31-'IS (Before Changes)'!W31</f>
        <v>0</v>
      </c>
      <c r="X31" s="16">
        <f>'IS (After Changes)'!X31-'IS (Before Changes)'!X31</f>
        <v>0</v>
      </c>
      <c r="Y31" s="16">
        <f>'IS (After Changes)'!Y31-'IS (Before Changes)'!Y31</f>
        <v>0</v>
      </c>
      <c r="Z31" s="16">
        <f>'IS (After Changes)'!Z31-'IS (Before Changes)'!Z31</f>
        <v>0</v>
      </c>
      <c r="AA31" s="16">
        <f>'IS (After Changes)'!AA31-'IS (Before Changes)'!AA31</f>
        <v>0</v>
      </c>
      <c r="AB31" s="17">
        <f>'IS (After Changes)'!AB31-'IS (Before Changes)'!AB31</f>
        <v>-3.1824290436588853E-2</v>
      </c>
      <c r="AC31" s="16">
        <f>'IS (After Changes)'!AC31-'IS (Before Changes)'!AC31</f>
        <v>0</v>
      </c>
      <c r="AD31" s="16">
        <f>'IS (After Changes)'!AD31-'IS (Before Changes)'!AD31</f>
        <v>0</v>
      </c>
      <c r="AE31" s="16">
        <f>'IS (After Changes)'!AE31-'IS (Before Changes)'!AE31</f>
        <v>0</v>
      </c>
      <c r="AF31" s="16">
        <f>'IS (After Changes)'!AF31-'IS (Before Changes)'!AF31</f>
        <v>0</v>
      </c>
      <c r="AG31" s="17">
        <f>'IS (After Changes)'!AG31-'IS (Before Changes)'!AG31</f>
        <v>2.2541415810792387E-2</v>
      </c>
      <c r="AH31" s="16">
        <f>'IS (After Changes)'!AH31-'IS (Before Changes)'!AH31</f>
        <v>0</v>
      </c>
      <c r="AI31" s="16">
        <f>'IS (After Changes)'!AI31-'IS (Before Changes)'!AI31</f>
        <v>0</v>
      </c>
      <c r="AJ31" s="16">
        <f>'IS (After Changes)'!AJ31-'IS (Before Changes)'!AJ31</f>
        <v>0</v>
      </c>
      <c r="AK31" s="16">
        <f>'IS (After Changes)'!AK31-'IS (Before Changes)'!AK31</f>
        <v>0</v>
      </c>
      <c r="AL31" s="17">
        <f>'IS (After Changes)'!AL31-'IS (Before Changes)'!AL31</f>
        <v>-0.97950608115479554</v>
      </c>
      <c r="AM31" s="16">
        <f>'IS (After Changes)'!AM31-'IS (Before Changes)'!AM31</f>
        <v>0</v>
      </c>
      <c r="AN31" s="16">
        <f>'IS (After Changes)'!AN31-'IS (Before Changes)'!AN31</f>
        <v>0</v>
      </c>
      <c r="AO31" s="16">
        <f>'IS (After Changes)'!AO31-'IS (Before Changes)'!AO31</f>
        <v>0</v>
      </c>
      <c r="AP31" s="16">
        <f>'IS (After Changes)'!AP31-'IS (Before Changes)'!AP31</f>
        <v>0</v>
      </c>
      <c r="AQ31" s="17">
        <f>'IS (After Changes)'!AQ31-'IS (Before Changes)'!AQ31</f>
        <v>-3.4085204615394105E-2</v>
      </c>
      <c r="AR31" s="16">
        <f>'IS (After Changes)'!AR31-'IS (Before Changes)'!AR31</f>
        <v>0</v>
      </c>
      <c r="AS31" s="16">
        <f>'IS (After Changes)'!AS31-'IS (Before Changes)'!AS31</f>
        <v>0</v>
      </c>
      <c r="AT31" s="16">
        <f>'IS (After Changes)'!AT31-'IS (Before Changes)'!AT31</f>
        <v>0</v>
      </c>
      <c r="AU31" s="16">
        <f>'IS (After Changes)'!AU31-'IS (Before Changes)'!AU31</f>
        <v>0</v>
      </c>
      <c r="AV31" s="17">
        <f>'IS (After Changes)'!AV31-'IS (Before Changes)'!AV31</f>
        <v>-3.2595311262184623E-2</v>
      </c>
    </row>
    <row r="32" spans="1:48" ht="15.75" customHeight="1" x14ac:dyDescent="0.3">
      <c r="B32" s="500" t="s">
        <v>6</v>
      </c>
      <c r="C32" s="501"/>
      <c r="D32" s="110">
        <f>'IS (After Changes)'!D32-'IS (Before Changes)'!D32</f>
        <v>0</v>
      </c>
      <c r="E32" s="110">
        <f>'IS (After Changes)'!E32-'IS (Before Changes)'!E32</f>
        <v>0</v>
      </c>
      <c r="F32" s="110">
        <f>'IS (After Changes)'!F32-'IS (Before Changes)'!F32</f>
        <v>0</v>
      </c>
      <c r="G32" s="110">
        <f>'IS (After Changes)'!G32-'IS (Before Changes)'!G32</f>
        <v>0</v>
      </c>
      <c r="H32" s="174">
        <f>'IS (After Changes)'!H32-'IS (Before Changes)'!H32</f>
        <v>0</v>
      </c>
      <c r="I32" s="110">
        <f>'IS (After Changes)'!I32-'IS (Before Changes)'!I32</f>
        <v>0</v>
      </c>
      <c r="J32" s="110">
        <f>'IS (After Changes)'!J32-'IS (Before Changes)'!J32</f>
        <v>0</v>
      </c>
      <c r="K32" s="110">
        <f>'IS (After Changes)'!K32-'IS (Before Changes)'!K32</f>
        <v>0</v>
      </c>
      <c r="L32" s="110">
        <f>'IS (After Changes)'!L32-'IS (Before Changes)'!L32</f>
        <v>0</v>
      </c>
      <c r="M32" s="25">
        <f>'IS (After Changes)'!M32-'IS (Before Changes)'!M32</f>
        <v>0</v>
      </c>
      <c r="N32" s="110">
        <f>'IS (After Changes)'!N32-'IS (Before Changes)'!N32</f>
        <v>0</v>
      </c>
      <c r="O32" s="110">
        <f>'IS (After Changes)'!O32-'IS (Before Changes)'!O32</f>
        <v>0</v>
      </c>
      <c r="P32" s="110">
        <f>'IS (After Changes)'!P32-'IS (Before Changes)'!P32</f>
        <v>0</v>
      </c>
      <c r="Q32" s="110">
        <f>'IS (After Changes)'!Q32-'IS (Before Changes)'!Q32</f>
        <v>0</v>
      </c>
      <c r="R32" s="174">
        <f>'IS (After Changes)'!R32-'IS (Before Changes)'!R32</f>
        <v>0</v>
      </c>
      <c r="S32" s="24">
        <f>'IS (After Changes)'!S32-'IS (Before Changes)'!S32</f>
        <v>0</v>
      </c>
      <c r="T32" s="24">
        <f>'IS (After Changes)'!T32-'IS (Before Changes)'!T32</f>
        <v>0</v>
      </c>
      <c r="U32" s="24">
        <f>'IS (After Changes)'!U32-'IS (Before Changes)'!U32</f>
        <v>0</v>
      </c>
      <c r="V32" s="24">
        <f>'IS (After Changes)'!V32-'IS (Before Changes)'!V32</f>
        <v>0</v>
      </c>
      <c r="W32" s="174">
        <f>'IS (After Changes)'!W32-'IS (Before Changes)'!W32</f>
        <v>0</v>
      </c>
      <c r="X32" s="24">
        <f>'IS (After Changes)'!X32-'IS (Before Changes)'!X32</f>
        <v>7.0585407776118103E-3</v>
      </c>
      <c r="Y32" s="24">
        <f>'IS (After Changes)'!Y32-'IS (Before Changes)'!Y32</f>
        <v>-2.2456574567894627E-2</v>
      </c>
      <c r="Z32" s="24">
        <f>'IS (After Changes)'!Z32-'IS (Before Changes)'!Z32</f>
        <v>2.0650752523892701E-2</v>
      </c>
      <c r="AA32" s="24">
        <f>'IS (After Changes)'!AA32-'IS (Before Changes)'!AA32</f>
        <v>-7.5390324794473385E-2</v>
      </c>
      <c r="AB32" s="25">
        <f>'IS (After Changes)'!AB32-'IS (Before Changes)'!AB32</f>
        <v>-7.0137103554317015E-2</v>
      </c>
      <c r="AC32" s="24">
        <f>'IS (After Changes)'!AC32-'IS (Before Changes)'!AC32</f>
        <v>1.4366382848603476E-2</v>
      </c>
      <c r="AD32" s="24">
        <f>'IS (After Changes)'!AD32-'IS (Before Changes)'!AD32</f>
        <v>5.4945401971291274E-2</v>
      </c>
      <c r="AE32" s="24">
        <f>'IS (After Changes)'!AE32-'IS (Before Changes)'!AE32</f>
        <v>0.11207290961773508</v>
      </c>
      <c r="AF32" s="24">
        <f>'IS (After Changes)'!AF32-'IS (Before Changes)'!AF32</f>
        <v>0.10649656479308045</v>
      </c>
      <c r="AG32" s="25">
        <f>'IS (After Changes)'!AG32-'IS (Before Changes)'!AG32</f>
        <v>0.28788068390280719</v>
      </c>
      <c r="AH32" s="24">
        <f>'IS (After Changes)'!AH32-'IS (Before Changes)'!AH32</f>
        <v>2.5775458363644921E-2</v>
      </c>
      <c r="AI32" s="24">
        <f>'IS (After Changes)'!AI32-'IS (Before Changes)'!AI32</f>
        <v>6.9306591708718002E-2</v>
      </c>
      <c r="AJ32" s="24">
        <f>'IS (After Changes)'!AJ32-'IS (Before Changes)'!AJ32</f>
        <v>0.13999843803842515</v>
      </c>
      <c r="AK32" s="24">
        <f>'IS (After Changes)'!AK32-'IS (Before Changes)'!AK32</f>
        <v>0.13883098280340689</v>
      </c>
      <c r="AL32" s="25">
        <f>'IS (After Changes)'!AL32-'IS (Before Changes)'!AL32</f>
        <v>0.3735203643899041</v>
      </c>
      <c r="AM32" s="24">
        <f>'IS (After Changes)'!AM32-'IS (Before Changes)'!AM32</f>
        <v>3.1304874382253489E-2</v>
      </c>
      <c r="AN32" s="24">
        <f>'IS (After Changes)'!AN32-'IS (Before Changes)'!AN32</f>
        <v>8.2505098095983387E-2</v>
      </c>
      <c r="AO32" s="24">
        <f>'IS (After Changes)'!AO32-'IS (Before Changes)'!AO32</f>
        <v>0.15935114583168941</v>
      </c>
      <c r="AP32" s="24">
        <f>'IS (After Changes)'!AP32-'IS (Before Changes)'!AP32</f>
        <v>0.15205740425850522</v>
      </c>
      <c r="AQ32" s="25">
        <f>'IS (After Changes)'!AQ32-'IS (Before Changes)'!AQ32</f>
        <v>0.42521851569922919</v>
      </c>
      <c r="AR32" s="24">
        <f>'IS (After Changes)'!AR32-'IS (Before Changes)'!AR32</f>
        <v>3.4789099968116854E-2</v>
      </c>
      <c r="AS32" s="24">
        <f>'IS (After Changes)'!AS32-'IS (Before Changes)'!AS32</f>
        <v>8.9304934756949006E-2</v>
      </c>
      <c r="AT32" s="24">
        <f>'IS (After Changes)'!AT32-'IS (Before Changes)'!AT32</f>
        <v>0.1711225096986233</v>
      </c>
      <c r="AU32" s="24">
        <f>'IS (After Changes)'!AU32-'IS (Before Changes)'!AU32</f>
        <v>0.16338823896090027</v>
      </c>
      <c r="AV32" s="25">
        <f>'IS (After Changes)'!AV32-'IS (Before Changes)'!AV32</f>
        <v>0.45860477070988459</v>
      </c>
    </row>
    <row r="33" spans="2:48" x14ac:dyDescent="0.3">
      <c r="B33" s="500" t="s">
        <v>7</v>
      </c>
      <c r="C33" s="501"/>
      <c r="D33" s="110">
        <f>'IS (After Changes)'!D33-'IS (Before Changes)'!D33</f>
        <v>0</v>
      </c>
      <c r="E33" s="110">
        <f>'IS (After Changes)'!E33-'IS (Before Changes)'!E33</f>
        <v>0</v>
      </c>
      <c r="F33" s="110">
        <f>'IS (After Changes)'!F33-'IS (Before Changes)'!F33</f>
        <v>0</v>
      </c>
      <c r="G33" s="110">
        <f>'IS (After Changes)'!G33-'IS (Before Changes)'!G33</f>
        <v>0</v>
      </c>
      <c r="H33" s="174">
        <f>'IS (After Changes)'!H33-'IS (Before Changes)'!H33</f>
        <v>0</v>
      </c>
      <c r="I33" s="110">
        <f>'IS (After Changes)'!I33-'IS (Before Changes)'!I33</f>
        <v>0</v>
      </c>
      <c r="J33" s="110">
        <f>'IS (After Changes)'!J33-'IS (Before Changes)'!J33</f>
        <v>0</v>
      </c>
      <c r="K33" s="110">
        <f>'IS (After Changes)'!K33-'IS (Before Changes)'!K33</f>
        <v>0</v>
      </c>
      <c r="L33" s="110">
        <f>'IS (After Changes)'!L33-'IS (Before Changes)'!L33</f>
        <v>0</v>
      </c>
      <c r="M33" s="174">
        <f>'IS (After Changes)'!M33-'IS (Before Changes)'!M33</f>
        <v>0</v>
      </c>
      <c r="N33" s="110">
        <f>'IS (After Changes)'!N33-'IS (Before Changes)'!N33</f>
        <v>0</v>
      </c>
      <c r="O33" s="110">
        <f>'IS (After Changes)'!O33-'IS (Before Changes)'!O33</f>
        <v>0</v>
      </c>
      <c r="P33" s="110">
        <f>'IS (After Changes)'!P33-'IS (Before Changes)'!P33</f>
        <v>0</v>
      </c>
      <c r="Q33" s="110">
        <f>'IS (After Changes)'!Q33-'IS (Before Changes)'!Q33</f>
        <v>0</v>
      </c>
      <c r="R33" s="174">
        <f>'IS (After Changes)'!R33-'IS (Before Changes)'!R33</f>
        <v>0</v>
      </c>
      <c r="S33" s="24">
        <f>'IS (After Changes)'!S33-'IS (Before Changes)'!S33</f>
        <v>0</v>
      </c>
      <c r="T33" s="24">
        <f>'IS (After Changes)'!T33-'IS (Before Changes)'!T33</f>
        <v>0</v>
      </c>
      <c r="U33" s="24">
        <f>'IS (After Changes)'!U33-'IS (Before Changes)'!U33</f>
        <v>0</v>
      </c>
      <c r="V33" s="24">
        <f>'IS (After Changes)'!V33-'IS (Before Changes)'!V33</f>
        <v>0</v>
      </c>
      <c r="W33" s="174">
        <f>'IS (After Changes)'!W33-'IS (Before Changes)'!W33</f>
        <v>0</v>
      </c>
      <c r="X33" s="24">
        <f>'IS (After Changes)'!X33-'IS (Before Changes)'!X33</f>
        <v>7.0371203048685826E-3</v>
      </c>
      <c r="Y33" s="24">
        <f>'IS (After Changes)'!Y33-'IS (Before Changes)'!Y33</f>
        <v>-2.2410791918407336E-2</v>
      </c>
      <c r="Z33" s="24">
        <f>'IS (After Changes)'!Z33-'IS (Before Changes)'!Z33</f>
        <v>2.0629239501833152E-2</v>
      </c>
      <c r="AA33" s="24">
        <f>'IS (After Changes)'!AA33-'IS (Before Changes)'!AA33</f>
        <v>-7.5387023106296747E-2</v>
      </c>
      <c r="AB33" s="25">
        <f>'IS (After Changes)'!AB33-'IS (Before Changes)'!AB33</f>
        <v>-7.0131329526819552E-2</v>
      </c>
      <c r="AC33" s="24">
        <f>'IS (After Changes)'!AC33-'IS (Before Changes)'!AC33</f>
        <v>1.4380105081068906E-2</v>
      </c>
      <c r="AD33" s="24">
        <f>'IS (After Changes)'!AD33-'IS (Before Changes)'!AD33</f>
        <v>5.5052826708455793E-2</v>
      </c>
      <c r="AE33" s="24">
        <f>'IS (After Changes)'!AE33-'IS (Before Changes)'!AE33</f>
        <v>0.11240445871150206</v>
      </c>
      <c r="AF33" s="24">
        <f>'IS (After Changes)'!AF33-'IS (Before Changes)'!AF33</f>
        <v>0.10691864475258539</v>
      </c>
      <c r="AG33" s="25">
        <f>'IS (After Changes)'!AG33-'IS (Before Changes)'!AG33</f>
        <v>0.28875598306852135</v>
      </c>
      <c r="AH33" s="24">
        <f>'IS (After Changes)'!AH33-'IS (Before Changes)'!AH33</f>
        <v>2.5903559752485705E-2</v>
      </c>
      <c r="AI33" s="24">
        <f>'IS (After Changes)'!AI33-'IS (Before Changes)'!AI33</f>
        <v>6.9720921314610607E-2</v>
      </c>
      <c r="AJ33" s="24">
        <f>'IS (After Changes)'!AJ33-'IS (Before Changes)'!AJ33</f>
        <v>0.14101637072109763</v>
      </c>
      <c r="AK33" s="24">
        <f>'IS (After Changes)'!AK33-'IS (Before Changes)'!AK33</f>
        <v>0.1400294794508723</v>
      </c>
      <c r="AL33" s="25">
        <f>'IS (After Changes)'!AL33-'IS (Before Changes)'!AL33</f>
        <v>0.37624519778654175</v>
      </c>
      <c r="AM33" s="24">
        <f>'IS (After Changes)'!AM33-'IS (Before Changes)'!AM33</f>
        <v>3.1607237702943713E-2</v>
      </c>
      <c r="AN33" s="24">
        <f>'IS (After Changes)'!AN33-'IS (Before Changes)'!AN33</f>
        <v>8.3386875065811994E-2</v>
      </c>
      <c r="AO33" s="24">
        <f>'IS (After Changes)'!AO33-'IS (Before Changes)'!AO33</f>
        <v>0.16121864971980226</v>
      </c>
      <c r="AP33" s="24">
        <f>'IS (After Changes)'!AP33-'IS (Before Changes)'!AP33</f>
        <v>0.15399679289136192</v>
      </c>
      <c r="AQ33" s="25">
        <f>'IS (After Changes)'!AQ33-'IS (Before Changes)'!AQ33</f>
        <v>0.43020918979674683</v>
      </c>
      <c r="AR33" s="24">
        <f>'IS (After Changes)'!AR33-'IS (Before Changes)'!AR33</f>
        <v>3.5268901619624371E-2</v>
      </c>
      <c r="AS33" s="24">
        <f>'IS (After Changes)'!AS33-'IS (Before Changes)'!AS33</f>
        <v>9.0629516652403375E-2</v>
      </c>
      <c r="AT33" s="24">
        <f>'IS (After Changes)'!AT33-'IS (Before Changes)'!AT33</f>
        <v>0.17383917076710609</v>
      </c>
      <c r="AU33" s="24">
        <f>'IS (After Changes)'!AU33-'IS (Before Changes)'!AU33</f>
        <v>0.16615308853690758</v>
      </c>
      <c r="AV33" s="25">
        <f>'IS (After Changes)'!AV33-'IS (Before Changes)'!AV33</f>
        <v>0.46589030712649837</v>
      </c>
    </row>
    <row r="34" spans="2:48" x14ac:dyDescent="0.3">
      <c r="B34" s="93" t="s">
        <v>74</v>
      </c>
      <c r="C34" s="100"/>
      <c r="D34" s="111">
        <f>'IS (After Changes)'!D34-'IS (Before Changes)'!D34</f>
        <v>0</v>
      </c>
      <c r="E34" s="111">
        <f>'IS (After Changes)'!E34-'IS (Before Changes)'!E34</f>
        <v>0</v>
      </c>
      <c r="F34" s="111">
        <f>'IS (After Changes)'!F34-'IS (Before Changes)'!F34</f>
        <v>0</v>
      </c>
      <c r="G34" s="111">
        <f>'IS (After Changes)'!G34-'IS (Before Changes)'!G34</f>
        <v>0</v>
      </c>
      <c r="H34" s="172">
        <f>'IS (After Changes)'!H34-'IS (Before Changes)'!H34</f>
        <v>0</v>
      </c>
      <c r="I34" s="111">
        <f>'IS (After Changes)'!I34-'IS (Before Changes)'!I34</f>
        <v>0</v>
      </c>
      <c r="J34" s="111">
        <f>'IS (After Changes)'!J34-'IS (Before Changes)'!J34</f>
        <v>0</v>
      </c>
      <c r="K34" s="111">
        <f>'IS (After Changes)'!K34-'IS (Before Changes)'!K34</f>
        <v>0</v>
      </c>
      <c r="L34" s="111">
        <f>'IS (After Changes)'!L34-'IS (Before Changes)'!L34</f>
        <v>0</v>
      </c>
      <c r="M34" s="172">
        <f>'IS (After Changes)'!M34-'IS (Before Changes)'!M34</f>
        <v>0</v>
      </c>
      <c r="N34" s="111">
        <f>'IS (After Changes)'!N34-'IS (Before Changes)'!N34</f>
        <v>0</v>
      </c>
      <c r="O34" s="111">
        <f>'IS (After Changes)'!O34-'IS (Before Changes)'!O34</f>
        <v>0</v>
      </c>
      <c r="P34" s="111">
        <f>'IS (After Changes)'!P34-'IS (Before Changes)'!P34</f>
        <v>0</v>
      </c>
      <c r="Q34" s="111">
        <f>'IS (After Changes)'!Q34-'IS (Before Changes)'!Q34</f>
        <v>0</v>
      </c>
      <c r="R34" s="172">
        <f>'IS (After Changes)'!R34-'IS (Before Changes)'!R34</f>
        <v>0</v>
      </c>
      <c r="S34" s="111">
        <f>'IS (After Changes)'!S34-'IS (Before Changes)'!S34</f>
        <v>0</v>
      </c>
      <c r="T34" s="111">
        <f>'IS (After Changes)'!T34-'IS (Before Changes)'!T34</f>
        <v>0</v>
      </c>
      <c r="U34" s="111">
        <f>'IS (After Changes)'!U34-'IS (Before Changes)'!U34</f>
        <v>0</v>
      </c>
      <c r="V34" s="111">
        <f>'IS (After Changes)'!V34-'IS (Before Changes)'!V34</f>
        <v>0</v>
      </c>
      <c r="W34" s="172">
        <f>'IS (After Changes)'!W34-'IS (Before Changes)'!W34</f>
        <v>0</v>
      </c>
      <c r="X34" s="82">
        <f>'IS (After Changes)'!X34-'IS (Before Changes)'!X34</f>
        <v>7.0371203048685826E-3</v>
      </c>
      <c r="Y34" s="82">
        <f>'IS (After Changes)'!Y34-'IS (Before Changes)'!Y34</f>
        <v>-2.2410791918407336E-2</v>
      </c>
      <c r="Z34" s="82">
        <f>'IS (After Changes)'!Z34-'IS (Before Changes)'!Z34</f>
        <v>2.0629239501832708E-2</v>
      </c>
      <c r="AA34" s="82">
        <f>'IS (After Changes)'!AA34-'IS (Before Changes)'!AA34</f>
        <v>-7.5387023106296969E-2</v>
      </c>
      <c r="AB34" s="83">
        <f>'IS (After Changes)'!AB34-'IS (Before Changes)'!AB34</f>
        <v>-7.0129812384220003E-2</v>
      </c>
      <c r="AC34" s="82">
        <f>'IS (After Changes)'!AC34-'IS (Before Changes)'!AC34</f>
        <v>1.4380105081069239E-2</v>
      </c>
      <c r="AD34" s="82">
        <f>'IS (After Changes)'!AD34-'IS (Before Changes)'!AD34</f>
        <v>5.5052826708455682E-2</v>
      </c>
      <c r="AE34" s="82">
        <f>'IS (After Changes)'!AE34-'IS (Before Changes)'!AE34</f>
        <v>0.11240445871150184</v>
      </c>
      <c r="AF34" s="82">
        <f>'IS (After Changes)'!AF34-'IS (Before Changes)'!AF34</f>
        <v>0.10691864475258539</v>
      </c>
      <c r="AG34" s="83">
        <f>'IS (After Changes)'!AG34-'IS (Before Changes)'!AG34</f>
        <v>0.28875438180733326</v>
      </c>
      <c r="AH34" s="82">
        <f>'IS (After Changes)'!AH34-'IS (Before Changes)'!AH34</f>
        <v>2.5903559752485927E-2</v>
      </c>
      <c r="AI34" s="82">
        <f>'IS (After Changes)'!AI34-'IS (Before Changes)'!AI34</f>
        <v>6.9720921314610829E-2</v>
      </c>
      <c r="AJ34" s="82">
        <f>'IS (After Changes)'!AJ34-'IS (Before Changes)'!AJ34</f>
        <v>0.14101637072109741</v>
      </c>
      <c r="AK34" s="82">
        <f>'IS (After Changes)'!AK34-'IS (Before Changes)'!AK34</f>
        <v>0.1400294794508723</v>
      </c>
      <c r="AL34" s="415">
        <f>'IS (After Changes)'!AL34-'IS (Before Changes)'!AL34</f>
        <v>0.37633641857875766</v>
      </c>
      <c r="AM34" s="82">
        <f>'IS (After Changes)'!AM34-'IS (Before Changes)'!AM34</f>
        <v>3.1607237702943713E-2</v>
      </c>
      <c r="AN34" s="82">
        <f>'IS (After Changes)'!AN34-'IS (Before Changes)'!AN34</f>
        <v>8.3386875065811994E-2</v>
      </c>
      <c r="AO34" s="82">
        <f>'IS (After Changes)'!AO34-'IS (Before Changes)'!AO34</f>
        <v>0.16121864971980182</v>
      </c>
      <c r="AP34" s="82">
        <f>'IS (After Changes)'!AP34-'IS (Before Changes)'!AP34</f>
        <v>0.15399679289136192</v>
      </c>
      <c r="AQ34" s="83">
        <f>'IS (After Changes)'!AQ34-'IS (Before Changes)'!AQ34</f>
        <v>0.43021270626573749</v>
      </c>
      <c r="AR34" s="82">
        <f>'IS (After Changes)'!AR34-'IS (Before Changes)'!AR34</f>
        <v>3.5268901619624371E-2</v>
      </c>
      <c r="AS34" s="82">
        <f>'IS (After Changes)'!AS34-'IS (Before Changes)'!AS34</f>
        <v>9.0629516652403375E-2</v>
      </c>
      <c r="AT34" s="82">
        <f>'IS (After Changes)'!AT34-'IS (Before Changes)'!AT34</f>
        <v>0.17383917076710609</v>
      </c>
      <c r="AU34" s="82">
        <f>'IS (After Changes)'!AU34-'IS (Before Changes)'!AU34</f>
        <v>0.16615308853690758</v>
      </c>
      <c r="AV34" s="83">
        <f>'IS (After Changes)'!AV34-'IS (Before Changes)'!AV34</f>
        <v>0.46589369354311483</v>
      </c>
    </row>
    <row r="35" spans="2:48" x14ac:dyDescent="0.3">
      <c r="B35" s="38" t="s">
        <v>41</v>
      </c>
      <c r="C35" s="207"/>
      <c r="D35" s="239">
        <f>'IS (After Changes)'!D35-'IS (Before Changes)'!D35</f>
        <v>0</v>
      </c>
      <c r="E35" s="239">
        <f>'IS (After Changes)'!E35-'IS (Before Changes)'!E35</f>
        <v>0</v>
      </c>
      <c r="F35" s="239">
        <f>'IS (After Changes)'!F35-'IS (Before Changes)'!F35</f>
        <v>0</v>
      </c>
      <c r="G35" s="239">
        <f>'IS (After Changes)'!G35-'IS (Before Changes)'!G35</f>
        <v>0</v>
      </c>
      <c r="H35" s="174">
        <f>'IS (After Changes)'!H35-'IS (Before Changes)'!H35</f>
        <v>0</v>
      </c>
      <c r="I35" s="239">
        <f>'IS (After Changes)'!I35-'IS (Before Changes)'!I35</f>
        <v>0</v>
      </c>
      <c r="J35" s="239">
        <f>'IS (After Changes)'!J35-'IS (Before Changes)'!J35</f>
        <v>0</v>
      </c>
      <c r="K35" s="239">
        <f>'IS (After Changes)'!K35-'IS (Before Changes)'!K35</f>
        <v>0</v>
      </c>
      <c r="L35" s="239">
        <f>'IS (After Changes)'!L35-'IS (Before Changes)'!L35</f>
        <v>0</v>
      </c>
      <c r="M35" s="25">
        <f>'IS (After Changes)'!M35-'IS (Before Changes)'!M35</f>
        <v>0</v>
      </c>
      <c r="N35" s="239">
        <f>'IS (After Changes)'!N35-'IS (Before Changes)'!N35</f>
        <v>0</v>
      </c>
      <c r="O35" s="239">
        <f>'IS (After Changes)'!O35-'IS (Before Changes)'!O35</f>
        <v>0</v>
      </c>
      <c r="P35" s="239">
        <f>'IS (After Changes)'!P35-'IS (Before Changes)'!P35</f>
        <v>0</v>
      </c>
      <c r="Q35" s="239">
        <f>'IS (After Changes)'!Q35-'IS (Before Changes)'!Q35</f>
        <v>0</v>
      </c>
      <c r="R35" s="25">
        <f>'IS (After Changes)'!R35-'IS (Before Changes)'!R35</f>
        <v>0</v>
      </c>
      <c r="S35" s="239">
        <f>'IS (After Changes)'!S35-'IS (Before Changes)'!S35</f>
        <v>0</v>
      </c>
      <c r="T35" s="239">
        <f>'IS (After Changes)'!T35-'IS (Before Changes)'!T35</f>
        <v>0</v>
      </c>
      <c r="U35" s="239">
        <f>'IS (After Changes)'!U35-'IS (Before Changes)'!U35</f>
        <v>0</v>
      </c>
      <c r="V35" s="239">
        <f>'IS (After Changes)'!V35-'IS (Before Changes)'!V35</f>
        <v>0</v>
      </c>
      <c r="W35" s="25">
        <f>'IS (After Changes)'!W35-'IS (Before Changes)'!W35</f>
        <v>0</v>
      </c>
      <c r="X35" s="240">
        <f>'IS (After Changes)'!X35-'IS (Before Changes)'!X35</f>
        <v>0</v>
      </c>
      <c r="Y35" s="240">
        <f>'IS (After Changes)'!Y35-'IS (Before Changes)'!Y35</f>
        <v>0</v>
      </c>
      <c r="Z35" s="240">
        <f>'IS (After Changes)'!Z35-'IS (Before Changes)'!Z35</f>
        <v>0</v>
      </c>
      <c r="AA35" s="240">
        <f>'IS (After Changes)'!AA35-'IS (Before Changes)'!AA35</f>
        <v>0</v>
      </c>
      <c r="AB35" s="25">
        <f>'IS (After Changes)'!AB35-'IS (Before Changes)'!AB35</f>
        <v>0</v>
      </c>
      <c r="AC35" s="240">
        <f>'IS (After Changes)'!AC35-'IS (Before Changes)'!AC35</f>
        <v>0</v>
      </c>
      <c r="AD35" s="240">
        <f>'IS (After Changes)'!AD35-'IS (Before Changes)'!AD35</f>
        <v>0</v>
      </c>
      <c r="AE35" s="240">
        <f>'IS (After Changes)'!AE35-'IS (Before Changes)'!AE35</f>
        <v>0</v>
      </c>
      <c r="AF35" s="240">
        <f>'IS (After Changes)'!AF35-'IS (Before Changes)'!AF35</f>
        <v>0</v>
      </c>
      <c r="AG35" s="25">
        <f>'IS (After Changes)'!AG35-'IS (Before Changes)'!AG35</f>
        <v>0</v>
      </c>
      <c r="AH35" s="240">
        <f>'IS (After Changes)'!AH35-'IS (Before Changes)'!AH35</f>
        <v>0</v>
      </c>
      <c r="AI35" s="240">
        <f>'IS (After Changes)'!AI35-'IS (Before Changes)'!AI35</f>
        <v>0</v>
      </c>
      <c r="AJ35" s="240">
        <f>'IS (After Changes)'!AJ35-'IS (Before Changes)'!AJ35</f>
        <v>0</v>
      </c>
      <c r="AK35" s="240">
        <f>'IS (After Changes)'!AK35-'IS (Before Changes)'!AK35</f>
        <v>0</v>
      </c>
      <c r="AL35" s="25">
        <f>'IS (After Changes)'!AL35-'IS (Before Changes)'!AL35</f>
        <v>0</v>
      </c>
      <c r="AM35" s="240">
        <f>'IS (After Changes)'!AM35-'IS (Before Changes)'!AM35</f>
        <v>0</v>
      </c>
      <c r="AN35" s="240">
        <f>'IS (After Changes)'!AN35-'IS (Before Changes)'!AN35</f>
        <v>0</v>
      </c>
      <c r="AO35" s="240">
        <f>'IS (After Changes)'!AO35-'IS (Before Changes)'!AO35</f>
        <v>0</v>
      </c>
      <c r="AP35" s="240">
        <f>'IS (After Changes)'!AP35-'IS (Before Changes)'!AP35</f>
        <v>0</v>
      </c>
      <c r="AQ35" s="25">
        <f>'IS (After Changes)'!AQ35-'IS (Before Changes)'!AQ35</f>
        <v>0</v>
      </c>
      <c r="AR35" s="240">
        <f>'IS (After Changes)'!AR35-'IS (Before Changes)'!AR35</f>
        <v>0</v>
      </c>
      <c r="AS35" s="240">
        <f>'IS (After Changes)'!AS35-'IS (Before Changes)'!AS35</f>
        <v>0</v>
      </c>
      <c r="AT35" s="240">
        <f>'IS (After Changes)'!AT35-'IS (Before Changes)'!AT35</f>
        <v>0</v>
      </c>
      <c r="AU35" s="240">
        <f>'IS (After Changes)'!AU35-'IS (Before Changes)'!AU35</f>
        <v>0</v>
      </c>
      <c r="AV35" s="25">
        <f>'IS (After Changes)'!AV35-'IS (Before Changes)'!AV35</f>
        <v>0</v>
      </c>
    </row>
    <row r="36" spans="2:48" s="241" customFormat="1" x14ac:dyDescent="0.3">
      <c r="B36" s="242" t="s">
        <v>170</v>
      </c>
      <c r="C36" s="243"/>
      <c r="D36" s="211">
        <f>'IS (After Changes)'!D36-'IS (Before Changes)'!D36</f>
        <v>0</v>
      </c>
      <c r="E36" s="211">
        <f>'IS (After Changes)'!E36-'IS (Before Changes)'!E36</f>
        <v>0</v>
      </c>
      <c r="F36" s="211">
        <f>'IS (After Changes)'!F36-'IS (Before Changes)'!F36</f>
        <v>0</v>
      </c>
      <c r="G36" s="211">
        <f>'IS (After Changes)'!G36-'IS (Before Changes)'!G36</f>
        <v>0</v>
      </c>
      <c r="H36" s="244">
        <f>'IS (After Changes)'!H36-'IS (Before Changes)'!H36</f>
        <v>0</v>
      </c>
      <c r="I36" s="211">
        <f>'IS (After Changes)'!I36-'IS (Before Changes)'!I36</f>
        <v>0</v>
      </c>
      <c r="J36" s="211">
        <f>'IS (After Changes)'!J36-'IS (Before Changes)'!J36</f>
        <v>0</v>
      </c>
      <c r="K36" s="211">
        <f>'IS (After Changes)'!K36-'IS (Before Changes)'!K36</f>
        <v>0</v>
      </c>
      <c r="L36" s="211">
        <f>'IS (After Changes)'!L36-'IS (Before Changes)'!L36</f>
        <v>0</v>
      </c>
      <c r="M36" s="244">
        <f>'IS (After Changes)'!M36-'IS (Before Changes)'!M36</f>
        <v>0</v>
      </c>
      <c r="N36" s="211">
        <f>'IS (After Changes)'!N36-'IS (Before Changes)'!N36</f>
        <v>0</v>
      </c>
      <c r="O36" s="211">
        <f>'IS (After Changes)'!O36-'IS (Before Changes)'!O36</f>
        <v>0</v>
      </c>
      <c r="P36" s="211">
        <f>'IS (After Changes)'!P36-'IS (Before Changes)'!P36</f>
        <v>0</v>
      </c>
      <c r="Q36" s="211">
        <f>'IS (After Changes)'!Q36-'IS (Before Changes)'!Q36</f>
        <v>0</v>
      </c>
      <c r="R36" s="244">
        <f>'IS (After Changes)'!R36-'IS (Before Changes)'!R36</f>
        <v>0</v>
      </c>
      <c r="S36" s="211">
        <f>'IS (After Changes)'!S36-'IS (Before Changes)'!S36</f>
        <v>0</v>
      </c>
      <c r="T36" s="211">
        <f>'IS (After Changes)'!T36-'IS (Before Changes)'!T36</f>
        <v>0</v>
      </c>
      <c r="U36" s="211">
        <f>'IS (After Changes)'!U36-'IS (Before Changes)'!U36</f>
        <v>0</v>
      </c>
      <c r="V36" s="211">
        <f>'IS (After Changes)'!V36-'IS (Before Changes)'!V36</f>
        <v>0</v>
      </c>
      <c r="W36" s="244">
        <f>'IS (After Changes)'!W36-'IS (Before Changes)'!W36</f>
        <v>0</v>
      </c>
      <c r="X36" s="211">
        <f>'IS (After Changes)'!X36-'IS (Before Changes)'!X36</f>
        <v>0</v>
      </c>
      <c r="Y36" s="211">
        <f>'IS (After Changes)'!Y36-'IS (Before Changes)'!Y36</f>
        <v>0</v>
      </c>
      <c r="Z36" s="211">
        <f>'IS (After Changes)'!Z36-'IS (Before Changes)'!Z36</f>
        <v>0</v>
      </c>
      <c r="AA36" s="211">
        <f>'IS (After Changes)'!AA36-'IS (Before Changes)'!AA36</f>
        <v>0</v>
      </c>
      <c r="AB36" s="244">
        <f>'IS (After Changes)'!AB36-'IS (Before Changes)'!AB36</f>
        <v>1.3518070217173217E-2</v>
      </c>
      <c r="AC36" s="211">
        <f>'IS (After Changes)'!AC36-'IS (Before Changes)'!AC36</f>
        <v>0</v>
      </c>
      <c r="AD36" s="211">
        <f>'IS (After Changes)'!AD36-'IS (Before Changes)'!AD36</f>
        <v>0</v>
      </c>
      <c r="AE36" s="211">
        <f>'IS (After Changes)'!AE36-'IS (Before Changes)'!AE36</f>
        <v>0</v>
      </c>
      <c r="AF36" s="211">
        <f>'IS (After Changes)'!AF36-'IS (Before Changes)'!AF36</f>
        <v>0</v>
      </c>
      <c r="AG36" s="244">
        <f>'IS (After Changes)'!AG36-'IS (Before Changes)'!AG36</f>
        <v>-3.9623805012254043E-2</v>
      </c>
      <c r="AH36" s="211">
        <f>'IS (After Changes)'!AH36-'IS (Before Changes)'!AH36</f>
        <v>0</v>
      </c>
      <c r="AI36" s="211">
        <f>'IS (After Changes)'!AI36-'IS (Before Changes)'!AI36</f>
        <v>0</v>
      </c>
      <c r="AJ36" s="211">
        <f>'IS (After Changes)'!AJ36-'IS (Before Changes)'!AJ36</f>
        <v>0</v>
      </c>
      <c r="AK36" s="211">
        <f>'IS (After Changes)'!AK36-'IS (Before Changes)'!AK36</f>
        <v>0</v>
      </c>
      <c r="AL36" s="431">
        <f>'IS (After Changes)'!AL36-'IS (Before Changes)'!AL36</f>
        <v>-3.6593134570852059E-2</v>
      </c>
      <c r="AM36" s="211">
        <f>'IS (After Changes)'!AM36-'IS (Before Changes)'!AM36</f>
        <v>0</v>
      </c>
      <c r="AN36" s="211">
        <f>'IS (After Changes)'!AN36-'IS (Before Changes)'!AN36</f>
        <v>0</v>
      </c>
      <c r="AO36" s="211">
        <f>'IS (After Changes)'!AO36-'IS (Before Changes)'!AO36</f>
        <v>0</v>
      </c>
      <c r="AP36" s="211">
        <f>'IS (After Changes)'!AP36-'IS (Before Changes)'!AP36</f>
        <v>0</v>
      </c>
      <c r="AQ36" s="244">
        <f>'IS (After Changes)'!AQ36-'IS (Before Changes)'!AQ36</f>
        <v>-3.4564480073675741E-2</v>
      </c>
      <c r="AR36" s="211">
        <f>'IS (After Changes)'!AR36-'IS (Before Changes)'!AR36</f>
        <v>0</v>
      </c>
      <c r="AS36" s="211">
        <f>'IS (After Changes)'!AS36-'IS (Before Changes)'!AS36</f>
        <v>0</v>
      </c>
      <c r="AT36" s="211">
        <f>'IS (After Changes)'!AT36-'IS (Before Changes)'!AT36</f>
        <v>0</v>
      </c>
      <c r="AU36" s="211">
        <f>'IS (After Changes)'!AU36-'IS (Before Changes)'!AU36</f>
        <v>0</v>
      </c>
      <c r="AV36" s="244">
        <f>'IS (After Changes)'!AV36-'IS (Before Changes)'!AV36</f>
        <v>-3.2952030758407247E-2</v>
      </c>
    </row>
    <row r="37" spans="2:48" s="63" customFormat="1" x14ac:dyDescent="0.3">
      <c r="B37" s="198"/>
      <c r="C37" s="371"/>
      <c r="D37" s="372"/>
      <c r="E37" s="196"/>
      <c r="F37" s="196"/>
      <c r="G37" s="196"/>
      <c r="H37" s="196"/>
      <c r="I37" s="196"/>
      <c r="J37" s="196"/>
      <c r="K37" s="196"/>
      <c r="L37" s="196"/>
      <c r="M37" s="196"/>
      <c r="N37" s="196"/>
      <c r="O37" s="196"/>
      <c r="P37" s="196"/>
      <c r="Q37" s="196"/>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494" t="s">
        <v>13</v>
      </c>
      <c r="C38" s="495"/>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12"/>
      <c r="C39" s="513"/>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08" t="s">
        <v>174</v>
      </c>
      <c r="C40" s="509"/>
      <c r="D40" s="14"/>
      <c r="E40" s="14"/>
      <c r="F40" s="14"/>
      <c r="G40" s="14"/>
      <c r="H40" s="40"/>
      <c r="I40" s="14"/>
      <c r="J40" s="14"/>
      <c r="K40" s="14"/>
      <c r="L40" s="14"/>
      <c r="M40" s="40"/>
      <c r="N40" s="14"/>
      <c r="O40" s="14"/>
      <c r="P40" s="14"/>
      <c r="Q40" s="14"/>
      <c r="R40" s="40"/>
      <c r="S40" s="14"/>
      <c r="T40" s="14"/>
      <c r="U40" s="14"/>
      <c r="V40" s="14"/>
      <c r="W40" s="40"/>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510" t="s">
        <v>175</v>
      </c>
      <c r="C41" s="511"/>
      <c r="D41" s="21">
        <f>'IS (After Changes)'!D41-'IS (Before Changes)'!D41</f>
        <v>0</v>
      </c>
      <c r="E41" s="21">
        <f>'IS (After Changes)'!E41-'IS (Before Changes)'!E41</f>
        <v>0</v>
      </c>
      <c r="F41" s="116">
        <f>'IS (After Changes)'!F41-'IS (Before Changes)'!F41</f>
        <v>0</v>
      </c>
      <c r="G41" s="21">
        <f>'IS (After Changes)'!G41-'IS (Before Changes)'!G41</f>
        <v>0</v>
      </c>
      <c r="H41" s="57">
        <f>'IS (After Changes)'!H41-'IS (Before Changes)'!H41</f>
        <v>0</v>
      </c>
      <c r="I41" s="21">
        <f>'IS (After Changes)'!I41-'IS (Before Changes)'!I41</f>
        <v>0</v>
      </c>
      <c r="J41" s="21">
        <f>'IS (After Changes)'!J41-'IS (Before Changes)'!J41</f>
        <v>0</v>
      </c>
      <c r="K41" s="21">
        <f>'IS (After Changes)'!K41-'IS (Before Changes)'!K41</f>
        <v>0</v>
      </c>
      <c r="L41" s="21">
        <f>'IS (After Changes)'!L41-'IS (Before Changes)'!L41</f>
        <v>0</v>
      </c>
      <c r="M41" s="57">
        <f>'IS (After Changes)'!M41-'IS (Before Changes)'!M41</f>
        <v>0</v>
      </c>
      <c r="N41" s="21">
        <f>'IS (After Changes)'!N41-'IS (Before Changes)'!N41</f>
        <v>0</v>
      </c>
      <c r="O41" s="21">
        <f>'IS (After Changes)'!O41-'IS (Before Changes)'!O41</f>
        <v>0</v>
      </c>
      <c r="P41" s="21">
        <f>'IS (After Changes)'!P41-'IS (Before Changes)'!P41</f>
        <v>0</v>
      </c>
      <c r="Q41" s="21">
        <f>'IS (After Changes)'!Q41-'IS (Before Changes)'!Q41</f>
        <v>0</v>
      </c>
      <c r="R41" s="191">
        <f>'IS (After Changes)'!R41-'IS (Before Changes)'!R41</f>
        <v>0</v>
      </c>
      <c r="S41" s="21">
        <f>'IS (After Changes)'!S41-'IS (Before Changes)'!S41</f>
        <v>0</v>
      </c>
      <c r="T41" s="21">
        <f>'IS (After Changes)'!T41-'IS (Before Changes)'!T41</f>
        <v>0</v>
      </c>
      <c r="U41" s="21">
        <f>'IS (After Changes)'!U41-'IS (Before Changes)'!U41</f>
        <v>0</v>
      </c>
      <c r="V41" s="21">
        <f>'IS (After Changes)'!V41-'IS (Before Changes)'!V41</f>
        <v>0</v>
      </c>
      <c r="W41" s="191">
        <f>'IS (After Changes)'!W41-'IS (Before Changes)'!W41</f>
        <v>0</v>
      </c>
      <c r="X41" s="21">
        <f>'IS (After Changes)'!X41-'IS (Before Changes)'!X41</f>
        <v>0</v>
      </c>
      <c r="Y41" s="21">
        <f>'IS (After Changes)'!Y41-'IS (Before Changes)'!Y41</f>
        <v>0</v>
      </c>
      <c r="Z41" s="21">
        <f>'IS (After Changes)'!Z41-'IS (Before Changes)'!Z41</f>
        <v>0</v>
      </c>
      <c r="AA41" s="21">
        <f>'IS (After Changes)'!AA41-'IS (Before Changes)'!AA41</f>
        <v>0</v>
      </c>
      <c r="AB41" s="191">
        <f>'IS (After Changes)'!AB41-'IS (Before Changes)'!AB41</f>
        <v>0</v>
      </c>
      <c r="AC41" s="21">
        <f>'IS (After Changes)'!AC41-'IS (Before Changes)'!AC41</f>
        <v>0</v>
      </c>
      <c r="AD41" s="21">
        <f>'IS (After Changes)'!AD41-'IS (Before Changes)'!AD41</f>
        <v>0</v>
      </c>
      <c r="AE41" s="21">
        <f>'IS (After Changes)'!AE41-'IS (Before Changes)'!AE41</f>
        <v>0</v>
      </c>
      <c r="AF41" s="21">
        <f>'IS (After Changes)'!AF41-'IS (Before Changes)'!AF41</f>
        <v>0</v>
      </c>
      <c r="AG41" s="191">
        <f>'IS (After Changes)'!AG41-'IS (Before Changes)'!AG41</f>
        <v>0</v>
      </c>
      <c r="AH41" s="21">
        <f>'IS (After Changes)'!AH41-'IS (Before Changes)'!AH41</f>
        <v>0</v>
      </c>
      <c r="AI41" s="21">
        <f>'IS (After Changes)'!AI41-'IS (Before Changes)'!AI41</f>
        <v>0</v>
      </c>
      <c r="AJ41" s="21">
        <f>'IS (After Changes)'!AJ41-'IS (Before Changes)'!AJ41</f>
        <v>0</v>
      </c>
      <c r="AK41" s="21">
        <f>'IS (After Changes)'!AK41-'IS (Before Changes)'!AK41</f>
        <v>0</v>
      </c>
      <c r="AL41" s="191">
        <f>'IS (After Changes)'!AL41-'IS (Before Changes)'!AL41</f>
        <v>0</v>
      </c>
      <c r="AM41" s="21">
        <f>'IS (After Changes)'!AM41-'IS (Before Changes)'!AM41</f>
        <v>0</v>
      </c>
      <c r="AN41" s="21">
        <f>'IS (After Changes)'!AN41-'IS (Before Changes)'!AN41</f>
        <v>0</v>
      </c>
      <c r="AO41" s="21">
        <f>'IS (After Changes)'!AO41-'IS (Before Changes)'!AO41</f>
        <v>0</v>
      </c>
      <c r="AP41" s="21">
        <f>'IS (After Changes)'!AP41-'IS (Before Changes)'!AP41</f>
        <v>0</v>
      </c>
      <c r="AQ41" s="191">
        <f>'IS (After Changes)'!AQ41-'IS (Before Changes)'!AQ41</f>
        <v>0</v>
      </c>
      <c r="AR41" s="21">
        <f>'IS (After Changes)'!AR41-'IS (Before Changes)'!AR41</f>
        <v>0</v>
      </c>
      <c r="AS41" s="21">
        <f>'IS (After Changes)'!AS41-'IS (Before Changes)'!AS41</f>
        <v>0</v>
      </c>
      <c r="AT41" s="21">
        <f>'IS (After Changes)'!AT41-'IS (Before Changes)'!AT41</f>
        <v>0</v>
      </c>
      <c r="AU41" s="21">
        <f>'IS (After Changes)'!AU41-'IS (Before Changes)'!AU41</f>
        <v>0</v>
      </c>
      <c r="AV41" s="191">
        <f>'IS (After Changes)'!AV41-'IS (Before Changes)'!AV41</f>
        <v>0</v>
      </c>
    </row>
    <row r="42" spans="2:48" outlineLevel="1" x14ac:dyDescent="0.3">
      <c r="B42" s="180" t="s">
        <v>46</v>
      </c>
      <c r="C42" s="201"/>
      <c r="D42" s="101">
        <f>'IS (After Changes)'!D42-'IS (Before Changes)'!D42</f>
        <v>0</v>
      </c>
      <c r="E42" s="101">
        <f>'IS (After Changes)'!E42-'IS (Before Changes)'!E42</f>
        <v>0</v>
      </c>
      <c r="F42" s="101">
        <f>'IS (After Changes)'!F42-'IS (Before Changes)'!F42</f>
        <v>0</v>
      </c>
      <c r="G42" s="101">
        <f>'IS (After Changes)'!G42-'IS (Before Changes)'!G42</f>
        <v>0</v>
      </c>
      <c r="H42" s="122">
        <f>'IS (After Changes)'!H42-'IS (Before Changes)'!H42</f>
        <v>0</v>
      </c>
      <c r="I42" s="101">
        <f>'IS (After Changes)'!I42-'IS (Before Changes)'!I42</f>
        <v>0</v>
      </c>
      <c r="J42" s="101">
        <f>'IS (After Changes)'!J42-'IS (Before Changes)'!J42</f>
        <v>0</v>
      </c>
      <c r="K42" s="101">
        <f>'IS (After Changes)'!K42-'IS (Before Changes)'!K42</f>
        <v>0</v>
      </c>
      <c r="L42" s="101">
        <f>'IS (After Changes)'!L42-'IS (Before Changes)'!L42</f>
        <v>0</v>
      </c>
      <c r="M42" s="122">
        <f>'IS (After Changes)'!M42-'IS (Before Changes)'!M42</f>
        <v>0</v>
      </c>
      <c r="N42" s="101">
        <f>'IS (After Changes)'!N42-'IS (Before Changes)'!N42</f>
        <v>0</v>
      </c>
      <c r="O42" s="101">
        <f>'IS (After Changes)'!O42-'IS (Before Changes)'!O42</f>
        <v>0</v>
      </c>
      <c r="P42" s="101">
        <f>'IS (After Changes)'!P42-'IS (Before Changes)'!P42</f>
        <v>0</v>
      </c>
      <c r="Q42" s="101">
        <f>'IS (After Changes)'!Q42-'IS (Before Changes)'!Q42</f>
        <v>0</v>
      </c>
      <c r="R42" s="26">
        <f>'IS (After Changes)'!R42-'IS (Before Changes)'!R42</f>
        <v>0</v>
      </c>
      <c r="S42" s="101">
        <f>'IS (After Changes)'!S42-'IS (Before Changes)'!S42</f>
        <v>0</v>
      </c>
      <c r="T42" s="101">
        <f>'IS (After Changes)'!T42-'IS (Before Changes)'!T42</f>
        <v>0</v>
      </c>
      <c r="U42" s="101">
        <f>'IS (After Changes)'!U42-'IS (Before Changes)'!U42</f>
        <v>0</v>
      </c>
      <c r="V42" s="101">
        <f>'IS (After Changes)'!V42-'IS (Before Changes)'!V42</f>
        <v>0</v>
      </c>
      <c r="W42" s="122">
        <f>'IS (After Changes)'!W42-'IS (Before Changes)'!W42</f>
        <v>0</v>
      </c>
      <c r="X42" s="33">
        <f>'IS (After Changes)'!X42-'IS (Before Changes)'!X42</f>
        <v>0</v>
      </c>
      <c r="Y42" s="33">
        <f>'IS (After Changes)'!Y42-'IS (Before Changes)'!Y42</f>
        <v>0</v>
      </c>
      <c r="Z42" s="33">
        <f>'IS (After Changes)'!Z42-'IS (Before Changes)'!Z42</f>
        <v>0</v>
      </c>
      <c r="AA42" s="33">
        <f>'IS (After Changes)'!AA42-'IS (Before Changes)'!AA42</f>
        <v>0</v>
      </c>
      <c r="AB42" s="26">
        <f>'IS (After Changes)'!AB42-'IS (Before Changes)'!AB42</f>
        <v>0</v>
      </c>
      <c r="AC42" s="33">
        <f>'IS (After Changes)'!AC42-'IS (Before Changes)'!AC42</f>
        <v>0</v>
      </c>
      <c r="AD42" s="33">
        <f>'IS (After Changes)'!AD42-'IS (Before Changes)'!AD42</f>
        <v>0</v>
      </c>
      <c r="AE42" s="33">
        <f>'IS (After Changes)'!AE42-'IS (Before Changes)'!AE42</f>
        <v>0</v>
      </c>
      <c r="AF42" s="33">
        <f>'IS (After Changes)'!AF42-'IS (Before Changes)'!AF42</f>
        <v>0</v>
      </c>
      <c r="AG42" s="26">
        <f>'IS (After Changes)'!AG42-'IS (Before Changes)'!AG42</f>
        <v>0</v>
      </c>
      <c r="AH42" s="33">
        <f>'IS (After Changes)'!AH42-'IS (Before Changes)'!AH42</f>
        <v>0</v>
      </c>
      <c r="AI42" s="33">
        <f>'IS (After Changes)'!AI42-'IS (Before Changes)'!AI42</f>
        <v>0</v>
      </c>
      <c r="AJ42" s="33">
        <f>'IS (After Changes)'!AJ42-'IS (Before Changes)'!AJ42</f>
        <v>0</v>
      </c>
      <c r="AK42" s="33">
        <f>'IS (After Changes)'!AK42-'IS (Before Changes)'!AK42</f>
        <v>0</v>
      </c>
      <c r="AL42" s="26">
        <f>'IS (After Changes)'!AL42-'IS (Before Changes)'!AL42</f>
        <v>0</v>
      </c>
      <c r="AM42" s="33">
        <f>'IS (After Changes)'!AM42-'IS (Before Changes)'!AM42</f>
        <v>0</v>
      </c>
      <c r="AN42" s="33">
        <f>'IS (After Changes)'!AN42-'IS (Before Changes)'!AN42</f>
        <v>0</v>
      </c>
      <c r="AO42" s="33">
        <f>'IS (After Changes)'!AO42-'IS (Before Changes)'!AO42</f>
        <v>0</v>
      </c>
      <c r="AP42" s="33">
        <f>'IS (After Changes)'!AP42-'IS (Before Changes)'!AP42</f>
        <v>0</v>
      </c>
      <c r="AQ42" s="26">
        <f>'IS (After Changes)'!AQ42-'IS (Before Changes)'!AQ42</f>
        <v>0</v>
      </c>
      <c r="AR42" s="33">
        <f>'IS (After Changes)'!AR42-'IS (Before Changes)'!AR42</f>
        <v>0</v>
      </c>
      <c r="AS42" s="33">
        <f>'IS (After Changes)'!AS42-'IS (Before Changes)'!AS42</f>
        <v>0</v>
      </c>
      <c r="AT42" s="33">
        <f>'IS (After Changes)'!AT42-'IS (Before Changes)'!AT42</f>
        <v>0</v>
      </c>
      <c r="AU42" s="33">
        <f>'IS (After Changes)'!AU42-'IS (Before Changes)'!AU42</f>
        <v>0</v>
      </c>
      <c r="AV42" s="26">
        <f>'IS (After Changes)'!AV42-'IS (Before Changes)'!AV42</f>
        <v>0</v>
      </c>
    </row>
    <row r="43" spans="2:48" outlineLevel="1" x14ac:dyDescent="0.3">
      <c r="B43" s="180" t="s">
        <v>201</v>
      </c>
      <c r="C43" s="201"/>
      <c r="D43" s="101">
        <f>'IS (After Changes)'!D43-'IS (Before Changes)'!D43</f>
        <v>0</v>
      </c>
      <c r="E43" s="101">
        <f>'IS (After Changes)'!E43-'IS (Before Changes)'!E43</f>
        <v>0</v>
      </c>
      <c r="F43" s="101">
        <f>'IS (After Changes)'!F43-'IS (Before Changes)'!F43</f>
        <v>0</v>
      </c>
      <c r="G43" s="101">
        <f>'IS (After Changes)'!G43-'IS (Before Changes)'!G43</f>
        <v>0</v>
      </c>
      <c r="H43" s="122">
        <f>'IS (After Changes)'!H43-'IS (Before Changes)'!H43</f>
        <v>0</v>
      </c>
      <c r="I43" s="101">
        <f>'IS (After Changes)'!I43-'IS (Before Changes)'!I43</f>
        <v>0</v>
      </c>
      <c r="J43" s="101">
        <f>'IS (After Changes)'!J43-'IS (Before Changes)'!J43</f>
        <v>0</v>
      </c>
      <c r="K43" s="101">
        <f>'IS (After Changes)'!K43-'IS (Before Changes)'!K43</f>
        <v>0</v>
      </c>
      <c r="L43" s="101">
        <f>'IS (After Changes)'!L43-'IS (Before Changes)'!L43</f>
        <v>0</v>
      </c>
      <c r="M43" s="122">
        <f>'IS (After Changes)'!M43-'IS (Before Changes)'!M43</f>
        <v>0</v>
      </c>
      <c r="N43" s="101">
        <f>'IS (After Changes)'!N43-'IS (Before Changes)'!N43</f>
        <v>0</v>
      </c>
      <c r="O43" s="101">
        <f>'IS (After Changes)'!O43-'IS (Before Changes)'!O43</f>
        <v>0</v>
      </c>
      <c r="P43" s="101">
        <f>'IS (After Changes)'!P43-'IS (Before Changes)'!P43</f>
        <v>0</v>
      </c>
      <c r="Q43" s="101">
        <f>'IS (After Changes)'!Q43-'IS (Before Changes)'!Q43</f>
        <v>0</v>
      </c>
      <c r="R43" s="122">
        <f>'IS (After Changes)'!R43-'IS (Before Changes)'!R43</f>
        <v>0</v>
      </c>
      <c r="S43" s="101">
        <f>'IS (After Changes)'!S43-'IS (Before Changes)'!S43</f>
        <v>0</v>
      </c>
      <c r="T43" s="101">
        <f>'IS (After Changes)'!T43-'IS (Before Changes)'!T43</f>
        <v>0</v>
      </c>
      <c r="U43" s="101">
        <f>'IS (After Changes)'!U43-'IS (Before Changes)'!U43</f>
        <v>0</v>
      </c>
      <c r="V43" s="101">
        <f>'IS (After Changes)'!V43-'IS (Before Changes)'!V43</f>
        <v>0</v>
      </c>
      <c r="W43" s="122">
        <f>'IS (After Changes)'!W43-'IS (Before Changes)'!W43</f>
        <v>0</v>
      </c>
      <c r="X43" s="101">
        <f>'IS (After Changes)'!X43-'IS (Before Changes)'!X43</f>
        <v>0</v>
      </c>
      <c r="Y43" s="101">
        <f>'IS (After Changes)'!Y43-'IS (Before Changes)'!Y43</f>
        <v>0</v>
      </c>
      <c r="Z43" s="101">
        <f>'IS (After Changes)'!Z43-'IS (Before Changes)'!Z43</f>
        <v>0</v>
      </c>
      <c r="AA43" s="101">
        <f>'IS (After Changes)'!AA43-'IS (Before Changes)'!AA43</f>
        <v>0</v>
      </c>
      <c r="AB43" s="122">
        <f>'IS (After Changes)'!AB43-'IS (Before Changes)'!AB43</f>
        <v>0</v>
      </c>
      <c r="AC43" s="101">
        <f>'IS (After Changes)'!AC43-'IS (Before Changes)'!AC43</f>
        <v>0</v>
      </c>
      <c r="AD43" s="101">
        <f>'IS (After Changes)'!AD43-'IS (Before Changes)'!AD43</f>
        <v>0</v>
      </c>
      <c r="AE43" s="101">
        <f>'IS (After Changes)'!AE43-'IS (Before Changes)'!AE43</f>
        <v>0</v>
      </c>
      <c r="AF43" s="101">
        <f>'IS (After Changes)'!AF43-'IS (Before Changes)'!AF43</f>
        <v>0</v>
      </c>
      <c r="AG43" s="122">
        <f>'IS (After Changes)'!AG43-'IS (Before Changes)'!AG43</f>
        <v>0</v>
      </c>
      <c r="AH43" s="101">
        <f>'IS (After Changes)'!AH43-'IS (Before Changes)'!AH43</f>
        <v>0</v>
      </c>
      <c r="AI43" s="101">
        <f>'IS (After Changes)'!AI43-'IS (Before Changes)'!AI43</f>
        <v>0</v>
      </c>
      <c r="AJ43" s="101">
        <f>'IS (After Changes)'!AJ43-'IS (Before Changes)'!AJ43</f>
        <v>0</v>
      </c>
      <c r="AK43" s="101">
        <f>'IS (After Changes)'!AK43-'IS (Before Changes)'!AK43</f>
        <v>0</v>
      </c>
      <c r="AL43" s="122">
        <f>'IS (After Changes)'!AL43-'IS (Before Changes)'!AL43</f>
        <v>0</v>
      </c>
      <c r="AM43" s="101">
        <f>'IS (After Changes)'!AM43-'IS (Before Changes)'!AM43</f>
        <v>0</v>
      </c>
      <c r="AN43" s="101">
        <f>'IS (After Changes)'!AN43-'IS (Before Changes)'!AN43</f>
        <v>0</v>
      </c>
      <c r="AO43" s="101">
        <f>'IS (After Changes)'!AO43-'IS (Before Changes)'!AO43</f>
        <v>0</v>
      </c>
      <c r="AP43" s="101">
        <f>'IS (After Changes)'!AP43-'IS (Before Changes)'!AP43</f>
        <v>0</v>
      </c>
      <c r="AQ43" s="122">
        <f>'IS (After Changes)'!AQ43-'IS (Before Changes)'!AQ43</f>
        <v>0</v>
      </c>
      <c r="AR43" s="101">
        <f>'IS (After Changes)'!AR43-'IS (Before Changes)'!AR43</f>
        <v>0</v>
      </c>
      <c r="AS43" s="101">
        <f>'IS (After Changes)'!AS43-'IS (Before Changes)'!AS43</f>
        <v>0</v>
      </c>
      <c r="AT43" s="101">
        <f>'IS (After Changes)'!AT43-'IS (Before Changes)'!AT43</f>
        <v>0</v>
      </c>
      <c r="AU43" s="101">
        <f>'IS (After Changes)'!AU43-'IS (Before Changes)'!AU43</f>
        <v>0</v>
      </c>
      <c r="AV43" s="122">
        <f>'IS (After Changes)'!AV43-'IS (Before Changes)'!AV43</f>
        <v>0</v>
      </c>
    </row>
    <row r="44" spans="2:48" s="8" customFormat="1" outlineLevel="1" x14ac:dyDescent="0.3">
      <c r="B44" s="180" t="s">
        <v>205</v>
      </c>
      <c r="C44" s="206"/>
      <c r="D44" s="474">
        <f>'IS (After Changes)'!D44-'IS (Before Changes)'!D44</f>
        <v>0</v>
      </c>
      <c r="E44" s="43">
        <f>'IS (After Changes)'!E44-'IS (Before Changes)'!E44</f>
        <v>0</v>
      </c>
      <c r="F44" s="43">
        <f>'IS (After Changes)'!F44-'IS (Before Changes)'!F44</f>
        <v>0</v>
      </c>
      <c r="G44" s="43">
        <f>'IS (After Changes)'!G44-'IS (Before Changes)'!G44</f>
        <v>0</v>
      </c>
      <c r="H44" s="473">
        <f>'IS (After Changes)'!H44-'IS (Before Changes)'!H44</f>
        <v>0</v>
      </c>
      <c r="I44" s="43">
        <f>'IS (After Changes)'!I44-'IS (Before Changes)'!I44</f>
        <v>0</v>
      </c>
      <c r="J44" s="43">
        <f>'IS (After Changes)'!J44-'IS (Before Changes)'!J44</f>
        <v>0</v>
      </c>
      <c r="K44" s="43">
        <f>'IS (After Changes)'!K44-'IS (Before Changes)'!K44</f>
        <v>0</v>
      </c>
      <c r="L44" s="43">
        <f>'IS (After Changes)'!L44-'IS (Before Changes)'!L44</f>
        <v>0</v>
      </c>
      <c r="M44" s="473">
        <f>'IS (After Changes)'!M44-'IS (Before Changes)'!M44</f>
        <v>0</v>
      </c>
      <c r="N44" s="43">
        <f>'IS (After Changes)'!N44-'IS (Before Changes)'!N44</f>
        <v>0</v>
      </c>
      <c r="O44" s="43">
        <f>'IS (After Changes)'!O44-'IS (Before Changes)'!O44</f>
        <v>0</v>
      </c>
      <c r="P44" s="43">
        <f>'IS (After Changes)'!P44-'IS (Before Changes)'!P44</f>
        <v>0</v>
      </c>
      <c r="Q44" s="43">
        <f>'IS (After Changes)'!Q44-'IS (Before Changes)'!Q44</f>
        <v>0</v>
      </c>
      <c r="R44" s="97">
        <f>'IS (After Changes)'!R44-'IS (Before Changes)'!R44</f>
        <v>0</v>
      </c>
      <c r="S44" s="43">
        <f>'IS (After Changes)'!S44-'IS (Before Changes)'!S44</f>
        <v>0</v>
      </c>
      <c r="T44" s="43">
        <f>'IS (After Changes)'!T44-'IS (Before Changes)'!T44</f>
        <v>0</v>
      </c>
      <c r="U44" s="43">
        <f>'IS (After Changes)'!U44-'IS (Before Changes)'!U44</f>
        <v>0</v>
      </c>
      <c r="V44" s="43">
        <f>'IS (After Changes)'!V44-'IS (Before Changes)'!V44</f>
        <v>0</v>
      </c>
      <c r="W44" s="132">
        <f>'IS (After Changes)'!W44-'IS (Before Changes)'!W44</f>
        <v>0</v>
      </c>
      <c r="X44" s="219">
        <f>'IS (After Changes)'!X44-'IS (Before Changes)'!X44</f>
        <v>2.8232817165122492E-3</v>
      </c>
      <c r="Y44" s="219">
        <f>'IS (After Changes)'!Y44-'IS (Before Changes)'!Y44</f>
        <v>2.6603409892212992E-3</v>
      </c>
      <c r="Z44" s="219">
        <f>'IS (After Changes)'!Z44-'IS (Before Changes)'!Z44</f>
        <v>1.3973167366526651E-2</v>
      </c>
      <c r="AA44" s="219">
        <f>'IS (After Changes)'!AA44-'IS (Before Changes)'!AA44</f>
        <v>1.3885835882759268E-2</v>
      </c>
      <c r="AB44" s="97">
        <f>'IS (After Changes)'!AB44-'IS (Before Changes)'!AB44</f>
        <v>0</v>
      </c>
      <c r="AC44" s="219">
        <f>'IS (After Changes)'!AC44-'IS (Before Changes)'!AC44</f>
        <v>5.943713833687303E-3</v>
      </c>
      <c r="AD44" s="219">
        <f>'IS (After Changes)'!AD44-'IS (Before Changes)'!AD44</f>
        <v>5.6006828675579934E-3</v>
      </c>
      <c r="AE44" s="219">
        <f>'IS (After Changes)'!AE44-'IS (Before Changes)'!AE44</f>
        <v>1.7783728654768849E-2</v>
      </c>
      <c r="AF44" s="219">
        <f>'IS (After Changes)'!AF44-'IS (Before Changes)'!AF44</f>
        <v>1.7672581384461483E-2</v>
      </c>
      <c r="AG44" s="97">
        <f>'IS (After Changes)'!AG44-'IS (Before Changes)'!AG44</f>
        <v>0</v>
      </c>
      <c r="AH44" s="219">
        <f>'IS (After Changes)'!AH44-'IS (Before Changes)'!AH44</f>
        <v>9.5635296795572033E-3</v>
      </c>
      <c r="AI44" s="219">
        <f>'IS (After Changes)'!AI44-'IS (Before Changes)'!AI44</f>
        <v>9.0115874230186632E-3</v>
      </c>
      <c r="AJ44" s="219">
        <f>'IS (After Changes)'!AJ44-'IS (Before Changes)'!AJ44</f>
        <v>2.2374974465534381E-2</v>
      </c>
      <c r="AK44" s="219">
        <f>'IS (After Changes)'!AK44-'IS (Before Changes)'!AK44</f>
        <v>2.2235132175803085E-2</v>
      </c>
      <c r="AL44" s="97">
        <f>'IS (After Changes)'!AL44-'IS (Before Changes)'!AL44</f>
        <v>0</v>
      </c>
      <c r="AM44" s="219">
        <f>'IS (After Changes)'!AM44-'IS (Before Changes)'!AM44</f>
        <v>1.0041706163535058E-2</v>
      </c>
      <c r="AN44" s="219">
        <f>'IS (After Changes)'!AN44-'IS (Before Changes)'!AN44</f>
        <v>9.4621667941695575E-3</v>
      </c>
      <c r="AO44" s="219">
        <f>'IS (After Changes)'!AO44-'IS (Before Changes)'!AO44</f>
        <v>2.3493723188811155E-2</v>
      </c>
      <c r="AP44" s="219">
        <f>'IS (After Changes)'!AP44-'IS (Before Changes)'!AP44</f>
        <v>2.3346888784593234E-2</v>
      </c>
      <c r="AQ44" s="97">
        <f>'IS (After Changes)'!AQ44-'IS (Before Changes)'!AQ44</f>
        <v>0</v>
      </c>
      <c r="AR44" s="219">
        <f>'IS (After Changes)'!AR44-'IS (Before Changes)'!AR44</f>
        <v>1.0342957348441151E-2</v>
      </c>
      <c r="AS44" s="219">
        <f>'IS (After Changes)'!AS44-'IS (Before Changes)'!AS44</f>
        <v>9.7460317979946032E-3</v>
      </c>
      <c r="AT44" s="219">
        <f>'IS (After Changes)'!AT44-'IS (Before Changes)'!AT44</f>
        <v>2.4198534884475431E-2</v>
      </c>
      <c r="AU44" s="219">
        <f>'IS (After Changes)'!AU44-'IS (Before Changes)'!AU44</f>
        <v>2.4047295448131001E-2</v>
      </c>
      <c r="AV44" s="97">
        <f>'IS (After Changes)'!AV44-'IS (Before Changes)'!AV44</f>
        <v>0</v>
      </c>
    </row>
    <row r="45" spans="2:48" s="8" customFormat="1" outlineLevel="1" x14ac:dyDescent="0.3">
      <c r="B45" s="500" t="s">
        <v>176</v>
      </c>
      <c r="C45" s="501"/>
      <c r="D45" s="50">
        <f>'IS (After Changes)'!D45-'IS (Before Changes)'!D45</f>
        <v>0</v>
      </c>
      <c r="E45" s="50">
        <f>'IS (After Changes)'!E45-'IS (Before Changes)'!E45</f>
        <v>0</v>
      </c>
      <c r="F45" s="50">
        <f>'IS (After Changes)'!F45-'IS (Before Changes)'!F45</f>
        <v>0</v>
      </c>
      <c r="G45" s="50">
        <f>'IS (After Changes)'!G45-'IS (Before Changes)'!G45</f>
        <v>0</v>
      </c>
      <c r="H45" s="97">
        <f>'IS (After Changes)'!H45-'IS (Before Changes)'!H45</f>
        <v>0</v>
      </c>
      <c r="I45" s="50">
        <f>'IS (After Changes)'!I45-'IS (Before Changes)'!I45</f>
        <v>0</v>
      </c>
      <c r="J45" s="50">
        <f>'IS (After Changes)'!J45-'IS (Before Changes)'!J45</f>
        <v>0</v>
      </c>
      <c r="K45" s="103">
        <f>'IS (After Changes)'!K45-'IS (Before Changes)'!K45</f>
        <v>0</v>
      </c>
      <c r="L45" s="50">
        <f>'IS (After Changes)'!L45-'IS (Before Changes)'!L45</f>
        <v>0</v>
      </c>
      <c r="M45" s="132">
        <f>'IS (After Changes)'!M45-'IS (Before Changes)'!M45</f>
        <v>0</v>
      </c>
      <c r="N45" s="50">
        <f>'IS (After Changes)'!N45-'IS (Before Changes)'!N45</f>
        <v>0</v>
      </c>
      <c r="O45" s="50">
        <f>'IS (After Changes)'!O45-'IS (Before Changes)'!O45</f>
        <v>0</v>
      </c>
      <c r="P45" s="50">
        <f>'IS (After Changes)'!P45-'IS (Before Changes)'!P45</f>
        <v>0</v>
      </c>
      <c r="Q45" s="103">
        <f>'IS (After Changes)'!Q45-'IS (Before Changes)'!Q45</f>
        <v>0</v>
      </c>
      <c r="R45" s="132">
        <f>'IS (After Changes)'!R45-'IS (Before Changes)'!R45</f>
        <v>0</v>
      </c>
      <c r="S45" s="50">
        <f>'IS (After Changes)'!S45-'IS (Before Changes)'!S45</f>
        <v>0</v>
      </c>
      <c r="T45" s="50">
        <f>'IS (After Changes)'!T45-'IS (Before Changes)'!T45</f>
        <v>0</v>
      </c>
      <c r="U45" s="50">
        <f>'IS (After Changes)'!U45-'IS (Before Changes)'!U45</f>
        <v>0</v>
      </c>
      <c r="V45" s="50">
        <f>'IS (After Changes)'!V45-'IS (Before Changes)'!V45</f>
        <v>0</v>
      </c>
      <c r="W45" s="132">
        <f>'IS (After Changes)'!W45-'IS (Before Changes)'!W45</f>
        <v>0</v>
      </c>
      <c r="X45" s="50">
        <f>'IS (After Changes)'!X45-'IS (Before Changes)'!X45</f>
        <v>28.928050287813676</v>
      </c>
      <c r="Y45" s="50">
        <f>'IS (After Changes)'!Y45-'IS (Before Changes)'!Y45</f>
        <v>27.419469490656411</v>
      </c>
      <c r="Z45" s="50">
        <f>'IS (After Changes)'!Z45-'IS (Before Changes)'!Z45</f>
        <v>144.86331938062358</v>
      </c>
      <c r="AA45" s="50">
        <f>'IS (After Changes)'!AA45-'IS (Before Changes)'!AA45</f>
        <v>144.79802512644346</v>
      </c>
      <c r="AB45" s="97">
        <f>'IS (After Changes)'!AB45-'IS (Before Changes)'!AB45</f>
        <v>346.00886428553713</v>
      </c>
      <c r="AC45" s="50">
        <f>'IS (After Changes)'!AC45-'IS (Before Changes)'!AC45</f>
        <v>62.373332970714728</v>
      </c>
      <c r="AD45" s="50">
        <f>'IS (After Changes)'!AD45-'IS (Before Changes)'!AD45</f>
        <v>59.176815178617289</v>
      </c>
      <c r="AE45" s="50">
        <f>'IS (After Changes)'!AE45-'IS (Before Changes)'!AE45</f>
        <v>189.192197293758</v>
      </c>
      <c r="AF45" s="50">
        <f>'IS (After Changes)'!AF45-'IS (Before Changes)'!AF45</f>
        <v>189.29985549965841</v>
      </c>
      <c r="AG45" s="97">
        <f>'IS (After Changes)'!AG45-'IS (Before Changes)'!AG45</f>
        <v>500.04220094274933</v>
      </c>
      <c r="AH45" s="50">
        <f>'IS (After Changes)'!AH45-'IS (Before Changes)'!AH45</f>
        <v>103.20004877210158</v>
      </c>
      <c r="AI45" s="50">
        <f>'IS (After Changes)'!AI45-'IS (Before Changes)'!AI45</f>
        <v>98.019036400174627</v>
      </c>
      <c r="AJ45" s="50">
        <f>'IS (After Changes)'!AJ45-'IS (Before Changes)'!AJ45</f>
        <v>245.29684506565354</v>
      </c>
      <c r="AK45" s="50">
        <f>'IS (After Changes)'!AK45-'IS (Before Changes)'!AK45</f>
        <v>245.6759754104487</v>
      </c>
      <c r="AL45" s="97">
        <f>'IS (After Changes)'!AL45-'IS (Before Changes)'!AL45</f>
        <v>692.19190564837845</v>
      </c>
      <c r="AM45" s="50">
        <f>'IS (After Changes)'!AM45-'IS (Before Changes)'!AM45</f>
        <v>111.86460666178027</v>
      </c>
      <c r="AN45" s="50">
        <f>'IS (After Changes)'!AN45-'IS (Before Changes)'!AN45</f>
        <v>106.31690609928955</v>
      </c>
      <c r="AO45" s="50">
        <f>'IS (After Changes)'!AO45-'IS (Before Changes)'!AO45</f>
        <v>266.23087117560863</v>
      </c>
      <c r="AP45" s="50">
        <f>'IS (After Changes)'!AP45-'IS (Before Changes)'!AP45</f>
        <v>266.80824503033091</v>
      </c>
      <c r="AQ45" s="97">
        <f>'IS (After Changes)'!AQ45-'IS (Before Changes)'!AQ45</f>
        <v>751.22062896701027</v>
      </c>
      <c r="AR45" s="50">
        <f>'IS (After Changes)'!AR45-'IS (Before Changes)'!AR45</f>
        <v>119.19224048343585</v>
      </c>
      <c r="AS45" s="50">
        <f>'IS (After Changes)'!AS45-'IS (Before Changes)'!AS45</f>
        <v>113.24888949269734</v>
      </c>
      <c r="AT45" s="50">
        <f>'IS (After Changes)'!AT45-'IS (Before Changes)'!AT45</f>
        <v>283.51003470651449</v>
      </c>
      <c r="AU45" s="50">
        <f>'IS (After Changes)'!AU45-'IS (Before Changes)'!AU45</f>
        <v>284.04665383332394</v>
      </c>
      <c r="AV45" s="97">
        <f>'IS (After Changes)'!AV45-'IS (Before Changes)'!AV45</f>
        <v>799.99781851596708</v>
      </c>
    </row>
    <row r="46" spans="2:48" s="8" customFormat="1" outlineLevel="1" x14ac:dyDescent="0.3">
      <c r="B46" s="38" t="s">
        <v>200</v>
      </c>
      <c r="C46" s="206"/>
      <c r="D46" s="43">
        <f>'IS (After Changes)'!D46-'IS (Before Changes)'!D46</f>
        <v>0</v>
      </c>
      <c r="E46" s="43">
        <f>'IS (After Changes)'!E46-'IS (Before Changes)'!E46</f>
        <v>0</v>
      </c>
      <c r="F46" s="43">
        <f>'IS (After Changes)'!F46-'IS (Before Changes)'!F46</f>
        <v>0</v>
      </c>
      <c r="G46" s="43">
        <f>'IS (After Changes)'!G46-'IS (Before Changes)'!G46</f>
        <v>0</v>
      </c>
      <c r="H46" s="97">
        <f>'IS (After Changes)'!H46-'IS (Before Changes)'!H46</f>
        <v>0</v>
      </c>
      <c r="I46" s="27">
        <f>'IS (After Changes)'!I46-'IS (Before Changes)'!I46</f>
        <v>0</v>
      </c>
      <c r="J46" s="27">
        <f>'IS (After Changes)'!J46-'IS (Before Changes)'!J46</f>
        <v>0</v>
      </c>
      <c r="K46" s="27">
        <f>'IS (After Changes)'!K46-'IS (Before Changes)'!K46</f>
        <v>0</v>
      </c>
      <c r="L46" s="27">
        <f>'IS (After Changes)'!L46-'IS (Before Changes)'!L46</f>
        <v>0</v>
      </c>
      <c r="M46" s="97">
        <f>'IS (After Changes)'!M46-'IS (Before Changes)'!M46</f>
        <v>0</v>
      </c>
      <c r="N46" s="27">
        <f>'IS (After Changes)'!N46-'IS (Before Changes)'!N46</f>
        <v>0</v>
      </c>
      <c r="O46" s="27">
        <f>'IS (After Changes)'!O46-'IS (Before Changes)'!O46</f>
        <v>0</v>
      </c>
      <c r="P46" s="27">
        <f>'IS (After Changes)'!P46-'IS (Before Changes)'!P46</f>
        <v>0</v>
      </c>
      <c r="Q46" s="27">
        <f>'IS (After Changes)'!Q46-'IS (Before Changes)'!Q46</f>
        <v>0</v>
      </c>
      <c r="R46" s="97">
        <f>'IS (After Changes)'!R46-'IS (Before Changes)'!R46</f>
        <v>0</v>
      </c>
      <c r="S46" s="27">
        <f>'IS (After Changes)'!S46-'IS (Before Changes)'!S46</f>
        <v>0</v>
      </c>
      <c r="T46" s="27">
        <f>'IS (After Changes)'!T46-'IS (Before Changes)'!T46</f>
        <v>0</v>
      </c>
      <c r="U46" s="27">
        <f>'IS (After Changes)'!U46-'IS (Before Changes)'!U46</f>
        <v>0</v>
      </c>
      <c r="V46" s="27">
        <f>'IS (After Changes)'!V46-'IS (Before Changes)'!V46</f>
        <v>0</v>
      </c>
      <c r="W46" s="98">
        <f>'IS (After Changes)'!W46-'IS (Before Changes)'!W46</f>
        <v>0</v>
      </c>
      <c r="X46" s="27">
        <f>'IS (After Changes)'!X46-'IS (Before Changes)'!X46</f>
        <v>5.5480428622032285E-3</v>
      </c>
      <c r="Y46" s="27">
        <f>'IS (After Changes)'!Y46-'IS (Before Changes)'!Y46</f>
        <v>5.554660269970757E-3</v>
      </c>
      <c r="Z46" s="27">
        <f>'IS (After Changes)'!Z46-'IS (Before Changes)'!Z46</f>
        <v>2.6275723605279078E-2</v>
      </c>
      <c r="AA46" s="27">
        <f>'IS (After Changes)'!AA46-'IS (Before Changes)'!AA46</f>
        <v>2.6087384042238204E-2</v>
      </c>
      <c r="AB46" s="98">
        <f>'IS (After Changes)'!AB46-'IS (Before Changes)'!AB46</f>
        <v>1.6310324938863197E-2</v>
      </c>
      <c r="AC46" s="27">
        <f>'IS (After Changes)'!AC46-'IS (Before Changes)'!AC46</f>
        <v>5.3769427839449602E-3</v>
      </c>
      <c r="AD46" s="27">
        <f>'IS (After Changes)'!AD46-'IS (Before Changes)'!AD46</f>
        <v>5.3820554490984218E-3</v>
      </c>
      <c r="AE46" s="27">
        <f>'IS (After Changes)'!AE46-'IS (Before Changes)'!AE46</f>
        <v>5.3873616436370675E-3</v>
      </c>
      <c r="AF46" s="27">
        <f>'IS (After Changes)'!AF46-'IS (Before Changes)'!AF46</f>
        <v>5.3928579990885073E-3</v>
      </c>
      <c r="AG46" s="98">
        <f>'IS (After Changes)'!AG46-'IS (Before Changes)'!AG46</f>
        <v>5.3950486117502194E-3</v>
      </c>
      <c r="AH46" s="27">
        <f>'IS (After Changes)'!AH46-'IS (Before Changes)'!AH46</f>
        <v>5.5014150943393236E-3</v>
      </c>
      <c r="AI46" s="27">
        <f>'IS (After Changes)'!AI46-'IS (Before Changes)'!AI46</f>
        <v>5.5074720802577026E-3</v>
      </c>
      <c r="AJ46" s="27">
        <f>'IS (After Changes)'!AJ46-'IS (Before Changes)'!AJ46</f>
        <v>5.5131879494292324E-3</v>
      </c>
      <c r="AK46" s="27">
        <f>'IS (After Changes)'!AK46-'IS (Before Changes)'!AK46</f>
        <v>5.5185688278953648E-3</v>
      </c>
      <c r="AL46" s="98">
        <f>'IS (After Changes)'!AL46-'IS (Before Changes)'!AL46</f>
        <v>5.5212104904029946E-3</v>
      </c>
      <c r="AM46" s="27">
        <f>'IS (After Changes)'!AM46-'IS (Before Changes)'!AM46</f>
        <v>0</v>
      </c>
      <c r="AN46" s="27">
        <f>'IS (After Changes)'!AN46-'IS (Before Changes)'!AN46</f>
        <v>-2.2204460492503131E-16</v>
      </c>
      <c r="AO46" s="27">
        <f>'IS (After Changes)'!AO46-'IS (Before Changes)'!AO46</f>
        <v>2.2204460492503131E-16</v>
      </c>
      <c r="AP46" s="27">
        <f>'IS (After Changes)'!AP46-'IS (Before Changes)'!AP46</f>
        <v>-2.2204460492503131E-16</v>
      </c>
      <c r="AQ46" s="98">
        <f>'IS (After Changes)'!AQ46-'IS (Before Changes)'!AQ46</f>
        <v>6.5056935933949234E-6</v>
      </c>
      <c r="AR46" s="27">
        <f>'IS (After Changes)'!AR46-'IS (Before Changes)'!AR46</f>
        <v>0</v>
      </c>
      <c r="AS46" s="27">
        <f>'IS (After Changes)'!AS46-'IS (Before Changes)'!AS46</f>
        <v>0</v>
      </c>
      <c r="AT46" s="27">
        <f>'IS (After Changes)'!AT46-'IS (Before Changes)'!AT46</f>
        <v>-2.2204460492503131E-16</v>
      </c>
      <c r="AU46" s="27">
        <f>'IS (After Changes)'!AU46-'IS (Before Changes)'!AU46</f>
        <v>2.2204460492503131E-16</v>
      </c>
      <c r="AV46" s="98">
        <f>'IS (After Changes)'!AV46-'IS (Before Changes)'!AV46</f>
        <v>-2.8283673283446831E-6</v>
      </c>
    </row>
    <row r="47" spans="2:48" outlineLevel="1" x14ac:dyDescent="0.3">
      <c r="B47" s="220" t="s">
        <v>44</v>
      </c>
      <c r="C47" s="221"/>
      <c r="D47" s="222">
        <f>'IS (After Changes)'!D47-'IS (Before Changes)'!D47</f>
        <v>0</v>
      </c>
      <c r="E47" s="222">
        <f>'IS (After Changes)'!E47-'IS (Before Changes)'!E47</f>
        <v>0</v>
      </c>
      <c r="F47" s="222">
        <f>'IS (After Changes)'!F47-'IS (Before Changes)'!F47</f>
        <v>0</v>
      </c>
      <c r="G47" s="222">
        <f>'IS (After Changes)'!G47-'IS (Before Changes)'!G47</f>
        <v>0</v>
      </c>
      <c r="H47" s="223">
        <f>'IS (After Changes)'!H47-'IS (Before Changes)'!H47</f>
        <v>0</v>
      </c>
      <c r="I47" s="222">
        <f>'IS (After Changes)'!I47-'IS (Before Changes)'!I47</f>
        <v>0</v>
      </c>
      <c r="J47" s="222">
        <f>'IS (After Changes)'!J47-'IS (Before Changes)'!J47</f>
        <v>0</v>
      </c>
      <c r="K47" s="222">
        <f>'IS (After Changes)'!K47-'IS (Before Changes)'!K47</f>
        <v>0</v>
      </c>
      <c r="L47" s="224">
        <f>'IS (After Changes)'!L47-'IS (Before Changes)'!L47</f>
        <v>0</v>
      </c>
      <c r="M47" s="223">
        <f>'IS (After Changes)'!M47-'IS (Before Changes)'!M47</f>
        <v>0</v>
      </c>
      <c r="N47" s="222">
        <f>'IS (After Changes)'!N47-'IS (Before Changes)'!N47</f>
        <v>0</v>
      </c>
      <c r="O47" s="222">
        <f>'IS (After Changes)'!O47-'IS (Before Changes)'!O47</f>
        <v>0</v>
      </c>
      <c r="P47" s="222">
        <f>'IS (After Changes)'!P47-'IS (Before Changes)'!P47</f>
        <v>0</v>
      </c>
      <c r="Q47" s="222">
        <f>'IS (After Changes)'!Q47-'IS (Before Changes)'!Q47</f>
        <v>0</v>
      </c>
      <c r="R47" s="225">
        <f>'IS (After Changes)'!R47-'IS (Before Changes)'!R47</f>
        <v>0</v>
      </c>
      <c r="S47" s="224">
        <f>'IS (After Changes)'!S47-'IS (Before Changes)'!S47</f>
        <v>0</v>
      </c>
      <c r="T47" s="224">
        <f>'IS (After Changes)'!T47-'IS (Before Changes)'!T47</f>
        <v>0</v>
      </c>
      <c r="U47" s="224">
        <f>'IS (After Changes)'!U47-'IS (Before Changes)'!U47</f>
        <v>0</v>
      </c>
      <c r="V47" s="224">
        <f>'IS (After Changes)'!V47-'IS (Before Changes)'!V47</f>
        <v>0</v>
      </c>
      <c r="W47" s="223">
        <f>'IS (After Changes)'!W47-'IS (Before Changes)'!W47</f>
        <v>0</v>
      </c>
      <c r="X47" s="224">
        <f>'IS (After Changes)'!X47-'IS (Before Changes)'!X47</f>
        <v>0</v>
      </c>
      <c r="Y47" s="224">
        <f>'IS (After Changes)'!Y47-'IS (Before Changes)'!Y47</f>
        <v>0</v>
      </c>
      <c r="Z47" s="224">
        <f>'IS (After Changes)'!Z47-'IS (Before Changes)'!Z47</f>
        <v>0</v>
      </c>
      <c r="AA47" s="224">
        <f>'IS (After Changes)'!AA47-'IS (Before Changes)'!AA47</f>
        <v>0</v>
      </c>
      <c r="AB47" s="376">
        <f>'IS (After Changes)'!AB47-'IS (Before Changes)'!AB47</f>
        <v>1.4805178439999178E-2</v>
      </c>
      <c r="AC47" s="224">
        <f>'IS (After Changes)'!AC47-'IS (Before Changes)'!AC47</f>
        <v>0</v>
      </c>
      <c r="AD47" s="224">
        <f>'IS (After Changes)'!AD47-'IS (Before Changes)'!AD47</f>
        <v>0</v>
      </c>
      <c r="AE47" s="224">
        <f>'IS (After Changes)'!AE47-'IS (Before Changes)'!AE47</f>
        <v>0</v>
      </c>
      <c r="AF47" s="224">
        <f>'IS (After Changes)'!AF47-'IS (Before Changes)'!AF47</f>
        <v>0</v>
      </c>
      <c r="AG47" s="225">
        <f>'IS (After Changes)'!AG47-'IS (Before Changes)'!AG47</f>
        <v>0</v>
      </c>
      <c r="AH47" s="224">
        <f>'IS (After Changes)'!AH47-'IS (Before Changes)'!AH47</f>
        <v>0</v>
      </c>
      <c r="AI47" s="224">
        <f>'IS (After Changes)'!AI47-'IS (Before Changes)'!AI47</f>
        <v>0</v>
      </c>
      <c r="AJ47" s="224">
        <f>'IS (After Changes)'!AJ47-'IS (Before Changes)'!AJ47</f>
        <v>0</v>
      </c>
      <c r="AK47" s="224">
        <f>'IS (After Changes)'!AK47-'IS (Before Changes)'!AK47</f>
        <v>0</v>
      </c>
      <c r="AL47" s="225">
        <f>'IS (After Changes)'!AL47-'IS (Before Changes)'!AL47</f>
        <v>0</v>
      </c>
      <c r="AM47" s="224">
        <f>'IS (After Changes)'!AM47-'IS (Before Changes)'!AM47</f>
        <v>0</v>
      </c>
      <c r="AN47" s="224">
        <f>'IS (After Changes)'!AN47-'IS (Before Changes)'!AN47</f>
        <v>0</v>
      </c>
      <c r="AO47" s="224">
        <f>'IS (After Changes)'!AO47-'IS (Before Changes)'!AO47</f>
        <v>0</v>
      </c>
      <c r="AP47" s="224">
        <f>'IS (After Changes)'!AP47-'IS (Before Changes)'!AP47</f>
        <v>0</v>
      </c>
      <c r="AQ47" s="225">
        <f>'IS (After Changes)'!AQ47-'IS (Before Changes)'!AQ47</f>
        <v>0</v>
      </c>
      <c r="AR47" s="224">
        <f>'IS (After Changes)'!AR47-'IS (Before Changes)'!AR47</f>
        <v>0</v>
      </c>
      <c r="AS47" s="224">
        <f>'IS (After Changes)'!AS47-'IS (Before Changes)'!AS47</f>
        <v>0</v>
      </c>
      <c r="AT47" s="224">
        <f>'IS (After Changes)'!AT47-'IS (Before Changes)'!AT47</f>
        <v>0</v>
      </c>
      <c r="AU47" s="224">
        <f>'IS (After Changes)'!AU47-'IS (Before Changes)'!AU47</f>
        <v>0</v>
      </c>
      <c r="AV47" s="225">
        <f>'IS (After Changes)'!AV47-'IS (Before Changes)'!AV47</f>
        <v>0</v>
      </c>
    </row>
    <row r="48" spans="2:48" outlineLevel="1" x14ac:dyDescent="0.3">
      <c r="B48" s="38" t="s">
        <v>43</v>
      </c>
      <c r="C48" s="207"/>
      <c r="D48" s="226">
        <f>'IS (After Changes)'!D48-'IS (Before Changes)'!D48</f>
        <v>0</v>
      </c>
      <c r="E48" s="226">
        <f>'IS (After Changes)'!E48-'IS (Before Changes)'!E48</f>
        <v>0</v>
      </c>
      <c r="F48" s="226">
        <f>'IS (After Changes)'!F48-'IS (Before Changes)'!F48</f>
        <v>0</v>
      </c>
      <c r="G48" s="226">
        <f>'IS (After Changes)'!G48-'IS (Before Changes)'!G48</f>
        <v>0</v>
      </c>
      <c r="H48" s="217">
        <f>'IS (After Changes)'!H48-'IS (Before Changes)'!H48</f>
        <v>0</v>
      </c>
      <c r="I48" s="226">
        <f>'IS (After Changes)'!I48-'IS (Before Changes)'!I48</f>
        <v>0</v>
      </c>
      <c r="J48" s="226">
        <f>'IS (After Changes)'!J48-'IS (Before Changes)'!J48</f>
        <v>0</v>
      </c>
      <c r="K48" s="226">
        <f>'IS (After Changes)'!K48-'IS (Before Changes)'!K48</f>
        <v>0</v>
      </c>
      <c r="L48" s="227">
        <f>'IS (After Changes)'!L48-'IS (Before Changes)'!L48</f>
        <v>0</v>
      </c>
      <c r="M48" s="217">
        <f>'IS (After Changes)'!M48-'IS (Before Changes)'!M48</f>
        <v>0</v>
      </c>
      <c r="N48" s="226">
        <f>'IS (After Changes)'!N48-'IS (Before Changes)'!N48</f>
        <v>0</v>
      </c>
      <c r="O48" s="226">
        <f>'IS (After Changes)'!O48-'IS (Before Changes)'!O48</f>
        <v>0</v>
      </c>
      <c r="P48" s="226">
        <f>'IS (After Changes)'!P48-'IS (Before Changes)'!P48</f>
        <v>0</v>
      </c>
      <c r="Q48" s="226">
        <f>'IS (After Changes)'!Q48-'IS (Before Changes)'!Q48</f>
        <v>0</v>
      </c>
      <c r="R48" s="218">
        <f>'IS (After Changes)'!R48-'IS (Before Changes)'!R48</f>
        <v>0</v>
      </c>
      <c r="S48" s="227">
        <f>'IS (After Changes)'!S48-'IS (Before Changes)'!S48</f>
        <v>0</v>
      </c>
      <c r="T48" s="227">
        <f>'IS (After Changes)'!T48-'IS (Before Changes)'!T48</f>
        <v>0</v>
      </c>
      <c r="U48" s="228">
        <f>'IS (After Changes)'!U48-'IS (Before Changes)'!U48</f>
        <v>0</v>
      </c>
      <c r="V48" s="228">
        <f>'IS (After Changes)'!V48-'IS (Before Changes)'!V48</f>
        <v>0</v>
      </c>
      <c r="W48" s="148">
        <f>'IS (After Changes)'!W48-'IS (Before Changes)'!W48</f>
        <v>0</v>
      </c>
      <c r="X48" s="228">
        <f>'IS (After Changes)'!X48-'IS (Before Changes)'!X48</f>
        <v>0</v>
      </c>
      <c r="Y48" s="228">
        <f>'IS (After Changes)'!Y48-'IS (Before Changes)'!Y48</f>
        <v>0</v>
      </c>
      <c r="Z48" s="228">
        <f>'IS (After Changes)'!Z48-'IS (Before Changes)'!Z48</f>
        <v>0</v>
      </c>
      <c r="AA48" s="228">
        <f>'IS (After Changes)'!AA48-'IS (Before Changes)'!AA48</f>
        <v>0</v>
      </c>
      <c r="AB48" s="362">
        <f>'IS (After Changes)'!AB48-'IS (Before Changes)'!AB48</f>
        <v>0</v>
      </c>
      <c r="AC48" s="228">
        <f>'IS (After Changes)'!AC48-'IS (Before Changes)'!AC48</f>
        <v>0</v>
      </c>
      <c r="AD48" s="228">
        <f>'IS (After Changes)'!AD48-'IS (Before Changes)'!AD48</f>
        <v>0</v>
      </c>
      <c r="AE48" s="228">
        <f>'IS (After Changes)'!AE48-'IS (Before Changes)'!AE48</f>
        <v>0</v>
      </c>
      <c r="AF48" s="228">
        <f>'IS (After Changes)'!AF48-'IS (Before Changes)'!AF48</f>
        <v>0</v>
      </c>
      <c r="AG48" s="60">
        <f>'IS (After Changes)'!AG48-'IS (Before Changes)'!AG48</f>
        <v>0</v>
      </c>
      <c r="AH48" s="228">
        <f>'IS (After Changes)'!AH48-'IS (Before Changes)'!AH48</f>
        <v>0</v>
      </c>
      <c r="AI48" s="228">
        <f>'IS (After Changes)'!AI48-'IS (Before Changes)'!AI48</f>
        <v>0</v>
      </c>
      <c r="AJ48" s="228">
        <f>'IS (After Changes)'!AJ48-'IS (Before Changes)'!AJ48</f>
        <v>0</v>
      </c>
      <c r="AK48" s="228">
        <f>'IS (After Changes)'!AK48-'IS (Before Changes)'!AK48</f>
        <v>0</v>
      </c>
      <c r="AL48" s="60">
        <f>'IS (After Changes)'!AL48-'IS (Before Changes)'!AL48</f>
        <v>0</v>
      </c>
      <c r="AM48" s="228">
        <f>'IS (After Changes)'!AM48-'IS (Before Changes)'!AM48</f>
        <v>0</v>
      </c>
      <c r="AN48" s="228">
        <f>'IS (After Changes)'!AN48-'IS (Before Changes)'!AN48</f>
        <v>0</v>
      </c>
      <c r="AO48" s="228">
        <f>'IS (After Changes)'!AO48-'IS (Before Changes)'!AO48</f>
        <v>0</v>
      </c>
      <c r="AP48" s="228">
        <f>'IS (After Changes)'!AP48-'IS (Before Changes)'!AP48</f>
        <v>0</v>
      </c>
      <c r="AQ48" s="60">
        <f>'IS (After Changes)'!AQ48-'IS (Before Changes)'!AQ48</f>
        <v>0</v>
      </c>
      <c r="AR48" s="228">
        <f>'IS (After Changes)'!AR48-'IS (Before Changes)'!AR48</f>
        <v>0</v>
      </c>
      <c r="AS48" s="228">
        <f>'IS (After Changes)'!AS48-'IS (Before Changes)'!AS48</f>
        <v>0</v>
      </c>
      <c r="AT48" s="228">
        <f>'IS (After Changes)'!AT48-'IS (Before Changes)'!AT48</f>
        <v>0</v>
      </c>
      <c r="AU48" s="228">
        <f>'IS (After Changes)'!AU48-'IS (Before Changes)'!AU48</f>
        <v>0</v>
      </c>
      <c r="AV48" s="60">
        <f>'IS (After Changes)'!AV48-'IS (Before Changes)'!AV48</f>
        <v>0</v>
      </c>
    </row>
    <row r="49" spans="2:48" s="8" customFormat="1" outlineLevel="1" x14ac:dyDescent="0.3">
      <c r="B49" s="229" t="s">
        <v>45</v>
      </c>
      <c r="C49" s="230"/>
      <c r="D49" s="231">
        <f>'IS (After Changes)'!D49-'IS (Before Changes)'!D49</f>
        <v>0</v>
      </c>
      <c r="E49" s="231">
        <f>'IS (After Changes)'!E49-'IS (Before Changes)'!E49</f>
        <v>0</v>
      </c>
      <c r="F49" s="231">
        <f>'IS (After Changes)'!F49-'IS (Before Changes)'!F49</f>
        <v>0</v>
      </c>
      <c r="G49" s="231">
        <f>'IS (After Changes)'!G49-'IS (Before Changes)'!G49</f>
        <v>0</v>
      </c>
      <c r="H49" s="232">
        <f>'IS (After Changes)'!H49-'IS (Before Changes)'!H49</f>
        <v>0</v>
      </c>
      <c r="I49" s="231">
        <f>'IS (After Changes)'!I49-'IS (Before Changes)'!I49</f>
        <v>0</v>
      </c>
      <c r="J49" s="231">
        <f>'IS (After Changes)'!J49-'IS (Before Changes)'!J49</f>
        <v>0</v>
      </c>
      <c r="K49" s="231">
        <f>'IS (After Changes)'!K49-'IS (Before Changes)'!K49</f>
        <v>0</v>
      </c>
      <c r="L49" s="233">
        <f>'IS (After Changes)'!L49-'IS (Before Changes)'!L49</f>
        <v>0</v>
      </c>
      <c r="M49" s="234">
        <f>'IS (After Changes)'!M49-'IS (Before Changes)'!M49</f>
        <v>0</v>
      </c>
      <c r="N49" s="233">
        <f>'IS (After Changes)'!N49-'IS (Before Changes)'!N49</f>
        <v>0</v>
      </c>
      <c r="O49" s="233">
        <f>'IS (After Changes)'!O49-'IS (Before Changes)'!O49</f>
        <v>0</v>
      </c>
      <c r="P49" s="231">
        <f>'IS (After Changes)'!P49-'IS (Before Changes)'!P49</f>
        <v>0</v>
      </c>
      <c r="Q49" s="231">
        <f>'IS (After Changes)'!Q49-'IS (Before Changes)'!Q49</f>
        <v>0</v>
      </c>
      <c r="R49" s="235">
        <f>'IS (After Changes)'!R49-'IS (Before Changes)'!R49</f>
        <v>0</v>
      </c>
      <c r="S49" s="233">
        <f>'IS (After Changes)'!S49-'IS (Before Changes)'!S49</f>
        <v>0</v>
      </c>
      <c r="T49" s="233">
        <f>'IS (After Changes)'!T49-'IS (Before Changes)'!T49</f>
        <v>0</v>
      </c>
      <c r="U49" s="231">
        <f>'IS (After Changes)'!U49-'IS (Before Changes)'!U49</f>
        <v>0</v>
      </c>
      <c r="V49" s="231">
        <f>'IS (After Changes)'!V49-'IS (Before Changes)'!V49</f>
        <v>0</v>
      </c>
      <c r="W49" s="232">
        <f>'IS (After Changes)'!W49-'IS (Before Changes)'!W49</f>
        <v>0</v>
      </c>
      <c r="X49" s="233">
        <f>'IS (After Changes)'!X49-'IS (Before Changes)'!X49</f>
        <v>0</v>
      </c>
      <c r="Y49" s="233">
        <f>'IS (After Changes)'!Y49-'IS (Before Changes)'!Y49</f>
        <v>0</v>
      </c>
      <c r="Z49" s="233">
        <f>'IS (After Changes)'!Z49-'IS (Before Changes)'!Z49</f>
        <v>0</v>
      </c>
      <c r="AA49" s="233">
        <f>'IS (After Changes)'!AA49-'IS (Before Changes)'!AA49</f>
        <v>0</v>
      </c>
      <c r="AB49" s="361">
        <f>'IS (After Changes)'!AB49-'IS (Before Changes)'!AB49</f>
        <v>0</v>
      </c>
      <c r="AC49" s="233">
        <f>'IS (After Changes)'!AC49-'IS (Before Changes)'!AC49</f>
        <v>0</v>
      </c>
      <c r="AD49" s="233">
        <f>'IS (After Changes)'!AD49-'IS (Before Changes)'!AD49</f>
        <v>0</v>
      </c>
      <c r="AE49" s="233">
        <f>'IS (After Changes)'!AE49-'IS (Before Changes)'!AE49</f>
        <v>0</v>
      </c>
      <c r="AF49" s="233">
        <f>'IS (After Changes)'!AF49-'IS (Before Changes)'!AF49</f>
        <v>0</v>
      </c>
      <c r="AG49" s="232">
        <f>'IS (After Changes)'!AG49-'IS (Before Changes)'!AG49</f>
        <v>0</v>
      </c>
      <c r="AH49" s="233">
        <f>'IS (After Changes)'!AH49-'IS (Before Changes)'!AH49</f>
        <v>0</v>
      </c>
      <c r="AI49" s="233">
        <f>'IS (After Changes)'!AI49-'IS (Before Changes)'!AI49</f>
        <v>0</v>
      </c>
      <c r="AJ49" s="233">
        <f>'IS (After Changes)'!AJ49-'IS (Before Changes)'!AJ49</f>
        <v>0</v>
      </c>
      <c r="AK49" s="233">
        <f>'IS (After Changes)'!AK49-'IS (Before Changes)'!AK49</f>
        <v>0</v>
      </c>
      <c r="AL49" s="232">
        <f>'IS (After Changes)'!AL49-'IS (Before Changes)'!AL49</f>
        <v>0</v>
      </c>
      <c r="AM49" s="233">
        <f>'IS (After Changes)'!AM49-'IS (Before Changes)'!AM49</f>
        <v>0</v>
      </c>
      <c r="AN49" s="233">
        <f>'IS (After Changes)'!AN49-'IS (Before Changes)'!AN49</f>
        <v>0</v>
      </c>
      <c r="AO49" s="233">
        <f>'IS (After Changes)'!AO49-'IS (Before Changes)'!AO49</f>
        <v>0</v>
      </c>
      <c r="AP49" s="233">
        <f>'IS (After Changes)'!AP49-'IS (Before Changes)'!AP49</f>
        <v>0</v>
      </c>
      <c r="AQ49" s="232">
        <f>'IS (After Changes)'!AQ49-'IS (Before Changes)'!AQ49</f>
        <v>0</v>
      </c>
      <c r="AR49" s="233">
        <f>'IS (After Changes)'!AR49-'IS (Before Changes)'!AR49</f>
        <v>0</v>
      </c>
      <c r="AS49" s="233">
        <f>'IS (After Changes)'!AS49-'IS (Before Changes)'!AS49</f>
        <v>0</v>
      </c>
      <c r="AT49" s="233">
        <f>'IS (After Changes)'!AT49-'IS (Before Changes)'!AT49</f>
        <v>0</v>
      </c>
      <c r="AU49" s="233">
        <f>'IS (After Changes)'!AU49-'IS (Before Changes)'!AU49</f>
        <v>0</v>
      </c>
      <c r="AV49" s="232">
        <f>'IS (After Changes)'!AV49-'IS (Before Changes)'!AV49</f>
        <v>0</v>
      </c>
    </row>
    <row r="50" spans="2:48" s="8" customFormat="1" outlineLevel="1" x14ac:dyDescent="0.3">
      <c r="B50" s="506" t="s">
        <v>177</v>
      </c>
      <c r="C50" s="507"/>
      <c r="D50" s="67">
        <f>'IS (After Changes)'!D50-'IS (Before Changes)'!D50</f>
        <v>0</v>
      </c>
      <c r="E50" s="67">
        <f>'IS (After Changes)'!E50-'IS (Before Changes)'!E50</f>
        <v>0</v>
      </c>
      <c r="F50" s="117">
        <f>'IS (After Changes)'!F50-'IS (Before Changes)'!F50</f>
        <v>0</v>
      </c>
      <c r="G50" s="67">
        <f>'IS (After Changes)'!G50-'IS (Before Changes)'!G50</f>
        <v>0</v>
      </c>
      <c r="H50" s="68">
        <f>'IS (After Changes)'!H50-'IS (Before Changes)'!H50</f>
        <v>0</v>
      </c>
      <c r="I50" s="67">
        <f>'IS (After Changes)'!I50-'IS (Before Changes)'!I50</f>
        <v>0</v>
      </c>
      <c r="J50" s="67">
        <f>'IS (After Changes)'!J50-'IS (Before Changes)'!J50</f>
        <v>0</v>
      </c>
      <c r="K50" s="67">
        <f>'IS (After Changes)'!K50-'IS (Before Changes)'!K50</f>
        <v>0</v>
      </c>
      <c r="L50" s="67">
        <f>'IS (After Changes)'!L50-'IS (Before Changes)'!L50</f>
        <v>0</v>
      </c>
      <c r="M50" s="68">
        <f>'IS (After Changes)'!M50-'IS (Before Changes)'!M50</f>
        <v>0</v>
      </c>
      <c r="N50" s="67">
        <f>'IS (After Changes)'!N50-'IS (Before Changes)'!N50</f>
        <v>0</v>
      </c>
      <c r="O50" s="67">
        <f>'IS (After Changes)'!O50-'IS (Before Changes)'!O50</f>
        <v>0</v>
      </c>
      <c r="P50" s="67">
        <f>'IS (After Changes)'!P50-'IS (Before Changes)'!P50</f>
        <v>0</v>
      </c>
      <c r="Q50" s="67">
        <f>'IS (After Changes)'!Q50-'IS (Before Changes)'!Q50</f>
        <v>0</v>
      </c>
      <c r="R50" s="192">
        <f>'IS (After Changes)'!R50-'IS (Before Changes)'!R50</f>
        <v>0</v>
      </c>
      <c r="S50" s="67">
        <f>'IS (After Changes)'!S50-'IS (Before Changes)'!S50</f>
        <v>0</v>
      </c>
      <c r="T50" s="67">
        <f>'IS (After Changes)'!T50-'IS (Before Changes)'!T50</f>
        <v>0</v>
      </c>
      <c r="U50" s="67">
        <f>'IS (After Changes)'!U50-'IS (Before Changes)'!U50</f>
        <v>0</v>
      </c>
      <c r="V50" s="67">
        <f>'IS (After Changes)'!V50-'IS (Before Changes)'!V50</f>
        <v>0</v>
      </c>
      <c r="W50" s="253">
        <f>'IS (After Changes)'!W50-'IS (Before Changes)'!W50</f>
        <v>0</v>
      </c>
      <c r="X50" s="67">
        <f>'IS (After Changes)'!X50-'IS (Before Changes)'!X50</f>
        <v>0</v>
      </c>
      <c r="Y50" s="67">
        <f>'IS (After Changes)'!Y50-'IS (Before Changes)'!Y50</f>
        <v>0</v>
      </c>
      <c r="Z50" s="67">
        <f>'IS (After Changes)'!Z50-'IS (Before Changes)'!Z50</f>
        <v>0</v>
      </c>
      <c r="AA50" s="67">
        <f>'IS (After Changes)'!AA50-'IS (Before Changes)'!AA50</f>
        <v>0</v>
      </c>
      <c r="AB50" s="192">
        <f>'IS (After Changes)'!AB50-'IS (Before Changes)'!AB50</f>
        <v>0</v>
      </c>
      <c r="AC50" s="67">
        <f>'IS (After Changes)'!AC50-'IS (Before Changes)'!AC50</f>
        <v>0</v>
      </c>
      <c r="AD50" s="67">
        <f>'IS (After Changes)'!AD50-'IS (Before Changes)'!AD50</f>
        <v>0</v>
      </c>
      <c r="AE50" s="67">
        <f>'IS (After Changes)'!AE50-'IS (Before Changes)'!AE50</f>
        <v>0</v>
      </c>
      <c r="AF50" s="67">
        <f>'IS (After Changes)'!AF50-'IS (Before Changes)'!AF50</f>
        <v>0</v>
      </c>
      <c r="AG50" s="192">
        <f>'IS (After Changes)'!AG50-'IS (Before Changes)'!AG50</f>
        <v>0</v>
      </c>
      <c r="AH50" s="67">
        <f>'IS (After Changes)'!AH50-'IS (Before Changes)'!AH50</f>
        <v>0</v>
      </c>
      <c r="AI50" s="67">
        <f>'IS (After Changes)'!AI50-'IS (Before Changes)'!AI50</f>
        <v>0</v>
      </c>
      <c r="AJ50" s="67">
        <f>'IS (After Changes)'!AJ50-'IS (Before Changes)'!AJ50</f>
        <v>0</v>
      </c>
      <c r="AK50" s="67">
        <f>'IS (After Changes)'!AK50-'IS (Before Changes)'!AK50</f>
        <v>0</v>
      </c>
      <c r="AL50" s="192">
        <f>'IS (After Changes)'!AL50-'IS (Before Changes)'!AL50</f>
        <v>0</v>
      </c>
      <c r="AM50" s="67">
        <f>'IS (After Changes)'!AM50-'IS (Before Changes)'!AM50</f>
        <v>0</v>
      </c>
      <c r="AN50" s="67">
        <f>'IS (After Changes)'!AN50-'IS (Before Changes)'!AN50</f>
        <v>0</v>
      </c>
      <c r="AO50" s="67">
        <f>'IS (After Changes)'!AO50-'IS (Before Changes)'!AO50</f>
        <v>0</v>
      </c>
      <c r="AP50" s="67">
        <f>'IS (After Changes)'!AP50-'IS (Before Changes)'!AP50</f>
        <v>0</v>
      </c>
      <c r="AQ50" s="192">
        <f>'IS (After Changes)'!AQ50-'IS (Before Changes)'!AQ50</f>
        <v>0</v>
      </c>
      <c r="AR50" s="67">
        <f>'IS (After Changes)'!AR50-'IS (Before Changes)'!AR50</f>
        <v>0</v>
      </c>
      <c r="AS50" s="67">
        <f>'IS (After Changes)'!AS50-'IS (Before Changes)'!AS50</f>
        <v>0</v>
      </c>
      <c r="AT50" s="67">
        <f>'IS (After Changes)'!AT50-'IS (Before Changes)'!AT50</f>
        <v>0</v>
      </c>
      <c r="AU50" s="67">
        <f>'IS (After Changes)'!AU50-'IS (Before Changes)'!AU50</f>
        <v>0</v>
      </c>
      <c r="AV50" s="192">
        <f>'IS (After Changes)'!AV50-'IS (Before Changes)'!AV50</f>
        <v>0</v>
      </c>
    </row>
    <row r="51" spans="2:48" outlineLevel="1" x14ac:dyDescent="0.3">
      <c r="B51" s="180" t="s">
        <v>47</v>
      </c>
      <c r="C51" s="201"/>
      <c r="D51" s="101">
        <f>'IS (After Changes)'!D51-'IS (Before Changes)'!D51</f>
        <v>0</v>
      </c>
      <c r="E51" s="101">
        <f>'IS (After Changes)'!E51-'IS (Before Changes)'!E51</f>
        <v>0</v>
      </c>
      <c r="F51" s="101">
        <f>'IS (After Changes)'!F51-'IS (Before Changes)'!F51</f>
        <v>0</v>
      </c>
      <c r="G51" s="101">
        <f>'IS (After Changes)'!G51-'IS (Before Changes)'!G51</f>
        <v>0</v>
      </c>
      <c r="H51" s="122">
        <f>'IS (After Changes)'!H51-'IS (Before Changes)'!H51</f>
        <v>0</v>
      </c>
      <c r="I51" s="101">
        <f>'IS (After Changes)'!I51-'IS (Before Changes)'!I51</f>
        <v>0</v>
      </c>
      <c r="J51" s="101">
        <f>'IS (After Changes)'!J51-'IS (Before Changes)'!J51</f>
        <v>0</v>
      </c>
      <c r="K51" s="101">
        <f>'IS (After Changes)'!K51-'IS (Before Changes)'!K51</f>
        <v>0</v>
      </c>
      <c r="L51" s="101">
        <f>'IS (After Changes)'!L51-'IS (Before Changes)'!L51</f>
        <v>0</v>
      </c>
      <c r="M51" s="122">
        <f>'IS (After Changes)'!M51-'IS (Before Changes)'!M51</f>
        <v>0</v>
      </c>
      <c r="N51" s="101">
        <f>'IS (After Changes)'!N51-'IS (Before Changes)'!N51</f>
        <v>0</v>
      </c>
      <c r="O51" s="101">
        <f>'IS (After Changes)'!O51-'IS (Before Changes)'!O51</f>
        <v>0</v>
      </c>
      <c r="P51" s="101">
        <f>'IS (After Changes)'!P51-'IS (Before Changes)'!P51</f>
        <v>0</v>
      </c>
      <c r="Q51" s="101">
        <f>'IS (After Changes)'!Q51-'IS (Before Changes)'!Q51</f>
        <v>0</v>
      </c>
      <c r="R51" s="26">
        <f>'IS (After Changes)'!R51-'IS (Before Changes)'!R51</f>
        <v>0</v>
      </c>
      <c r="S51" s="101">
        <f>'IS (After Changes)'!S51-'IS (Before Changes)'!S51</f>
        <v>0</v>
      </c>
      <c r="T51" s="101">
        <f>'IS (After Changes)'!T51-'IS (Before Changes)'!T51</f>
        <v>0</v>
      </c>
      <c r="U51" s="101">
        <f>'IS (After Changes)'!U51-'IS (Before Changes)'!U51</f>
        <v>0</v>
      </c>
      <c r="V51" s="101">
        <f>'IS (After Changes)'!V51-'IS (Before Changes)'!V51</f>
        <v>0</v>
      </c>
      <c r="W51" s="122">
        <f>'IS (After Changes)'!W51-'IS (Before Changes)'!W51</f>
        <v>0</v>
      </c>
      <c r="X51" s="33">
        <f>'IS (After Changes)'!X51-'IS (Before Changes)'!X51</f>
        <v>0</v>
      </c>
      <c r="Y51" s="33">
        <f>'IS (After Changes)'!Y51-'IS (Before Changes)'!Y51</f>
        <v>0</v>
      </c>
      <c r="Z51" s="33">
        <f>'IS (After Changes)'!Z51-'IS (Before Changes)'!Z51</f>
        <v>0</v>
      </c>
      <c r="AA51" s="33">
        <f>'IS (After Changes)'!AA51-'IS (Before Changes)'!AA51</f>
        <v>0</v>
      </c>
      <c r="AB51" s="26">
        <f>'IS (After Changes)'!AB51-'IS (Before Changes)'!AB51</f>
        <v>0</v>
      </c>
      <c r="AC51" s="33">
        <f>'IS (After Changes)'!AC51-'IS (Before Changes)'!AC51</f>
        <v>0</v>
      </c>
      <c r="AD51" s="33">
        <f>'IS (After Changes)'!AD51-'IS (Before Changes)'!AD51</f>
        <v>0</v>
      </c>
      <c r="AE51" s="33">
        <f>'IS (After Changes)'!AE51-'IS (Before Changes)'!AE51</f>
        <v>0</v>
      </c>
      <c r="AF51" s="33">
        <f>'IS (After Changes)'!AF51-'IS (Before Changes)'!AF51</f>
        <v>0</v>
      </c>
      <c r="AG51" s="26">
        <f>'IS (After Changes)'!AG51-'IS (Before Changes)'!AG51</f>
        <v>0</v>
      </c>
      <c r="AH51" s="33">
        <f>'IS (After Changes)'!AH51-'IS (Before Changes)'!AH51</f>
        <v>0</v>
      </c>
      <c r="AI51" s="33">
        <f>'IS (After Changes)'!AI51-'IS (Before Changes)'!AI51</f>
        <v>0</v>
      </c>
      <c r="AJ51" s="33">
        <f>'IS (After Changes)'!AJ51-'IS (Before Changes)'!AJ51</f>
        <v>0</v>
      </c>
      <c r="AK51" s="33">
        <f>'IS (After Changes)'!AK51-'IS (Before Changes)'!AK51</f>
        <v>0</v>
      </c>
      <c r="AL51" s="26">
        <f>'IS (After Changes)'!AL51-'IS (Before Changes)'!AL51</f>
        <v>0</v>
      </c>
      <c r="AM51" s="33">
        <f>'IS (After Changes)'!AM51-'IS (Before Changes)'!AM51</f>
        <v>0</v>
      </c>
      <c r="AN51" s="33">
        <f>'IS (After Changes)'!AN51-'IS (Before Changes)'!AN51</f>
        <v>0</v>
      </c>
      <c r="AO51" s="33">
        <f>'IS (After Changes)'!AO51-'IS (Before Changes)'!AO51</f>
        <v>0</v>
      </c>
      <c r="AP51" s="33">
        <f>'IS (After Changes)'!AP51-'IS (Before Changes)'!AP51</f>
        <v>0</v>
      </c>
      <c r="AQ51" s="26">
        <f>'IS (After Changes)'!AQ51-'IS (Before Changes)'!AQ51</f>
        <v>0</v>
      </c>
      <c r="AR51" s="33">
        <f>'IS (After Changes)'!AR51-'IS (Before Changes)'!AR51</f>
        <v>0</v>
      </c>
      <c r="AS51" s="33">
        <f>'IS (After Changes)'!AS51-'IS (Before Changes)'!AS51</f>
        <v>0</v>
      </c>
      <c r="AT51" s="33">
        <f>'IS (After Changes)'!AT51-'IS (Before Changes)'!AT51</f>
        <v>0</v>
      </c>
      <c r="AU51" s="33">
        <f>'IS (After Changes)'!AU51-'IS (Before Changes)'!AU51</f>
        <v>0</v>
      </c>
      <c r="AV51" s="26">
        <f>'IS (After Changes)'!AV51-'IS (Before Changes)'!AV51</f>
        <v>0</v>
      </c>
    </row>
    <row r="52" spans="2:48" outlineLevel="1" x14ac:dyDescent="0.3">
      <c r="B52" s="180" t="s">
        <v>49</v>
      </c>
      <c r="C52" s="201"/>
      <c r="D52" s="16">
        <f>'IS (After Changes)'!D52-'IS (Before Changes)'!D52</f>
        <v>0</v>
      </c>
      <c r="E52" s="16">
        <f>'IS (After Changes)'!E52-'IS (Before Changes)'!E52</f>
        <v>0</v>
      </c>
      <c r="F52" s="16">
        <f>'IS (After Changes)'!F52-'IS (Before Changes)'!F52</f>
        <v>0</v>
      </c>
      <c r="G52" s="16">
        <f>'IS (After Changes)'!G52-'IS (Before Changes)'!G52</f>
        <v>0</v>
      </c>
      <c r="H52" s="26">
        <f>'IS (After Changes)'!H52-'IS (Before Changes)'!H52</f>
        <v>0</v>
      </c>
      <c r="I52" s="16">
        <f>'IS (After Changes)'!I52-'IS (Before Changes)'!I52</f>
        <v>0</v>
      </c>
      <c r="J52" s="16">
        <f>'IS (After Changes)'!J52-'IS (Before Changes)'!J52</f>
        <v>0</v>
      </c>
      <c r="K52" s="16">
        <f>'IS (After Changes)'!K52-'IS (Before Changes)'!K52</f>
        <v>0</v>
      </c>
      <c r="L52" s="16">
        <f>'IS (After Changes)'!L52-'IS (Before Changes)'!L52</f>
        <v>0</v>
      </c>
      <c r="M52" s="6">
        <f>'IS (After Changes)'!M52-'IS (Before Changes)'!M52</f>
        <v>0</v>
      </c>
      <c r="N52" s="16">
        <f>'IS (After Changes)'!N52-'IS (Before Changes)'!N52</f>
        <v>0</v>
      </c>
      <c r="O52" s="16">
        <f>'IS (After Changes)'!O52-'IS (Before Changes)'!O52</f>
        <v>0</v>
      </c>
      <c r="P52" s="16">
        <f>'IS (After Changes)'!P52-'IS (Before Changes)'!P52</f>
        <v>0</v>
      </c>
      <c r="Q52" s="16">
        <f>'IS (After Changes)'!Q52-'IS (Before Changes)'!Q52</f>
        <v>0</v>
      </c>
      <c r="R52" s="6">
        <f>'IS (After Changes)'!R52-'IS (Before Changes)'!R52</f>
        <v>0</v>
      </c>
      <c r="S52" s="16">
        <f>'IS (After Changes)'!S52-'IS (Before Changes)'!S52</f>
        <v>0</v>
      </c>
      <c r="T52" s="16">
        <f>'IS (After Changes)'!T52-'IS (Before Changes)'!T52</f>
        <v>0</v>
      </c>
      <c r="U52" s="16">
        <f>'IS (After Changes)'!U52-'IS (Before Changes)'!U52</f>
        <v>0</v>
      </c>
      <c r="V52" s="16">
        <f>'IS (After Changes)'!V52-'IS (Before Changes)'!V52</f>
        <v>0</v>
      </c>
      <c r="W52" s="130">
        <f>'IS (After Changes)'!W52-'IS (Before Changes)'!W52</f>
        <v>0</v>
      </c>
      <c r="X52" s="16">
        <f>'IS (After Changes)'!X52-'IS (Before Changes)'!X52</f>
        <v>0</v>
      </c>
      <c r="Y52" s="16">
        <f>'IS (After Changes)'!Y52-'IS (Before Changes)'!Y52</f>
        <v>0</v>
      </c>
      <c r="Z52" s="16">
        <f>'IS (After Changes)'!Z52-'IS (Before Changes)'!Z52</f>
        <v>0</v>
      </c>
      <c r="AA52" s="16">
        <f>'IS (After Changes)'!AA52-'IS (Before Changes)'!AA52</f>
        <v>0</v>
      </c>
      <c r="AB52" s="6">
        <f>'IS (After Changes)'!AB52-'IS (Before Changes)'!AB52</f>
        <v>0</v>
      </c>
      <c r="AC52" s="16">
        <f>'IS (After Changes)'!AC52-'IS (Before Changes)'!AC52</f>
        <v>0</v>
      </c>
      <c r="AD52" s="16">
        <f>'IS (After Changes)'!AD52-'IS (Before Changes)'!AD52</f>
        <v>0</v>
      </c>
      <c r="AE52" s="16">
        <f>'IS (After Changes)'!AE52-'IS (Before Changes)'!AE52</f>
        <v>0</v>
      </c>
      <c r="AF52" s="16">
        <f>'IS (After Changes)'!AF52-'IS (Before Changes)'!AF52</f>
        <v>0</v>
      </c>
      <c r="AG52" s="6">
        <f>'IS (After Changes)'!AG52-'IS (Before Changes)'!AG52</f>
        <v>0</v>
      </c>
      <c r="AH52" s="16">
        <f>'IS (After Changes)'!AH52-'IS (Before Changes)'!AH52</f>
        <v>0</v>
      </c>
      <c r="AI52" s="16">
        <f>'IS (After Changes)'!AI52-'IS (Before Changes)'!AI52</f>
        <v>0</v>
      </c>
      <c r="AJ52" s="16">
        <f>'IS (After Changes)'!AJ52-'IS (Before Changes)'!AJ52</f>
        <v>0</v>
      </c>
      <c r="AK52" s="16">
        <f>'IS (After Changes)'!AK52-'IS (Before Changes)'!AK52</f>
        <v>0</v>
      </c>
      <c r="AL52" s="6">
        <f>'IS (After Changes)'!AL52-'IS (Before Changes)'!AL52</f>
        <v>0</v>
      </c>
      <c r="AM52" s="16">
        <f>'IS (After Changes)'!AM52-'IS (Before Changes)'!AM52</f>
        <v>0</v>
      </c>
      <c r="AN52" s="16">
        <f>'IS (After Changes)'!AN52-'IS (Before Changes)'!AN52</f>
        <v>0</v>
      </c>
      <c r="AO52" s="16">
        <f>'IS (After Changes)'!AO52-'IS (Before Changes)'!AO52</f>
        <v>0</v>
      </c>
      <c r="AP52" s="16">
        <f>'IS (After Changes)'!AP52-'IS (Before Changes)'!AP52</f>
        <v>0</v>
      </c>
      <c r="AQ52" s="6">
        <f>'IS (After Changes)'!AQ52-'IS (Before Changes)'!AQ52</f>
        <v>0</v>
      </c>
      <c r="AR52" s="16">
        <f>'IS (After Changes)'!AR52-'IS (Before Changes)'!AR52</f>
        <v>0</v>
      </c>
      <c r="AS52" s="16">
        <f>'IS (After Changes)'!AS52-'IS (Before Changes)'!AS52</f>
        <v>0</v>
      </c>
      <c r="AT52" s="16">
        <f>'IS (After Changes)'!AT52-'IS (Before Changes)'!AT52</f>
        <v>0</v>
      </c>
      <c r="AU52" s="16">
        <f>'IS (After Changes)'!AU52-'IS (Before Changes)'!AU52</f>
        <v>0</v>
      </c>
      <c r="AV52" s="6">
        <f>'IS (After Changes)'!AV52-'IS (Before Changes)'!AV52</f>
        <v>0</v>
      </c>
    </row>
    <row r="53" spans="2:48" outlineLevel="1" x14ac:dyDescent="0.3">
      <c r="B53" s="180" t="s">
        <v>202</v>
      </c>
      <c r="C53" s="201"/>
      <c r="D53" s="43">
        <f>'IS (After Changes)'!D53-'IS (Before Changes)'!D53</f>
        <v>0</v>
      </c>
      <c r="E53" s="43">
        <f>'IS (After Changes)'!E53-'IS (Before Changes)'!E53</f>
        <v>0</v>
      </c>
      <c r="F53" s="43">
        <f>'IS (After Changes)'!F53-'IS (Before Changes)'!F53</f>
        <v>0</v>
      </c>
      <c r="G53" s="114">
        <f>'IS (After Changes)'!G53-'IS (Before Changes)'!G53</f>
        <v>0</v>
      </c>
      <c r="H53" s="127">
        <f>'IS (After Changes)'!H53-'IS (Before Changes)'!H53</f>
        <v>0</v>
      </c>
      <c r="I53" s="114">
        <f>'IS (After Changes)'!I53-'IS (Before Changes)'!I53</f>
        <v>0</v>
      </c>
      <c r="J53" s="114">
        <f>'IS (After Changes)'!J53-'IS (Before Changes)'!J53</f>
        <v>0</v>
      </c>
      <c r="K53" s="114">
        <f>'IS (After Changes)'!K53-'IS (Before Changes)'!K53</f>
        <v>0</v>
      </c>
      <c r="L53" s="114">
        <f>'IS (After Changes)'!L53-'IS (Before Changes)'!L53</f>
        <v>0</v>
      </c>
      <c r="M53" s="6">
        <f>'IS (After Changes)'!M53-'IS (Before Changes)'!M53</f>
        <v>0</v>
      </c>
      <c r="N53" s="114">
        <f>'IS (After Changes)'!N53-'IS (Before Changes)'!N53</f>
        <v>0</v>
      </c>
      <c r="O53" s="114">
        <f>'IS (After Changes)'!O53-'IS (Before Changes)'!O53</f>
        <v>0</v>
      </c>
      <c r="P53" s="114">
        <f>'IS (After Changes)'!P53-'IS (Before Changes)'!P53</f>
        <v>0</v>
      </c>
      <c r="Q53" s="114">
        <f>'IS (After Changes)'!Q53-'IS (Before Changes)'!Q53</f>
        <v>0</v>
      </c>
      <c r="R53" s="6">
        <f>'IS (After Changes)'!R53-'IS (Before Changes)'!R53</f>
        <v>0</v>
      </c>
      <c r="S53" s="114">
        <f>'IS (After Changes)'!S53-'IS (Before Changes)'!S53</f>
        <v>0</v>
      </c>
      <c r="T53" s="114">
        <f>'IS (After Changes)'!T53-'IS (Before Changes)'!T53</f>
        <v>0</v>
      </c>
      <c r="U53" s="114">
        <f>'IS (After Changes)'!U53-'IS (Before Changes)'!U53</f>
        <v>0</v>
      </c>
      <c r="V53" s="114">
        <f>'IS (After Changes)'!V53-'IS (Before Changes)'!V53</f>
        <v>0</v>
      </c>
      <c r="W53" s="130">
        <f>'IS (After Changes)'!W53-'IS (Before Changes)'!W53</f>
        <v>0</v>
      </c>
      <c r="X53" s="62">
        <f>'IS (After Changes)'!X53-'IS (Before Changes)'!X53</f>
        <v>0</v>
      </c>
      <c r="Y53" s="62">
        <f>'IS (After Changes)'!Y53-'IS (Before Changes)'!Y53</f>
        <v>0</v>
      </c>
      <c r="Z53" s="62">
        <f>'IS (After Changes)'!Z53-'IS (Before Changes)'!Z53</f>
        <v>0</v>
      </c>
      <c r="AA53" s="62">
        <f>'IS (After Changes)'!AA53-'IS (Before Changes)'!AA53</f>
        <v>0</v>
      </c>
      <c r="AB53" s="378">
        <f>'IS (After Changes)'!AB53-'IS (Before Changes)'!AB53</f>
        <v>0</v>
      </c>
      <c r="AC53" s="62">
        <f>'IS (After Changes)'!AC53-'IS (Before Changes)'!AC53</f>
        <v>0</v>
      </c>
      <c r="AD53" s="62">
        <f>'IS (After Changes)'!AD53-'IS (Before Changes)'!AD53</f>
        <v>0</v>
      </c>
      <c r="AE53" s="62">
        <f>'IS (After Changes)'!AE53-'IS (Before Changes)'!AE53</f>
        <v>0</v>
      </c>
      <c r="AF53" s="62">
        <f>'IS (After Changes)'!AF53-'IS (Before Changes)'!AF53</f>
        <v>0</v>
      </c>
      <c r="AG53" s="378">
        <f>'IS (After Changes)'!AG53-'IS (Before Changes)'!AG53</f>
        <v>0</v>
      </c>
      <c r="AH53" s="62">
        <f>'IS (After Changes)'!AH53-'IS (Before Changes)'!AH53</f>
        <v>0</v>
      </c>
      <c r="AI53" s="62">
        <f>'IS (After Changes)'!AI53-'IS (Before Changes)'!AI53</f>
        <v>0</v>
      </c>
      <c r="AJ53" s="62">
        <f>'IS (After Changes)'!AJ53-'IS (Before Changes)'!AJ53</f>
        <v>0</v>
      </c>
      <c r="AK53" s="62">
        <f>'IS (After Changes)'!AK53-'IS (Before Changes)'!AK53</f>
        <v>0</v>
      </c>
      <c r="AL53" s="379">
        <f>'IS (After Changes)'!AL53-'IS (Before Changes)'!AL53</f>
        <v>0</v>
      </c>
      <c r="AM53" s="219">
        <f>'IS (After Changes)'!AM53-'IS (Before Changes)'!AM53</f>
        <v>0</v>
      </c>
      <c r="AN53" s="219">
        <f>'IS (After Changes)'!AN53-'IS (Before Changes)'!AN53</f>
        <v>0</v>
      </c>
      <c r="AO53" s="219">
        <f>'IS (After Changes)'!AO53-'IS (Before Changes)'!AO53</f>
        <v>0</v>
      </c>
      <c r="AP53" s="219">
        <f>'IS (After Changes)'!AP53-'IS (Before Changes)'!AP53</f>
        <v>0</v>
      </c>
      <c r="AQ53" s="97">
        <f>'IS (After Changes)'!AQ53-'IS (Before Changes)'!AQ53</f>
        <v>0</v>
      </c>
      <c r="AR53" s="219">
        <f>'IS (After Changes)'!AR53-'IS (Before Changes)'!AR53</f>
        <v>0</v>
      </c>
      <c r="AS53" s="219">
        <f>'IS (After Changes)'!AS53-'IS (Before Changes)'!AS53</f>
        <v>0</v>
      </c>
      <c r="AT53" s="219">
        <f>'IS (After Changes)'!AT53-'IS (Before Changes)'!AT53</f>
        <v>0</v>
      </c>
      <c r="AU53" s="219">
        <f>'IS (After Changes)'!AU53-'IS (Before Changes)'!AU53</f>
        <v>0</v>
      </c>
      <c r="AV53" s="6">
        <f>'IS (After Changes)'!AV53-'IS (Before Changes)'!AV53</f>
        <v>0</v>
      </c>
    </row>
    <row r="54" spans="2:48" s="8" customFormat="1" outlineLevel="1" x14ac:dyDescent="0.3">
      <c r="B54" s="498" t="s">
        <v>178</v>
      </c>
      <c r="C54" s="499"/>
      <c r="D54" s="115">
        <f>'IS (After Changes)'!D54-'IS (Before Changes)'!D54</f>
        <v>0</v>
      </c>
      <c r="E54" s="115">
        <f>'IS (After Changes)'!E54-'IS (Before Changes)'!E54</f>
        <v>0</v>
      </c>
      <c r="F54" s="115">
        <f>'IS (After Changes)'!F54-'IS (Before Changes)'!F54</f>
        <v>0</v>
      </c>
      <c r="G54" s="115">
        <f>'IS (After Changes)'!G54-'IS (Before Changes)'!G54</f>
        <v>0</v>
      </c>
      <c r="H54" s="153">
        <f>'IS (After Changes)'!H54-'IS (Before Changes)'!H54</f>
        <v>0</v>
      </c>
      <c r="I54" s="115">
        <f>'IS (After Changes)'!I54-'IS (Before Changes)'!I54</f>
        <v>0</v>
      </c>
      <c r="J54" s="115">
        <f>'IS (After Changes)'!J54-'IS (Before Changes)'!J54</f>
        <v>0</v>
      </c>
      <c r="K54" s="115">
        <f>'IS (After Changes)'!K54-'IS (Before Changes)'!K54</f>
        <v>0</v>
      </c>
      <c r="L54" s="72">
        <f>'IS (After Changes)'!L54-'IS (Before Changes)'!L54</f>
        <v>0</v>
      </c>
      <c r="M54" s="73">
        <f>'IS (After Changes)'!M54-'IS (Before Changes)'!M54</f>
        <v>0</v>
      </c>
      <c r="N54" s="72">
        <f>'IS (After Changes)'!N54-'IS (Before Changes)'!N54</f>
        <v>0</v>
      </c>
      <c r="O54" s="72">
        <f>'IS (After Changes)'!O54-'IS (Before Changes)'!O54</f>
        <v>0</v>
      </c>
      <c r="P54" s="72">
        <f>'IS (After Changes)'!P54-'IS (Before Changes)'!P54</f>
        <v>0</v>
      </c>
      <c r="Q54" s="115">
        <f>'IS (After Changes)'!Q54-'IS (Before Changes)'!Q54</f>
        <v>0</v>
      </c>
      <c r="R54" s="73">
        <f>'IS (After Changes)'!R54-'IS (Before Changes)'!R54</f>
        <v>0</v>
      </c>
      <c r="S54" s="72">
        <f>'IS (After Changes)'!S54-'IS (Before Changes)'!S54</f>
        <v>0</v>
      </c>
      <c r="T54" s="72">
        <f>'IS (After Changes)'!T54-'IS (Before Changes)'!T54</f>
        <v>0</v>
      </c>
      <c r="U54" s="72">
        <f>'IS (After Changes)'!U54-'IS (Before Changes)'!U54</f>
        <v>0</v>
      </c>
      <c r="V54" s="72">
        <f>'IS (After Changes)'!V54-'IS (Before Changes)'!V54</f>
        <v>0</v>
      </c>
      <c r="W54" s="213">
        <f>'IS (After Changes)'!W54-'IS (Before Changes)'!W54</f>
        <v>0</v>
      </c>
      <c r="X54" s="72">
        <f>'IS (After Changes)'!X54-'IS (Before Changes)'!X54</f>
        <v>0</v>
      </c>
      <c r="Y54" s="72">
        <f>'IS (After Changes)'!Y54-'IS (Before Changes)'!Y54</f>
        <v>0</v>
      </c>
      <c r="Z54" s="72">
        <f>'IS (After Changes)'!Z54-'IS (Before Changes)'!Z54</f>
        <v>0</v>
      </c>
      <c r="AA54" s="72">
        <f>'IS (After Changes)'!AA54-'IS (Before Changes)'!AA54</f>
        <v>0</v>
      </c>
      <c r="AB54" s="73">
        <f>'IS (After Changes)'!AB54-'IS (Before Changes)'!AB54</f>
        <v>0</v>
      </c>
      <c r="AC54" s="72">
        <f>'IS (After Changes)'!AC54-'IS (Before Changes)'!AC54</f>
        <v>0</v>
      </c>
      <c r="AD54" s="72">
        <f>'IS (After Changes)'!AD54-'IS (Before Changes)'!AD54</f>
        <v>0</v>
      </c>
      <c r="AE54" s="72">
        <f>'IS (After Changes)'!AE54-'IS (Before Changes)'!AE54</f>
        <v>0</v>
      </c>
      <c r="AF54" s="72">
        <f>'IS (After Changes)'!AF54-'IS (Before Changes)'!AF54</f>
        <v>0</v>
      </c>
      <c r="AG54" s="73">
        <f>'IS (After Changes)'!AG54-'IS (Before Changes)'!AG54</f>
        <v>0</v>
      </c>
      <c r="AH54" s="72">
        <f>'IS (After Changes)'!AH54-'IS (Before Changes)'!AH54</f>
        <v>0</v>
      </c>
      <c r="AI54" s="72">
        <f>'IS (After Changes)'!AI54-'IS (Before Changes)'!AI54</f>
        <v>0</v>
      </c>
      <c r="AJ54" s="72">
        <f>'IS (After Changes)'!AJ54-'IS (Before Changes)'!AJ54</f>
        <v>0</v>
      </c>
      <c r="AK54" s="72">
        <f>'IS (After Changes)'!AK54-'IS (Before Changes)'!AK54</f>
        <v>0</v>
      </c>
      <c r="AL54" s="73">
        <f>'IS (After Changes)'!AL54-'IS (Before Changes)'!AL54</f>
        <v>0</v>
      </c>
      <c r="AM54" s="72">
        <f>'IS (After Changes)'!AM54-'IS (Before Changes)'!AM54</f>
        <v>0</v>
      </c>
      <c r="AN54" s="72">
        <f>'IS (After Changes)'!AN54-'IS (Before Changes)'!AN54</f>
        <v>0</v>
      </c>
      <c r="AO54" s="72">
        <f>'IS (After Changes)'!AO54-'IS (Before Changes)'!AO54</f>
        <v>0</v>
      </c>
      <c r="AP54" s="72">
        <f>'IS (After Changes)'!AP54-'IS (Before Changes)'!AP54</f>
        <v>0</v>
      </c>
      <c r="AQ54" s="73">
        <f>'IS (After Changes)'!AQ54-'IS (Before Changes)'!AQ54</f>
        <v>0</v>
      </c>
      <c r="AR54" s="72">
        <f>'IS (After Changes)'!AR54-'IS (Before Changes)'!AR54</f>
        <v>0</v>
      </c>
      <c r="AS54" s="72">
        <f>'IS (After Changes)'!AS54-'IS (Before Changes)'!AS54</f>
        <v>0</v>
      </c>
      <c r="AT54" s="72">
        <f>'IS (After Changes)'!AT54-'IS (Before Changes)'!AT54</f>
        <v>0</v>
      </c>
      <c r="AU54" s="72">
        <f>'IS (After Changes)'!AU54-'IS (Before Changes)'!AU54</f>
        <v>0</v>
      </c>
      <c r="AV54" s="73">
        <f>'IS (After Changes)'!AV54-'IS (Before Changes)'!AV54</f>
        <v>0</v>
      </c>
    </row>
    <row r="55" spans="2:48" s="8" customFormat="1" outlineLevel="1" x14ac:dyDescent="0.3">
      <c r="B55" s="500" t="s">
        <v>179</v>
      </c>
      <c r="C55" s="501"/>
      <c r="D55" s="103">
        <f>'IS (After Changes)'!D55-'IS (Before Changes)'!D55</f>
        <v>0</v>
      </c>
      <c r="E55" s="103">
        <f>'IS (After Changes)'!E55-'IS (Before Changes)'!E55</f>
        <v>0</v>
      </c>
      <c r="F55" s="103">
        <f>'IS (After Changes)'!F55-'IS (Before Changes)'!F55</f>
        <v>0</v>
      </c>
      <c r="G55" s="103">
        <f>'IS (After Changes)'!G55-'IS (Before Changes)'!G55</f>
        <v>0</v>
      </c>
      <c r="H55" s="154">
        <f>'IS (After Changes)'!H55-'IS (Before Changes)'!H55</f>
        <v>0</v>
      </c>
      <c r="I55" s="103">
        <f>'IS (After Changes)'!I55-'IS (Before Changes)'!I55</f>
        <v>0</v>
      </c>
      <c r="J55" s="103">
        <f>'IS (After Changes)'!J55-'IS (Before Changes)'!J55</f>
        <v>0</v>
      </c>
      <c r="K55" s="103">
        <f>'IS (After Changes)'!K55-'IS (Before Changes)'!K55</f>
        <v>0</v>
      </c>
      <c r="L55" s="50">
        <f>'IS (After Changes)'!L55-'IS (Before Changes)'!L55</f>
        <v>0</v>
      </c>
      <c r="M55" s="97">
        <f>'IS (After Changes)'!M55-'IS (Before Changes)'!M55</f>
        <v>0</v>
      </c>
      <c r="N55" s="50">
        <f>'IS (After Changes)'!N55-'IS (Before Changes)'!N55</f>
        <v>0</v>
      </c>
      <c r="O55" s="50">
        <f>'IS (After Changes)'!O55-'IS (Before Changes)'!O55</f>
        <v>0</v>
      </c>
      <c r="P55" s="50">
        <f>'IS (After Changes)'!P55-'IS (Before Changes)'!P55</f>
        <v>0</v>
      </c>
      <c r="Q55" s="103">
        <f>'IS (After Changes)'!Q55-'IS (Before Changes)'!Q55</f>
        <v>0</v>
      </c>
      <c r="R55" s="191">
        <f>'IS (After Changes)'!R55-'IS (Before Changes)'!R55</f>
        <v>0</v>
      </c>
      <c r="S55" s="50">
        <f>'IS (After Changes)'!S55-'IS (Before Changes)'!S55</f>
        <v>0</v>
      </c>
      <c r="T55" s="50">
        <f>'IS (After Changes)'!T55-'IS (Before Changes)'!T55</f>
        <v>0</v>
      </c>
      <c r="U55" s="50">
        <f>'IS (After Changes)'!U55-'IS (Before Changes)'!U55</f>
        <v>0</v>
      </c>
      <c r="V55" s="50">
        <f>'IS (After Changes)'!V55-'IS (Before Changes)'!V55</f>
        <v>0</v>
      </c>
      <c r="W55" s="166">
        <f>'IS (After Changes)'!W55-'IS (Before Changes)'!W55</f>
        <v>0</v>
      </c>
      <c r="X55" s="50">
        <f>'IS (After Changes)'!X55-'IS (Before Changes)'!X55</f>
        <v>0</v>
      </c>
      <c r="Y55" s="50">
        <f>'IS (After Changes)'!Y55-'IS (Before Changes)'!Y55</f>
        <v>0</v>
      </c>
      <c r="Z55" s="50">
        <f>'IS (After Changes)'!Z55-'IS (Before Changes)'!Z55</f>
        <v>0</v>
      </c>
      <c r="AA55" s="50">
        <f>'IS (After Changes)'!AA55-'IS (Before Changes)'!AA55</f>
        <v>0</v>
      </c>
      <c r="AB55" s="191">
        <f>'IS (After Changes)'!AB55-'IS (Before Changes)'!AB55</f>
        <v>0</v>
      </c>
      <c r="AC55" s="50">
        <f>'IS (After Changes)'!AC55-'IS (Before Changes)'!AC55</f>
        <v>0</v>
      </c>
      <c r="AD55" s="50">
        <f>'IS (After Changes)'!AD55-'IS (Before Changes)'!AD55</f>
        <v>0</v>
      </c>
      <c r="AE55" s="50">
        <f>'IS (After Changes)'!AE55-'IS (Before Changes)'!AE55</f>
        <v>0</v>
      </c>
      <c r="AF55" s="50">
        <f>'IS (After Changes)'!AF55-'IS (Before Changes)'!AF55</f>
        <v>0</v>
      </c>
      <c r="AG55" s="191">
        <f>'IS (After Changes)'!AG55-'IS (Before Changes)'!AG55</f>
        <v>0</v>
      </c>
      <c r="AH55" s="50">
        <f>'IS (After Changes)'!AH55-'IS (Before Changes)'!AH55</f>
        <v>0</v>
      </c>
      <c r="AI55" s="50">
        <f>'IS (After Changes)'!AI55-'IS (Before Changes)'!AI55</f>
        <v>0</v>
      </c>
      <c r="AJ55" s="50">
        <f>'IS (After Changes)'!AJ55-'IS (Before Changes)'!AJ55</f>
        <v>0</v>
      </c>
      <c r="AK55" s="50">
        <f>'IS (After Changes)'!AK55-'IS (Before Changes)'!AK55</f>
        <v>0</v>
      </c>
      <c r="AL55" s="191">
        <f>'IS (After Changes)'!AL55-'IS (Before Changes)'!AL55</f>
        <v>0</v>
      </c>
      <c r="AM55" s="50">
        <f>'IS (After Changes)'!AM55-'IS (Before Changes)'!AM55</f>
        <v>0</v>
      </c>
      <c r="AN55" s="50">
        <f>'IS (After Changes)'!AN55-'IS (Before Changes)'!AN55</f>
        <v>0</v>
      </c>
      <c r="AO55" s="50">
        <f>'IS (After Changes)'!AO55-'IS (Before Changes)'!AO55</f>
        <v>0</v>
      </c>
      <c r="AP55" s="50">
        <f>'IS (After Changes)'!AP55-'IS (Before Changes)'!AP55</f>
        <v>0</v>
      </c>
      <c r="AQ55" s="191">
        <f>'IS (After Changes)'!AQ55-'IS (Before Changes)'!AQ55</f>
        <v>0</v>
      </c>
      <c r="AR55" s="50">
        <f>'IS (After Changes)'!AR55-'IS (Before Changes)'!AR55</f>
        <v>0</v>
      </c>
      <c r="AS55" s="50">
        <f>'IS (After Changes)'!AS55-'IS (Before Changes)'!AS55</f>
        <v>0</v>
      </c>
      <c r="AT55" s="50">
        <f>'IS (After Changes)'!AT55-'IS (Before Changes)'!AT55</f>
        <v>0</v>
      </c>
      <c r="AU55" s="50">
        <f>'IS (After Changes)'!AU55-'IS (Before Changes)'!AU55</f>
        <v>0</v>
      </c>
      <c r="AV55" s="191">
        <f>'IS (After Changes)'!AV55-'IS (Before Changes)'!AV55</f>
        <v>0</v>
      </c>
    </row>
    <row r="56" spans="2:48" outlineLevel="1" x14ac:dyDescent="0.3">
      <c r="B56" s="69" t="s">
        <v>50</v>
      </c>
      <c r="C56" s="70"/>
      <c r="D56" s="120">
        <f>'IS (After Changes)'!D56-'IS (Before Changes)'!D56</f>
        <v>0</v>
      </c>
      <c r="E56" s="120">
        <f>'IS (After Changes)'!E56-'IS (Before Changes)'!E56</f>
        <v>0</v>
      </c>
      <c r="F56" s="120">
        <f>'IS (After Changes)'!F56-'IS (Before Changes)'!F56</f>
        <v>0</v>
      </c>
      <c r="G56" s="120">
        <f>'IS (After Changes)'!G56-'IS (Before Changes)'!G56</f>
        <v>0</v>
      </c>
      <c r="H56" s="155">
        <f>'IS (After Changes)'!H56-'IS (Before Changes)'!H56</f>
        <v>0</v>
      </c>
      <c r="I56" s="120">
        <f>'IS (After Changes)'!I56-'IS (Before Changes)'!I56</f>
        <v>0</v>
      </c>
      <c r="J56" s="120">
        <f>'IS (After Changes)'!J56-'IS (Before Changes)'!J56</f>
        <v>0</v>
      </c>
      <c r="K56" s="120">
        <f>'IS (After Changes)'!K56-'IS (Before Changes)'!K56</f>
        <v>0</v>
      </c>
      <c r="L56" s="120">
        <f>'IS (After Changes)'!L56-'IS (Before Changes)'!L56</f>
        <v>0</v>
      </c>
      <c r="M56" s="58">
        <f>'IS (After Changes)'!M56-'IS (Before Changes)'!M56</f>
        <v>0</v>
      </c>
      <c r="N56" s="120">
        <f>'IS (After Changes)'!N56-'IS (Before Changes)'!N56</f>
        <v>0</v>
      </c>
      <c r="O56" s="120">
        <f>'IS (After Changes)'!O56-'IS (Before Changes)'!O56</f>
        <v>0</v>
      </c>
      <c r="P56" s="120">
        <f>'IS (After Changes)'!P56-'IS (Before Changes)'!P56</f>
        <v>0</v>
      </c>
      <c r="Q56" s="120">
        <f>'IS (After Changes)'!Q56-'IS (Before Changes)'!Q56</f>
        <v>0</v>
      </c>
      <c r="R56" s="58">
        <f>'IS (After Changes)'!R56-'IS (Before Changes)'!R56</f>
        <v>0</v>
      </c>
      <c r="S56" s="120">
        <f>'IS (After Changes)'!S56-'IS (Before Changes)'!S56</f>
        <v>0</v>
      </c>
      <c r="T56" s="120">
        <f>'IS (After Changes)'!T56-'IS (Before Changes)'!T56</f>
        <v>0</v>
      </c>
      <c r="U56" s="120">
        <f>'IS (After Changes)'!U56-'IS (Before Changes)'!U56</f>
        <v>0</v>
      </c>
      <c r="V56" s="120">
        <f>'IS (After Changes)'!V56-'IS (Before Changes)'!V56</f>
        <v>0</v>
      </c>
      <c r="W56" s="155">
        <f>'IS (After Changes)'!W56-'IS (Before Changes)'!W56</f>
        <v>0</v>
      </c>
      <c r="X56" s="71">
        <f>'IS (After Changes)'!X56-'IS (Before Changes)'!X56</f>
        <v>0</v>
      </c>
      <c r="Y56" s="71">
        <f>'IS (After Changes)'!Y56-'IS (Before Changes)'!Y56</f>
        <v>0</v>
      </c>
      <c r="Z56" s="71">
        <f>'IS (After Changes)'!Z56-'IS (Before Changes)'!Z56</f>
        <v>0</v>
      </c>
      <c r="AA56" s="71">
        <f>'IS (After Changes)'!AA56-'IS (Before Changes)'!AA56</f>
        <v>0</v>
      </c>
      <c r="AB56" s="374">
        <f>'IS (After Changes)'!AB56-'IS (Before Changes)'!AB56</f>
        <v>0</v>
      </c>
      <c r="AC56" s="71">
        <f>'IS (After Changes)'!AC56-'IS (Before Changes)'!AC56</f>
        <v>0</v>
      </c>
      <c r="AD56" s="71">
        <f>'IS (After Changes)'!AD56-'IS (Before Changes)'!AD56</f>
        <v>0</v>
      </c>
      <c r="AE56" s="71">
        <f>'IS (After Changes)'!AE56-'IS (Before Changes)'!AE56</f>
        <v>0</v>
      </c>
      <c r="AF56" s="71">
        <f>'IS (After Changes)'!AF56-'IS (Before Changes)'!AF56</f>
        <v>0</v>
      </c>
      <c r="AG56" s="58">
        <f>'IS (After Changes)'!AG56-'IS (Before Changes)'!AG56</f>
        <v>0</v>
      </c>
      <c r="AH56" s="71">
        <f>'IS (After Changes)'!AH56-'IS (Before Changes)'!AH56</f>
        <v>0</v>
      </c>
      <c r="AI56" s="71">
        <f>'IS (After Changes)'!AI56-'IS (Before Changes)'!AI56</f>
        <v>0</v>
      </c>
      <c r="AJ56" s="71">
        <f>'IS (After Changes)'!AJ56-'IS (Before Changes)'!AJ56</f>
        <v>0</v>
      </c>
      <c r="AK56" s="71">
        <f>'IS (After Changes)'!AK56-'IS (Before Changes)'!AK56</f>
        <v>0</v>
      </c>
      <c r="AL56" s="58">
        <f>'IS (After Changes)'!AL56-'IS (Before Changes)'!AL56</f>
        <v>0</v>
      </c>
      <c r="AM56" s="71">
        <f>'IS (After Changes)'!AM56-'IS (Before Changes)'!AM56</f>
        <v>0</v>
      </c>
      <c r="AN56" s="71">
        <f>'IS (After Changes)'!AN56-'IS (Before Changes)'!AN56</f>
        <v>0</v>
      </c>
      <c r="AO56" s="71">
        <f>'IS (After Changes)'!AO56-'IS (Before Changes)'!AO56</f>
        <v>0</v>
      </c>
      <c r="AP56" s="71">
        <f>'IS (After Changes)'!AP56-'IS (Before Changes)'!AP56</f>
        <v>0</v>
      </c>
      <c r="AQ56" s="58">
        <f>'IS (After Changes)'!AQ56-'IS (Before Changes)'!AQ56</f>
        <v>0</v>
      </c>
      <c r="AR56" s="71">
        <f>'IS (After Changes)'!AR56-'IS (Before Changes)'!AR56</f>
        <v>0</v>
      </c>
      <c r="AS56" s="71">
        <f>'IS (After Changes)'!AS56-'IS (Before Changes)'!AS56</f>
        <v>0</v>
      </c>
      <c r="AT56" s="71">
        <f>'IS (After Changes)'!AT56-'IS (Before Changes)'!AT56</f>
        <v>0</v>
      </c>
      <c r="AU56" s="71">
        <f>'IS (After Changes)'!AU56-'IS (Before Changes)'!AU56</f>
        <v>0</v>
      </c>
      <c r="AV56" s="58">
        <f>'IS (After Changes)'!AV56-'IS (Before Changes)'!AV56</f>
        <v>0</v>
      </c>
    </row>
    <row r="57" spans="2:48" outlineLevel="1" x14ac:dyDescent="0.3">
      <c r="B57" s="180" t="s">
        <v>180</v>
      </c>
      <c r="C57" s="207"/>
      <c r="D57" s="101">
        <f>'IS (After Changes)'!D57-'IS (Before Changes)'!D57</f>
        <v>0</v>
      </c>
      <c r="E57" s="101">
        <f>'IS (After Changes)'!E57-'IS (Before Changes)'!E57</f>
        <v>0</v>
      </c>
      <c r="F57" s="101">
        <f>'IS (After Changes)'!F57-'IS (Before Changes)'!F57</f>
        <v>0</v>
      </c>
      <c r="G57" s="101">
        <f>'IS (After Changes)'!G57-'IS (Before Changes)'!G57</f>
        <v>0</v>
      </c>
      <c r="H57" s="122">
        <f>'IS (After Changes)'!H57-'IS (Before Changes)'!H57</f>
        <v>0</v>
      </c>
      <c r="I57" s="101">
        <f>'IS (After Changes)'!I57-'IS (Before Changes)'!I57</f>
        <v>0</v>
      </c>
      <c r="J57" s="101">
        <f>'IS (After Changes)'!J57-'IS (Before Changes)'!J57</f>
        <v>0</v>
      </c>
      <c r="K57" s="101">
        <f>'IS (After Changes)'!K57-'IS (Before Changes)'!K57</f>
        <v>0</v>
      </c>
      <c r="L57" s="16">
        <f>'IS (After Changes)'!L57-'IS (Before Changes)'!L57</f>
        <v>0</v>
      </c>
      <c r="M57" s="6">
        <f>'IS (After Changes)'!M57-'IS (Before Changes)'!M57</f>
        <v>0</v>
      </c>
      <c r="N57" s="16">
        <f>'IS (After Changes)'!N57-'IS (Before Changes)'!N57</f>
        <v>0</v>
      </c>
      <c r="O57" s="16">
        <f>'IS (After Changes)'!O57-'IS (Before Changes)'!O57</f>
        <v>0</v>
      </c>
      <c r="P57" s="16">
        <f>'IS (After Changes)'!P57-'IS (Before Changes)'!P57</f>
        <v>0</v>
      </c>
      <c r="Q57" s="101">
        <f>'IS (After Changes)'!Q57-'IS (Before Changes)'!Q57</f>
        <v>0</v>
      </c>
      <c r="R57" s="6">
        <f>'IS (After Changes)'!R57-'IS (Before Changes)'!R57</f>
        <v>0</v>
      </c>
      <c r="S57" s="16">
        <f>'IS (After Changes)'!S57-'IS (Before Changes)'!S57</f>
        <v>0</v>
      </c>
      <c r="T57" s="16">
        <f>'IS (After Changes)'!T57-'IS (Before Changes)'!T57</f>
        <v>0</v>
      </c>
      <c r="U57" s="16">
        <f>'IS (After Changes)'!U57-'IS (Before Changes)'!U57</f>
        <v>0</v>
      </c>
      <c r="V57" s="16">
        <f>'IS (After Changes)'!V57-'IS (Before Changes)'!V57</f>
        <v>0</v>
      </c>
      <c r="W57" s="254">
        <f>'IS (After Changes)'!W57-'IS (Before Changes)'!W57</f>
        <v>0</v>
      </c>
      <c r="X57" s="16">
        <f>'IS (After Changes)'!X57-'IS (Before Changes)'!X57</f>
        <v>0</v>
      </c>
      <c r="Y57" s="16">
        <f>'IS (After Changes)'!Y57-'IS (Before Changes)'!Y57</f>
        <v>0</v>
      </c>
      <c r="Z57" s="16">
        <f>'IS (After Changes)'!Z57-'IS (Before Changes)'!Z57</f>
        <v>0</v>
      </c>
      <c r="AA57" s="16">
        <f>'IS (After Changes)'!AA57-'IS (Before Changes)'!AA57</f>
        <v>0</v>
      </c>
      <c r="AB57" s="254">
        <f>'IS (After Changes)'!AB57-'IS (Before Changes)'!AB57</f>
        <v>0</v>
      </c>
      <c r="AC57" s="16">
        <f>'IS (After Changes)'!AC57-'IS (Before Changes)'!AC57</f>
        <v>0</v>
      </c>
      <c r="AD57" s="16">
        <f>'IS (After Changes)'!AD57-'IS (Before Changes)'!AD57</f>
        <v>0</v>
      </c>
      <c r="AE57" s="16">
        <f>'IS (After Changes)'!AE57-'IS (Before Changes)'!AE57</f>
        <v>0</v>
      </c>
      <c r="AF57" s="16">
        <f>'IS (After Changes)'!AF57-'IS (Before Changes)'!AF57</f>
        <v>0</v>
      </c>
      <c r="AG57" s="254">
        <f>'IS (After Changes)'!AG57-'IS (Before Changes)'!AG57</f>
        <v>0</v>
      </c>
      <c r="AH57" s="16">
        <f>'IS (After Changes)'!AH57-'IS (Before Changes)'!AH57</f>
        <v>0</v>
      </c>
      <c r="AI57" s="16">
        <f>'IS (After Changes)'!AI57-'IS (Before Changes)'!AI57</f>
        <v>0</v>
      </c>
      <c r="AJ57" s="16">
        <f>'IS (After Changes)'!AJ57-'IS (Before Changes)'!AJ57</f>
        <v>0</v>
      </c>
      <c r="AK57" s="16">
        <f>'IS (After Changes)'!AK57-'IS (Before Changes)'!AK57</f>
        <v>0</v>
      </c>
      <c r="AL57" s="254">
        <f>'IS (After Changes)'!AL57-'IS (Before Changes)'!AL57</f>
        <v>0</v>
      </c>
      <c r="AM57" s="16">
        <f>'IS (After Changes)'!AM57-'IS (Before Changes)'!AM57</f>
        <v>0</v>
      </c>
      <c r="AN57" s="16">
        <f>'IS (After Changes)'!AN57-'IS (Before Changes)'!AN57</f>
        <v>0</v>
      </c>
      <c r="AO57" s="16">
        <f>'IS (After Changes)'!AO57-'IS (Before Changes)'!AO57</f>
        <v>0</v>
      </c>
      <c r="AP57" s="16">
        <f>'IS (After Changes)'!AP57-'IS (Before Changes)'!AP57</f>
        <v>0</v>
      </c>
      <c r="AQ57" s="254">
        <f>'IS (After Changes)'!AQ57-'IS (Before Changes)'!AQ57</f>
        <v>0</v>
      </c>
      <c r="AR57" s="16">
        <f>'IS (After Changes)'!AR57-'IS (Before Changes)'!AR57</f>
        <v>0</v>
      </c>
      <c r="AS57" s="16">
        <f>'IS (After Changes)'!AS57-'IS (Before Changes)'!AS57</f>
        <v>0</v>
      </c>
      <c r="AT57" s="16">
        <f>'IS (After Changes)'!AT57-'IS (Before Changes)'!AT57</f>
        <v>0</v>
      </c>
      <c r="AU57" s="16">
        <f>'IS (After Changes)'!AU57-'IS (Before Changes)'!AU57</f>
        <v>0</v>
      </c>
      <c r="AV57" s="254">
        <f>'IS (After Changes)'!AV57-'IS (Before Changes)'!AV57</f>
        <v>0</v>
      </c>
    </row>
    <row r="58" spans="2:48" outlineLevel="1" x14ac:dyDescent="0.3">
      <c r="B58" s="180" t="s">
        <v>181</v>
      </c>
      <c r="C58" s="207"/>
      <c r="D58" s="101">
        <f>'IS (After Changes)'!D58-'IS (Before Changes)'!D58</f>
        <v>0</v>
      </c>
      <c r="E58" s="101">
        <f>'IS (After Changes)'!E58-'IS (Before Changes)'!E58</f>
        <v>0</v>
      </c>
      <c r="F58" s="101">
        <f>'IS (After Changes)'!F58-'IS (Before Changes)'!F58</f>
        <v>0</v>
      </c>
      <c r="G58" s="101">
        <f>'IS (After Changes)'!G58-'IS (Before Changes)'!G58</f>
        <v>0</v>
      </c>
      <c r="H58" s="122">
        <f>'IS (After Changes)'!H58-'IS (Before Changes)'!H58</f>
        <v>0</v>
      </c>
      <c r="I58" s="101">
        <f>'IS (After Changes)'!I58-'IS (Before Changes)'!I58</f>
        <v>0</v>
      </c>
      <c r="J58" s="101">
        <f>'IS (After Changes)'!J58-'IS (Before Changes)'!J58</f>
        <v>0</v>
      </c>
      <c r="K58" s="101">
        <f>'IS (After Changes)'!K58-'IS (Before Changes)'!K58</f>
        <v>0</v>
      </c>
      <c r="L58" s="16">
        <f>'IS (After Changes)'!L58-'IS (Before Changes)'!L58</f>
        <v>0</v>
      </c>
      <c r="M58" s="122">
        <f>'IS (After Changes)'!M58-'IS (Before Changes)'!M58</f>
        <v>0</v>
      </c>
      <c r="N58" s="16">
        <f>'IS (After Changes)'!N58-'IS (Before Changes)'!N58</f>
        <v>0</v>
      </c>
      <c r="O58" s="16">
        <f>'IS (After Changes)'!O58-'IS (Before Changes)'!O58</f>
        <v>0</v>
      </c>
      <c r="P58" s="16">
        <f>'IS (After Changes)'!P58-'IS (Before Changes)'!P58</f>
        <v>0</v>
      </c>
      <c r="Q58" s="101">
        <f>'IS (After Changes)'!Q58-'IS (Before Changes)'!Q58</f>
        <v>0</v>
      </c>
      <c r="R58" s="122">
        <f>'IS (After Changes)'!R58-'IS (Before Changes)'!R58</f>
        <v>0</v>
      </c>
      <c r="S58" s="16">
        <f>'IS (After Changes)'!S58-'IS (Before Changes)'!S58</f>
        <v>0</v>
      </c>
      <c r="T58" s="16">
        <f>'IS (After Changes)'!T58-'IS (Before Changes)'!T58</f>
        <v>0</v>
      </c>
      <c r="U58" s="16">
        <f>'IS (After Changes)'!U58-'IS (Before Changes)'!U58</f>
        <v>0</v>
      </c>
      <c r="V58" s="16">
        <f>'IS (After Changes)'!V58-'IS (Before Changes)'!V58</f>
        <v>0</v>
      </c>
      <c r="W58" s="122">
        <f>'IS (After Changes)'!W58-'IS (Before Changes)'!W58</f>
        <v>0</v>
      </c>
      <c r="X58" s="16">
        <f>'IS (After Changes)'!X58-'IS (Before Changes)'!X58</f>
        <v>0</v>
      </c>
      <c r="Y58" s="16">
        <f>'IS (After Changes)'!Y58-'IS (Before Changes)'!Y58</f>
        <v>0</v>
      </c>
      <c r="Z58" s="16">
        <f>'IS (After Changes)'!Z58-'IS (Before Changes)'!Z58</f>
        <v>0</v>
      </c>
      <c r="AA58" s="16">
        <f>'IS (After Changes)'!AA58-'IS (Before Changes)'!AA58</f>
        <v>0</v>
      </c>
      <c r="AB58" s="122">
        <f>'IS (After Changes)'!AB58-'IS (Before Changes)'!AB58</f>
        <v>0</v>
      </c>
      <c r="AC58" s="16">
        <f>'IS (After Changes)'!AC58-'IS (Before Changes)'!AC58</f>
        <v>0</v>
      </c>
      <c r="AD58" s="16">
        <f>'IS (After Changes)'!AD58-'IS (Before Changes)'!AD58</f>
        <v>0</v>
      </c>
      <c r="AE58" s="16">
        <f>'IS (After Changes)'!AE58-'IS (Before Changes)'!AE58</f>
        <v>0</v>
      </c>
      <c r="AF58" s="16">
        <f>'IS (After Changes)'!AF58-'IS (Before Changes)'!AF58</f>
        <v>0</v>
      </c>
      <c r="AG58" s="122">
        <f>'IS (After Changes)'!AG58-'IS (Before Changes)'!AG58</f>
        <v>0</v>
      </c>
      <c r="AH58" s="16">
        <f>'IS (After Changes)'!AH58-'IS (Before Changes)'!AH58</f>
        <v>0</v>
      </c>
      <c r="AI58" s="16">
        <f>'IS (After Changes)'!AI58-'IS (Before Changes)'!AI58</f>
        <v>0</v>
      </c>
      <c r="AJ58" s="16">
        <f>'IS (After Changes)'!AJ58-'IS (Before Changes)'!AJ58</f>
        <v>0</v>
      </c>
      <c r="AK58" s="16">
        <f>'IS (After Changes)'!AK58-'IS (Before Changes)'!AK58</f>
        <v>0</v>
      </c>
      <c r="AL58" s="122">
        <f>'IS (After Changes)'!AL58-'IS (Before Changes)'!AL58</f>
        <v>0</v>
      </c>
      <c r="AM58" s="16">
        <f>'IS (After Changes)'!AM58-'IS (Before Changes)'!AM58</f>
        <v>0</v>
      </c>
      <c r="AN58" s="16">
        <f>'IS (After Changes)'!AN58-'IS (Before Changes)'!AN58</f>
        <v>0</v>
      </c>
      <c r="AO58" s="16">
        <f>'IS (After Changes)'!AO58-'IS (Before Changes)'!AO58</f>
        <v>0</v>
      </c>
      <c r="AP58" s="16">
        <f>'IS (After Changes)'!AP58-'IS (Before Changes)'!AP58</f>
        <v>0</v>
      </c>
      <c r="AQ58" s="122">
        <f>'IS (After Changes)'!AQ58-'IS (Before Changes)'!AQ58</f>
        <v>0</v>
      </c>
      <c r="AR58" s="16">
        <f>'IS (After Changes)'!AR58-'IS (Before Changes)'!AR58</f>
        <v>0</v>
      </c>
      <c r="AS58" s="16">
        <f>'IS (After Changes)'!AS58-'IS (Before Changes)'!AS58</f>
        <v>0</v>
      </c>
      <c r="AT58" s="16">
        <f>'IS (After Changes)'!AT58-'IS (Before Changes)'!AT58</f>
        <v>0</v>
      </c>
      <c r="AU58" s="16">
        <f>'IS (After Changes)'!AU58-'IS (Before Changes)'!AU58</f>
        <v>0</v>
      </c>
      <c r="AV58" s="122">
        <f>'IS (After Changes)'!AV58-'IS (Before Changes)'!AV58</f>
        <v>0</v>
      </c>
    </row>
    <row r="59" spans="2:48" outlineLevel="1" x14ac:dyDescent="0.3">
      <c r="B59" s="502" t="s">
        <v>182</v>
      </c>
      <c r="C59" s="503"/>
      <c r="D59" s="115">
        <f>'IS (After Changes)'!D59-'IS (Before Changes)'!D59</f>
        <v>0</v>
      </c>
      <c r="E59" s="115">
        <f>'IS (After Changes)'!E59-'IS (Before Changes)'!E59</f>
        <v>0</v>
      </c>
      <c r="F59" s="115">
        <f>'IS (After Changes)'!F59-'IS (Before Changes)'!F59</f>
        <v>0</v>
      </c>
      <c r="G59" s="115">
        <f>'IS (After Changes)'!G59-'IS (Before Changes)'!G59</f>
        <v>0</v>
      </c>
      <c r="H59" s="132">
        <f>'IS (After Changes)'!H59-'IS (Before Changes)'!H59</f>
        <v>0</v>
      </c>
      <c r="I59" s="115">
        <f>'IS (After Changes)'!I59-'IS (Before Changes)'!I59</f>
        <v>0</v>
      </c>
      <c r="J59" s="115">
        <f>'IS (After Changes)'!J59-'IS (Before Changes)'!J59</f>
        <v>0</v>
      </c>
      <c r="K59" s="115">
        <f>'IS (After Changes)'!K59-'IS (Before Changes)'!K59</f>
        <v>0</v>
      </c>
      <c r="L59" s="72">
        <f>'IS (After Changes)'!L59-'IS (Before Changes)'!L59</f>
        <v>0</v>
      </c>
      <c r="M59" s="97">
        <f>'IS (After Changes)'!M59-'IS (Before Changes)'!M59</f>
        <v>0</v>
      </c>
      <c r="N59" s="72">
        <f>'IS (After Changes)'!N59-'IS (Before Changes)'!N59</f>
        <v>0</v>
      </c>
      <c r="O59" s="72">
        <f>'IS (After Changes)'!O59-'IS (Before Changes)'!O59</f>
        <v>0</v>
      </c>
      <c r="P59" s="72">
        <f>'IS (After Changes)'!P59-'IS (Before Changes)'!P59</f>
        <v>0</v>
      </c>
      <c r="Q59" s="115">
        <f>'IS (After Changes)'!Q59-'IS (Before Changes)'!Q59</f>
        <v>0</v>
      </c>
      <c r="R59" s="97">
        <f>'IS (After Changes)'!R59-'IS (Before Changes)'!R59</f>
        <v>0</v>
      </c>
      <c r="S59" s="72">
        <f>'IS (After Changes)'!S59-'IS (Before Changes)'!S59</f>
        <v>0</v>
      </c>
      <c r="T59" s="72">
        <f>'IS (After Changes)'!T59-'IS (Before Changes)'!T59</f>
        <v>0</v>
      </c>
      <c r="U59" s="72">
        <f>'IS (After Changes)'!U59-'IS (Before Changes)'!U59</f>
        <v>0</v>
      </c>
      <c r="V59" s="72">
        <f>'IS (After Changes)'!V59-'IS (Before Changes)'!V59</f>
        <v>0</v>
      </c>
      <c r="W59" s="97">
        <f>'IS (After Changes)'!W59-'IS (Before Changes)'!W59</f>
        <v>0</v>
      </c>
      <c r="X59" s="72">
        <f>'IS (After Changes)'!X59-'IS (Before Changes)'!X59</f>
        <v>28.928050287813676</v>
      </c>
      <c r="Y59" s="72">
        <f>'IS (After Changes)'!Y59-'IS (Before Changes)'!Y59</f>
        <v>27.419469490656411</v>
      </c>
      <c r="Z59" s="72">
        <f>'IS (After Changes)'!Z59-'IS (Before Changes)'!Z59</f>
        <v>144.86331938062358</v>
      </c>
      <c r="AA59" s="72">
        <f>'IS (After Changes)'!AA59-'IS (Before Changes)'!AA59</f>
        <v>144.79802512644346</v>
      </c>
      <c r="AB59" s="97">
        <f>'IS (After Changes)'!AB59-'IS (Before Changes)'!AB59</f>
        <v>346.00886428553349</v>
      </c>
      <c r="AC59" s="72">
        <f>'IS (After Changes)'!AC59-'IS (Before Changes)'!AC59</f>
        <v>62.373332970714728</v>
      </c>
      <c r="AD59" s="72">
        <f>'IS (After Changes)'!AD59-'IS (Before Changes)'!AD59</f>
        <v>59.176815178617289</v>
      </c>
      <c r="AE59" s="72">
        <f>'IS (After Changes)'!AE59-'IS (Before Changes)'!AE59</f>
        <v>189.192197293758</v>
      </c>
      <c r="AF59" s="72">
        <f>'IS (After Changes)'!AF59-'IS (Before Changes)'!AF59</f>
        <v>189.29985549965841</v>
      </c>
      <c r="AG59" s="97">
        <f>'IS (After Changes)'!AG59-'IS (Before Changes)'!AG59</f>
        <v>500.04220094274933</v>
      </c>
      <c r="AH59" s="72">
        <f>'IS (After Changes)'!AH59-'IS (Before Changes)'!AH59</f>
        <v>103.20004877210158</v>
      </c>
      <c r="AI59" s="72">
        <f>'IS (After Changes)'!AI59-'IS (Before Changes)'!AI59</f>
        <v>98.019036400175537</v>
      </c>
      <c r="AJ59" s="72">
        <f>'IS (After Changes)'!AJ59-'IS (Before Changes)'!AJ59</f>
        <v>245.29684506565354</v>
      </c>
      <c r="AK59" s="72">
        <f>'IS (After Changes)'!AK59-'IS (Before Changes)'!AK59</f>
        <v>245.6759754104487</v>
      </c>
      <c r="AL59" s="97">
        <f>'IS (After Changes)'!AL59-'IS (Before Changes)'!AL59</f>
        <v>692.19190564837845</v>
      </c>
      <c r="AM59" s="72">
        <f>'IS (After Changes)'!AM59-'IS (Before Changes)'!AM59</f>
        <v>111.86460666178027</v>
      </c>
      <c r="AN59" s="72">
        <f>'IS (After Changes)'!AN59-'IS (Before Changes)'!AN59</f>
        <v>106.31690609928955</v>
      </c>
      <c r="AO59" s="72">
        <f>'IS (After Changes)'!AO59-'IS (Before Changes)'!AO59</f>
        <v>266.23087117560863</v>
      </c>
      <c r="AP59" s="72">
        <f>'IS (After Changes)'!AP59-'IS (Before Changes)'!AP59</f>
        <v>266.80824503033182</v>
      </c>
      <c r="AQ59" s="97">
        <f>'IS (After Changes)'!AQ59-'IS (Before Changes)'!AQ59</f>
        <v>751.22062896700663</v>
      </c>
      <c r="AR59" s="72">
        <f>'IS (After Changes)'!AR59-'IS (Before Changes)'!AR59</f>
        <v>119.19224048343494</v>
      </c>
      <c r="AS59" s="72">
        <f>'IS (After Changes)'!AS59-'IS (Before Changes)'!AS59</f>
        <v>113.24888949269734</v>
      </c>
      <c r="AT59" s="72">
        <f>'IS (After Changes)'!AT59-'IS (Before Changes)'!AT59</f>
        <v>283.51003470651449</v>
      </c>
      <c r="AU59" s="72">
        <f>'IS (After Changes)'!AU59-'IS (Before Changes)'!AU59</f>
        <v>284.04665383332394</v>
      </c>
      <c r="AV59" s="97">
        <f>'IS (After Changes)'!AV59-'IS (Before Changes)'!AV59</f>
        <v>799.99781851597072</v>
      </c>
    </row>
    <row r="60" spans="2:48" outlineLevel="1" x14ac:dyDescent="0.3">
      <c r="B60" s="504" t="s">
        <v>100</v>
      </c>
      <c r="C60" s="505"/>
      <c r="D60" s="105">
        <f>'IS (After Changes)'!D60-'IS (Before Changes)'!D60</f>
        <v>0</v>
      </c>
      <c r="E60" s="105">
        <f>'IS (After Changes)'!E60-'IS (Before Changes)'!E60</f>
        <v>0</v>
      </c>
      <c r="F60" s="105">
        <f>'IS (After Changes)'!F60-'IS (Before Changes)'!F60</f>
        <v>0</v>
      </c>
      <c r="G60" s="105">
        <f>'IS (After Changes)'!G60-'IS (Before Changes)'!G60</f>
        <v>0</v>
      </c>
      <c r="H60" s="129">
        <f>'IS (After Changes)'!H60-'IS (Before Changes)'!H60</f>
        <v>0</v>
      </c>
      <c r="I60" s="105">
        <f>'IS (After Changes)'!I60-'IS (Before Changes)'!I60</f>
        <v>0</v>
      </c>
      <c r="J60" s="105">
        <f>'IS (After Changes)'!J60-'IS (Before Changes)'!J60</f>
        <v>0</v>
      </c>
      <c r="K60" s="105">
        <f>'IS (After Changes)'!K60-'IS (Before Changes)'!K60</f>
        <v>0</v>
      </c>
      <c r="L60" s="48">
        <f>'IS (After Changes)'!L60-'IS (Before Changes)'!L60</f>
        <v>0</v>
      </c>
      <c r="M60" s="76">
        <f>'IS (After Changes)'!M60-'IS (Before Changes)'!M60</f>
        <v>0</v>
      </c>
      <c r="N60" s="48">
        <f>'IS (After Changes)'!N60-'IS (Before Changes)'!N60</f>
        <v>0</v>
      </c>
      <c r="O60" s="48">
        <f>'IS (After Changes)'!O60-'IS (Before Changes)'!O60</f>
        <v>0</v>
      </c>
      <c r="P60" s="48">
        <f>'IS (After Changes)'!P60-'IS (Before Changes)'!P60</f>
        <v>0</v>
      </c>
      <c r="Q60" s="105">
        <f>'IS (After Changes)'!Q60-'IS (Before Changes)'!Q60</f>
        <v>0</v>
      </c>
      <c r="R60" s="76">
        <f>'IS (After Changes)'!R60-'IS (Before Changes)'!R60</f>
        <v>0</v>
      </c>
      <c r="S60" s="48">
        <f>'IS (After Changes)'!S60-'IS (Before Changes)'!S60</f>
        <v>0</v>
      </c>
      <c r="T60" s="48">
        <f>'IS (After Changes)'!T60-'IS (Before Changes)'!T60</f>
        <v>0</v>
      </c>
      <c r="U60" s="48">
        <f>'IS (After Changes)'!U60-'IS (Before Changes)'!U60</f>
        <v>0</v>
      </c>
      <c r="V60" s="48">
        <f>'IS (After Changes)'!V60-'IS (Before Changes)'!V60</f>
        <v>0</v>
      </c>
      <c r="W60" s="76">
        <f>'IS (After Changes)'!W60-'IS (Before Changes)'!W60</f>
        <v>0</v>
      </c>
      <c r="X60" s="48">
        <f>'IS (After Changes)'!X60-'IS (Before Changes)'!X60</f>
        <v>5.1698636598057419</v>
      </c>
      <c r="Y60" s="48">
        <f>'IS (After Changes)'!Y60-'IS (Before Changes)'!Y60</f>
        <v>35.266531706104161</v>
      </c>
      <c r="Z60" s="48">
        <f>'IS (After Changes)'!Z60-'IS (Before Changes)'!Z60</f>
        <v>71.294543397770212</v>
      </c>
      <c r="AA60" s="48">
        <f>'IS (After Changes)'!AA60-'IS (Before Changes)'!AA60</f>
        <v>155.23712339417671</v>
      </c>
      <c r="AB60" s="76">
        <f>'IS (After Changes)'!AB60-'IS (Before Changes)'!AB60</f>
        <v>266.96806215785728</v>
      </c>
      <c r="AC60" s="48">
        <f>'IS (After Changes)'!AC60-'IS (Before Changes)'!AC60</f>
        <v>10.50013990807588</v>
      </c>
      <c r="AD60" s="48">
        <f>'IS (After Changes)'!AD60-'IS (Before Changes)'!AD60</f>
        <v>-16.019559757056413</v>
      </c>
      <c r="AE60" s="48">
        <f>'IS (After Changes)'!AE60-'IS (Before Changes)'!AE60</f>
        <v>16.784395394082367</v>
      </c>
      <c r="AF60" s="48">
        <f>'IS (After Changes)'!AF60-'IS (Before Changes)'!AF60</f>
        <v>28.417104697611194</v>
      </c>
      <c r="AG60" s="76">
        <f>'IS (After Changes)'!AG60-'IS (Before Changes)'!AG60</f>
        <v>39.6820802427128</v>
      </c>
      <c r="AH60" s="48">
        <f>'IS (After Changes)'!AH60-'IS (Before Changes)'!AH60</f>
        <v>17.229405261255579</v>
      </c>
      <c r="AI60" s="48">
        <f>'IS (After Changes)'!AI60-'IS (Before Changes)'!AI60</f>
        <v>-12.22030148848512</v>
      </c>
      <c r="AJ60" s="48">
        <f>'IS (After Changes)'!AJ60-'IS (Before Changes)'!AJ60</f>
        <v>24.302398941231331</v>
      </c>
      <c r="AK60" s="48">
        <f>'IS (After Changes)'!AK60-'IS (Before Changes)'!AK60</f>
        <v>37.370727024496318</v>
      </c>
      <c r="AL60" s="76">
        <f>'IS (After Changes)'!AL60-'IS (Before Changes)'!AL60</f>
        <v>66.682229738498791</v>
      </c>
      <c r="AM60" s="48">
        <f>'IS (After Changes)'!AM60-'IS (Before Changes)'!AM60</f>
        <v>18.661312999627626</v>
      </c>
      <c r="AN60" s="48">
        <f>'IS (After Changes)'!AN60-'IS (Before Changes)'!AN60</f>
        <v>-13.267476753944266</v>
      </c>
      <c r="AO60" s="48">
        <f>'IS (After Changes)'!AO60-'IS (Before Changes)'!AO60</f>
        <v>26.40448853454609</v>
      </c>
      <c r="AP60" s="48">
        <f>'IS (After Changes)'!AP60-'IS (Before Changes)'!AP60</f>
        <v>40.6382229984888</v>
      </c>
      <c r="AQ60" s="76">
        <f>'IS (After Changes)'!AQ60-'IS (Before Changes)'!AQ60</f>
        <v>72.436547778717795</v>
      </c>
      <c r="AR60" s="48">
        <f>'IS (After Changes)'!AR60-'IS (Before Changes)'!AR60</f>
        <v>19.908607821655096</v>
      </c>
      <c r="AS60" s="48">
        <f>'IS (After Changes)'!AS60-'IS (Before Changes)'!AS60</f>
        <v>-14.043615441585189</v>
      </c>
      <c r="AT60" s="48">
        <f>'IS (After Changes)'!AT60-'IS (Before Changes)'!AT60</f>
        <v>28.208449321733042</v>
      </c>
      <c r="AU60" s="48">
        <f>'IS (After Changes)'!AU60-'IS (Before Changes)'!AU60</f>
        <v>43.332672017748337</v>
      </c>
      <c r="AV60" s="76">
        <f>'IS (After Changes)'!AV60-'IS (Before Changes)'!AV60</f>
        <v>77.406113719551286</v>
      </c>
    </row>
    <row r="61" spans="2:48" s="184" customFormat="1" outlineLevel="1" x14ac:dyDescent="0.3">
      <c r="B61" s="181" t="s">
        <v>151</v>
      </c>
      <c r="C61" s="185"/>
      <c r="D61" s="167">
        <f>'IS (After Changes)'!D61-'IS (Before Changes)'!D61</f>
        <v>0</v>
      </c>
      <c r="E61" s="167">
        <f>'IS (After Changes)'!E61-'IS (Before Changes)'!E61</f>
        <v>0</v>
      </c>
      <c r="F61" s="167">
        <f>'IS (After Changes)'!F61-'IS (Before Changes)'!F61</f>
        <v>0</v>
      </c>
      <c r="G61" s="167">
        <f>'IS (After Changes)'!G61-'IS (Before Changes)'!G61</f>
        <v>0</v>
      </c>
      <c r="H61" s="186">
        <f>'IS (After Changes)'!H61-'IS (Before Changes)'!H61</f>
        <v>0</v>
      </c>
      <c r="I61" s="167">
        <f>'IS (After Changes)'!I61-'IS (Before Changes)'!I61</f>
        <v>0</v>
      </c>
      <c r="J61" s="167">
        <f>'IS (After Changes)'!J61-'IS (Before Changes)'!J61</f>
        <v>0</v>
      </c>
      <c r="K61" s="167">
        <f>'IS (After Changes)'!K61-'IS (Before Changes)'!K61</f>
        <v>0</v>
      </c>
      <c r="L61" s="187">
        <f>'IS (After Changes)'!L61-'IS (Before Changes)'!L61</f>
        <v>0</v>
      </c>
      <c r="M61" s="188">
        <f>'IS (After Changes)'!M61-'IS (Before Changes)'!M61</f>
        <v>0</v>
      </c>
      <c r="N61" s="187">
        <f>'IS (After Changes)'!N61-'IS (Before Changes)'!N61</f>
        <v>0</v>
      </c>
      <c r="O61" s="167">
        <f>'IS (After Changes)'!O61-'IS (Before Changes)'!O61</f>
        <v>0</v>
      </c>
      <c r="P61" s="167">
        <f>'IS (After Changes)'!P61-'IS (Before Changes)'!P61</f>
        <v>0</v>
      </c>
      <c r="Q61" s="167">
        <f>'IS (After Changes)'!Q61-'IS (Before Changes)'!Q61</f>
        <v>0</v>
      </c>
      <c r="R61" s="188">
        <f>'IS (After Changes)'!R61-'IS (Before Changes)'!R61</f>
        <v>0</v>
      </c>
      <c r="S61" s="187">
        <f>'IS (After Changes)'!S61-'IS (Before Changes)'!S61</f>
        <v>0</v>
      </c>
      <c r="T61" s="167">
        <f>'IS (After Changes)'!T61-'IS (Before Changes)'!T61</f>
        <v>0</v>
      </c>
      <c r="U61" s="167">
        <f>'IS (After Changes)'!U61-'IS (Before Changes)'!U61</f>
        <v>0</v>
      </c>
      <c r="V61" s="167">
        <f>'IS (After Changes)'!V61-'IS (Before Changes)'!V61</f>
        <v>0</v>
      </c>
      <c r="W61" s="188">
        <f>'IS (After Changes)'!W61-'IS (Before Changes)'!W61</f>
        <v>0</v>
      </c>
      <c r="X61" s="189">
        <f>'IS (After Changes)'!X61-'IS (Before Changes)'!X61</f>
        <v>-5.0000000000000044E-4</v>
      </c>
      <c r="Y61" s="189">
        <f>'IS (After Changes)'!Y61-'IS (Before Changes)'!Y61</f>
        <v>4.500000000000004E-3</v>
      </c>
      <c r="Z61" s="189">
        <f>'IS (After Changes)'!Z61-'IS (Before Changes)'!Z61</f>
        <v>4.500000000000004E-3</v>
      </c>
      <c r="AA61" s="189">
        <f>'IS (After Changes)'!AA61-'IS (Before Changes)'!AA61</f>
        <v>1.7000000000000015E-2</v>
      </c>
      <c r="AB61" s="188">
        <f>'IS (After Changes)'!AB61-'IS (Before Changes)'!AB61</f>
        <v>6.491940622043002E-3</v>
      </c>
      <c r="AC61" s="189">
        <f>'IS (After Changes)'!AC61-'IS (Before Changes)'!AC61</f>
        <v>-1.0000000000000009E-3</v>
      </c>
      <c r="AD61" s="189">
        <f>'IS (After Changes)'!AD61-'IS (Before Changes)'!AD61</f>
        <v>-5.0000000000000044E-3</v>
      </c>
      <c r="AE61" s="189">
        <f>'IS (After Changes)'!AE61-'IS (Before Changes)'!AE61</f>
        <v>-5.0000000000000044E-3</v>
      </c>
      <c r="AF61" s="189">
        <f>'IS (After Changes)'!AF61-'IS (Before Changes)'!AF61</f>
        <v>-3.5000000000000031E-3</v>
      </c>
      <c r="AG61" s="188">
        <f>'IS (After Changes)'!AG61-'IS (Before Changes)'!AG61</f>
        <v>-3.6205121198137347E-3</v>
      </c>
      <c r="AH61" s="189">
        <f>'IS (After Changes)'!AH61-'IS (Before Changes)'!AH61</f>
        <v>-1.5000000000000013E-3</v>
      </c>
      <c r="AI61" s="189">
        <f>'IS (After Changes)'!AI61-'IS (Before Changes)'!AI61</f>
        <v>-5.5000000000000049E-3</v>
      </c>
      <c r="AJ61" s="189">
        <f>'IS (After Changes)'!AJ61-'IS (Before Changes)'!AJ61</f>
        <v>-5.5000000000000049E-3</v>
      </c>
      <c r="AK61" s="189">
        <f>'IS (After Changes)'!AK61-'IS (Before Changes)'!AK61</f>
        <v>-4.0000000000000036E-3</v>
      </c>
      <c r="AL61" s="188">
        <f>'IS (After Changes)'!AL61-'IS (Before Changes)'!AL61</f>
        <v>-4.1216035729474965E-3</v>
      </c>
      <c r="AM61" s="189">
        <f>'IS (After Changes)'!AM61-'IS (Before Changes)'!AM61</f>
        <v>-1.5000000000000013E-3</v>
      </c>
      <c r="AN61" s="189">
        <f>'IS (After Changes)'!AN61-'IS (Before Changes)'!AN61</f>
        <v>-5.5000000000000049E-3</v>
      </c>
      <c r="AO61" s="189">
        <f>'IS (After Changes)'!AO61-'IS (Before Changes)'!AO61</f>
        <v>-5.5000000000000049E-3</v>
      </c>
      <c r="AP61" s="189">
        <f>'IS (After Changes)'!AP61-'IS (Before Changes)'!AP61</f>
        <v>-4.0000000000000036E-3</v>
      </c>
      <c r="AQ61" s="188">
        <f>'IS (After Changes)'!AQ61-'IS (Before Changes)'!AQ61</f>
        <v>-4.1213387756515174E-3</v>
      </c>
      <c r="AR61" s="189">
        <f>'IS (After Changes)'!AR61-'IS (Before Changes)'!AR61</f>
        <v>-1.5000000000000013E-3</v>
      </c>
      <c r="AS61" s="189">
        <f>'IS (After Changes)'!AS61-'IS (Before Changes)'!AS61</f>
        <v>-5.5000000000000049E-3</v>
      </c>
      <c r="AT61" s="189">
        <f>'IS (After Changes)'!AT61-'IS (Before Changes)'!AT61</f>
        <v>-5.5000000000000049E-3</v>
      </c>
      <c r="AU61" s="189">
        <f>'IS (After Changes)'!AU61-'IS (Before Changes)'!AU61</f>
        <v>-4.0000000000000036E-3</v>
      </c>
      <c r="AV61" s="188">
        <f>'IS (After Changes)'!AV61-'IS (Before Changes)'!AV61</f>
        <v>-4.1210904534600412E-3</v>
      </c>
    </row>
    <row r="62" spans="2:48" outlineLevel="1" x14ac:dyDescent="0.3">
      <c r="B62" s="180" t="s">
        <v>32</v>
      </c>
      <c r="C62" s="18"/>
      <c r="D62" s="48">
        <f>'IS (After Changes)'!D62-'IS (Before Changes)'!D62</f>
        <v>0</v>
      </c>
      <c r="E62" s="48">
        <f>'IS (After Changes)'!E62-'IS (Before Changes)'!E62</f>
        <v>0</v>
      </c>
      <c r="F62" s="48">
        <f>'IS (After Changes)'!F62-'IS (Before Changes)'!F62</f>
        <v>0</v>
      </c>
      <c r="G62" s="48">
        <f>'IS (After Changes)'!G62-'IS (Before Changes)'!G62</f>
        <v>0</v>
      </c>
      <c r="H62" s="49">
        <f>'IS (After Changes)'!H62-'IS (Before Changes)'!H62</f>
        <v>0</v>
      </c>
      <c r="I62" s="48">
        <f>'IS (After Changes)'!I62-'IS (Before Changes)'!I62</f>
        <v>0</v>
      </c>
      <c r="J62" s="48">
        <f>'IS (After Changes)'!J62-'IS (Before Changes)'!J62</f>
        <v>0</v>
      </c>
      <c r="K62" s="48">
        <f>'IS (After Changes)'!K62-'IS (Before Changes)'!K62</f>
        <v>0</v>
      </c>
      <c r="L62" s="48">
        <f>'IS (After Changes)'!L62-'IS (Before Changes)'!L62</f>
        <v>0</v>
      </c>
      <c r="M62" s="165">
        <f>'IS (After Changes)'!M62-'IS (Before Changes)'!M62</f>
        <v>0</v>
      </c>
      <c r="N62" s="48">
        <f>'IS (After Changes)'!N62-'IS (Before Changes)'!N62</f>
        <v>0</v>
      </c>
      <c r="O62" s="48">
        <f>'IS (After Changes)'!O62-'IS (Before Changes)'!O62</f>
        <v>0</v>
      </c>
      <c r="P62" s="48">
        <f>'IS (After Changes)'!P62-'IS (Before Changes)'!P62</f>
        <v>0</v>
      </c>
      <c r="Q62" s="105">
        <f>'IS (After Changes)'!Q62-'IS (Before Changes)'!Q62</f>
        <v>0</v>
      </c>
      <c r="R62" s="49">
        <f>'IS (After Changes)'!R62-'IS (Before Changes)'!R62</f>
        <v>0</v>
      </c>
      <c r="S62" s="48">
        <f>'IS (After Changes)'!S62-'IS (Before Changes)'!S62</f>
        <v>0</v>
      </c>
      <c r="T62" s="48">
        <f>'IS (After Changes)'!T62-'IS (Before Changes)'!T62</f>
        <v>0</v>
      </c>
      <c r="U62" s="48">
        <f>'IS (After Changes)'!U62-'IS (Before Changes)'!U62</f>
        <v>0</v>
      </c>
      <c r="V62" s="48">
        <f>'IS (After Changes)'!V62-'IS (Before Changes)'!V62</f>
        <v>0</v>
      </c>
      <c r="W62" s="49">
        <f>'IS (After Changes)'!W62-'IS (Before Changes)'!W62</f>
        <v>0</v>
      </c>
      <c r="X62" s="48">
        <f>'IS (After Changes)'!X62-'IS (Before Changes)'!X62</f>
        <v>12.230402228331968</v>
      </c>
      <c r="Y62" s="48">
        <f>'IS (After Changes)'!Y62-'IS (Before Changes)'!Y62</f>
        <v>25.674380481752451</v>
      </c>
      <c r="Z62" s="48">
        <f>'IS (After Changes)'!Z62-'IS (Before Changes)'!Z62</f>
        <v>37.806659885472982</v>
      </c>
      <c r="AA62" s="48">
        <f>'IS (After Changes)'!AA62-'IS (Before Changes)'!AA62</f>
        <v>102.3078827334557</v>
      </c>
      <c r="AB62" s="49">
        <f>'IS (After Changes)'!AB62-'IS (Before Changes)'!AB62</f>
        <v>178.01932532901264</v>
      </c>
      <c r="AC62" s="48">
        <f>'IS (After Changes)'!AC62-'IS (Before Changes)'!AC62</f>
        <v>25.731265826489562</v>
      </c>
      <c r="AD62" s="48">
        <f>'IS (After Changes)'!AD62-'IS (Before Changes)'!AD62</f>
        <v>-13.153457496905958</v>
      </c>
      <c r="AE62" s="48">
        <f>'IS (After Changes)'!AE62-'IS (Before Changes)'!AE62</f>
        <v>-6.487483765441084</v>
      </c>
      <c r="AF62" s="48">
        <f>'IS (After Changes)'!AF62-'IS (Before Changes)'!AF62</f>
        <v>-7.021057444580947</v>
      </c>
      <c r="AG62" s="49">
        <f>'IS (After Changes)'!AG62-'IS (Before Changes)'!AG62</f>
        <v>-0.93073288043888169</v>
      </c>
      <c r="AH62" s="48">
        <f>'IS (After Changes)'!AH62-'IS (Before Changes)'!AH62</f>
        <v>42.444662005725604</v>
      </c>
      <c r="AI62" s="48">
        <f>'IS (After Changes)'!AI62-'IS (Before Changes)'!AI62</f>
        <v>-0.61944991678319639</v>
      </c>
      <c r="AJ62" s="48">
        <f>'IS (After Changes)'!AJ62-'IS (Before Changes)'!AJ62</f>
        <v>6.4612033517623786</v>
      </c>
      <c r="AK62" s="48">
        <f>'IS (After Changes)'!AK62-'IS (Before Changes)'!AK62</f>
        <v>7.0390939732783409</v>
      </c>
      <c r="AL62" s="49">
        <f>'IS (After Changes)'!AL62-'IS (Before Changes)'!AL62</f>
        <v>55.325509413984037</v>
      </c>
      <c r="AM62" s="48">
        <f>'IS (After Changes)'!AM62-'IS (Before Changes)'!AM62</f>
        <v>46.008267211655493</v>
      </c>
      <c r="AN62" s="48">
        <f>'IS (After Changes)'!AN62-'IS (Before Changes)'!AN62</f>
        <v>-0.67188988031875851</v>
      </c>
      <c r="AO62" s="48">
        <f>'IS (After Changes)'!AO62-'IS (Before Changes)'!AO62</f>
        <v>7.0126128068309299</v>
      </c>
      <c r="AP62" s="48">
        <f>'IS (After Changes)'!AP62-'IS (Before Changes)'!AP62</f>
        <v>7.6445745518099102</v>
      </c>
      <c r="AQ62" s="49">
        <f>'IS (After Changes)'!AQ62-'IS (Before Changes)'!AQ62</f>
        <v>59.993564689977575</v>
      </c>
      <c r="AR62" s="48">
        <f>'IS (After Changes)'!AR62-'IS (Before Changes)'!AR62</f>
        <v>49.022015214321073</v>
      </c>
      <c r="AS62" s="48">
        <f>'IS (After Changes)'!AS62-'IS (Before Changes)'!AS62</f>
        <v>-0.71569786593045137</v>
      </c>
      <c r="AT62" s="48">
        <f>'IS (After Changes)'!AT62-'IS (Before Changes)'!AT62</f>
        <v>7.4677519232413943</v>
      </c>
      <c r="AU62" s="48">
        <f>'IS (After Changes)'!AU62-'IS (Before Changes)'!AU62</f>
        <v>8.1384884532872093</v>
      </c>
      <c r="AV62" s="49">
        <f>'IS (After Changes)'!AV62-'IS (Before Changes)'!AV62</f>
        <v>63.912557724921498</v>
      </c>
    </row>
    <row r="63" spans="2:48" s="184" customFormat="1" outlineLevel="1" x14ac:dyDescent="0.3">
      <c r="B63" s="181" t="s">
        <v>150</v>
      </c>
      <c r="C63" s="190"/>
      <c r="D63" s="187">
        <f>'IS (After Changes)'!D63-'IS (Before Changes)'!D63</f>
        <v>0</v>
      </c>
      <c r="E63" s="187">
        <f>'IS (After Changes)'!E63-'IS (Before Changes)'!E63</f>
        <v>0</v>
      </c>
      <c r="F63" s="187">
        <f>'IS (After Changes)'!F63-'IS (Before Changes)'!F63</f>
        <v>0</v>
      </c>
      <c r="G63" s="187">
        <f>'IS (After Changes)'!G63-'IS (Before Changes)'!G63</f>
        <v>0</v>
      </c>
      <c r="H63" s="188">
        <f>'IS (After Changes)'!H63-'IS (Before Changes)'!H63</f>
        <v>0</v>
      </c>
      <c r="I63" s="187">
        <f>'IS (After Changes)'!I63-'IS (Before Changes)'!I63</f>
        <v>0</v>
      </c>
      <c r="J63" s="187">
        <f>'IS (After Changes)'!J63-'IS (Before Changes)'!J63</f>
        <v>0</v>
      </c>
      <c r="K63" s="187">
        <f>'IS (After Changes)'!K63-'IS (Before Changes)'!K63</f>
        <v>0</v>
      </c>
      <c r="L63" s="187">
        <f>'IS (After Changes)'!L63-'IS (Before Changes)'!L63</f>
        <v>0</v>
      </c>
      <c r="M63" s="188">
        <f>'IS (After Changes)'!M63-'IS (Before Changes)'!M63</f>
        <v>0</v>
      </c>
      <c r="N63" s="187">
        <f>'IS (After Changes)'!N63-'IS (Before Changes)'!N63</f>
        <v>0</v>
      </c>
      <c r="O63" s="187">
        <f>'IS (After Changes)'!O63-'IS (Before Changes)'!O63</f>
        <v>0</v>
      </c>
      <c r="P63" s="187">
        <f>'IS (After Changes)'!P63-'IS (Before Changes)'!P63</f>
        <v>0</v>
      </c>
      <c r="Q63" s="167">
        <f>'IS (After Changes)'!Q63-'IS (Before Changes)'!Q63</f>
        <v>0</v>
      </c>
      <c r="R63" s="188">
        <f>'IS (After Changes)'!R63-'IS (Before Changes)'!R63</f>
        <v>0</v>
      </c>
      <c r="S63" s="187">
        <f>'IS (After Changes)'!S63-'IS (Before Changes)'!S63</f>
        <v>0</v>
      </c>
      <c r="T63" s="187">
        <f>'IS (After Changes)'!T63-'IS (Before Changes)'!T63</f>
        <v>0</v>
      </c>
      <c r="U63" s="187">
        <f>'IS (After Changes)'!U63-'IS (Before Changes)'!U63</f>
        <v>0</v>
      </c>
      <c r="V63" s="187">
        <f>'IS (After Changes)'!V63-'IS (Before Changes)'!V63</f>
        <v>0</v>
      </c>
      <c r="W63" s="188">
        <f>'IS (After Changes)'!W63-'IS (Before Changes)'!W63</f>
        <v>0</v>
      </c>
      <c r="X63" s="189">
        <f>'IS (After Changes)'!X63-'IS (Before Changes)'!X63</f>
        <v>-4.9999999999994493E-4</v>
      </c>
      <c r="Y63" s="189">
        <f>'IS (After Changes)'!Y63-'IS (Before Changes)'!Y63</f>
        <v>2.0000000000001128E-3</v>
      </c>
      <c r="Z63" s="189">
        <f>'IS (After Changes)'!Z63-'IS (Before Changes)'!Z63</f>
        <v>-5.5000000000000049E-3</v>
      </c>
      <c r="AA63" s="189">
        <f>'IS (After Changes)'!AA63-'IS (Before Changes)'!AA63</f>
        <v>4.5000000000000595E-3</v>
      </c>
      <c r="AB63" s="188">
        <f>'IS (After Changes)'!AB63-'IS (Before Changes)'!AB63</f>
        <v>-2.8725522925432401E-5</v>
      </c>
      <c r="AC63" s="189">
        <f>'IS (After Changes)'!AC63-'IS (Before Changes)'!AC63</f>
        <v>-9.9999999999988987E-4</v>
      </c>
      <c r="AD63" s="189">
        <f>'IS (After Changes)'!AD63-'IS (Before Changes)'!AD63</f>
        <v>-7.4999999999998401E-3</v>
      </c>
      <c r="AE63" s="189">
        <f>'IS (After Changes)'!AE63-'IS (Before Changes)'!AE63</f>
        <v>-1.5000000000000013E-2</v>
      </c>
      <c r="AF63" s="189">
        <f>'IS (After Changes)'!AF63-'IS (Before Changes)'!AF63</f>
        <v>-1.5999999999999903E-2</v>
      </c>
      <c r="AG63" s="188">
        <f>'IS (After Changes)'!AG63-'IS (Before Changes)'!AG63</f>
        <v>-1.0132702998298604E-2</v>
      </c>
      <c r="AH63" s="189">
        <f>'IS (After Changes)'!AH63-'IS (Before Changes)'!AH63</f>
        <v>-1.4999999999998348E-3</v>
      </c>
      <c r="AI63" s="189">
        <f>'IS (After Changes)'!AI63-'IS (Before Changes)'!AI63</f>
        <v>-7.9999999999997851E-3</v>
      </c>
      <c r="AJ63" s="189">
        <f>'IS (After Changes)'!AJ63-'IS (Before Changes)'!AJ63</f>
        <v>-1.5500000000000014E-2</v>
      </c>
      <c r="AK63" s="189">
        <f>'IS (After Changes)'!AK63-'IS (Before Changes)'!AK63</f>
        <v>-1.6499999999999848E-2</v>
      </c>
      <c r="AL63" s="188">
        <f>'IS (After Changes)'!AL63-'IS (Before Changes)'!AL63</f>
        <v>-1.0639580998837439E-2</v>
      </c>
      <c r="AM63" s="189">
        <f>'IS (After Changes)'!AM63-'IS (Before Changes)'!AM63</f>
        <v>-1.4999999999998348E-3</v>
      </c>
      <c r="AN63" s="189">
        <f>'IS (After Changes)'!AN63-'IS (Before Changes)'!AN63</f>
        <v>-7.9999999999997851E-3</v>
      </c>
      <c r="AO63" s="189">
        <f>'IS (After Changes)'!AO63-'IS (Before Changes)'!AO63</f>
        <v>-1.5500000000000014E-2</v>
      </c>
      <c r="AP63" s="189">
        <f>'IS (After Changes)'!AP63-'IS (Before Changes)'!AP63</f>
        <v>-1.6499999999999848E-2</v>
      </c>
      <c r="AQ63" s="188">
        <f>'IS (After Changes)'!AQ63-'IS (Before Changes)'!AQ63</f>
        <v>-1.0643749973970662E-2</v>
      </c>
      <c r="AR63" s="189">
        <f>'IS (After Changes)'!AR63-'IS (Before Changes)'!AR63</f>
        <v>-1.4999999999998348E-3</v>
      </c>
      <c r="AS63" s="189">
        <f>'IS (After Changes)'!AS63-'IS (Before Changes)'!AS63</f>
        <v>-7.9999999999997851E-3</v>
      </c>
      <c r="AT63" s="189">
        <f>'IS (After Changes)'!AT63-'IS (Before Changes)'!AT63</f>
        <v>-1.5500000000000014E-2</v>
      </c>
      <c r="AU63" s="189">
        <f>'IS (After Changes)'!AU63-'IS (Before Changes)'!AU63</f>
        <v>-1.6499999999999848E-2</v>
      </c>
      <c r="AV63" s="188">
        <f>'IS (After Changes)'!AV63-'IS (Before Changes)'!AV63</f>
        <v>-1.0641903519251983E-2</v>
      </c>
    </row>
    <row r="64" spans="2:48" outlineLevel="1" x14ac:dyDescent="0.3">
      <c r="B64" s="180" t="s">
        <v>33</v>
      </c>
      <c r="C64" s="18"/>
      <c r="D64" s="48">
        <f>'IS (After Changes)'!D64-'IS (Before Changes)'!D64</f>
        <v>0</v>
      </c>
      <c r="E64" s="48">
        <f>'IS (After Changes)'!E64-'IS (Before Changes)'!E64</f>
        <v>0</v>
      </c>
      <c r="F64" s="48">
        <f>'IS (After Changes)'!F64-'IS (Before Changes)'!F64</f>
        <v>0</v>
      </c>
      <c r="G64" s="48">
        <f>'IS (After Changes)'!G64-'IS (Before Changes)'!G64</f>
        <v>0</v>
      </c>
      <c r="H64" s="49">
        <f>'IS (After Changes)'!H64-'IS (Before Changes)'!H64</f>
        <v>0</v>
      </c>
      <c r="I64" s="48">
        <f>'IS (After Changes)'!I64-'IS (Before Changes)'!I64</f>
        <v>0</v>
      </c>
      <c r="J64" s="48">
        <f>'IS (After Changes)'!J64-'IS (Before Changes)'!J64</f>
        <v>0</v>
      </c>
      <c r="K64" s="48">
        <f>'IS (After Changes)'!K64-'IS (Before Changes)'!K64</f>
        <v>0</v>
      </c>
      <c r="L64" s="48">
        <f>'IS (After Changes)'!L64-'IS (Before Changes)'!L64</f>
        <v>0</v>
      </c>
      <c r="M64" s="49">
        <f>'IS (After Changes)'!M64-'IS (Before Changes)'!M64</f>
        <v>0</v>
      </c>
      <c r="N64" s="48">
        <f>'IS (After Changes)'!N64-'IS (Before Changes)'!N64</f>
        <v>0</v>
      </c>
      <c r="O64" s="48">
        <f>'IS (After Changes)'!O64-'IS (Before Changes)'!O64</f>
        <v>0</v>
      </c>
      <c r="P64" s="48">
        <f>'IS (After Changes)'!P64-'IS (Before Changes)'!P64</f>
        <v>0</v>
      </c>
      <c r="Q64" s="105">
        <f>'IS (After Changes)'!Q64-'IS (Before Changes)'!Q64</f>
        <v>0</v>
      </c>
      <c r="R64" s="49">
        <f>'IS (After Changes)'!R64-'IS (Before Changes)'!R64</f>
        <v>0</v>
      </c>
      <c r="S64" s="48">
        <f>'IS (After Changes)'!S64-'IS (Before Changes)'!S64</f>
        <v>0</v>
      </c>
      <c r="T64" s="48">
        <f>'IS (After Changes)'!T64-'IS (Before Changes)'!T64</f>
        <v>0</v>
      </c>
      <c r="U64" s="48">
        <f>'IS (After Changes)'!U64-'IS (Before Changes)'!U64</f>
        <v>0</v>
      </c>
      <c r="V64" s="48">
        <f>'IS (After Changes)'!V64-'IS (Before Changes)'!V64</f>
        <v>0</v>
      </c>
      <c r="W64" s="49">
        <f>'IS (After Changes)'!W64-'IS (Before Changes)'!W64</f>
        <v>0</v>
      </c>
      <c r="X64" s="48">
        <f>'IS (After Changes)'!X64-'IS (Before Changes)'!X64</f>
        <v>0.24324128602351891</v>
      </c>
      <c r="Y64" s="48">
        <f>'IS (After Changes)'!Y64-'IS (Before Changes)'!Y64</f>
        <v>0.23715170005874597</v>
      </c>
      <c r="Z64" s="48">
        <f>'IS (After Changes)'!Z64-'IS (Before Changes)'!Z64</f>
        <v>1.324677785172085</v>
      </c>
      <c r="AA64" s="48">
        <f>'IS (After Changes)'!AA64-'IS (Before Changes)'!AA64</f>
        <v>1.2132594045871201</v>
      </c>
      <c r="AB64" s="49">
        <f>'IS (After Changes)'!AB64-'IS (Before Changes)'!AB64</f>
        <v>3.01833017584147</v>
      </c>
      <c r="AC64" s="48">
        <f>'IS (After Changes)'!AC64-'IS (Before Changes)'!AC64</f>
        <v>0.52446568553433082</v>
      </c>
      <c r="AD64" s="48">
        <f>'IS (After Changes)'!AD64-'IS (Before Changes)'!AD64</f>
        <v>0.5118218034252493</v>
      </c>
      <c r="AE64" s="48">
        <f>'IS (After Changes)'!AE64-'IS (Before Changes)'!AE64</f>
        <v>1.7300356084237052</v>
      </c>
      <c r="AF64" s="48">
        <f>'IS (After Changes)'!AF64-'IS (Before Changes)'!AF64</f>
        <v>1.5861392430689989</v>
      </c>
      <c r="AG64" s="49">
        <f>'IS (After Changes)'!AG64-'IS (Before Changes)'!AG64</f>
        <v>4.3524623404522913</v>
      </c>
      <c r="AH64" s="48">
        <f>'IS (After Changes)'!AH64-'IS (Before Changes)'!AH64</f>
        <v>0.8677568080552831</v>
      </c>
      <c r="AI64" s="48">
        <f>'IS (After Changes)'!AI64-'IS (Before Changes)'!AI64</f>
        <v>0.84776917833304566</v>
      </c>
      <c r="AJ64" s="48">
        <f>'IS (After Changes)'!AJ64-'IS (Before Changes)'!AJ64</f>
        <v>2.2430749400233054</v>
      </c>
      <c r="AK64" s="48">
        <f>'IS (After Changes)'!AK64-'IS (Before Changes)'!AK64</f>
        <v>2.0585134872354303</v>
      </c>
      <c r="AL64" s="49">
        <f>'IS (After Changes)'!AL64-'IS (Before Changes)'!AL64</f>
        <v>6.0171144136470502</v>
      </c>
      <c r="AM64" s="48">
        <f>'IS (After Changes)'!AM64-'IS (Before Changes)'!AM64</f>
        <v>0.94061267573187024</v>
      </c>
      <c r="AN64" s="48">
        <f>'IS (After Changes)'!AN64-'IS (Before Changes)'!AN64</f>
        <v>0.9195376677519107</v>
      </c>
      <c r="AO64" s="48">
        <f>'IS (After Changes)'!AO64-'IS (Before Changes)'!AO64</f>
        <v>2.4345025523452932</v>
      </c>
      <c r="AP64" s="48">
        <f>'IS (After Changes)'!AP64-'IS (Before Changes)'!AP64</f>
        <v>2.235580300365001</v>
      </c>
      <c r="AQ64" s="49">
        <f>'IS (After Changes)'!AQ64-'IS (Before Changes)'!AQ64</f>
        <v>6.5302331961941036</v>
      </c>
      <c r="AR64" s="48">
        <f>'IS (After Changes)'!AR64-'IS (Before Changes)'!AR64</f>
        <v>1.0022270277727188</v>
      </c>
      <c r="AS64" s="48">
        <f>'IS (After Changes)'!AS64-'IS (Before Changes)'!AS64</f>
        <v>0.97949257122243694</v>
      </c>
      <c r="AT64" s="48">
        <f>'IS (After Changes)'!AT64-'IS (Before Changes)'!AT64</f>
        <v>2.5925089004920352</v>
      </c>
      <c r="AU64" s="48">
        <f>'IS (After Changes)'!AU64-'IS (Before Changes)'!AU64</f>
        <v>2.3800205410525734</v>
      </c>
      <c r="AV64" s="49">
        <f>'IS (After Changes)'!AV64-'IS (Before Changes)'!AV64</f>
        <v>6.9542490405397643</v>
      </c>
    </row>
    <row r="65" spans="2:48" s="184" customFormat="1" outlineLevel="1" x14ac:dyDescent="0.3">
      <c r="B65" s="181" t="s">
        <v>152</v>
      </c>
      <c r="C65" s="190"/>
      <c r="D65" s="187">
        <f>'IS (After Changes)'!D65-'IS (Before Changes)'!D65</f>
        <v>0</v>
      </c>
      <c r="E65" s="187">
        <f>'IS (After Changes)'!E65-'IS (Before Changes)'!E65</f>
        <v>0</v>
      </c>
      <c r="F65" s="187">
        <f>'IS (After Changes)'!F65-'IS (Before Changes)'!F65</f>
        <v>0</v>
      </c>
      <c r="G65" s="187">
        <f>'IS (After Changes)'!G65-'IS (Before Changes)'!G65</f>
        <v>0</v>
      </c>
      <c r="H65" s="188">
        <f>'IS (After Changes)'!H65-'IS (Before Changes)'!H65</f>
        <v>0</v>
      </c>
      <c r="I65" s="187">
        <f>'IS (After Changes)'!I65-'IS (Before Changes)'!I65</f>
        <v>0</v>
      </c>
      <c r="J65" s="187">
        <f>'IS (After Changes)'!J65-'IS (Before Changes)'!J65</f>
        <v>0</v>
      </c>
      <c r="K65" s="187">
        <f>'IS (After Changes)'!K65-'IS (Before Changes)'!K65</f>
        <v>0</v>
      </c>
      <c r="L65" s="187">
        <f>'IS (After Changes)'!L65-'IS (Before Changes)'!L65</f>
        <v>0</v>
      </c>
      <c r="M65" s="188">
        <f>'IS (After Changes)'!M65-'IS (Before Changes)'!M65</f>
        <v>0</v>
      </c>
      <c r="N65" s="187">
        <f>'IS (After Changes)'!N65-'IS (Before Changes)'!N65</f>
        <v>0</v>
      </c>
      <c r="O65" s="187">
        <f>'IS (After Changes)'!O65-'IS (Before Changes)'!O65</f>
        <v>0</v>
      </c>
      <c r="P65" s="187">
        <f>'IS (After Changes)'!P65-'IS (Before Changes)'!P65</f>
        <v>0</v>
      </c>
      <c r="Q65" s="167">
        <f>'IS (After Changes)'!Q65-'IS (Before Changes)'!Q65</f>
        <v>0</v>
      </c>
      <c r="R65" s="188">
        <f>'IS (After Changes)'!R65-'IS (Before Changes)'!R65</f>
        <v>0</v>
      </c>
      <c r="S65" s="187">
        <f>'IS (After Changes)'!S65-'IS (Before Changes)'!S65</f>
        <v>0</v>
      </c>
      <c r="T65" s="187">
        <f>'IS (After Changes)'!T65-'IS (Before Changes)'!T65</f>
        <v>0</v>
      </c>
      <c r="U65" s="187">
        <f>'IS (After Changes)'!U65-'IS (Before Changes)'!U65</f>
        <v>0</v>
      </c>
      <c r="V65" s="187">
        <f>'IS (After Changes)'!V65-'IS (Before Changes)'!V65</f>
        <v>0</v>
      </c>
      <c r="W65" s="188">
        <f>'IS (After Changes)'!W65-'IS (Before Changes)'!W65</f>
        <v>0</v>
      </c>
      <c r="X65" s="189">
        <f>'IS (After Changes)'!X65-'IS (Before Changes)'!X65</f>
        <v>0</v>
      </c>
      <c r="Y65" s="189">
        <f>'IS (After Changes)'!Y65-'IS (Before Changes)'!Y65</f>
        <v>0</v>
      </c>
      <c r="Z65" s="189">
        <f>'IS (After Changes)'!Z65-'IS (Before Changes)'!Z65</f>
        <v>0</v>
      </c>
      <c r="AA65" s="189">
        <f>'IS (After Changes)'!AA65-'IS (Before Changes)'!AA65</f>
        <v>0</v>
      </c>
      <c r="AB65" s="188">
        <f>'IS (After Changes)'!AB65-'IS (Before Changes)'!AB65</f>
        <v>1.0172920364929366E-6</v>
      </c>
      <c r="AC65" s="189">
        <f>'IS (After Changes)'!AC65-'IS (Before Changes)'!AC65</f>
        <v>0</v>
      </c>
      <c r="AD65" s="189">
        <f>'IS (After Changes)'!AD65-'IS (Before Changes)'!AD65</f>
        <v>0</v>
      </c>
      <c r="AE65" s="189">
        <f>'IS (After Changes)'!AE65-'IS (Before Changes)'!AE65</f>
        <v>0</v>
      </c>
      <c r="AF65" s="189">
        <f>'IS (After Changes)'!AF65-'IS (Before Changes)'!AF65</f>
        <v>0</v>
      </c>
      <c r="AG65" s="188">
        <f>'IS (After Changes)'!AG65-'IS (Before Changes)'!AG65</f>
        <v>1.0175563599501558E-6</v>
      </c>
      <c r="AH65" s="189">
        <f>'IS (After Changes)'!AH65-'IS (Before Changes)'!AH65</f>
        <v>0</v>
      </c>
      <c r="AI65" s="189">
        <f>'IS (After Changes)'!AI65-'IS (Before Changes)'!AI65</f>
        <v>0</v>
      </c>
      <c r="AJ65" s="189">
        <f>'IS (After Changes)'!AJ65-'IS (Before Changes)'!AJ65</f>
        <v>0</v>
      </c>
      <c r="AK65" s="189">
        <f>'IS (After Changes)'!AK65-'IS (Before Changes)'!AK65</f>
        <v>0</v>
      </c>
      <c r="AL65" s="188">
        <f>'IS (After Changes)'!AL65-'IS (Before Changes)'!AL65</f>
        <v>1.0177491957374246E-6</v>
      </c>
      <c r="AM65" s="189">
        <f>'IS (After Changes)'!AM65-'IS (Before Changes)'!AM65</f>
        <v>0</v>
      </c>
      <c r="AN65" s="189">
        <f>'IS (After Changes)'!AN65-'IS (Before Changes)'!AN65</f>
        <v>0</v>
      </c>
      <c r="AO65" s="189">
        <f>'IS (After Changes)'!AO65-'IS (Before Changes)'!AO65</f>
        <v>0</v>
      </c>
      <c r="AP65" s="189">
        <f>'IS (After Changes)'!AP65-'IS (Before Changes)'!AP65</f>
        <v>0</v>
      </c>
      <c r="AQ65" s="188">
        <f>'IS (After Changes)'!AQ65-'IS (Before Changes)'!AQ65</f>
        <v>1.0181086467376393E-6</v>
      </c>
      <c r="AR65" s="189">
        <f>'IS (After Changes)'!AR65-'IS (Before Changes)'!AR65</f>
        <v>0</v>
      </c>
      <c r="AS65" s="189">
        <f>'IS (After Changes)'!AS65-'IS (Before Changes)'!AS65</f>
        <v>0</v>
      </c>
      <c r="AT65" s="189">
        <f>'IS (After Changes)'!AT65-'IS (Before Changes)'!AT65</f>
        <v>0</v>
      </c>
      <c r="AU65" s="189">
        <f>'IS (After Changes)'!AU65-'IS (Before Changes)'!AU65</f>
        <v>0</v>
      </c>
      <c r="AV65" s="188">
        <f>'IS (After Changes)'!AV65-'IS (Before Changes)'!AV65</f>
        <v>1.0200663301349749E-6</v>
      </c>
    </row>
    <row r="66" spans="2:48" outlineLevel="1" x14ac:dyDescent="0.3">
      <c r="B66" s="180" t="s">
        <v>34</v>
      </c>
      <c r="C66" s="18"/>
      <c r="D66" s="358">
        <f>'IS (After Changes)'!D66-'IS (Before Changes)'!D66</f>
        <v>0</v>
      </c>
      <c r="E66" s="358">
        <f>'IS (After Changes)'!E66-'IS (Before Changes)'!E66</f>
        <v>0</v>
      </c>
      <c r="F66" s="358">
        <f>'IS (After Changes)'!F66-'IS (Before Changes)'!F66</f>
        <v>0</v>
      </c>
      <c r="G66" s="358">
        <f>'IS (After Changes)'!G66-'IS (Before Changes)'!G66</f>
        <v>0</v>
      </c>
      <c r="H66" s="130">
        <f>'IS (After Changes)'!H66-'IS (Before Changes)'!H66</f>
        <v>0</v>
      </c>
      <c r="I66" s="358">
        <f>'IS (After Changes)'!I66-'IS (Before Changes)'!I66</f>
        <v>0</v>
      </c>
      <c r="J66" s="358">
        <f>'IS (After Changes)'!J66-'IS (Before Changes)'!J66</f>
        <v>0</v>
      </c>
      <c r="K66" s="358">
        <f>'IS (After Changes)'!K66-'IS (Before Changes)'!K66</f>
        <v>0</v>
      </c>
      <c r="L66" s="358">
        <f>'IS (After Changes)'!L66-'IS (Before Changes)'!L66</f>
        <v>0</v>
      </c>
      <c r="M66" s="359">
        <f>'IS (After Changes)'!M66-'IS (Before Changes)'!M66</f>
        <v>0</v>
      </c>
      <c r="N66" s="358">
        <f>'IS (After Changes)'!N66-'IS (Before Changes)'!N66</f>
        <v>0</v>
      </c>
      <c r="O66" s="358">
        <f>'IS (After Changes)'!O66-'IS (Before Changes)'!O66</f>
        <v>0</v>
      </c>
      <c r="P66" s="358">
        <f>'IS (After Changes)'!P66-'IS (Before Changes)'!P66</f>
        <v>0</v>
      </c>
      <c r="Q66" s="358">
        <f>'IS (After Changes)'!Q66-'IS (Before Changes)'!Q66</f>
        <v>0</v>
      </c>
      <c r="R66" s="170">
        <f>'IS (After Changes)'!R66-'IS (Before Changes)'!R66</f>
        <v>0</v>
      </c>
      <c r="S66" s="358">
        <f>'IS (After Changes)'!S66-'IS (Before Changes)'!S66</f>
        <v>0</v>
      </c>
      <c r="T66" s="358">
        <f>'IS (After Changes)'!T66-'IS (Before Changes)'!T66</f>
        <v>0</v>
      </c>
      <c r="U66" s="358">
        <f>'IS (After Changes)'!U66-'IS (Before Changes)'!U66</f>
        <v>0</v>
      </c>
      <c r="V66" s="358">
        <f>'IS (After Changes)'!V66-'IS (Before Changes)'!V66</f>
        <v>0</v>
      </c>
      <c r="W66" s="170">
        <f>'IS (After Changes)'!W66-'IS (Before Changes)'!W66</f>
        <v>0</v>
      </c>
      <c r="X66" s="358">
        <f>'IS (After Changes)'!X66-'IS (Before Changes)'!X66</f>
        <v>0</v>
      </c>
      <c r="Y66" s="358">
        <f>'IS (After Changes)'!Y66-'IS (Before Changes)'!Y66</f>
        <v>6.4882756398247921E-2</v>
      </c>
      <c r="Z66" s="358">
        <f>'IS (After Changes)'!Z66-'IS (Before Changes)'!Z66</f>
        <v>0.12166952808007636</v>
      </c>
      <c r="AA66" s="358">
        <f>'IS (After Changes)'!AA66-'IS (Before Changes)'!AA66</f>
        <v>0.43328992993210136</v>
      </c>
      <c r="AB66" s="170">
        <f>'IS (After Changes)'!AB66-'IS (Before Changes)'!AB66</f>
        <v>0.61984221441048248</v>
      </c>
      <c r="AC66" s="358">
        <f>'IS (After Changes)'!AC66-'IS (Before Changes)'!AC66</f>
        <v>0.73598847989390492</v>
      </c>
      <c r="AD66" s="358">
        <f>'IS (After Changes)'!AD66-'IS (Before Changes)'!AD66</f>
        <v>0.82946911134860102</v>
      </c>
      <c r="AE66" s="358">
        <f>'IS (After Changes)'!AE66-'IS (Before Changes)'!AE66</f>
        <v>0.9104759456662066</v>
      </c>
      <c r="AF66" s="358">
        <f>'IS (After Changes)'!AF66-'IS (Before Changes)'!AF66</f>
        <v>1.2757390437627123</v>
      </c>
      <c r="AG66" s="170">
        <f>'IS (After Changes)'!AG66-'IS (Before Changes)'!AG66</f>
        <v>3.7516725806714248</v>
      </c>
      <c r="AH66" s="358">
        <f>'IS (After Changes)'!AH66-'IS (Before Changes)'!AH66</f>
        <v>1.6229591885426657</v>
      </c>
      <c r="AI66" s="358">
        <f>'IS (After Changes)'!AI66-'IS (Before Changes)'!AI66</f>
        <v>1.731763851708763</v>
      </c>
      <c r="AJ66" s="358">
        <f>'IS (After Changes)'!AJ66-'IS (Before Changes)'!AJ66</f>
        <v>1.8244907712094118</v>
      </c>
      <c r="AK66" s="358">
        <f>'IS (After Changes)'!AK66-'IS (Before Changes)'!AK66</f>
        <v>2.2051890194694579</v>
      </c>
      <c r="AL66" s="170">
        <f>'IS (After Changes)'!AL66-'IS (Before Changes)'!AL66</f>
        <v>7.3844028309301848</v>
      </c>
      <c r="AM66" s="358">
        <f>'IS (After Changes)'!AM66-'IS (Before Changes)'!AM66</f>
        <v>2.5646779823254064</v>
      </c>
      <c r="AN66" s="358">
        <f>'IS (After Changes)'!AN66-'IS (Before Changes)'!AN66</f>
        <v>2.6361186341252392</v>
      </c>
      <c r="AO66" s="358">
        <f>'IS (After Changes)'!AO66-'IS (Before Changes)'!AO66</f>
        <v>2.6926681444089127</v>
      </c>
      <c r="AP66" s="358">
        <f>'IS (After Changes)'!AP66-'IS (Before Changes)'!AP66</f>
        <v>3.0639646271912966</v>
      </c>
      <c r="AQ66" s="170">
        <f>'IS (After Changes)'!AQ66-'IS (Before Changes)'!AQ66</f>
        <v>10.957429388050969</v>
      </c>
      <c r="AR66" s="358">
        <f>'IS (After Changes)'!AR66-'IS (Before Changes)'!AR66</f>
        <v>3.4145844944430337</v>
      </c>
      <c r="AS66" s="358">
        <f>'IS (After Changes)'!AS66-'IS (Before Changes)'!AS66</f>
        <v>3.450995148475215</v>
      </c>
      <c r="AT66" s="358">
        <f>'IS (After Changes)'!AT66-'IS (Before Changes)'!AT66</f>
        <v>3.4735591182331973</v>
      </c>
      <c r="AU66" s="358">
        <f>'IS (After Changes)'!AU66-'IS (Before Changes)'!AU66</f>
        <v>3.8332934710333575</v>
      </c>
      <c r="AV66" s="170">
        <f>'IS (After Changes)'!AV66-'IS (Before Changes)'!AV66</f>
        <v>14.172432232184974</v>
      </c>
    </row>
    <row r="67" spans="2:48" outlineLevel="1" x14ac:dyDescent="0.3">
      <c r="B67" s="180" t="s">
        <v>35</v>
      </c>
      <c r="C67" s="18"/>
      <c r="D67" s="48">
        <f>'IS (After Changes)'!D67-'IS (Before Changes)'!D67</f>
        <v>0</v>
      </c>
      <c r="E67" s="48">
        <f>'IS (After Changes)'!E67-'IS (Before Changes)'!E67</f>
        <v>0</v>
      </c>
      <c r="F67" s="48">
        <f>'IS (After Changes)'!F67-'IS (Before Changes)'!F67</f>
        <v>0</v>
      </c>
      <c r="G67" s="48">
        <f>'IS (After Changes)'!G67-'IS (Before Changes)'!G67</f>
        <v>0</v>
      </c>
      <c r="H67" s="49">
        <f>'IS (After Changes)'!H67-'IS (Before Changes)'!H67</f>
        <v>0</v>
      </c>
      <c r="I67" s="48">
        <f>'IS (After Changes)'!I67-'IS (Before Changes)'!I67</f>
        <v>0</v>
      </c>
      <c r="J67" s="48">
        <f>'IS (After Changes)'!J67-'IS (Before Changes)'!J67</f>
        <v>0</v>
      </c>
      <c r="K67" s="48">
        <f>'IS (After Changes)'!K67-'IS (Before Changes)'!K67</f>
        <v>0</v>
      </c>
      <c r="L67" s="48">
        <f>'IS (After Changes)'!L67-'IS (Before Changes)'!L67</f>
        <v>0</v>
      </c>
      <c r="M67" s="165">
        <f>'IS (After Changes)'!M67-'IS (Before Changes)'!M67</f>
        <v>0</v>
      </c>
      <c r="N67" s="48">
        <f>'IS (After Changes)'!N67-'IS (Before Changes)'!N67</f>
        <v>0</v>
      </c>
      <c r="O67" s="48">
        <f>'IS (After Changes)'!O67-'IS (Before Changes)'!O67</f>
        <v>0</v>
      </c>
      <c r="P67" s="48">
        <f>'IS (After Changes)'!P67-'IS (Before Changes)'!P67</f>
        <v>0</v>
      </c>
      <c r="Q67" s="105">
        <f>'IS (After Changes)'!Q67-'IS (Before Changes)'!Q67</f>
        <v>0</v>
      </c>
      <c r="R67" s="49">
        <f>'IS (After Changes)'!R67-'IS (Before Changes)'!R67</f>
        <v>0</v>
      </c>
      <c r="S67" s="48">
        <f>'IS (After Changes)'!S67-'IS (Before Changes)'!S67</f>
        <v>0</v>
      </c>
      <c r="T67" s="48">
        <f>'IS (After Changes)'!T67-'IS (Before Changes)'!T67</f>
        <v>0</v>
      </c>
      <c r="U67" s="48">
        <f>'IS (After Changes)'!U67-'IS (Before Changes)'!U67</f>
        <v>0</v>
      </c>
      <c r="V67" s="48">
        <f>'IS (After Changes)'!V67-'IS (Before Changes)'!V67</f>
        <v>0</v>
      </c>
      <c r="W67" s="49">
        <f>'IS (After Changes)'!W67-'IS (Before Changes)'!W67</f>
        <v>0</v>
      </c>
      <c r="X67" s="48">
        <f>'IS (After Changes)'!X67-'IS (Before Changes)'!X67</f>
        <v>0.53170677919848686</v>
      </c>
      <c r="Y67" s="48">
        <f>'IS (After Changes)'!Y67-'IS (Before Changes)'!Y67</f>
        <v>0.42754901797692924</v>
      </c>
      <c r="Z67" s="48">
        <f>'IS (After Changes)'!Z67-'IS (Before Changes)'!Z67</f>
        <v>2.191361377254168</v>
      </c>
      <c r="AA67" s="48">
        <f>'IS (After Changes)'!AA67-'IS (Before Changes)'!AA67</f>
        <v>0.41203611218818281</v>
      </c>
      <c r="AB67" s="49">
        <f>'IS (After Changes)'!AB67-'IS (Before Changes)'!AB67</f>
        <v>3.5626532866177172</v>
      </c>
      <c r="AC67" s="48">
        <f>'IS (After Changes)'!AC67-'IS (Before Changes)'!AC67</f>
        <v>0.95932172985186526</v>
      </c>
      <c r="AD67" s="48">
        <f>'IS (After Changes)'!AD67-'IS (Before Changes)'!AD67</f>
        <v>1.0410917316630304</v>
      </c>
      <c r="AE67" s="48">
        <f>'IS (After Changes)'!AE67-'IS (Before Changes)'!AE67</f>
        <v>2.6727363833849296</v>
      </c>
      <c r="AF67" s="48">
        <f>'IS (After Changes)'!AF67-'IS (Before Changes)'!AF67</f>
        <v>0.34937031234104943</v>
      </c>
      <c r="AG67" s="49">
        <f>'IS (After Changes)'!AG67-'IS (Before Changes)'!AG67</f>
        <v>5.0225201572409333</v>
      </c>
      <c r="AH67" s="48">
        <f>'IS (After Changes)'!AH67-'IS (Before Changes)'!AH67</f>
        <v>1.4840495752833078</v>
      </c>
      <c r="AI67" s="48">
        <f>'IS (After Changes)'!AI67-'IS (Before Changes)'!AI67</f>
        <v>1.6264199695480954</v>
      </c>
      <c r="AJ67" s="48">
        <f>'IS (After Changes)'!AJ67-'IS (Before Changes)'!AJ67</f>
        <v>3.2200352981967768</v>
      </c>
      <c r="AK67" s="48">
        <f>'IS (After Changes)'!AK67-'IS (Before Changes)'!AK67</f>
        <v>0.20774165682855372</v>
      </c>
      <c r="AL67" s="49">
        <f>'IS (After Changes)'!AL67-'IS (Before Changes)'!AL67</f>
        <v>6.5382464998567116</v>
      </c>
      <c r="AM67" s="48">
        <f>'IS (After Changes)'!AM67-'IS (Before Changes)'!AM67</f>
        <v>1.6086486777952729</v>
      </c>
      <c r="AN67" s="48">
        <f>'IS (After Changes)'!AN67-'IS (Before Changes)'!AN67</f>
        <v>1.7641056832522111</v>
      </c>
      <c r="AO67" s="48">
        <f>'IS (After Changes)'!AO67-'IS (Before Changes)'!AO67</f>
        <v>3.4948382741151534</v>
      </c>
      <c r="AP67" s="48">
        <f>'IS (After Changes)'!AP67-'IS (Before Changes)'!AP67</f>
        <v>0.22561093646018104</v>
      </c>
      <c r="AQ67" s="49">
        <f>'IS (After Changes)'!AQ67-'IS (Before Changes)'!AQ67</f>
        <v>7.0932035716227801</v>
      </c>
      <c r="AR67" s="48">
        <f>'IS (After Changes)'!AR67-'IS (Before Changes)'!AR67</f>
        <v>1.7140223863375326</v>
      </c>
      <c r="AS67" s="48">
        <f>'IS (After Changes)'!AS67-'IS (Before Changes)'!AS67</f>
        <v>1.8791273834613946</v>
      </c>
      <c r="AT67" s="48">
        <f>'IS (After Changes)'!AT67-'IS (Before Changes)'!AT67</f>
        <v>3.7216635171301533</v>
      </c>
      <c r="AU67" s="48">
        <f>'IS (After Changes)'!AU67-'IS (Before Changes)'!AU67</f>
        <v>0.24018759825968683</v>
      </c>
      <c r="AV67" s="49">
        <f>'IS (After Changes)'!AV67-'IS (Before Changes)'!AV67</f>
        <v>7.5550008851888037</v>
      </c>
    </row>
    <row r="68" spans="2:48" s="184" customFormat="1" outlineLevel="1" x14ac:dyDescent="0.3">
      <c r="B68" s="181" t="s">
        <v>153</v>
      </c>
      <c r="C68" s="190"/>
      <c r="D68" s="187">
        <f>'IS (After Changes)'!D68-'IS (Before Changes)'!D68</f>
        <v>0</v>
      </c>
      <c r="E68" s="187">
        <f>'IS (After Changes)'!E68-'IS (Before Changes)'!E68</f>
        <v>0</v>
      </c>
      <c r="F68" s="187">
        <f>'IS (After Changes)'!F68-'IS (Before Changes)'!F68</f>
        <v>0</v>
      </c>
      <c r="G68" s="187">
        <f>'IS (After Changes)'!G68-'IS (Before Changes)'!G68</f>
        <v>0</v>
      </c>
      <c r="H68" s="188">
        <f>'IS (After Changes)'!H68-'IS (Before Changes)'!H68</f>
        <v>0</v>
      </c>
      <c r="I68" s="187">
        <f>'IS (After Changes)'!I68-'IS (Before Changes)'!I68</f>
        <v>0</v>
      </c>
      <c r="J68" s="187">
        <f>'IS (After Changes)'!J68-'IS (Before Changes)'!J68</f>
        <v>0</v>
      </c>
      <c r="K68" s="187">
        <f>'IS (After Changes)'!K68-'IS (Before Changes)'!K68</f>
        <v>0</v>
      </c>
      <c r="L68" s="187">
        <f>'IS (After Changes)'!L68-'IS (Before Changes)'!L68</f>
        <v>0</v>
      </c>
      <c r="M68" s="188">
        <f>'IS (After Changes)'!M68-'IS (Before Changes)'!M68</f>
        <v>0</v>
      </c>
      <c r="N68" s="187">
        <f>'IS (After Changes)'!N68-'IS (Before Changes)'!N68</f>
        <v>0</v>
      </c>
      <c r="O68" s="187">
        <f>'IS (After Changes)'!O68-'IS (Before Changes)'!O68</f>
        <v>0</v>
      </c>
      <c r="P68" s="187">
        <f>'IS (After Changes)'!P68-'IS (Before Changes)'!P68</f>
        <v>0</v>
      </c>
      <c r="Q68" s="167">
        <f>'IS (After Changes)'!Q68-'IS (Before Changes)'!Q68</f>
        <v>0</v>
      </c>
      <c r="R68" s="188">
        <f>'IS (After Changes)'!R68-'IS (Before Changes)'!R68</f>
        <v>0</v>
      </c>
      <c r="S68" s="187">
        <f>'IS (After Changes)'!S68-'IS (Before Changes)'!S68</f>
        <v>0</v>
      </c>
      <c r="T68" s="187">
        <f>'IS (After Changes)'!T68-'IS (Before Changes)'!T68</f>
        <v>0</v>
      </c>
      <c r="U68" s="187">
        <f>'IS (After Changes)'!U68-'IS (Before Changes)'!U68</f>
        <v>0</v>
      </c>
      <c r="V68" s="187">
        <f>'IS (After Changes)'!V68-'IS (Before Changes)'!V68</f>
        <v>0</v>
      </c>
      <c r="W68" s="188">
        <f>'IS (After Changes)'!W68-'IS (Before Changes)'!W68</f>
        <v>0</v>
      </c>
      <c r="X68" s="189">
        <f>'IS (After Changes)'!X68-'IS (Before Changes)'!X68</f>
        <v>0</v>
      </c>
      <c r="Y68" s="189">
        <f>'IS (After Changes)'!Y68-'IS (Before Changes)'!Y68</f>
        <v>0</v>
      </c>
      <c r="Z68" s="189">
        <f>'IS (After Changes)'!Z68-'IS (Before Changes)'!Z68</f>
        <v>0</v>
      </c>
      <c r="AA68" s="189">
        <f>'IS (After Changes)'!AA68-'IS (Before Changes)'!AA68</f>
        <v>0</v>
      </c>
      <c r="AB68" s="188">
        <f>'IS (After Changes)'!AB68-'IS (Before Changes)'!AB68</f>
        <v>-3.422367846350749E-5</v>
      </c>
      <c r="AC68" s="189">
        <f>'IS (After Changes)'!AC68-'IS (Before Changes)'!AC68</f>
        <v>0</v>
      </c>
      <c r="AD68" s="189">
        <f>'IS (After Changes)'!AD68-'IS (Before Changes)'!AD68</f>
        <v>0</v>
      </c>
      <c r="AE68" s="189">
        <f>'IS (After Changes)'!AE68-'IS (Before Changes)'!AE68</f>
        <v>0</v>
      </c>
      <c r="AF68" s="189">
        <f>'IS (After Changes)'!AF68-'IS (Before Changes)'!AF68</f>
        <v>0</v>
      </c>
      <c r="AG68" s="188">
        <f>'IS (After Changes)'!AG68-'IS (Before Changes)'!AG68</f>
        <v>-3.6039510754504525E-5</v>
      </c>
      <c r="AH68" s="189">
        <f>'IS (After Changes)'!AH68-'IS (Before Changes)'!AH68</f>
        <v>0</v>
      </c>
      <c r="AI68" s="189">
        <f>'IS (After Changes)'!AI68-'IS (Before Changes)'!AI68</f>
        <v>0</v>
      </c>
      <c r="AJ68" s="189">
        <f>'IS (After Changes)'!AJ68-'IS (Before Changes)'!AJ68</f>
        <v>0</v>
      </c>
      <c r="AK68" s="189">
        <f>'IS (After Changes)'!AK68-'IS (Before Changes)'!AK68</f>
        <v>0</v>
      </c>
      <c r="AL68" s="188">
        <f>'IS (After Changes)'!AL68-'IS (Before Changes)'!AL68</f>
        <v>-3.5959755044216724E-5</v>
      </c>
      <c r="AM68" s="189">
        <f>'IS (After Changes)'!AM68-'IS (Before Changes)'!AM68</f>
        <v>0</v>
      </c>
      <c r="AN68" s="189">
        <f>'IS (After Changes)'!AN68-'IS (Before Changes)'!AN68</f>
        <v>0</v>
      </c>
      <c r="AO68" s="189">
        <f>'IS (After Changes)'!AO68-'IS (Before Changes)'!AO68</f>
        <v>0</v>
      </c>
      <c r="AP68" s="189">
        <f>'IS (After Changes)'!AP68-'IS (Before Changes)'!AP68</f>
        <v>0</v>
      </c>
      <c r="AQ68" s="188">
        <f>'IS (After Changes)'!AQ68-'IS (Before Changes)'!AQ68</f>
        <v>-3.6087782458085055E-5</v>
      </c>
      <c r="AR68" s="189">
        <f>'IS (After Changes)'!AR68-'IS (Before Changes)'!AR68</f>
        <v>0</v>
      </c>
      <c r="AS68" s="189">
        <f>'IS (After Changes)'!AS68-'IS (Before Changes)'!AS68</f>
        <v>0</v>
      </c>
      <c r="AT68" s="189">
        <f>'IS (After Changes)'!AT68-'IS (Before Changes)'!AT68</f>
        <v>0</v>
      </c>
      <c r="AU68" s="189">
        <f>'IS (After Changes)'!AU68-'IS (Before Changes)'!AU68</f>
        <v>0</v>
      </c>
      <c r="AV68" s="188">
        <f>'IS (After Changes)'!AV68-'IS (Before Changes)'!AV68</f>
        <v>-3.6149616755918115E-5</v>
      </c>
    </row>
    <row r="69" spans="2:48" ht="16.2" outlineLevel="1" x14ac:dyDescent="0.45">
      <c r="B69" s="180" t="s">
        <v>42</v>
      </c>
      <c r="C69" s="18"/>
      <c r="D69" s="119">
        <f>'IS (After Changes)'!D69-'IS (Before Changes)'!D69</f>
        <v>0</v>
      </c>
      <c r="E69" s="119">
        <f>'IS (After Changes)'!E69-'IS (Before Changes)'!E69</f>
        <v>0</v>
      </c>
      <c r="F69" s="119">
        <f>'IS (After Changes)'!F69-'IS (Before Changes)'!F69</f>
        <v>0</v>
      </c>
      <c r="G69" s="119">
        <f>'IS (After Changes)'!G69-'IS (Before Changes)'!G69</f>
        <v>0</v>
      </c>
      <c r="H69" s="131">
        <f>'IS (After Changes)'!H69-'IS (Before Changes)'!H69</f>
        <v>0</v>
      </c>
      <c r="I69" s="119">
        <f>'IS (After Changes)'!I69-'IS (Before Changes)'!I69</f>
        <v>0</v>
      </c>
      <c r="J69" s="119">
        <f>'IS (After Changes)'!J69-'IS (Before Changes)'!J69</f>
        <v>0</v>
      </c>
      <c r="K69" s="119">
        <f>'IS (After Changes)'!K69-'IS (Before Changes)'!K69</f>
        <v>0</v>
      </c>
      <c r="L69" s="119">
        <f>'IS (After Changes)'!L69-'IS (Before Changes)'!L69</f>
        <v>0</v>
      </c>
      <c r="M69" s="357">
        <f>'IS (After Changes)'!M69-'IS (Before Changes)'!M69</f>
        <v>0</v>
      </c>
      <c r="N69" s="119">
        <f>'IS (After Changes)'!N69-'IS (Before Changes)'!N69</f>
        <v>0</v>
      </c>
      <c r="O69" s="119">
        <f>'IS (After Changes)'!O69-'IS (Before Changes)'!O69</f>
        <v>0</v>
      </c>
      <c r="P69" s="119">
        <f>'IS (After Changes)'!P69-'IS (Before Changes)'!P69</f>
        <v>0</v>
      </c>
      <c r="Q69" s="119">
        <f>'IS (After Changes)'!Q69-'IS (Before Changes)'!Q69</f>
        <v>0</v>
      </c>
      <c r="R69" s="173">
        <f>'IS (After Changes)'!R69-'IS (Before Changes)'!R69</f>
        <v>0</v>
      </c>
      <c r="S69" s="119">
        <f>'IS (After Changes)'!S69-'IS (Before Changes)'!S69</f>
        <v>0</v>
      </c>
      <c r="T69" s="119">
        <f>'IS (After Changes)'!T69-'IS (Before Changes)'!T69</f>
        <v>0</v>
      </c>
      <c r="U69" s="119">
        <f>'IS (After Changes)'!U69-'IS (Before Changes)'!U69</f>
        <v>0</v>
      </c>
      <c r="V69" s="119">
        <f>'IS (After Changes)'!V69-'IS (Before Changes)'!V69</f>
        <v>0</v>
      </c>
      <c r="W69" s="173">
        <f>'IS (After Changes)'!W69-'IS (Before Changes)'!W69</f>
        <v>0</v>
      </c>
      <c r="X69" s="119">
        <f>'IS (After Changes)'!X69-'IS (Before Changes)'!X69</f>
        <v>0</v>
      </c>
      <c r="Y69" s="119">
        <f>'IS (After Changes)'!Y69-'IS (Before Changes)'!Y69</f>
        <v>0</v>
      </c>
      <c r="Z69" s="119">
        <f>'IS (After Changes)'!Z69-'IS (Before Changes)'!Z69</f>
        <v>0</v>
      </c>
      <c r="AA69" s="119">
        <f>'IS (After Changes)'!AA69-'IS (Before Changes)'!AA69</f>
        <v>0</v>
      </c>
      <c r="AB69" s="173">
        <f>'IS (After Changes)'!AB69-'IS (Before Changes)'!AB69</f>
        <v>0</v>
      </c>
      <c r="AC69" s="119">
        <f>'IS (After Changes)'!AC69-'IS (Before Changes)'!AC69</f>
        <v>0</v>
      </c>
      <c r="AD69" s="119">
        <f>'IS (After Changes)'!AD69-'IS (Before Changes)'!AD69</f>
        <v>0</v>
      </c>
      <c r="AE69" s="119">
        <f>'IS (After Changes)'!AE69-'IS (Before Changes)'!AE69</f>
        <v>0</v>
      </c>
      <c r="AF69" s="119">
        <f>'IS (After Changes)'!AF69-'IS (Before Changes)'!AF69</f>
        <v>0</v>
      </c>
      <c r="AG69" s="173">
        <f>'IS (After Changes)'!AG69-'IS (Before Changes)'!AG69</f>
        <v>0</v>
      </c>
      <c r="AH69" s="119">
        <f>'IS (After Changes)'!AH69-'IS (Before Changes)'!AH69</f>
        <v>0</v>
      </c>
      <c r="AI69" s="119">
        <f>'IS (After Changes)'!AI69-'IS (Before Changes)'!AI69</f>
        <v>0</v>
      </c>
      <c r="AJ69" s="119">
        <f>'IS (After Changes)'!AJ69-'IS (Before Changes)'!AJ69</f>
        <v>0</v>
      </c>
      <c r="AK69" s="119">
        <f>'IS (After Changes)'!AK69-'IS (Before Changes)'!AK69</f>
        <v>0</v>
      </c>
      <c r="AL69" s="173">
        <f>'IS (After Changes)'!AL69-'IS (Before Changes)'!AL69</f>
        <v>0</v>
      </c>
      <c r="AM69" s="119">
        <f>'IS (After Changes)'!AM69-'IS (Before Changes)'!AM69</f>
        <v>0</v>
      </c>
      <c r="AN69" s="119">
        <f>'IS (After Changes)'!AN69-'IS (Before Changes)'!AN69</f>
        <v>0</v>
      </c>
      <c r="AO69" s="119">
        <f>'IS (After Changes)'!AO69-'IS (Before Changes)'!AO69</f>
        <v>0</v>
      </c>
      <c r="AP69" s="119">
        <f>'IS (After Changes)'!AP69-'IS (Before Changes)'!AP69</f>
        <v>0</v>
      </c>
      <c r="AQ69" s="173">
        <f>'IS (After Changes)'!AQ69-'IS (Before Changes)'!AQ69</f>
        <v>0</v>
      </c>
      <c r="AR69" s="119">
        <f>'IS (After Changes)'!AR69-'IS (Before Changes)'!AR69</f>
        <v>0</v>
      </c>
      <c r="AS69" s="119">
        <f>'IS (After Changes)'!AS69-'IS (Before Changes)'!AS69</f>
        <v>0</v>
      </c>
      <c r="AT69" s="119">
        <f>'IS (After Changes)'!AT69-'IS (Before Changes)'!AT69</f>
        <v>0</v>
      </c>
      <c r="AU69" s="119">
        <f>'IS (After Changes)'!AU69-'IS (Before Changes)'!AU69</f>
        <v>0</v>
      </c>
      <c r="AV69" s="173">
        <f>'IS (After Changes)'!AV69-'IS (Before Changes)'!AV69</f>
        <v>0</v>
      </c>
    </row>
    <row r="70" spans="2:48" outlineLevel="1" x14ac:dyDescent="0.3">
      <c r="B70" s="46" t="s">
        <v>183</v>
      </c>
      <c r="C70" s="19"/>
      <c r="D70" s="103">
        <f>'IS (After Changes)'!D70-'IS (Before Changes)'!D70</f>
        <v>0</v>
      </c>
      <c r="E70" s="103">
        <f>'IS (After Changes)'!E70-'IS (Before Changes)'!E70</f>
        <v>0</v>
      </c>
      <c r="F70" s="103">
        <f>'IS (After Changes)'!F70-'IS (Before Changes)'!F70</f>
        <v>0</v>
      </c>
      <c r="G70" s="103">
        <f>'IS (After Changes)'!G70-'IS (Before Changes)'!G70</f>
        <v>0</v>
      </c>
      <c r="H70" s="166">
        <f>'IS (After Changes)'!H70-'IS (Before Changes)'!H70</f>
        <v>0</v>
      </c>
      <c r="I70" s="103">
        <f>'IS (After Changes)'!I70-'IS (Before Changes)'!I70</f>
        <v>0</v>
      </c>
      <c r="J70" s="103">
        <f>'IS (After Changes)'!J70-'IS (Before Changes)'!J70</f>
        <v>0</v>
      </c>
      <c r="K70" s="103">
        <f>'IS (After Changes)'!K70-'IS (Before Changes)'!K70</f>
        <v>0</v>
      </c>
      <c r="L70" s="50">
        <f>'IS (After Changes)'!L70-'IS (Before Changes)'!L70</f>
        <v>0</v>
      </c>
      <c r="M70" s="191">
        <f>'IS (After Changes)'!M70-'IS (Before Changes)'!M70</f>
        <v>0</v>
      </c>
      <c r="N70" s="50">
        <f>'IS (After Changes)'!N70-'IS (Before Changes)'!N70</f>
        <v>0</v>
      </c>
      <c r="O70" s="50">
        <f>'IS (After Changes)'!O70-'IS (Before Changes)'!O70</f>
        <v>0</v>
      </c>
      <c r="P70" s="50">
        <f>'IS (After Changes)'!P70-'IS (Before Changes)'!P70</f>
        <v>0</v>
      </c>
      <c r="Q70" s="103">
        <f>'IS (After Changes)'!Q70-'IS (Before Changes)'!Q70</f>
        <v>0</v>
      </c>
      <c r="R70" s="191">
        <f>'IS (After Changes)'!R70-'IS (Before Changes)'!R70</f>
        <v>0</v>
      </c>
      <c r="S70" s="50">
        <f>'IS (After Changes)'!S70-'IS (Before Changes)'!S70</f>
        <v>0</v>
      </c>
      <c r="T70" s="50">
        <f>'IS (After Changes)'!T70-'IS (Before Changes)'!T70</f>
        <v>0</v>
      </c>
      <c r="U70" s="50">
        <f>'IS (After Changes)'!U70-'IS (Before Changes)'!U70</f>
        <v>0</v>
      </c>
      <c r="V70" s="50">
        <f>'IS (After Changes)'!V70-'IS (Before Changes)'!V70</f>
        <v>0</v>
      </c>
      <c r="W70" s="191">
        <f>'IS (After Changes)'!W70-'IS (Before Changes)'!W70</f>
        <v>0</v>
      </c>
      <c r="X70" s="50">
        <f>'IS (After Changes)'!X70-'IS (Before Changes)'!X70</f>
        <v>18.175213953360071</v>
      </c>
      <c r="Y70" s="50">
        <f>'IS (After Changes)'!Y70-'IS (Before Changes)'!Y70</f>
        <v>61.670495662289795</v>
      </c>
      <c r="Z70" s="50">
        <f>'IS (After Changes)'!Z70-'IS (Before Changes)'!Z70</f>
        <v>112.73891197374996</v>
      </c>
      <c r="AA70" s="50">
        <f>'IS (After Changes)'!AA70-'IS (Before Changes)'!AA70</f>
        <v>259.6035915743405</v>
      </c>
      <c r="AB70" s="191">
        <f>'IS (After Changes)'!AB70-'IS (Before Changes)'!AB70</f>
        <v>452.18821316373942</v>
      </c>
      <c r="AC70" s="50">
        <f>'IS (After Changes)'!AC70-'IS (Before Changes)'!AC70</f>
        <v>38.451181629845451</v>
      </c>
      <c r="AD70" s="50">
        <f>'IS (After Changes)'!AD70-'IS (Before Changes)'!AD70</f>
        <v>-26.790634607526954</v>
      </c>
      <c r="AE70" s="50">
        <f>'IS (After Changes)'!AE70-'IS (Before Changes)'!AE70</f>
        <v>15.610159566115726</v>
      </c>
      <c r="AF70" s="50">
        <f>'IS (After Changes)'!AF70-'IS (Before Changes)'!AF70</f>
        <v>24.607295852204516</v>
      </c>
      <c r="AG70" s="191">
        <f>'IS (After Changes)'!AG70-'IS (Before Changes)'!AG70</f>
        <v>51.878002440640557</v>
      </c>
      <c r="AH70" s="50">
        <f>'IS (After Changes)'!AH70-'IS (Before Changes)'!AH70</f>
        <v>63.6488328388632</v>
      </c>
      <c r="AI70" s="50">
        <f>'IS (After Changes)'!AI70-'IS (Before Changes)'!AI70</f>
        <v>-8.6337984056781352</v>
      </c>
      <c r="AJ70" s="50">
        <f>'IS (After Changes)'!AJ70-'IS (Before Changes)'!AJ70</f>
        <v>38.051203302422437</v>
      </c>
      <c r="AK70" s="50">
        <f>'IS (After Changes)'!AK70-'IS (Before Changes)'!AK70</f>
        <v>48.881265161307965</v>
      </c>
      <c r="AL70" s="191">
        <f>'IS (After Changes)'!AL70-'IS (Before Changes)'!AL70</f>
        <v>141.94750289691365</v>
      </c>
      <c r="AM70" s="50">
        <f>'IS (After Changes)'!AM70-'IS (Before Changes)'!AM70</f>
        <v>69.783519547136166</v>
      </c>
      <c r="AN70" s="50">
        <f>'IS (After Changes)'!AN70-'IS (Before Changes)'!AN70</f>
        <v>-8.6196046491331799</v>
      </c>
      <c r="AO70" s="50">
        <f>'IS (After Changes)'!AO70-'IS (Before Changes)'!AO70</f>
        <v>42.039110312245612</v>
      </c>
      <c r="AP70" s="50">
        <f>'IS (After Changes)'!AP70-'IS (Before Changes)'!AP70</f>
        <v>53.807953414315307</v>
      </c>
      <c r="AQ70" s="191">
        <f>'IS (After Changes)'!AQ70-'IS (Before Changes)'!AQ70</f>
        <v>157.01097862455936</v>
      </c>
      <c r="AR70" s="50">
        <f>'IS (After Changes)'!AR70-'IS (Before Changes)'!AR70</f>
        <v>75.061456944530619</v>
      </c>
      <c r="AS70" s="50">
        <f>'IS (After Changes)'!AS70-'IS (Before Changes)'!AS70</f>
        <v>-8.4496982043556272</v>
      </c>
      <c r="AT70" s="50">
        <f>'IS (After Changes)'!AT70-'IS (Before Changes)'!AT70</f>
        <v>45.463932780830874</v>
      </c>
      <c r="AU70" s="50">
        <f>'IS (After Changes)'!AU70-'IS (Before Changes)'!AU70</f>
        <v>57.92466208138103</v>
      </c>
      <c r="AV70" s="191">
        <f>'IS (After Changes)'!AV70-'IS (Before Changes)'!AV70</f>
        <v>170.00035360238689</v>
      </c>
    </row>
    <row r="71" spans="2:48" outlineLevel="1" x14ac:dyDescent="0.3">
      <c r="B71" s="46" t="s">
        <v>184</v>
      </c>
      <c r="C71" s="44"/>
      <c r="D71" s="156">
        <f>'IS (After Changes)'!D71-'IS (Before Changes)'!D71</f>
        <v>0</v>
      </c>
      <c r="E71" s="156">
        <f>'IS (After Changes)'!E71-'IS (Before Changes)'!E71</f>
        <v>0</v>
      </c>
      <c r="F71" s="156">
        <f>'IS (After Changes)'!F71-'IS (Before Changes)'!F71</f>
        <v>0</v>
      </c>
      <c r="G71" s="156">
        <f>'IS (After Changes)'!G71-'IS (Before Changes)'!G71</f>
        <v>0</v>
      </c>
      <c r="H71" s="132">
        <f>'IS (After Changes)'!H71-'IS (Before Changes)'!H71</f>
        <v>0</v>
      </c>
      <c r="I71" s="156">
        <f>'IS (After Changes)'!I71-'IS (Before Changes)'!I71</f>
        <v>0</v>
      </c>
      <c r="J71" s="156">
        <f>'IS (After Changes)'!J71-'IS (Before Changes)'!J71</f>
        <v>0</v>
      </c>
      <c r="K71" s="156">
        <f>'IS (After Changes)'!K71-'IS (Before Changes)'!K71</f>
        <v>0</v>
      </c>
      <c r="L71" s="74">
        <f>'IS (After Changes)'!L71-'IS (Before Changes)'!L71</f>
        <v>0</v>
      </c>
      <c r="M71" s="97">
        <f>'IS (After Changes)'!M71-'IS (Before Changes)'!M71</f>
        <v>0</v>
      </c>
      <c r="N71" s="74">
        <f>'IS (After Changes)'!N71-'IS (Before Changes)'!N71</f>
        <v>0</v>
      </c>
      <c r="O71" s="74">
        <f>'IS (After Changes)'!O71-'IS (Before Changes)'!O71</f>
        <v>0</v>
      </c>
      <c r="P71" s="74">
        <f>'IS (After Changes)'!P71-'IS (Before Changes)'!P71</f>
        <v>0</v>
      </c>
      <c r="Q71" s="74">
        <f>'IS (After Changes)'!Q71-'IS (Before Changes)'!Q71</f>
        <v>0</v>
      </c>
      <c r="R71" s="97">
        <f>'IS (After Changes)'!R71-'IS (Before Changes)'!R71</f>
        <v>0</v>
      </c>
      <c r="S71" s="74">
        <f>'IS (After Changes)'!S71-'IS (Before Changes)'!S71</f>
        <v>0</v>
      </c>
      <c r="T71" s="74">
        <f>'IS (After Changes)'!T71-'IS (Before Changes)'!T71</f>
        <v>0</v>
      </c>
      <c r="U71" s="74">
        <f>'IS (After Changes)'!U71-'IS (Before Changes)'!U71</f>
        <v>0</v>
      </c>
      <c r="V71" s="156">
        <f>'IS (After Changes)'!V71-'IS (Before Changes)'!V71</f>
        <v>0</v>
      </c>
      <c r="W71" s="97">
        <f>'IS (After Changes)'!W71-'IS (Before Changes)'!W71</f>
        <v>0</v>
      </c>
      <c r="X71" s="74">
        <f>'IS (After Changes)'!X71-'IS (Before Changes)'!X71</f>
        <v>10.752836334453605</v>
      </c>
      <c r="Y71" s="74">
        <f>'IS (After Changes)'!Y71-'IS (Before Changes)'!Y71</f>
        <v>-34.251026171633384</v>
      </c>
      <c r="Z71" s="74">
        <f>'IS (After Changes)'!Z71-'IS (Before Changes)'!Z71</f>
        <v>32.124407406873615</v>
      </c>
      <c r="AA71" s="74">
        <f>'IS (After Changes)'!AA71-'IS (Before Changes)'!AA71</f>
        <v>-114.80556644789704</v>
      </c>
      <c r="AB71" s="97">
        <f>'IS (After Changes)'!AB71-'IS (Before Changes)'!AB71</f>
        <v>-106.1793488782032</v>
      </c>
      <c r="AC71" s="74">
        <f>'IS (After Changes)'!AC71-'IS (Before Changes)'!AC71</f>
        <v>23.922151340869277</v>
      </c>
      <c r="AD71" s="74">
        <f>'IS (After Changes)'!AD71-'IS (Before Changes)'!AD71</f>
        <v>85.967449786144243</v>
      </c>
      <c r="AE71" s="74">
        <f>'IS (After Changes)'!AE71-'IS (Before Changes)'!AE71</f>
        <v>173.58203772764227</v>
      </c>
      <c r="AF71" s="74">
        <f>'IS (After Changes)'!AF71-'IS (Before Changes)'!AF71</f>
        <v>164.69255964745389</v>
      </c>
      <c r="AG71" s="97">
        <f>'IS (After Changes)'!AG71-'IS (Before Changes)'!AG71</f>
        <v>448.16419850210968</v>
      </c>
      <c r="AH71" s="74">
        <f>'IS (After Changes)'!AH71-'IS (Before Changes)'!AH71</f>
        <v>39.551215933238382</v>
      </c>
      <c r="AI71" s="74">
        <f>'IS (After Changes)'!AI71-'IS (Before Changes)'!AI71</f>
        <v>106.65283480585367</v>
      </c>
      <c r="AJ71" s="74">
        <f>'IS (After Changes)'!AJ71-'IS (Before Changes)'!AJ71</f>
        <v>207.24564176323111</v>
      </c>
      <c r="AK71" s="74">
        <f>'IS (After Changes)'!AK71-'IS (Before Changes)'!AK71</f>
        <v>196.79471024914073</v>
      </c>
      <c r="AL71" s="97">
        <f>'IS (After Changes)'!AL71-'IS (Before Changes)'!AL71</f>
        <v>550.24440275146389</v>
      </c>
      <c r="AM71" s="74">
        <f>'IS (After Changes)'!AM71-'IS (Before Changes)'!AM71</f>
        <v>42.081087114644106</v>
      </c>
      <c r="AN71" s="74">
        <f>'IS (After Changes)'!AN71-'IS (Before Changes)'!AN71</f>
        <v>114.93651074842273</v>
      </c>
      <c r="AO71" s="74">
        <f>'IS (After Changes)'!AO71-'IS (Before Changes)'!AO71</f>
        <v>224.19176086336302</v>
      </c>
      <c r="AP71" s="74">
        <f>'IS (After Changes)'!AP71-'IS (Before Changes)'!AP71</f>
        <v>213.00029161601651</v>
      </c>
      <c r="AQ71" s="97">
        <f>'IS (After Changes)'!AQ71-'IS (Before Changes)'!AQ71</f>
        <v>594.20965034244637</v>
      </c>
      <c r="AR71" s="74">
        <f>'IS (After Changes)'!AR71-'IS (Before Changes)'!AR71</f>
        <v>44.130783538904325</v>
      </c>
      <c r="AS71" s="74">
        <f>'IS (After Changes)'!AS71-'IS (Before Changes)'!AS71</f>
        <v>121.69858769705297</v>
      </c>
      <c r="AT71" s="74">
        <f>'IS (After Changes)'!AT71-'IS (Before Changes)'!AT71</f>
        <v>238.04610192568362</v>
      </c>
      <c r="AU71" s="74">
        <f>'IS (After Changes)'!AU71-'IS (Before Changes)'!AU71</f>
        <v>226.12199175194291</v>
      </c>
      <c r="AV71" s="97">
        <f>'IS (After Changes)'!AV71-'IS (Before Changes)'!AV71</f>
        <v>629.99746491358383</v>
      </c>
    </row>
    <row r="72" spans="2:48" outlineLevel="1" x14ac:dyDescent="0.3">
      <c r="B72" s="46" t="s">
        <v>185</v>
      </c>
      <c r="C72" s="44"/>
      <c r="D72" s="157">
        <f>'IS (After Changes)'!D72-'IS (Before Changes)'!D72</f>
        <v>0</v>
      </c>
      <c r="E72" s="157">
        <f>'IS (After Changes)'!E72-'IS (Before Changes)'!E72</f>
        <v>0</v>
      </c>
      <c r="F72" s="157">
        <f>'IS (After Changes)'!F72-'IS (Before Changes)'!F72</f>
        <v>0</v>
      </c>
      <c r="G72" s="157">
        <f>'IS (After Changes)'!G72-'IS (Before Changes)'!G72</f>
        <v>0</v>
      </c>
      <c r="H72" s="133">
        <f>'IS (After Changes)'!H72-'IS (Before Changes)'!H72</f>
        <v>0</v>
      </c>
      <c r="I72" s="157">
        <f>'IS (After Changes)'!I72-'IS (Before Changes)'!I72</f>
        <v>0</v>
      </c>
      <c r="J72" s="157">
        <f>'IS (After Changes)'!J72-'IS (Before Changes)'!J72</f>
        <v>0</v>
      </c>
      <c r="K72" s="157">
        <f>'IS (After Changes)'!K72-'IS (Before Changes)'!K72</f>
        <v>0</v>
      </c>
      <c r="L72" s="75">
        <f>'IS (After Changes)'!L72-'IS (Before Changes)'!L72</f>
        <v>0</v>
      </c>
      <c r="M72" s="98">
        <f>'IS (After Changes)'!M72-'IS (Before Changes)'!M72</f>
        <v>0</v>
      </c>
      <c r="N72" s="75">
        <f>'IS (After Changes)'!N72-'IS (Before Changes)'!N72</f>
        <v>0</v>
      </c>
      <c r="O72" s="75">
        <f>'IS (After Changes)'!O72-'IS (Before Changes)'!O72</f>
        <v>0</v>
      </c>
      <c r="P72" s="75">
        <f>'IS (After Changes)'!P72-'IS (Before Changes)'!P72</f>
        <v>0</v>
      </c>
      <c r="Q72" s="75">
        <f>'IS (After Changes)'!Q72-'IS (Before Changes)'!Q72</f>
        <v>0</v>
      </c>
      <c r="R72" s="98">
        <f>'IS (After Changes)'!R72-'IS (Before Changes)'!R72</f>
        <v>0</v>
      </c>
      <c r="S72" s="75">
        <f>'IS (After Changes)'!S72-'IS (Before Changes)'!S72</f>
        <v>0</v>
      </c>
      <c r="T72" s="75">
        <f>'IS (After Changes)'!T72-'IS (Before Changes)'!T72</f>
        <v>0</v>
      </c>
      <c r="U72" s="75">
        <f>'IS (After Changes)'!U72-'IS (Before Changes)'!U72</f>
        <v>0</v>
      </c>
      <c r="V72" s="75">
        <f>'IS (After Changes)'!V72-'IS (Before Changes)'!V72</f>
        <v>0</v>
      </c>
      <c r="W72" s="98">
        <f>'IS (After Changes)'!W72-'IS (Before Changes)'!W72</f>
        <v>0</v>
      </c>
      <c r="X72" s="75">
        <f>'IS (After Changes)'!X72-'IS (Before Changes)'!X72</f>
        <v>9.1459299207785616E-4</v>
      </c>
      <c r="Y72" s="75">
        <f>'IS (After Changes)'!Y72-'IS (Before Changes)'!Y72</f>
        <v>-6.3875879322270734E-3</v>
      </c>
      <c r="Z72" s="75">
        <f>'IS (After Changes)'!Z72-'IS (Before Changes)'!Z72</f>
        <v>2.6544694531913104E-4</v>
      </c>
      <c r="AA72" s="75">
        <f>'IS (After Changes)'!AA72-'IS (Before Changes)'!AA72</f>
        <v>-2.1462855847080603E-2</v>
      </c>
      <c r="AB72" s="98">
        <f>'IS (After Changes)'!AB72-'IS (Before Changes)'!AB72</f>
        <v>-6.6201570239684537E-3</v>
      </c>
      <c r="AC72" s="75">
        <f>'IS (After Changes)'!AC72-'IS (Before Changes)'!AC72</f>
        <v>1.6888743174892917E-3</v>
      </c>
      <c r="AD72" s="75">
        <f>'IS (After Changes)'!AD72-'IS (Before Changes)'!AD72</f>
        <v>1.1535586147306209E-2</v>
      </c>
      <c r="AE72" s="75">
        <f>'IS (After Changes)'!AE72-'IS (Before Changes)'!AE72</f>
        <v>1.8286706119966856E-2</v>
      </c>
      <c r="AF72" s="75">
        <f>'IS (After Changes)'!AF72-'IS (Before Changes)'!AF72</f>
        <v>1.7420703877756072E-2</v>
      </c>
      <c r="AG72" s="98">
        <f>'IS (After Changes)'!AG72-'IS (Before Changes)'!AG72</f>
        <v>1.2490233847789467E-2</v>
      </c>
      <c r="AH72" s="75">
        <f>'IS (After Changes)'!AH72-'IS (Before Changes)'!AH72</f>
        <v>2.4800153045383966E-3</v>
      </c>
      <c r="AI72" s="75">
        <f>'IS (After Changes)'!AI72-'IS (Before Changes)'!AI72</f>
        <v>1.2302772550226437E-2</v>
      </c>
      <c r="AJ72" s="75">
        <f>'IS (After Changes)'!AJ72-'IS (Before Changes)'!AJ72</f>
        <v>1.906560026175258E-2</v>
      </c>
      <c r="AK72" s="75">
        <f>'IS (After Changes)'!AK72-'IS (Before Changes)'!AK72</f>
        <v>1.8162402349788748E-2</v>
      </c>
      <c r="AL72" s="98">
        <f>'IS (After Changes)'!AL72-'IS (Before Changes)'!AL72</f>
        <v>1.3269767371016483E-2</v>
      </c>
      <c r="AM72" s="75">
        <f>'IS (After Changes)'!AM72-'IS (Before Changes)'!AM72</f>
        <v>2.3748418065428489E-3</v>
      </c>
      <c r="AN72" s="75">
        <f>'IS (After Changes)'!AN72-'IS (Before Changes)'!AN72</f>
        <v>1.2204566394989985E-2</v>
      </c>
      <c r="AO72" s="75">
        <f>'IS (After Changes)'!AO72-'IS (Before Changes)'!AO72</f>
        <v>1.9004237005047053E-2</v>
      </c>
      <c r="AP72" s="75">
        <f>'IS (After Changes)'!AP72-'IS (Before Changes)'!AP72</f>
        <v>1.8134160770824165E-2</v>
      </c>
      <c r="AQ72" s="98">
        <f>'IS (After Changes)'!AQ72-'IS (Before Changes)'!AQ72</f>
        <v>1.3192190570973927E-2</v>
      </c>
      <c r="AR72" s="75">
        <f>'IS (After Changes)'!AR72-'IS (Before Changes)'!AR72</f>
        <v>2.3223390142833034E-3</v>
      </c>
      <c r="AS72" s="75">
        <f>'IS (After Changes)'!AS72-'IS (Before Changes)'!AS72</f>
        <v>1.2164879786855626E-2</v>
      </c>
      <c r="AT72" s="75">
        <f>'IS (After Changes)'!AT72-'IS (Before Changes)'!AT72</f>
        <v>1.9009733450098321E-2</v>
      </c>
      <c r="AU72" s="75">
        <f>'IS (After Changes)'!AU72-'IS (Before Changes)'!AU72</f>
        <v>1.8147175848019337E-2</v>
      </c>
      <c r="AV72" s="98">
        <f>'IS (After Changes)'!AV72-'IS (Before Changes)'!AV72</f>
        <v>1.3174093740336346E-2</v>
      </c>
    </row>
    <row r="73" spans="2:48" ht="17.399999999999999" x14ac:dyDescent="0.45">
      <c r="B73" s="508" t="s">
        <v>114</v>
      </c>
      <c r="C73" s="509"/>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510" t="s">
        <v>115</v>
      </c>
      <c r="C74" s="511"/>
      <c r="D74" s="21">
        <f>'IS (After Changes)'!D74-'IS (Before Changes)'!D74</f>
        <v>0</v>
      </c>
      <c r="E74" s="21">
        <f>'IS (After Changes)'!E74-'IS (Before Changes)'!E74</f>
        <v>0</v>
      </c>
      <c r="F74" s="116">
        <f>'IS (After Changes)'!F74-'IS (Before Changes)'!F74</f>
        <v>0</v>
      </c>
      <c r="G74" s="21">
        <f>'IS (After Changes)'!G74-'IS (Before Changes)'!G74</f>
        <v>0</v>
      </c>
      <c r="H74" s="191">
        <f>'IS (After Changes)'!H74-'IS (Before Changes)'!H74</f>
        <v>0</v>
      </c>
      <c r="I74" s="21">
        <f>'IS (After Changes)'!I74-'IS (Before Changes)'!I74</f>
        <v>0</v>
      </c>
      <c r="J74" s="21">
        <f>'IS (After Changes)'!J74-'IS (Before Changes)'!J74</f>
        <v>0</v>
      </c>
      <c r="K74" s="21">
        <f>'IS (After Changes)'!K74-'IS (Before Changes)'!K74</f>
        <v>0</v>
      </c>
      <c r="L74" s="21">
        <f>'IS (After Changes)'!L74-'IS (Before Changes)'!L74</f>
        <v>0</v>
      </c>
      <c r="M74" s="191">
        <f>'IS (After Changes)'!M74-'IS (Before Changes)'!M74</f>
        <v>0</v>
      </c>
      <c r="N74" s="21">
        <f>'IS (After Changes)'!N74-'IS (Before Changes)'!N74</f>
        <v>0</v>
      </c>
      <c r="O74" s="21">
        <f>'IS (After Changes)'!O74-'IS (Before Changes)'!O74</f>
        <v>0</v>
      </c>
      <c r="P74" s="21">
        <f>'IS (After Changes)'!P74-'IS (Before Changes)'!P74</f>
        <v>0</v>
      </c>
      <c r="Q74" s="21">
        <f>'IS (After Changes)'!Q74-'IS (Before Changes)'!Q74</f>
        <v>0</v>
      </c>
      <c r="R74" s="191">
        <f>'IS (After Changes)'!R74-'IS (Before Changes)'!R74</f>
        <v>0</v>
      </c>
      <c r="S74" s="21">
        <f>'IS (After Changes)'!S74-'IS (Before Changes)'!S74</f>
        <v>0</v>
      </c>
      <c r="T74" s="21">
        <f>'IS (After Changes)'!T74-'IS (Before Changes)'!T74</f>
        <v>0</v>
      </c>
      <c r="U74" s="21">
        <f>'IS (After Changes)'!U74-'IS (Before Changes)'!U74</f>
        <v>0</v>
      </c>
      <c r="V74" s="21">
        <f>'IS (After Changes)'!V74-'IS (Before Changes)'!V74</f>
        <v>0</v>
      </c>
      <c r="W74" s="191">
        <f>'IS (After Changes)'!W74-'IS (Before Changes)'!W74</f>
        <v>0</v>
      </c>
      <c r="X74" s="21">
        <f>'IS (After Changes)'!X74-'IS (Before Changes)'!X74</f>
        <v>0</v>
      </c>
      <c r="Y74" s="21">
        <f>'IS (After Changes)'!Y74-'IS (Before Changes)'!Y74</f>
        <v>0</v>
      </c>
      <c r="Z74" s="21">
        <f>'IS (After Changes)'!Z74-'IS (Before Changes)'!Z74</f>
        <v>0</v>
      </c>
      <c r="AA74" s="21">
        <f>'IS (After Changes)'!AA74-'IS (Before Changes)'!AA74</f>
        <v>0</v>
      </c>
      <c r="AB74" s="191">
        <f>'IS (After Changes)'!AB74-'IS (Before Changes)'!AB74</f>
        <v>0</v>
      </c>
      <c r="AC74" s="21">
        <f>'IS (After Changes)'!AC74-'IS (Before Changes)'!AC74</f>
        <v>0</v>
      </c>
      <c r="AD74" s="21">
        <f>'IS (After Changes)'!AD74-'IS (Before Changes)'!AD74</f>
        <v>0</v>
      </c>
      <c r="AE74" s="21">
        <f>'IS (After Changes)'!AE74-'IS (Before Changes)'!AE74</f>
        <v>0</v>
      </c>
      <c r="AF74" s="21">
        <f>'IS (After Changes)'!AF74-'IS (Before Changes)'!AF74</f>
        <v>0</v>
      </c>
      <c r="AG74" s="191">
        <f>'IS (After Changes)'!AG74-'IS (Before Changes)'!AG74</f>
        <v>0</v>
      </c>
      <c r="AH74" s="21">
        <f>'IS (After Changes)'!AH74-'IS (Before Changes)'!AH74</f>
        <v>0</v>
      </c>
      <c r="AI74" s="21">
        <f>'IS (After Changes)'!AI74-'IS (Before Changes)'!AI74</f>
        <v>0</v>
      </c>
      <c r="AJ74" s="21">
        <f>'IS (After Changes)'!AJ74-'IS (Before Changes)'!AJ74</f>
        <v>0</v>
      </c>
      <c r="AK74" s="21">
        <f>'IS (After Changes)'!AK74-'IS (Before Changes)'!AK74</f>
        <v>0</v>
      </c>
      <c r="AL74" s="191">
        <f>'IS (After Changes)'!AL74-'IS (Before Changes)'!AL74</f>
        <v>0</v>
      </c>
      <c r="AM74" s="21">
        <f>'IS (After Changes)'!AM74-'IS (Before Changes)'!AM74</f>
        <v>0</v>
      </c>
      <c r="AN74" s="21">
        <f>'IS (After Changes)'!AN74-'IS (Before Changes)'!AN74</f>
        <v>0</v>
      </c>
      <c r="AO74" s="21">
        <f>'IS (After Changes)'!AO74-'IS (Before Changes)'!AO74</f>
        <v>0</v>
      </c>
      <c r="AP74" s="21">
        <f>'IS (After Changes)'!AP74-'IS (Before Changes)'!AP74</f>
        <v>0</v>
      </c>
      <c r="AQ74" s="191">
        <f>'IS (After Changes)'!AQ74-'IS (Before Changes)'!AQ74</f>
        <v>0</v>
      </c>
      <c r="AR74" s="21">
        <f>'IS (After Changes)'!AR74-'IS (Before Changes)'!AR74</f>
        <v>0</v>
      </c>
      <c r="AS74" s="21">
        <f>'IS (After Changes)'!AS74-'IS (Before Changes)'!AS74</f>
        <v>0</v>
      </c>
      <c r="AT74" s="21">
        <f>'IS (After Changes)'!AT74-'IS (Before Changes)'!AT74</f>
        <v>0</v>
      </c>
      <c r="AU74" s="21">
        <f>'IS (After Changes)'!AU74-'IS (Before Changes)'!AU74</f>
        <v>0</v>
      </c>
      <c r="AV74" s="191">
        <f>'IS (After Changes)'!AV74-'IS (Before Changes)'!AV74</f>
        <v>0</v>
      </c>
    </row>
    <row r="75" spans="2:48" outlineLevel="1" x14ac:dyDescent="0.3">
      <c r="B75" s="180" t="s">
        <v>46</v>
      </c>
      <c r="C75" s="201"/>
      <c r="D75" s="21">
        <f>'IS (After Changes)'!D75-'IS (Before Changes)'!D75</f>
        <v>0</v>
      </c>
      <c r="E75" s="101">
        <f>'IS (After Changes)'!E75-'IS (Before Changes)'!E75</f>
        <v>0</v>
      </c>
      <c r="F75" s="101">
        <f>'IS (After Changes)'!F75-'IS (Before Changes)'!F75</f>
        <v>0</v>
      </c>
      <c r="G75" s="101">
        <f>'IS (After Changes)'!G75-'IS (Before Changes)'!G75</f>
        <v>0</v>
      </c>
      <c r="H75" s="26">
        <f>'IS (After Changes)'!H75-'IS (Before Changes)'!H75</f>
        <v>0</v>
      </c>
      <c r="I75" s="101">
        <f>'IS (After Changes)'!I75-'IS (Before Changes)'!I75</f>
        <v>0</v>
      </c>
      <c r="J75" s="101">
        <f>'IS (After Changes)'!J75-'IS (Before Changes)'!J75</f>
        <v>0</v>
      </c>
      <c r="K75" s="101">
        <f>'IS (After Changes)'!K75-'IS (Before Changes)'!K75</f>
        <v>0</v>
      </c>
      <c r="L75" s="101">
        <f>'IS (After Changes)'!L75-'IS (Before Changes)'!L75</f>
        <v>0</v>
      </c>
      <c r="M75" s="26">
        <f>'IS (After Changes)'!M75-'IS (Before Changes)'!M75</f>
        <v>0</v>
      </c>
      <c r="N75" s="101">
        <f>'IS (After Changes)'!N75-'IS (Before Changes)'!N75</f>
        <v>0</v>
      </c>
      <c r="O75" s="101">
        <f>'IS (After Changes)'!O75-'IS (Before Changes)'!O75</f>
        <v>0</v>
      </c>
      <c r="P75" s="101">
        <f>'IS (After Changes)'!P75-'IS (Before Changes)'!P75</f>
        <v>0</v>
      </c>
      <c r="Q75" s="101">
        <f>'IS (After Changes)'!Q75-'IS (Before Changes)'!Q75</f>
        <v>0</v>
      </c>
      <c r="R75" s="26">
        <f>'IS (After Changes)'!R75-'IS (Before Changes)'!R75</f>
        <v>0</v>
      </c>
      <c r="S75" s="101">
        <f>'IS (After Changes)'!S75-'IS (Before Changes)'!S75</f>
        <v>0</v>
      </c>
      <c r="T75" s="101">
        <f>'IS (After Changes)'!T75-'IS (Before Changes)'!T75</f>
        <v>0</v>
      </c>
      <c r="U75" s="101">
        <f>'IS (After Changes)'!U75-'IS (Before Changes)'!U75</f>
        <v>0</v>
      </c>
      <c r="V75" s="101">
        <f>'IS (After Changes)'!V75-'IS (Before Changes)'!V75</f>
        <v>0</v>
      </c>
      <c r="W75" s="122">
        <f>'IS (After Changes)'!W75-'IS (Before Changes)'!W75</f>
        <v>0</v>
      </c>
      <c r="X75" s="33">
        <f>'IS (After Changes)'!X75-'IS (Before Changes)'!X75</f>
        <v>0</v>
      </c>
      <c r="Y75" s="33">
        <f>'IS (After Changes)'!Y75-'IS (Before Changes)'!Y75</f>
        <v>0</v>
      </c>
      <c r="Z75" s="33">
        <f>'IS (After Changes)'!Z75-'IS (Before Changes)'!Z75</f>
        <v>0</v>
      </c>
      <c r="AA75" s="33">
        <f>'IS (After Changes)'!AA75-'IS (Before Changes)'!AA75</f>
        <v>0</v>
      </c>
      <c r="AB75" s="26">
        <f>'IS (After Changes)'!AB75-'IS (Before Changes)'!AB75</f>
        <v>0</v>
      </c>
      <c r="AC75" s="33">
        <f>'IS (After Changes)'!AC75-'IS (Before Changes)'!AC75</f>
        <v>0</v>
      </c>
      <c r="AD75" s="33">
        <f>'IS (After Changes)'!AD75-'IS (Before Changes)'!AD75</f>
        <v>0</v>
      </c>
      <c r="AE75" s="33">
        <f>'IS (After Changes)'!AE75-'IS (Before Changes)'!AE75</f>
        <v>0</v>
      </c>
      <c r="AF75" s="33">
        <f>'IS (After Changes)'!AF75-'IS (Before Changes)'!AF75</f>
        <v>0</v>
      </c>
      <c r="AG75" s="26">
        <f>'IS (After Changes)'!AG75-'IS (Before Changes)'!AG75</f>
        <v>0</v>
      </c>
      <c r="AH75" s="95">
        <f>'IS (After Changes)'!AH75-'IS (Before Changes)'!AH75</f>
        <v>0</v>
      </c>
      <c r="AI75" s="33">
        <f>'IS (After Changes)'!AI75-'IS (Before Changes)'!AI75</f>
        <v>0</v>
      </c>
      <c r="AJ75" s="33">
        <f>'IS (After Changes)'!AJ75-'IS (Before Changes)'!AJ75</f>
        <v>0</v>
      </c>
      <c r="AK75" s="33">
        <f>'IS (After Changes)'!AK75-'IS (Before Changes)'!AK75</f>
        <v>0</v>
      </c>
      <c r="AL75" s="26">
        <f>'IS (After Changes)'!AL75-'IS (Before Changes)'!AL75</f>
        <v>0</v>
      </c>
      <c r="AM75" s="33">
        <f>'IS (After Changes)'!AM75-'IS (Before Changes)'!AM75</f>
        <v>0</v>
      </c>
      <c r="AN75" s="33">
        <f>'IS (After Changes)'!AN75-'IS (Before Changes)'!AN75</f>
        <v>0</v>
      </c>
      <c r="AO75" s="33">
        <f>'IS (After Changes)'!AO75-'IS (Before Changes)'!AO75</f>
        <v>0</v>
      </c>
      <c r="AP75" s="33">
        <f>'IS (After Changes)'!AP75-'IS (Before Changes)'!AP75</f>
        <v>0</v>
      </c>
      <c r="AQ75" s="26">
        <f>'IS (After Changes)'!AQ75-'IS (Before Changes)'!AQ75</f>
        <v>0</v>
      </c>
      <c r="AR75" s="33">
        <f>'IS (After Changes)'!AR75-'IS (Before Changes)'!AR75</f>
        <v>0</v>
      </c>
      <c r="AS75" s="33">
        <f>'IS (After Changes)'!AS75-'IS (Before Changes)'!AS75</f>
        <v>0</v>
      </c>
      <c r="AT75" s="33">
        <f>'IS (After Changes)'!AT75-'IS (Before Changes)'!AT75</f>
        <v>0</v>
      </c>
      <c r="AU75" s="33">
        <f>'IS (After Changes)'!AU75-'IS (Before Changes)'!AU75</f>
        <v>0</v>
      </c>
      <c r="AV75" s="26">
        <f>'IS (After Changes)'!AV75-'IS (Before Changes)'!AV75</f>
        <v>0</v>
      </c>
    </row>
    <row r="76" spans="2:48" outlineLevel="1" x14ac:dyDescent="0.3">
      <c r="B76" s="180" t="s">
        <v>201</v>
      </c>
      <c r="C76" s="201"/>
      <c r="D76" s="21">
        <f>'IS (After Changes)'!D76-'IS (Before Changes)'!D76</f>
        <v>0</v>
      </c>
      <c r="E76" s="101">
        <f>'IS (After Changes)'!E76-'IS (Before Changes)'!E76</f>
        <v>0</v>
      </c>
      <c r="F76" s="101">
        <f>'IS (After Changes)'!F76-'IS (Before Changes)'!F76</f>
        <v>0</v>
      </c>
      <c r="G76" s="101">
        <f>'IS (After Changes)'!G76-'IS (Before Changes)'!G76</f>
        <v>0</v>
      </c>
      <c r="H76" s="26">
        <f>'IS (After Changes)'!H76-'IS (Before Changes)'!H76</f>
        <v>0</v>
      </c>
      <c r="I76" s="101">
        <f>'IS (After Changes)'!I76-'IS (Before Changes)'!I76</f>
        <v>0</v>
      </c>
      <c r="J76" s="101">
        <f>'IS (After Changes)'!J76-'IS (Before Changes)'!J76</f>
        <v>0</v>
      </c>
      <c r="K76" s="101">
        <f>'IS (After Changes)'!K76-'IS (Before Changes)'!K76</f>
        <v>0</v>
      </c>
      <c r="L76" s="101">
        <f>'IS (After Changes)'!L76-'IS (Before Changes)'!L76</f>
        <v>0</v>
      </c>
      <c r="M76" s="26">
        <f>'IS (After Changes)'!M76-'IS (Before Changes)'!M76</f>
        <v>0</v>
      </c>
      <c r="N76" s="101">
        <f>'IS (After Changes)'!N76-'IS (Before Changes)'!N76</f>
        <v>0</v>
      </c>
      <c r="O76" s="101">
        <f>'IS (After Changes)'!O76-'IS (Before Changes)'!O76</f>
        <v>0</v>
      </c>
      <c r="P76" s="101">
        <f>'IS (After Changes)'!P76-'IS (Before Changes)'!P76</f>
        <v>0</v>
      </c>
      <c r="Q76" s="101">
        <f>'IS (After Changes)'!Q76-'IS (Before Changes)'!Q76</f>
        <v>0</v>
      </c>
      <c r="R76" s="26">
        <f>'IS (After Changes)'!R76-'IS (Before Changes)'!R76</f>
        <v>0</v>
      </c>
      <c r="S76" s="101">
        <f>'IS (After Changes)'!S76-'IS (Before Changes)'!S76</f>
        <v>0</v>
      </c>
      <c r="T76" s="101">
        <f>'IS (After Changes)'!T76-'IS (Before Changes)'!T76</f>
        <v>0</v>
      </c>
      <c r="U76" s="101">
        <f>'IS (After Changes)'!U76-'IS (Before Changes)'!U76</f>
        <v>0</v>
      </c>
      <c r="V76" s="101">
        <f>'IS (After Changes)'!V76-'IS (Before Changes)'!V76</f>
        <v>0</v>
      </c>
      <c r="W76" s="122">
        <f>'IS (After Changes)'!W76-'IS (Before Changes)'!W76</f>
        <v>0</v>
      </c>
      <c r="X76" s="101">
        <f>'IS (After Changes)'!X76-'IS (Before Changes)'!X76</f>
        <v>0</v>
      </c>
      <c r="Y76" s="101">
        <f>'IS (After Changes)'!Y76-'IS (Before Changes)'!Y76</f>
        <v>0</v>
      </c>
      <c r="Z76" s="101">
        <f>'IS (After Changes)'!Z76-'IS (Before Changes)'!Z76</f>
        <v>0</v>
      </c>
      <c r="AA76" s="101">
        <f>'IS (After Changes)'!AA76-'IS (Before Changes)'!AA76</f>
        <v>0</v>
      </c>
      <c r="AB76" s="26">
        <f>'IS (After Changes)'!AB76-'IS (Before Changes)'!AB76</f>
        <v>0</v>
      </c>
      <c r="AC76" s="101">
        <f>'IS (After Changes)'!AC76-'IS (Before Changes)'!AC76</f>
        <v>0</v>
      </c>
      <c r="AD76" s="101">
        <f>'IS (After Changes)'!AD76-'IS (Before Changes)'!AD76</f>
        <v>0</v>
      </c>
      <c r="AE76" s="101">
        <f>'IS (After Changes)'!AE76-'IS (Before Changes)'!AE76</f>
        <v>0</v>
      </c>
      <c r="AF76" s="101">
        <f>'IS (After Changes)'!AF76-'IS (Before Changes)'!AF76</f>
        <v>0</v>
      </c>
      <c r="AG76" s="26">
        <f>'IS (After Changes)'!AG76-'IS (Before Changes)'!AG76</f>
        <v>0</v>
      </c>
      <c r="AH76" s="101">
        <f>'IS (After Changes)'!AH76-'IS (Before Changes)'!AH76</f>
        <v>0</v>
      </c>
      <c r="AI76" s="101">
        <f>'IS (After Changes)'!AI76-'IS (Before Changes)'!AI76</f>
        <v>0</v>
      </c>
      <c r="AJ76" s="101">
        <f>'IS (After Changes)'!AJ76-'IS (Before Changes)'!AJ76</f>
        <v>0</v>
      </c>
      <c r="AK76" s="101">
        <f>'IS (After Changes)'!AK76-'IS (Before Changes)'!AK76</f>
        <v>0</v>
      </c>
      <c r="AL76" s="26">
        <f>'IS (After Changes)'!AL76-'IS (Before Changes)'!AL76</f>
        <v>0</v>
      </c>
      <c r="AM76" s="101">
        <f>'IS (After Changes)'!AM76-'IS (Before Changes)'!AM76</f>
        <v>0</v>
      </c>
      <c r="AN76" s="101">
        <f>'IS (After Changes)'!AN76-'IS (Before Changes)'!AN76</f>
        <v>0</v>
      </c>
      <c r="AO76" s="101">
        <f>'IS (After Changes)'!AO76-'IS (Before Changes)'!AO76</f>
        <v>0</v>
      </c>
      <c r="AP76" s="101">
        <f>'IS (After Changes)'!AP76-'IS (Before Changes)'!AP76</f>
        <v>0</v>
      </c>
      <c r="AQ76" s="26">
        <f>'IS (After Changes)'!AQ76-'IS (Before Changes)'!AQ76</f>
        <v>0</v>
      </c>
      <c r="AR76" s="101">
        <f>'IS (After Changes)'!AR76-'IS (Before Changes)'!AR76</f>
        <v>0</v>
      </c>
      <c r="AS76" s="101">
        <f>'IS (After Changes)'!AS76-'IS (Before Changes)'!AS76</f>
        <v>0</v>
      </c>
      <c r="AT76" s="101">
        <f>'IS (After Changes)'!AT76-'IS (Before Changes)'!AT76</f>
        <v>0</v>
      </c>
      <c r="AU76" s="101">
        <f>'IS (After Changes)'!AU76-'IS (Before Changes)'!AU76</f>
        <v>0</v>
      </c>
      <c r="AV76" s="26">
        <f>'IS (After Changes)'!AV76-'IS (Before Changes)'!AV76</f>
        <v>0</v>
      </c>
    </row>
    <row r="77" spans="2:48" s="20" customFormat="1" outlineLevel="1" x14ac:dyDescent="0.3">
      <c r="B77" s="180" t="s">
        <v>206</v>
      </c>
      <c r="C77" s="206"/>
      <c r="D77" s="21">
        <f>'IS (After Changes)'!D77-'IS (Before Changes)'!D77</f>
        <v>0</v>
      </c>
      <c r="E77" s="43">
        <f>'IS (After Changes)'!E77-'IS (Before Changes)'!E77</f>
        <v>0</v>
      </c>
      <c r="F77" s="114">
        <f>'IS (After Changes)'!F77-'IS (Before Changes)'!F77</f>
        <v>0</v>
      </c>
      <c r="G77" s="43">
        <f>'IS (After Changes)'!G77-'IS (Before Changes)'!G77</f>
        <v>0</v>
      </c>
      <c r="H77" s="97">
        <f>'IS (After Changes)'!H77-'IS (Before Changes)'!H77</f>
        <v>0</v>
      </c>
      <c r="I77" s="43">
        <f>'IS (After Changes)'!I77-'IS (Before Changes)'!I77</f>
        <v>0</v>
      </c>
      <c r="J77" s="43">
        <f>'IS (After Changes)'!J77-'IS (Before Changes)'!J77</f>
        <v>0</v>
      </c>
      <c r="K77" s="43">
        <f>'IS (After Changes)'!K77-'IS (Before Changes)'!K77</f>
        <v>0</v>
      </c>
      <c r="L77" s="43">
        <f>'IS (After Changes)'!L77-'IS (Before Changes)'!L77</f>
        <v>0</v>
      </c>
      <c r="M77" s="97">
        <f>'IS (After Changes)'!M77-'IS (Before Changes)'!M77</f>
        <v>0</v>
      </c>
      <c r="N77" s="43">
        <f>'IS (After Changes)'!N77-'IS (Before Changes)'!N77</f>
        <v>0</v>
      </c>
      <c r="O77" s="43">
        <f>'IS (After Changes)'!O77-'IS (Before Changes)'!O77</f>
        <v>0</v>
      </c>
      <c r="P77" s="43">
        <f>'IS (After Changes)'!P77-'IS (Before Changes)'!P77</f>
        <v>0</v>
      </c>
      <c r="Q77" s="43">
        <f>'IS (After Changes)'!Q77-'IS (Before Changes)'!Q77</f>
        <v>0</v>
      </c>
      <c r="R77" s="97">
        <f>'IS (After Changes)'!R77-'IS (Before Changes)'!R77</f>
        <v>0</v>
      </c>
      <c r="S77" s="43">
        <f>'IS (After Changes)'!S77-'IS (Before Changes)'!S77</f>
        <v>0</v>
      </c>
      <c r="T77" s="43">
        <f>'IS (After Changes)'!T77-'IS (Before Changes)'!T77</f>
        <v>0</v>
      </c>
      <c r="U77" s="43">
        <f>'IS (After Changes)'!U77-'IS (Before Changes)'!U77</f>
        <v>0</v>
      </c>
      <c r="V77" s="43">
        <f>'IS (After Changes)'!V77-'IS (Before Changes)'!V77</f>
        <v>0</v>
      </c>
      <c r="W77" s="132">
        <f>'IS (After Changes)'!W77-'IS (Before Changes)'!W77</f>
        <v>0</v>
      </c>
      <c r="X77" s="62">
        <f>'IS (After Changes)'!X77-'IS (Before Changes)'!X77</f>
        <v>0</v>
      </c>
      <c r="Y77" s="62">
        <f>'IS (After Changes)'!Y77-'IS (Before Changes)'!Y77</f>
        <v>0</v>
      </c>
      <c r="Z77" s="62">
        <f>'IS (After Changes)'!Z77-'IS (Before Changes)'!Z77</f>
        <v>0</v>
      </c>
      <c r="AA77" s="62">
        <f>'IS (After Changes)'!AA77-'IS (Before Changes)'!AA77</f>
        <v>0</v>
      </c>
      <c r="AB77" s="97">
        <f>'IS (After Changes)'!AB77-'IS (Before Changes)'!AB77</f>
        <v>0</v>
      </c>
      <c r="AC77" s="62">
        <f>'IS (After Changes)'!AC77-'IS (Before Changes)'!AC77</f>
        <v>0</v>
      </c>
      <c r="AD77" s="62">
        <f>'IS (After Changes)'!AD77-'IS (Before Changes)'!AD77</f>
        <v>0</v>
      </c>
      <c r="AE77" s="62">
        <f>'IS (After Changes)'!AE77-'IS (Before Changes)'!AE77</f>
        <v>0</v>
      </c>
      <c r="AF77" s="62">
        <f>'IS (After Changes)'!AF77-'IS (Before Changes)'!AF77</f>
        <v>0</v>
      </c>
      <c r="AG77" s="97">
        <f>'IS (After Changes)'!AG77-'IS (Before Changes)'!AG77</f>
        <v>0</v>
      </c>
      <c r="AH77" s="62">
        <f>'IS (After Changes)'!AH77-'IS (Before Changes)'!AH77</f>
        <v>0</v>
      </c>
      <c r="AI77" s="62">
        <f>'IS (After Changes)'!AI77-'IS (Before Changes)'!AI77</f>
        <v>0</v>
      </c>
      <c r="AJ77" s="62">
        <f>'IS (After Changes)'!AJ77-'IS (Before Changes)'!AJ77</f>
        <v>0</v>
      </c>
      <c r="AK77" s="62">
        <f>'IS (After Changes)'!AK77-'IS (Before Changes)'!AK77</f>
        <v>0</v>
      </c>
      <c r="AL77" s="97">
        <f>'IS (After Changes)'!AL77-'IS (Before Changes)'!AL77</f>
        <v>0</v>
      </c>
      <c r="AM77" s="62">
        <f>'IS (After Changes)'!AM77-'IS (Before Changes)'!AM77</f>
        <v>0</v>
      </c>
      <c r="AN77" s="62">
        <f>'IS (After Changes)'!AN77-'IS (Before Changes)'!AN77</f>
        <v>0</v>
      </c>
      <c r="AO77" s="62">
        <f>'IS (After Changes)'!AO77-'IS (Before Changes)'!AO77</f>
        <v>0</v>
      </c>
      <c r="AP77" s="62">
        <f>'IS (After Changes)'!AP77-'IS (Before Changes)'!AP77</f>
        <v>0</v>
      </c>
      <c r="AQ77" s="97">
        <f>'IS (After Changes)'!AQ77-'IS (Before Changes)'!AQ77</f>
        <v>0</v>
      </c>
      <c r="AR77" s="62">
        <f>'IS (After Changes)'!AR77-'IS (Before Changes)'!AR77</f>
        <v>0</v>
      </c>
      <c r="AS77" s="62">
        <f>'IS (After Changes)'!AS77-'IS (Before Changes)'!AS77</f>
        <v>0</v>
      </c>
      <c r="AT77" s="62">
        <f>'IS (After Changes)'!AT77-'IS (Before Changes)'!AT77</f>
        <v>0</v>
      </c>
      <c r="AU77" s="62">
        <f>'IS (After Changes)'!AU77-'IS (Before Changes)'!AU77</f>
        <v>0</v>
      </c>
      <c r="AV77" s="97">
        <f>'IS (After Changes)'!AV77-'IS (Before Changes)'!AV77</f>
        <v>0</v>
      </c>
    </row>
    <row r="78" spans="2:48" s="8" customFormat="1" outlineLevel="1" x14ac:dyDescent="0.3">
      <c r="B78" s="500" t="s">
        <v>116</v>
      </c>
      <c r="C78" s="501"/>
      <c r="D78" s="21">
        <f>'IS (After Changes)'!D78-'IS (Before Changes)'!D78</f>
        <v>0</v>
      </c>
      <c r="E78" s="50">
        <f>'IS (After Changes)'!E78-'IS (Before Changes)'!E78</f>
        <v>0</v>
      </c>
      <c r="F78" s="103">
        <f>'IS (After Changes)'!F78-'IS (Before Changes)'!F78</f>
        <v>0</v>
      </c>
      <c r="G78" s="50">
        <f>'IS (After Changes)'!G78-'IS (Before Changes)'!G78</f>
        <v>0</v>
      </c>
      <c r="H78" s="97">
        <f>'IS (After Changes)'!H78-'IS (Before Changes)'!H78</f>
        <v>0</v>
      </c>
      <c r="I78" s="50">
        <f>'IS (After Changes)'!I78-'IS (Before Changes)'!I78</f>
        <v>0</v>
      </c>
      <c r="J78" s="50">
        <f>'IS (After Changes)'!J78-'IS (Before Changes)'!J78</f>
        <v>0</v>
      </c>
      <c r="K78" s="103">
        <f>'IS (After Changes)'!K78-'IS (Before Changes)'!K78</f>
        <v>0</v>
      </c>
      <c r="L78" s="50">
        <f>'IS (After Changes)'!L78-'IS (Before Changes)'!L78</f>
        <v>0</v>
      </c>
      <c r="M78" s="97">
        <f>'IS (After Changes)'!M78-'IS (Before Changes)'!M78</f>
        <v>0</v>
      </c>
      <c r="N78" s="50">
        <f>'IS (After Changes)'!N78-'IS (Before Changes)'!N78</f>
        <v>0</v>
      </c>
      <c r="O78" s="50">
        <f>'IS (After Changes)'!O78-'IS (Before Changes)'!O78</f>
        <v>0</v>
      </c>
      <c r="P78" s="50">
        <f>'IS (After Changes)'!P78-'IS (Before Changes)'!P78</f>
        <v>0</v>
      </c>
      <c r="Q78" s="103">
        <f>'IS (After Changes)'!Q78-'IS (Before Changes)'!Q78</f>
        <v>0</v>
      </c>
      <c r="R78" s="97">
        <f>'IS (After Changes)'!R78-'IS (Before Changes)'!R78</f>
        <v>0</v>
      </c>
      <c r="S78" s="50">
        <f>'IS (After Changes)'!S78-'IS (Before Changes)'!S78</f>
        <v>0</v>
      </c>
      <c r="T78" s="50">
        <f>'IS (After Changes)'!T78-'IS (Before Changes)'!T78</f>
        <v>0</v>
      </c>
      <c r="U78" s="50">
        <f>'IS (After Changes)'!U78-'IS (Before Changes)'!U78</f>
        <v>0</v>
      </c>
      <c r="V78" s="50">
        <f>'IS (After Changes)'!V78-'IS (Before Changes)'!V78</f>
        <v>0</v>
      </c>
      <c r="W78" s="132">
        <f>'IS (After Changes)'!W78-'IS (Before Changes)'!W78</f>
        <v>0</v>
      </c>
      <c r="X78" s="50">
        <f>'IS (After Changes)'!X78-'IS (Before Changes)'!X78</f>
        <v>0</v>
      </c>
      <c r="Y78" s="50">
        <f>'IS (After Changes)'!Y78-'IS (Before Changes)'!Y78</f>
        <v>0</v>
      </c>
      <c r="Z78" s="50">
        <f>'IS (After Changes)'!Z78-'IS (Before Changes)'!Z78</f>
        <v>0</v>
      </c>
      <c r="AA78" s="50">
        <f>'IS (After Changes)'!AA78-'IS (Before Changes)'!AA78</f>
        <v>0</v>
      </c>
      <c r="AB78" s="97">
        <f>'IS (After Changes)'!AB78-'IS (Before Changes)'!AB78</f>
        <v>0</v>
      </c>
      <c r="AC78" s="50">
        <f>'IS (After Changes)'!AC78-'IS (Before Changes)'!AC78</f>
        <v>0</v>
      </c>
      <c r="AD78" s="50">
        <f>'IS (After Changes)'!AD78-'IS (Before Changes)'!AD78</f>
        <v>0</v>
      </c>
      <c r="AE78" s="50">
        <f>'IS (After Changes)'!AE78-'IS (Before Changes)'!AE78</f>
        <v>0</v>
      </c>
      <c r="AF78" s="50">
        <f>'IS (After Changes)'!AF78-'IS (Before Changes)'!AF78</f>
        <v>0</v>
      </c>
      <c r="AG78" s="97">
        <f>'IS (After Changes)'!AG78-'IS (Before Changes)'!AG78</f>
        <v>0</v>
      </c>
      <c r="AH78" s="50">
        <f>'IS (After Changes)'!AH78-'IS (Before Changes)'!AH78</f>
        <v>0</v>
      </c>
      <c r="AI78" s="50">
        <f>'IS (After Changes)'!AI78-'IS (Before Changes)'!AI78</f>
        <v>0</v>
      </c>
      <c r="AJ78" s="50">
        <f>'IS (After Changes)'!AJ78-'IS (Before Changes)'!AJ78</f>
        <v>0</v>
      </c>
      <c r="AK78" s="50">
        <f>'IS (After Changes)'!AK78-'IS (Before Changes)'!AK78</f>
        <v>0</v>
      </c>
      <c r="AL78" s="97">
        <f>'IS (After Changes)'!AL78-'IS (Before Changes)'!AL78</f>
        <v>0</v>
      </c>
      <c r="AM78" s="50">
        <f>'IS (After Changes)'!AM78-'IS (Before Changes)'!AM78</f>
        <v>0</v>
      </c>
      <c r="AN78" s="50">
        <f>'IS (After Changes)'!AN78-'IS (Before Changes)'!AN78</f>
        <v>0</v>
      </c>
      <c r="AO78" s="50">
        <f>'IS (After Changes)'!AO78-'IS (Before Changes)'!AO78</f>
        <v>0</v>
      </c>
      <c r="AP78" s="50">
        <f>'IS (After Changes)'!AP78-'IS (Before Changes)'!AP78</f>
        <v>0</v>
      </c>
      <c r="AQ78" s="97">
        <f>'IS (After Changes)'!AQ78-'IS (Before Changes)'!AQ78</f>
        <v>0</v>
      </c>
      <c r="AR78" s="50">
        <f>'IS (After Changes)'!AR78-'IS (Before Changes)'!AR78</f>
        <v>0</v>
      </c>
      <c r="AS78" s="50">
        <f>'IS (After Changes)'!AS78-'IS (Before Changes)'!AS78</f>
        <v>0</v>
      </c>
      <c r="AT78" s="50">
        <f>'IS (After Changes)'!AT78-'IS (Before Changes)'!AT78</f>
        <v>0</v>
      </c>
      <c r="AU78" s="50">
        <f>'IS (After Changes)'!AU78-'IS (Before Changes)'!AU78</f>
        <v>0</v>
      </c>
      <c r="AV78" s="97">
        <f>'IS (After Changes)'!AV78-'IS (Before Changes)'!AV78</f>
        <v>0</v>
      </c>
    </row>
    <row r="79" spans="2:48" s="8" customFormat="1" outlineLevel="1" x14ac:dyDescent="0.3">
      <c r="B79" s="38" t="s">
        <v>200</v>
      </c>
      <c r="C79" s="206"/>
      <c r="D79" s="21">
        <f>'IS (After Changes)'!D79-'IS (Before Changes)'!D79</f>
        <v>0</v>
      </c>
      <c r="E79" s="43">
        <f>'IS (After Changes)'!E79-'IS (Before Changes)'!E79</f>
        <v>0</v>
      </c>
      <c r="F79" s="43">
        <f>'IS (After Changes)'!F79-'IS (Before Changes)'!F79</f>
        <v>0</v>
      </c>
      <c r="G79" s="43">
        <f>'IS (After Changes)'!G79-'IS (Before Changes)'!G79</f>
        <v>0</v>
      </c>
      <c r="H79" s="97">
        <f>'IS (After Changes)'!H79-'IS (Before Changes)'!H79</f>
        <v>0</v>
      </c>
      <c r="I79" s="27">
        <f>'IS (After Changes)'!I79-'IS (Before Changes)'!I79</f>
        <v>0</v>
      </c>
      <c r="J79" s="27">
        <f>'IS (After Changes)'!J79-'IS (Before Changes)'!J79</f>
        <v>0</v>
      </c>
      <c r="K79" s="27">
        <f>'IS (After Changes)'!K79-'IS (Before Changes)'!K79</f>
        <v>0</v>
      </c>
      <c r="L79" s="27">
        <f>'IS (After Changes)'!L79-'IS (Before Changes)'!L79</f>
        <v>0</v>
      </c>
      <c r="M79" s="97">
        <f>'IS (After Changes)'!M79-'IS (Before Changes)'!M79</f>
        <v>0</v>
      </c>
      <c r="N79" s="27">
        <f>'IS (After Changes)'!N79-'IS (Before Changes)'!N79</f>
        <v>0</v>
      </c>
      <c r="O79" s="27">
        <f>'IS (After Changes)'!O79-'IS (Before Changes)'!O79</f>
        <v>0</v>
      </c>
      <c r="P79" s="27">
        <f>'IS (After Changes)'!P79-'IS (Before Changes)'!P79</f>
        <v>0</v>
      </c>
      <c r="Q79" s="27">
        <f>'IS (After Changes)'!Q79-'IS (Before Changes)'!Q79</f>
        <v>0</v>
      </c>
      <c r="R79" s="97">
        <f>'IS (After Changes)'!R79-'IS (Before Changes)'!R79</f>
        <v>0</v>
      </c>
      <c r="S79" s="27">
        <f>'IS (After Changes)'!S79-'IS (Before Changes)'!S79</f>
        <v>0</v>
      </c>
      <c r="T79" s="27">
        <f>'IS (After Changes)'!T79-'IS (Before Changes)'!T79</f>
        <v>0</v>
      </c>
      <c r="U79" s="27">
        <f>'IS (After Changes)'!U79-'IS (Before Changes)'!U79</f>
        <v>0</v>
      </c>
      <c r="V79" s="27">
        <f>'IS (After Changes)'!V79-'IS (Before Changes)'!V79</f>
        <v>0</v>
      </c>
      <c r="W79" s="375">
        <f>'IS (After Changes)'!W79-'IS (Before Changes)'!W79</f>
        <v>0</v>
      </c>
      <c r="X79" s="27">
        <f>'IS (After Changes)'!X79-'IS (Before Changes)'!X79</f>
        <v>0</v>
      </c>
      <c r="Y79" s="27">
        <f>'IS (After Changes)'!Y79-'IS (Before Changes)'!Y79</f>
        <v>0</v>
      </c>
      <c r="Z79" s="27">
        <f>'IS (After Changes)'!Z79-'IS (Before Changes)'!Z79</f>
        <v>0</v>
      </c>
      <c r="AA79" s="27">
        <f>'IS (After Changes)'!AA79-'IS (Before Changes)'!AA79</f>
        <v>0</v>
      </c>
      <c r="AB79" s="375">
        <f>'IS (After Changes)'!AB79-'IS (Before Changes)'!AB79</f>
        <v>0</v>
      </c>
      <c r="AC79" s="27">
        <f>'IS (After Changes)'!AC79-'IS (Before Changes)'!AC79</f>
        <v>0</v>
      </c>
      <c r="AD79" s="27">
        <f>'IS (After Changes)'!AD79-'IS (Before Changes)'!AD79</f>
        <v>0</v>
      </c>
      <c r="AE79" s="27">
        <f>'IS (After Changes)'!AE79-'IS (Before Changes)'!AE79</f>
        <v>0</v>
      </c>
      <c r="AF79" s="27">
        <f>'IS (After Changes)'!AF79-'IS (Before Changes)'!AF79</f>
        <v>0</v>
      </c>
      <c r="AG79" s="375">
        <f>'IS (After Changes)'!AG79-'IS (Before Changes)'!AG79</f>
        <v>0</v>
      </c>
      <c r="AH79" s="27">
        <f>'IS (After Changes)'!AH79-'IS (Before Changes)'!AH79</f>
        <v>0</v>
      </c>
      <c r="AI79" s="27">
        <f>'IS (After Changes)'!AI79-'IS (Before Changes)'!AI79</f>
        <v>0</v>
      </c>
      <c r="AJ79" s="27">
        <f>'IS (After Changes)'!AJ79-'IS (Before Changes)'!AJ79</f>
        <v>0</v>
      </c>
      <c r="AK79" s="27">
        <f>'IS (After Changes)'!AK79-'IS (Before Changes)'!AK79</f>
        <v>0</v>
      </c>
      <c r="AL79" s="375">
        <f>'IS (After Changes)'!AL79-'IS (Before Changes)'!AL79</f>
        <v>0</v>
      </c>
      <c r="AM79" s="27">
        <f>'IS (After Changes)'!AM79-'IS (Before Changes)'!AM79</f>
        <v>0</v>
      </c>
      <c r="AN79" s="27">
        <f>'IS (After Changes)'!AN79-'IS (Before Changes)'!AN79</f>
        <v>0</v>
      </c>
      <c r="AO79" s="27">
        <f>'IS (After Changes)'!AO79-'IS (Before Changes)'!AO79</f>
        <v>0</v>
      </c>
      <c r="AP79" s="27">
        <f>'IS (After Changes)'!AP79-'IS (Before Changes)'!AP79</f>
        <v>0</v>
      </c>
      <c r="AQ79" s="97">
        <f>'IS (After Changes)'!AQ79-'IS (Before Changes)'!AQ79</f>
        <v>0</v>
      </c>
      <c r="AR79" s="27">
        <f>'IS (After Changes)'!AR79-'IS (Before Changes)'!AR79</f>
        <v>0</v>
      </c>
      <c r="AS79" s="27">
        <f>'IS (After Changes)'!AS79-'IS (Before Changes)'!AS79</f>
        <v>0</v>
      </c>
      <c r="AT79" s="27">
        <f>'IS (After Changes)'!AT79-'IS (Before Changes)'!AT79</f>
        <v>0</v>
      </c>
      <c r="AU79" s="27">
        <f>'IS (After Changes)'!AU79-'IS (Before Changes)'!AU79</f>
        <v>0</v>
      </c>
      <c r="AV79" s="97">
        <f>'IS (After Changes)'!AV79-'IS (Before Changes)'!AV79</f>
        <v>0</v>
      </c>
    </row>
    <row r="80" spans="2:48" outlineLevel="1" x14ac:dyDescent="0.3">
      <c r="B80" s="236" t="s">
        <v>44</v>
      </c>
      <c r="C80" s="221"/>
      <c r="D80" s="21">
        <f>'IS (After Changes)'!D80-'IS (Before Changes)'!D80</f>
        <v>0</v>
      </c>
      <c r="E80" s="222">
        <f>'IS (After Changes)'!E80-'IS (Before Changes)'!E80</f>
        <v>0</v>
      </c>
      <c r="F80" s="222">
        <f>'IS (After Changes)'!F80-'IS (Before Changes)'!F80</f>
        <v>0</v>
      </c>
      <c r="G80" s="222">
        <f>'IS (After Changes)'!G80-'IS (Before Changes)'!G80</f>
        <v>0</v>
      </c>
      <c r="H80" s="223">
        <f>'IS (After Changes)'!H80-'IS (Before Changes)'!H80</f>
        <v>0</v>
      </c>
      <c r="I80" s="222">
        <f>'IS (After Changes)'!I80-'IS (Before Changes)'!I80</f>
        <v>0</v>
      </c>
      <c r="J80" s="222">
        <f>'IS (After Changes)'!J80-'IS (Before Changes)'!J80</f>
        <v>0</v>
      </c>
      <c r="K80" s="222">
        <f>'IS (After Changes)'!K80-'IS (Before Changes)'!K80</f>
        <v>0</v>
      </c>
      <c r="L80" s="224">
        <f>'IS (After Changes)'!L80-'IS (Before Changes)'!L80</f>
        <v>0</v>
      </c>
      <c r="M80" s="223">
        <f>'IS (After Changes)'!M80-'IS (Before Changes)'!M80</f>
        <v>0</v>
      </c>
      <c r="N80" s="222">
        <f>'IS (After Changes)'!N80-'IS (Before Changes)'!N80</f>
        <v>0</v>
      </c>
      <c r="O80" s="222">
        <f>'IS (After Changes)'!O80-'IS (Before Changes)'!O80</f>
        <v>0</v>
      </c>
      <c r="P80" s="222">
        <f>'IS (After Changes)'!P80-'IS (Before Changes)'!P80</f>
        <v>0</v>
      </c>
      <c r="Q80" s="222">
        <f>'IS (After Changes)'!Q80-'IS (Before Changes)'!Q80</f>
        <v>0</v>
      </c>
      <c r="R80" s="225">
        <f>'IS (After Changes)'!R80-'IS (Before Changes)'!R80</f>
        <v>0</v>
      </c>
      <c r="S80" s="224">
        <f>'IS (After Changes)'!S80-'IS (Before Changes)'!S80</f>
        <v>0</v>
      </c>
      <c r="T80" s="224">
        <f>'IS (After Changes)'!T80-'IS (Before Changes)'!T80</f>
        <v>0</v>
      </c>
      <c r="U80" s="224">
        <f>'IS (After Changes)'!U80-'IS (Before Changes)'!U80</f>
        <v>0</v>
      </c>
      <c r="V80" s="224">
        <f>'IS (After Changes)'!V80-'IS (Before Changes)'!V80</f>
        <v>0</v>
      </c>
      <c r="W80" s="223">
        <f>'IS (After Changes)'!W80-'IS (Before Changes)'!W80</f>
        <v>0</v>
      </c>
      <c r="X80" s="224">
        <f>'IS (After Changes)'!X80-'IS (Before Changes)'!X80</f>
        <v>0</v>
      </c>
      <c r="Y80" s="224">
        <f>'IS (After Changes)'!Y80-'IS (Before Changes)'!Y80</f>
        <v>0</v>
      </c>
      <c r="Z80" s="224">
        <f>'IS (After Changes)'!Z80-'IS (Before Changes)'!Z80</f>
        <v>0</v>
      </c>
      <c r="AA80" s="224">
        <f>'IS (After Changes)'!AA80-'IS (Before Changes)'!AA80</f>
        <v>0</v>
      </c>
      <c r="AB80" s="225">
        <f>'IS (After Changes)'!AB80-'IS (Before Changes)'!AB80</f>
        <v>0</v>
      </c>
      <c r="AC80" s="224">
        <f>'IS (After Changes)'!AC80-'IS (Before Changes)'!AC80</f>
        <v>0</v>
      </c>
      <c r="AD80" s="224">
        <f>'IS (After Changes)'!AD80-'IS (Before Changes)'!AD80</f>
        <v>0</v>
      </c>
      <c r="AE80" s="224">
        <f>'IS (After Changes)'!AE80-'IS (Before Changes)'!AE80</f>
        <v>0</v>
      </c>
      <c r="AF80" s="224">
        <f>'IS (After Changes)'!AF80-'IS (Before Changes)'!AF80</f>
        <v>0</v>
      </c>
      <c r="AG80" s="225">
        <f>'IS (After Changes)'!AG80-'IS (Before Changes)'!AG80</f>
        <v>0</v>
      </c>
      <c r="AH80" s="224">
        <f>'IS (After Changes)'!AH80-'IS (Before Changes)'!AH80</f>
        <v>0</v>
      </c>
      <c r="AI80" s="224">
        <f>'IS (After Changes)'!AI80-'IS (Before Changes)'!AI80</f>
        <v>0</v>
      </c>
      <c r="AJ80" s="224">
        <f>'IS (After Changes)'!AJ80-'IS (Before Changes)'!AJ80</f>
        <v>0</v>
      </c>
      <c r="AK80" s="224">
        <f>'IS (After Changes)'!AK80-'IS (Before Changes)'!AK80</f>
        <v>0</v>
      </c>
      <c r="AL80" s="225">
        <f>'IS (After Changes)'!AL80-'IS (Before Changes)'!AL80</f>
        <v>0</v>
      </c>
      <c r="AM80" s="224">
        <f>'IS (After Changes)'!AM80-'IS (Before Changes)'!AM80</f>
        <v>0</v>
      </c>
      <c r="AN80" s="224">
        <f>'IS (After Changes)'!AN80-'IS (Before Changes)'!AN80</f>
        <v>0</v>
      </c>
      <c r="AO80" s="224">
        <f>'IS (After Changes)'!AO80-'IS (Before Changes)'!AO80</f>
        <v>0</v>
      </c>
      <c r="AP80" s="224">
        <f>'IS (After Changes)'!AP80-'IS (Before Changes)'!AP80</f>
        <v>0</v>
      </c>
      <c r="AQ80" s="225">
        <f>'IS (After Changes)'!AQ80-'IS (Before Changes)'!AQ80</f>
        <v>0</v>
      </c>
      <c r="AR80" s="224">
        <f>'IS (After Changes)'!AR80-'IS (Before Changes)'!AR80</f>
        <v>0</v>
      </c>
      <c r="AS80" s="224">
        <f>'IS (After Changes)'!AS80-'IS (Before Changes)'!AS80</f>
        <v>0</v>
      </c>
      <c r="AT80" s="224">
        <f>'IS (After Changes)'!AT80-'IS (Before Changes)'!AT80</f>
        <v>0</v>
      </c>
      <c r="AU80" s="224">
        <f>'IS (After Changes)'!AU80-'IS (Before Changes)'!AU80</f>
        <v>0</v>
      </c>
      <c r="AV80" s="225">
        <f>'IS (After Changes)'!AV80-'IS (Before Changes)'!AV80</f>
        <v>0</v>
      </c>
    </row>
    <row r="81" spans="1:48" outlineLevel="1" x14ac:dyDescent="0.3">
      <c r="B81" s="180" t="s">
        <v>43</v>
      </c>
      <c r="C81" s="207"/>
      <c r="D81" s="21">
        <f>'IS (After Changes)'!D81-'IS (Before Changes)'!D81</f>
        <v>0</v>
      </c>
      <c r="E81" s="151">
        <f>'IS (After Changes)'!E81-'IS (Before Changes)'!E81</f>
        <v>0</v>
      </c>
      <c r="F81" s="151">
        <f>'IS (After Changes)'!F81-'IS (Before Changes)'!F81</f>
        <v>0</v>
      </c>
      <c r="G81" s="151">
        <f>'IS (After Changes)'!G81-'IS (Before Changes)'!G81</f>
        <v>0</v>
      </c>
      <c r="H81" s="60">
        <f>'IS (After Changes)'!H81-'IS (Before Changes)'!H81</f>
        <v>0</v>
      </c>
      <c r="I81" s="151">
        <f>'IS (After Changes)'!I81-'IS (Before Changes)'!I81</f>
        <v>0</v>
      </c>
      <c r="J81" s="151">
        <f>'IS (After Changes)'!J81-'IS (Before Changes)'!J81</f>
        <v>0</v>
      </c>
      <c r="K81" s="151">
        <f>'IS (After Changes)'!K81-'IS (Before Changes)'!K81</f>
        <v>0</v>
      </c>
      <c r="L81" s="59">
        <f>'IS (After Changes)'!L81-'IS (Before Changes)'!L81</f>
        <v>0</v>
      </c>
      <c r="M81" s="60">
        <f>'IS (After Changes)'!M81-'IS (Before Changes)'!M81</f>
        <v>0</v>
      </c>
      <c r="N81" s="151">
        <f>'IS (After Changes)'!N81-'IS (Before Changes)'!N81</f>
        <v>0</v>
      </c>
      <c r="O81" s="59">
        <f>'IS (After Changes)'!O81-'IS (Before Changes)'!O81</f>
        <v>0</v>
      </c>
      <c r="P81" s="59">
        <f>'IS (After Changes)'!P81-'IS (Before Changes)'!P81</f>
        <v>0</v>
      </c>
      <c r="Q81" s="151">
        <f>'IS (After Changes)'!Q81-'IS (Before Changes)'!Q81</f>
        <v>0</v>
      </c>
      <c r="R81" s="60">
        <f>'IS (After Changes)'!R81-'IS (Before Changes)'!R81</f>
        <v>0</v>
      </c>
      <c r="S81" s="59">
        <f>'IS (After Changes)'!S81-'IS (Before Changes)'!S81</f>
        <v>0</v>
      </c>
      <c r="T81" s="59">
        <f>'IS (After Changes)'!T81-'IS (Before Changes)'!T81</f>
        <v>0</v>
      </c>
      <c r="U81" s="59">
        <f>'IS (After Changes)'!U81-'IS (Before Changes)'!U81</f>
        <v>0</v>
      </c>
      <c r="V81" s="59">
        <f>'IS (After Changes)'!V81-'IS (Before Changes)'!V81</f>
        <v>0</v>
      </c>
      <c r="W81" s="148">
        <f>'IS (After Changes)'!W81-'IS (Before Changes)'!W81</f>
        <v>0</v>
      </c>
      <c r="X81" s="59">
        <f>'IS (After Changes)'!X81-'IS (Before Changes)'!X81</f>
        <v>0</v>
      </c>
      <c r="Y81" s="59">
        <f>'IS (After Changes)'!Y81-'IS (Before Changes)'!Y81</f>
        <v>0</v>
      </c>
      <c r="Z81" s="59">
        <f>'IS (After Changes)'!Z81-'IS (Before Changes)'!Z81</f>
        <v>0</v>
      </c>
      <c r="AA81" s="59">
        <f>'IS (After Changes)'!AA81-'IS (Before Changes)'!AA81</f>
        <v>0</v>
      </c>
      <c r="AB81" s="60">
        <f>'IS (After Changes)'!AB81-'IS (Before Changes)'!AB81</f>
        <v>0</v>
      </c>
      <c r="AC81" s="59">
        <f>'IS (After Changes)'!AC81-'IS (Before Changes)'!AC81</f>
        <v>0</v>
      </c>
      <c r="AD81" s="59">
        <f>'IS (After Changes)'!AD81-'IS (Before Changes)'!AD81</f>
        <v>0</v>
      </c>
      <c r="AE81" s="59">
        <f>'IS (After Changes)'!AE81-'IS (Before Changes)'!AE81</f>
        <v>0</v>
      </c>
      <c r="AF81" s="59">
        <f>'IS (After Changes)'!AF81-'IS (Before Changes)'!AF81</f>
        <v>0</v>
      </c>
      <c r="AG81" s="60">
        <f>'IS (After Changes)'!AG81-'IS (Before Changes)'!AG81</f>
        <v>0</v>
      </c>
      <c r="AH81" s="59">
        <f>'IS (After Changes)'!AH81-'IS (Before Changes)'!AH81</f>
        <v>0</v>
      </c>
      <c r="AI81" s="59">
        <f>'IS (After Changes)'!AI81-'IS (Before Changes)'!AI81</f>
        <v>0</v>
      </c>
      <c r="AJ81" s="59">
        <f>'IS (After Changes)'!AJ81-'IS (Before Changes)'!AJ81</f>
        <v>0</v>
      </c>
      <c r="AK81" s="59">
        <f>'IS (After Changes)'!AK81-'IS (Before Changes)'!AK81</f>
        <v>0</v>
      </c>
      <c r="AL81" s="60">
        <f>'IS (After Changes)'!AL81-'IS (Before Changes)'!AL81</f>
        <v>0</v>
      </c>
      <c r="AM81" s="59">
        <f>'IS (After Changes)'!AM81-'IS (Before Changes)'!AM81</f>
        <v>0</v>
      </c>
      <c r="AN81" s="59">
        <f>'IS (After Changes)'!AN81-'IS (Before Changes)'!AN81</f>
        <v>0</v>
      </c>
      <c r="AO81" s="59">
        <f>'IS (After Changes)'!AO81-'IS (Before Changes)'!AO81</f>
        <v>0</v>
      </c>
      <c r="AP81" s="59">
        <f>'IS (After Changes)'!AP81-'IS (Before Changes)'!AP81</f>
        <v>0</v>
      </c>
      <c r="AQ81" s="60">
        <f>'IS (After Changes)'!AQ81-'IS (Before Changes)'!AQ81</f>
        <v>0</v>
      </c>
      <c r="AR81" s="59">
        <f>'IS (After Changes)'!AR81-'IS (Before Changes)'!AR81</f>
        <v>0</v>
      </c>
      <c r="AS81" s="59">
        <f>'IS (After Changes)'!AS81-'IS (Before Changes)'!AS81</f>
        <v>0</v>
      </c>
      <c r="AT81" s="59">
        <f>'IS (After Changes)'!AT81-'IS (Before Changes)'!AT81</f>
        <v>0</v>
      </c>
      <c r="AU81" s="59">
        <f>'IS (After Changes)'!AU81-'IS (Before Changes)'!AU81</f>
        <v>0</v>
      </c>
      <c r="AV81" s="60">
        <f>'IS (After Changes)'!AV81-'IS (Before Changes)'!AV81</f>
        <v>0</v>
      </c>
    </row>
    <row r="82" spans="1:48" s="8" customFormat="1" outlineLevel="1" x14ac:dyDescent="0.3">
      <c r="B82" s="208" t="s">
        <v>45</v>
      </c>
      <c r="C82" s="206"/>
      <c r="D82" s="21">
        <f>'IS (After Changes)'!D82-'IS (Before Changes)'!D82</f>
        <v>0</v>
      </c>
      <c r="E82" s="152">
        <f>'IS (After Changes)'!E82-'IS (Before Changes)'!E82</f>
        <v>0</v>
      </c>
      <c r="F82" s="152">
        <f>'IS (After Changes)'!F82-'IS (Before Changes)'!F82</f>
        <v>0</v>
      </c>
      <c r="G82" s="152">
        <f>'IS (After Changes)'!G82-'IS (Before Changes)'!G82</f>
        <v>0</v>
      </c>
      <c r="H82" s="61">
        <f>'IS (After Changes)'!H82-'IS (Before Changes)'!H82</f>
        <v>0</v>
      </c>
      <c r="I82" s="152">
        <f>'IS (After Changes)'!I82-'IS (Before Changes)'!I82</f>
        <v>0</v>
      </c>
      <c r="J82" s="152">
        <f>'IS (After Changes)'!J82-'IS (Before Changes)'!J82</f>
        <v>0</v>
      </c>
      <c r="K82" s="152">
        <f>'IS (After Changes)'!K82-'IS (Before Changes)'!K82</f>
        <v>0</v>
      </c>
      <c r="L82" s="157">
        <f>'IS (After Changes)'!L82-'IS (Before Changes)'!L82</f>
        <v>0</v>
      </c>
      <c r="M82" s="61">
        <f>'IS (After Changes)'!M82-'IS (Before Changes)'!M82</f>
        <v>0</v>
      </c>
      <c r="N82" s="152">
        <f>'IS (After Changes)'!N82-'IS (Before Changes)'!N82</f>
        <v>0</v>
      </c>
      <c r="O82" s="152">
        <f>'IS (After Changes)'!O82-'IS (Before Changes)'!O82</f>
        <v>0</v>
      </c>
      <c r="P82" s="152">
        <f>'IS (After Changes)'!P82-'IS (Before Changes)'!P82</f>
        <v>0</v>
      </c>
      <c r="Q82" s="152">
        <f>'IS (After Changes)'!Q82-'IS (Before Changes)'!Q82</f>
        <v>0</v>
      </c>
      <c r="R82" s="377">
        <f>'IS (After Changes)'!R82-'IS (Before Changes)'!R82</f>
        <v>0</v>
      </c>
      <c r="S82" s="152">
        <f>'IS (After Changes)'!S82-'IS (Before Changes)'!S82</f>
        <v>0</v>
      </c>
      <c r="T82" s="152">
        <f>'IS (After Changes)'!T82-'IS (Before Changes)'!T82</f>
        <v>0</v>
      </c>
      <c r="U82" s="152">
        <f>'IS (After Changes)'!U82-'IS (Before Changes)'!U82</f>
        <v>0</v>
      </c>
      <c r="V82" s="152">
        <f>'IS (After Changes)'!V82-'IS (Before Changes)'!V82</f>
        <v>0</v>
      </c>
      <c r="W82" s="377">
        <f>'IS (After Changes)'!W82-'IS (Before Changes)'!W82</f>
        <v>0</v>
      </c>
      <c r="X82" s="157">
        <f>'IS (After Changes)'!X82-'IS (Before Changes)'!X82</f>
        <v>0</v>
      </c>
      <c r="Y82" s="157">
        <f>'IS (After Changes)'!Y82-'IS (Before Changes)'!Y82</f>
        <v>0</v>
      </c>
      <c r="Z82" s="157">
        <f>'IS (After Changes)'!Z82-'IS (Before Changes)'!Z82</f>
        <v>0</v>
      </c>
      <c r="AA82" s="157">
        <f>'IS (After Changes)'!AA82-'IS (Before Changes)'!AA82</f>
        <v>0</v>
      </c>
      <c r="AB82" s="377">
        <f>'IS (After Changes)'!AB82-'IS (Before Changes)'!AB82</f>
        <v>0</v>
      </c>
      <c r="AC82" s="157">
        <f>'IS (After Changes)'!AC82-'IS (Before Changes)'!AC82</f>
        <v>0</v>
      </c>
      <c r="AD82" s="157">
        <f>'IS (After Changes)'!AD82-'IS (Before Changes)'!AD82</f>
        <v>0</v>
      </c>
      <c r="AE82" s="157">
        <f>'IS (After Changes)'!AE82-'IS (Before Changes)'!AE82</f>
        <v>0</v>
      </c>
      <c r="AF82" s="157">
        <f>'IS (After Changes)'!AF82-'IS (Before Changes)'!AF82</f>
        <v>0</v>
      </c>
      <c r="AG82" s="377">
        <f>'IS (After Changes)'!AG82-'IS (Before Changes)'!AG82</f>
        <v>0</v>
      </c>
      <c r="AH82" s="157">
        <f>'IS (After Changes)'!AH82-'IS (Before Changes)'!AH82</f>
        <v>0</v>
      </c>
      <c r="AI82" s="157">
        <f>'IS (After Changes)'!AI82-'IS (Before Changes)'!AI82</f>
        <v>0</v>
      </c>
      <c r="AJ82" s="157">
        <f>'IS (After Changes)'!AJ82-'IS (Before Changes)'!AJ82</f>
        <v>0</v>
      </c>
      <c r="AK82" s="157">
        <f>'IS (After Changes)'!AK82-'IS (Before Changes)'!AK82</f>
        <v>0</v>
      </c>
      <c r="AL82" s="377">
        <f>'IS (After Changes)'!AL82-'IS (Before Changes)'!AL82</f>
        <v>0</v>
      </c>
      <c r="AM82" s="157">
        <f>'IS (After Changes)'!AM82-'IS (Before Changes)'!AM82</f>
        <v>0</v>
      </c>
      <c r="AN82" s="157">
        <f>'IS (After Changes)'!AN82-'IS (Before Changes)'!AN82</f>
        <v>0</v>
      </c>
      <c r="AO82" s="157">
        <f>'IS (After Changes)'!AO82-'IS (Before Changes)'!AO82</f>
        <v>0</v>
      </c>
      <c r="AP82" s="157">
        <f>'IS (After Changes)'!AP82-'IS (Before Changes)'!AP82</f>
        <v>0</v>
      </c>
      <c r="AQ82" s="134">
        <f>'IS (After Changes)'!AQ82-'IS (Before Changes)'!AQ82</f>
        <v>0</v>
      </c>
      <c r="AR82" s="157">
        <f>'IS (After Changes)'!AR82-'IS (Before Changes)'!AR82</f>
        <v>0</v>
      </c>
      <c r="AS82" s="157">
        <f>'IS (After Changes)'!AS82-'IS (Before Changes)'!AS82</f>
        <v>0</v>
      </c>
      <c r="AT82" s="157">
        <f>'IS (After Changes)'!AT82-'IS (Before Changes)'!AT82</f>
        <v>0</v>
      </c>
      <c r="AU82" s="157">
        <f>'IS (After Changes)'!AU82-'IS (Before Changes)'!AU82</f>
        <v>0</v>
      </c>
      <c r="AV82" s="61">
        <f>'IS (After Changes)'!AV82-'IS (Before Changes)'!AV82</f>
        <v>0</v>
      </c>
    </row>
    <row r="83" spans="1:48" s="8" customFormat="1" outlineLevel="1" x14ac:dyDescent="0.3">
      <c r="B83" s="506" t="s">
        <v>117</v>
      </c>
      <c r="C83" s="507"/>
      <c r="D83" s="21">
        <f>'IS (After Changes)'!D83-'IS (Before Changes)'!D83</f>
        <v>0</v>
      </c>
      <c r="E83" s="117">
        <f>'IS (After Changes)'!E83-'IS (Before Changes)'!E83</f>
        <v>0</v>
      </c>
      <c r="F83" s="117">
        <f>'IS (After Changes)'!F83-'IS (Before Changes)'!F83</f>
        <v>0</v>
      </c>
      <c r="G83" s="117">
        <f>'IS (After Changes)'!G83-'IS (Before Changes)'!G83</f>
        <v>0</v>
      </c>
      <c r="H83" s="192">
        <f>'IS (After Changes)'!H83-'IS (Before Changes)'!H83</f>
        <v>0</v>
      </c>
      <c r="I83" s="117">
        <f>'IS (After Changes)'!I83-'IS (Before Changes)'!I83</f>
        <v>0</v>
      </c>
      <c r="J83" s="117">
        <f>'IS (After Changes)'!J83-'IS (Before Changes)'!J83</f>
        <v>0</v>
      </c>
      <c r="K83" s="117">
        <f>'IS (After Changes)'!K83-'IS (Before Changes)'!K83</f>
        <v>0</v>
      </c>
      <c r="L83" s="117">
        <f>'IS (After Changes)'!L83-'IS (Before Changes)'!L83</f>
        <v>0</v>
      </c>
      <c r="M83" s="192">
        <f>'IS (After Changes)'!M83-'IS (Before Changes)'!M83</f>
        <v>0</v>
      </c>
      <c r="N83" s="117">
        <f>'IS (After Changes)'!N83-'IS (Before Changes)'!N83</f>
        <v>0</v>
      </c>
      <c r="O83" s="67">
        <f>'IS (After Changes)'!O83-'IS (Before Changes)'!O83</f>
        <v>0</v>
      </c>
      <c r="P83" s="67">
        <f>'IS (After Changes)'!P83-'IS (Before Changes)'!P83</f>
        <v>0</v>
      </c>
      <c r="Q83" s="67">
        <f>'IS (After Changes)'!Q83-'IS (Before Changes)'!Q83</f>
        <v>0</v>
      </c>
      <c r="R83" s="192">
        <f>'IS (After Changes)'!R83-'IS (Before Changes)'!R83</f>
        <v>0</v>
      </c>
      <c r="S83" s="67">
        <f>'IS (After Changes)'!S83-'IS (Before Changes)'!S83</f>
        <v>0</v>
      </c>
      <c r="T83" s="67">
        <f>'IS (After Changes)'!T83-'IS (Before Changes)'!T83</f>
        <v>0</v>
      </c>
      <c r="U83" s="67">
        <f>'IS (After Changes)'!U83-'IS (Before Changes)'!U83</f>
        <v>0</v>
      </c>
      <c r="V83" s="67">
        <f>'IS (After Changes)'!V83-'IS (Before Changes)'!V83</f>
        <v>0</v>
      </c>
      <c r="W83" s="253">
        <f>'IS (After Changes)'!W83-'IS (Before Changes)'!W83</f>
        <v>0</v>
      </c>
      <c r="X83" s="67">
        <f>'IS (After Changes)'!X83-'IS (Before Changes)'!X83</f>
        <v>0</v>
      </c>
      <c r="Y83" s="67">
        <f>'IS (After Changes)'!Y83-'IS (Before Changes)'!Y83</f>
        <v>0</v>
      </c>
      <c r="Z83" s="67">
        <f>'IS (After Changes)'!Z83-'IS (Before Changes)'!Z83</f>
        <v>0</v>
      </c>
      <c r="AA83" s="67">
        <f>'IS (After Changes)'!AA83-'IS (Before Changes)'!AA83</f>
        <v>0</v>
      </c>
      <c r="AB83" s="192">
        <f>'IS (After Changes)'!AB83-'IS (Before Changes)'!AB83</f>
        <v>0</v>
      </c>
      <c r="AC83" s="67">
        <f>'IS (After Changes)'!AC83-'IS (Before Changes)'!AC83</f>
        <v>0</v>
      </c>
      <c r="AD83" s="67">
        <f>'IS (After Changes)'!AD83-'IS (Before Changes)'!AD83</f>
        <v>0</v>
      </c>
      <c r="AE83" s="67">
        <f>'IS (After Changes)'!AE83-'IS (Before Changes)'!AE83</f>
        <v>0</v>
      </c>
      <c r="AF83" s="67">
        <f>'IS (After Changes)'!AF83-'IS (Before Changes)'!AF83</f>
        <v>0</v>
      </c>
      <c r="AG83" s="192">
        <f>'IS (After Changes)'!AG83-'IS (Before Changes)'!AG83</f>
        <v>0</v>
      </c>
      <c r="AH83" s="67">
        <f>'IS (After Changes)'!AH83-'IS (Before Changes)'!AH83</f>
        <v>0</v>
      </c>
      <c r="AI83" s="67">
        <f>'IS (After Changes)'!AI83-'IS (Before Changes)'!AI83</f>
        <v>0</v>
      </c>
      <c r="AJ83" s="67">
        <f>'IS (After Changes)'!AJ83-'IS (Before Changes)'!AJ83</f>
        <v>0</v>
      </c>
      <c r="AK83" s="67">
        <f>'IS (After Changes)'!AK83-'IS (Before Changes)'!AK83</f>
        <v>0</v>
      </c>
      <c r="AL83" s="192">
        <f>'IS (After Changes)'!AL83-'IS (Before Changes)'!AL83</f>
        <v>0</v>
      </c>
      <c r="AM83" s="67">
        <f>'IS (After Changes)'!AM83-'IS (Before Changes)'!AM83</f>
        <v>0</v>
      </c>
      <c r="AN83" s="67">
        <f>'IS (After Changes)'!AN83-'IS (Before Changes)'!AN83</f>
        <v>0</v>
      </c>
      <c r="AO83" s="67">
        <f>'IS (After Changes)'!AO83-'IS (Before Changes)'!AO83</f>
        <v>0</v>
      </c>
      <c r="AP83" s="67">
        <f>'IS (After Changes)'!AP83-'IS (Before Changes)'!AP83</f>
        <v>0</v>
      </c>
      <c r="AQ83" s="192">
        <f>'IS (After Changes)'!AQ83-'IS (Before Changes)'!AQ83</f>
        <v>0</v>
      </c>
      <c r="AR83" s="67">
        <f>'IS (After Changes)'!AR83-'IS (Before Changes)'!AR83</f>
        <v>0</v>
      </c>
      <c r="AS83" s="67">
        <f>'IS (After Changes)'!AS83-'IS (Before Changes)'!AS83</f>
        <v>0</v>
      </c>
      <c r="AT83" s="67">
        <f>'IS (After Changes)'!AT83-'IS (Before Changes)'!AT83</f>
        <v>0</v>
      </c>
      <c r="AU83" s="67">
        <f>'IS (After Changes)'!AU83-'IS (Before Changes)'!AU83</f>
        <v>0</v>
      </c>
      <c r="AV83" s="192">
        <f>'IS (After Changes)'!AV83-'IS (Before Changes)'!AV83</f>
        <v>0</v>
      </c>
    </row>
    <row r="84" spans="1:48" outlineLevel="1" x14ac:dyDescent="0.3">
      <c r="B84" s="180" t="s">
        <v>47</v>
      </c>
      <c r="C84" s="201"/>
      <c r="D84" s="21">
        <f>'IS (After Changes)'!D84-'IS (Before Changes)'!D84</f>
        <v>0</v>
      </c>
      <c r="E84" s="101">
        <f>'IS (After Changes)'!E84-'IS (Before Changes)'!E84</f>
        <v>0</v>
      </c>
      <c r="F84" s="101">
        <f>'IS (After Changes)'!F84-'IS (Before Changes)'!F84</f>
        <v>0</v>
      </c>
      <c r="G84" s="101">
        <f>'IS (After Changes)'!G84-'IS (Before Changes)'!G84</f>
        <v>0</v>
      </c>
      <c r="H84" s="122">
        <f>'IS (After Changes)'!H84-'IS (Before Changes)'!H84</f>
        <v>0</v>
      </c>
      <c r="I84" s="101">
        <f>'IS (After Changes)'!I84-'IS (Before Changes)'!I84</f>
        <v>0</v>
      </c>
      <c r="J84" s="101">
        <f>'IS (After Changes)'!J84-'IS (Before Changes)'!J84</f>
        <v>0</v>
      </c>
      <c r="K84" s="101">
        <f>'IS (After Changes)'!K84-'IS (Before Changes)'!K84</f>
        <v>0</v>
      </c>
      <c r="L84" s="101">
        <f>'IS (After Changes)'!L84-'IS (Before Changes)'!L84</f>
        <v>0</v>
      </c>
      <c r="M84" s="122">
        <f>'IS (After Changes)'!M84-'IS (Before Changes)'!M84</f>
        <v>0</v>
      </c>
      <c r="N84" s="101">
        <f>'IS (After Changes)'!N84-'IS (Before Changes)'!N84</f>
        <v>0</v>
      </c>
      <c r="O84" s="101">
        <f>'IS (After Changes)'!O84-'IS (Before Changes)'!O84</f>
        <v>0</v>
      </c>
      <c r="P84" s="101">
        <f>'IS (After Changes)'!P84-'IS (Before Changes)'!P84</f>
        <v>0</v>
      </c>
      <c r="Q84" s="101">
        <f>'IS (After Changes)'!Q84-'IS (Before Changes)'!Q84</f>
        <v>0</v>
      </c>
      <c r="R84" s="122">
        <f>'IS (After Changes)'!R84-'IS (Before Changes)'!R84</f>
        <v>0</v>
      </c>
      <c r="S84" s="101">
        <f>'IS (After Changes)'!S84-'IS (Before Changes)'!S84</f>
        <v>0</v>
      </c>
      <c r="T84" s="101">
        <f>'IS (After Changes)'!T84-'IS (Before Changes)'!T84</f>
        <v>0</v>
      </c>
      <c r="U84" s="101">
        <f>'IS (After Changes)'!U84-'IS (Before Changes)'!U84</f>
        <v>0</v>
      </c>
      <c r="V84" s="101">
        <f>'IS (After Changes)'!V84-'IS (Before Changes)'!V84</f>
        <v>0</v>
      </c>
      <c r="W84" s="122">
        <f>'IS (After Changes)'!W84-'IS (Before Changes)'!W84</f>
        <v>0</v>
      </c>
      <c r="X84" s="33">
        <f>'IS (After Changes)'!X84-'IS (Before Changes)'!X84</f>
        <v>0</v>
      </c>
      <c r="Y84" s="33">
        <f>'IS (After Changes)'!Y84-'IS (Before Changes)'!Y84</f>
        <v>0</v>
      </c>
      <c r="Z84" s="33">
        <f>'IS (After Changes)'!Z84-'IS (Before Changes)'!Z84</f>
        <v>0</v>
      </c>
      <c r="AA84" s="33">
        <f>'IS (After Changes)'!AA84-'IS (Before Changes)'!AA84</f>
        <v>0</v>
      </c>
      <c r="AB84" s="122">
        <f>'IS (After Changes)'!AB84-'IS (Before Changes)'!AB84</f>
        <v>0</v>
      </c>
      <c r="AC84" s="33">
        <f>'IS (After Changes)'!AC84-'IS (Before Changes)'!AC84</f>
        <v>0</v>
      </c>
      <c r="AD84" s="33">
        <f>'IS (After Changes)'!AD84-'IS (Before Changes)'!AD84</f>
        <v>0</v>
      </c>
      <c r="AE84" s="33">
        <f>'IS (After Changes)'!AE84-'IS (Before Changes)'!AE84</f>
        <v>0</v>
      </c>
      <c r="AF84" s="33">
        <f>'IS (After Changes)'!AF84-'IS (Before Changes)'!AF84</f>
        <v>0</v>
      </c>
      <c r="AG84" s="122">
        <f>'IS (After Changes)'!AG84-'IS (Before Changes)'!AG84</f>
        <v>0</v>
      </c>
      <c r="AH84" s="33">
        <f>'IS (After Changes)'!AH84-'IS (Before Changes)'!AH84</f>
        <v>0</v>
      </c>
      <c r="AI84" s="33">
        <f>'IS (After Changes)'!AI84-'IS (Before Changes)'!AI84</f>
        <v>0</v>
      </c>
      <c r="AJ84" s="33">
        <f>'IS (After Changes)'!AJ84-'IS (Before Changes)'!AJ84</f>
        <v>0</v>
      </c>
      <c r="AK84" s="33">
        <f>'IS (After Changes)'!AK84-'IS (Before Changes)'!AK84</f>
        <v>0</v>
      </c>
      <c r="AL84" s="122">
        <f>'IS (After Changes)'!AL84-'IS (Before Changes)'!AL84</f>
        <v>0</v>
      </c>
      <c r="AM84" s="33">
        <f>'IS (After Changes)'!AM84-'IS (Before Changes)'!AM84</f>
        <v>0</v>
      </c>
      <c r="AN84" s="33">
        <f>'IS (After Changes)'!AN84-'IS (Before Changes)'!AN84</f>
        <v>0</v>
      </c>
      <c r="AO84" s="33">
        <f>'IS (After Changes)'!AO84-'IS (Before Changes)'!AO84</f>
        <v>0</v>
      </c>
      <c r="AP84" s="33">
        <f>'IS (After Changes)'!AP84-'IS (Before Changes)'!AP84</f>
        <v>0</v>
      </c>
      <c r="AQ84" s="122">
        <f>'IS (After Changes)'!AQ84-'IS (Before Changes)'!AQ84</f>
        <v>0</v>
      </c>
      <c r="AR84" s="33">
        <f>'IS (After Changes)'!AR84-'IS (Before Changes)'!AR84</f>
        <v>0</v>
      </c>
      <c r="AS84" s="33">
        <f>'IS (After Changes)'!AS84-'IS (Before Changes)'!AS84</f>
        <v>0</v>
      </c>
      <c r="AT84" s="33">
        <f>'IS (After Changes)'!AT84-'IS (Before Changes)'!AT84</f>
        <v>0</v>
      </c>
      <c r="AU84" s="33">
        <f>'IS (After Changes)'!AU84-'IS (Before Changes)'!AU84</f>
        <v>0</v>
      </c>
      <c r="AV84" s="122">
        <f>'IS (After Changes)'!AV84-'IS (Before Changes)'!AV84</f>
        <v>0</v>
      </c>
    </row>
    <row r="85" spans="1:48" outlineLevel="1" x14ac:dyDescent="0.3">
      <c r="B85" s="180" t="s">
        <v>49</v>
      </c>
      <c r="C85" s="201"/>
      <c r="D85" s="21">
        <f>'IS (After Changes)'!D85-'IS (Before Changes)'!D85</f>
        <v>0</v>
      </c>
      <c r="E85" s="16">
        <f>'IS (After Changes)'!E85-'IS (Before Changes)'!E85</f>
        <v>0</v>
      </c>
      <c r="F85" s="16">
        <f>'IS (After Changes)'!F85-'IS (Before Changes)'!F85</f>
        <v>0</v>
      </c>
      <c r="G85" s="16">
        <f>'IS (After Changes)'!G85-'IS (Before Changes)'!G85</f>
        <v>0</v>
      </c>
      <c r="H85" s="26">
        <f>'IS (After Changes)'!H85-'IS (Before Changes)'!H85</f>
        <v>0</v>
      </c>
      <c r="I85" s="16">
        <f>'IS (After Changes)'!I85-'IS (Before Changes)'!I85</f>
        <v>0</v>
      </c>
      <c r="J85" s="16">
        <f>'IS (After Changes)'!J85-'IS (Before Changes)'!J85</f>
        <v>0</v>
      </c>
      <c r="K85" s="16">
        <f>'IS (After Changes)'!K85-'IS (Before Changes)'!K85</f>
        <v>0</v>
      </c>
      <c r="L85" s="16">
        <f>'IS (After Changes)'!L85-'IS (Before Changes)'!L85</f>
        <v>0</v>
      </c>
      <c r="M85" s="6">
        <f>'IS (After Changes)'!M85-'IS (Before Changes)'!M85</f>
        <v>0</v>
      </c>
      <c r="N85" s="16">
        <f>'IS (After Changes)'!N85-'IS (Before Changes)'!N85</f>
        <v>0</v>
      </c>
      <c r="O85" s="16">
        <f>'IS (After Changes)'!O85-'IS (Before Changes)'!O85</f>
        <v>0</v>
      </c>
      <c r="P85" s="16">
        <f>'IS (After Changes)'!P85-'IS (Before Changes)'!P85</f>
        <v>0</v>
      </c>
      <c r="Q85" s="16">
        <f>'IS (After Changes)'!Q85-'IS (Before Changes)'!Q85</f>
        <v>0</v>
      </c>
      <c r="R85" s="6">
        <f>'IS (After Changes)'!R85-'IS (Before Changes)'!R85</f>
        <v>0</v>
      </c>
      <c r="S85" s="16">
        <f>'IS (After Changes)'!S85-'IS (Before Changes)'!S85</f>
        <v>0</v>
      </c>
      <c r="T85" s="16">
        <f>'IS (After Changes)'!T85-'IS (Before Changes)'!T85</f>
        <v>0</v>
      </c>
      <c r="U85" s="16">
        <f>'IS (After Changes)'!U85-'IS (Before Changes)'!U85</f>
        <v>0</v>
      </c>
      <c r="V85" s="16">
        <f>'IS (After Changes)'!V85-'IS (Before Changes)'!V85</f>
        <v>0</v>
      </c>
      <c r="W85" s="130">
        <f>'IS (After Changes)'!W85-'IS (Before Changes)'!W85</f>
        <v>0</v>
      </c>
      <c r="X85" s="16">
        <f>'IS (After Changes)'!X85-'IS (Before Changes)'!X85</f>
        <v>0</v>
      </c>
      <c r="Y85" s="16">
        <f>'IS (After Changes)'!Y85-'IS (Before Changes)'!Y85</f>
        <v>0</v>
      </c>
      <c r="Z85" s="16">
        <f>'IS (After Changes)'!Z85-'IS (Before Changes)'!Z85</f>
        <v>0</v>
      </c>
      <c r="AA85" s="16">
        <f>'IS (After Changes)'!AA85-'IS (Before Changes)'!AA85</f>
        <v>0</v>
      </c>
      <c r="AB85" s="6">
        <f>'IS (After Changes)'!AB85-'IS (Before Changes)'!AB85</f>
        <v>0</v>
      </c>
      <c r="AC85" s="16">
        <f>'IS (After Changes)'!AC85-'IS (Before Changes)'!AC85</f>
        <v>0</v>
      </c>
      <c r="AD85" s="16">
        <f>'IS (After Changes)'!AD85-'IS (Before Changes)'!AD85</f>
        <v>0</v>
      </c>
      <c r="AE85" s="16">
        <f>'IS (After Changes)'!AE85-'IS (Before Changes)'!AE85</f>
        <v>0</v>
      </c>
      <c r="AF85" s="16">
        <f>'IS (After Changes)'!AF85-'IS (Before Changes)'!AF85</f>
        <v>0</v>
      </c>
      <c r="AG85" s="6">
        <f>'IS (After Changes)'!AG85-'IS (Before Changes)'!AG85</f>
        <v>0</v>
      </c>
      <c r="AH85" s="16">
        <f>'IS (After Changes)'!AH85-'IS (Before Changes)'!AH85</f>
        <v>0</v>
      </c>
      <c r="AI85" s="16">
        <f>'IS (After Changes)'!AI85-'IS (Before Changes)'!AI85</f>
        <v>0</v>
      </c>
      <c r="AJ85" s="16">
        <f>'IS (After Changes)'!AJ85-'IS (Before Changes)'!AJ85</f>
        <v>0</v>
      </c>
      <c r="AK85" s="16">
        <f>'IS (After Changes)'!AK85-'IS (Before Changes)'!AK85</f>
        <v>0</v>
      </c>
      <c r="AL85" s="6">
        <f>'IS (After Changes)'!AL85-'IS (Before Changes)'!AL85</f>
        <v>0</v>
      </c>
      <c r="AM85" s="16">
        <f>'IS (After Changes)'!AM85-'IS (Before Changes)'!AM85</f>
        <v>0</v>
      </c>
      <c r="AN85" s="16">
        <f>'IS (After Changes)'!AN85-'IS (Before Changes)'!AN85</f>
        <v>0</v>
      </c>
      <c r="AO85" s="16">
        <f>'IS (After Changes)'!AO85-'IS (Before Changes)'!AO85</f>
        <v>0</v>
      </c>
      <c r="AP85" s="16">
        <f>'IS (After Changes)'!AP85-'IS (Before Changes)'!AP85</f>
        <v>0</v>
      </c>
      <c r="AQ85" s="6">
        <f>'IS (After Changes)'!AQ85-'IS (Before Changes)'!AQ85</f>
        <v>0</v>
      </c>
      <c r="AR85" s="16">
        <f>'IS (After Changes)'!AR85-'IS (Before Changes)'!AR85</f>
        <v>0</v>
      </c>
      <c r="AS85" s="16">
        <f>'IS (After Changes)'!AS85-'IS (Before Changes)'!AS85</f>
        <v>0</v>
      </c>
      <c r="AT85" s="16">
        <f>'IS (After Changes)'!AT85-'IS (Before Changes)'!AT85</f>
        <v>0</v>
      </c>
      <c r="AU85" s="16">
        <f>'IS (After Changes)'!AU85-'IS (Before Changes)'!AU85</f>
        <v>0</v>
      </c>
      <c r="AV85" s="6">
        <f>'IS (After Changes)'!AV85-'IS (Before Changes)'!AV85</f>
        <v>0</v>
      </c>
    </row>
    <row r="86" spans="1:48" outlineLevel="1" x14ac:dyDescent="0.3">
      <c r="B86" s="180" t="s">
        <v>48</v>
      </c>
      <c r="C86" s="201"/>
      <c r="D86" s="21">
        <f>'IS (After Changes)'!D86-'IS (Before Changes)'!D86</f>
        <v>0</v>
      </c>
      <c r="E86" s="114">
        <f>'IS (After Changes)'!E86-'IS (Before Changes)'!E86</f>
        <v>0</v>
      </c>
      <c r="F86" s="114">
        <f>'IS (After Changes)'!F86-'IS (Before Changes)'!F86</f>
        <v>0</v>
      </c>
      <c r="G86" s="114">
        <f>'IS (After Changes)'!G86-'IS (Before Changes)'!G86</f>
        <v>0</v>
      </c>
      <c r="H86" s="26">
        <f>'IS (After Changes)'!H86-'IS (Before Changes)'!H86</f>
        <v>0</v>
      </c>
      <c r="I86" s="114">
        <f>'IS (After Changes)'!I86-'IS (Before Changes)'!I86</f>
        <v>0</v>
      </c>
      <c r="J86" s="114">
        <f>'IS (After Changes)'!J86-'IS (Before Changes)'!J86</f>
        <v>0</v>
      </c>
      <c r="K86" s="114">
        <f>'IS (After Changes)'!K86-'IS (Before Changes)'!K86</f>
        <v>0</v>
      </c>
      <c r="L86" s="114">
        <f>'IS (After Changes)'!L86-'IS (Before Changes)'!L86</f>
        <v>0</v>
      </c>
      <c r="M86" s="6">
        <f>'IS (After Changes)'!M86-'IS (Before Changes)'!M86</f>
        <v>0</v>
      </c>
      <c r="N86" s="114">
        <f>'IS (After Changes)'!N86-'IS (Before Changes)'!N86</f>
        <v>0</v>
      </c>
      <c r="O86" s="114">
        <f>'IS (After Changes)'!O86-'IS (Before Changes)'!O86</f>
        <v>0</v>
      </c>
      <c r="P86" s="114">
        <f>'IS (After Changes)'!P86-'IS (Before Changes)'!P86</f>
        <v>0</v>
      </c>
      <c r="Q86" s="114">
        <f>'IS (After Changes)'!Q86-'IS (Before Changes)'!Q86</f>
        <v>0</v>
      </c>
      <c r="R86" s="6">
        <f>'IS (After Changes)'!R86-'IS (Before Changes)'!R86</f>
        <v>0</v>
      </c>
      <c r="S86" s="114">
        <f>'IS (After Changes)'!S86-'IS (Before Changes)'!S86</f>
        <v>0</v>
      </c>
      <c r="T86" s="114">
        <f>'IS (After Changes)'!T86-'IS (Before Changes)'!T86</f>
        <v>0</v>
      </c>
      <c r="U86" s="114">
        <f>'IS (After Changes)'!U86-'IS (Before Changes)'!U86</f>
        <v>0</v>
      </c>
      <c r="V86" s="114">
        <f>'IS (After Changes)'!V86-'IS (Before Changes)'!V86</f>
        <v>0</v>
      </c>
      <c r="W86" s="130">
        <f>'IS (After Changes)'!W86-'IS (Before Changes)'!W86</f>
        <v>0</v>
      </c>
      <c r="X86" s="62">
        <f>'IS (After Changes)'!X86-'IS (Before Changes)'!X86</f>
        <v>0</v>
      </c>
      <c r="Y86" s="62">
        <f>'IS (After Changes)'!Y86-'IS (Before Changes)'!Y86</f>
        <v>0</v>
      </c>
      <c r="Z86" s="62">
        <f>'IS (After Changes)'!Z86-'IS (Before Changes)'!Z86</f>
        <v>0</v>
      </c>
      <c r="AA86" s="62">
        <f>'IS (After Changes)'!AA86-'IS (Before Changes)'!AA86</f>
        <v>0</v>
      </c>
      <c r="AB86" s="6">
        <f>'IS (After Changes)'!AB86-'IS (Before Changes)'!AB86</f>
        <v>0</v>
      </c>
      <c r="AC86" s="62">
        <f>'IS (After Changes)'!AC86-'IS (Before Changes)'!AC86</f>
        <v>0</v>
      </c>
      <c r="AD86" s="62">
        <f>'IS (After Changes)'!AD86-'IS (Before Changes)'!AD86</f>
        <v>0</v>
      </c>
      <c r="AE86" s="62">
        <f>'IS (After Changes)'!AE86-'IS (Before Changes)'!AE86</f>
        <v>0</v>
      </c>
      <c r="AF86" s="62">
        <f>'IS (After Changes)'!AF86-'IS (Before Changes)'!AF86</f>
        <v>0</v>
      </c>
      <c r="AG86" s="6">
        <f>'IS (After Changes)'!AG86-'IS (Before Changes)'!AG86</f>
        <v>0</v>
      </c>
      <c r="AH86" s="62">
        <f>'IS (After Changes)'!AH86-'IS (Before Changes)'!AH86</f>
        <v>0</v>
      </c>
      <c r="AI86" s="62">
        <f>'IS (After Changes)'!AI86-'IS (Before Changes)'!AI86</f>
        <v>0</v>
      </c>
      <c r="AJ86" s="62">
        <f>'IS (After Changes)'!AJ86-'IS (Before Changes)'!AJ86</f>
        <v>0</v>
      </c>
      <c r="AK86" s="62">
        <f>'IS (After Changes)'!AK86-'IS (Before Changes)'!AK86</f>
        <v>0</v>
      </c>
      <c r="AL86" s="6">
        <f>'IS (After Changes)'!AL86-'IS (Before Changes)'!AL86</f>
        <v>0</v>
      </c>
      <c r="AM86" s="62">
        <f>'IS (After Changes)'!AM86-'IS (Before Changes)'!AM86</f>
        <v>0</v>
      </c>
      <c r="AN86" s="62">
        <f>'IS (After Changes)'!AN86-'IS (Before Changes)'!AN86</f>
        <v>0</v>
      </c>
      <c r="AO86" s="62">
        <f>'IS (After Changes)'!AO86-'IS (Before Changes)'!AO86</f>
        <v>0</v>
      </c>
      <c r="AP86" s="62">
        <f>'IS (After Changes)'!AP86-'IS (Before Changes)'!AP86</f>
        <v>0</v>
      </c>
      <c r="AQ86" s="6">
        <f>'IS (After Changes)'!AQ86-'IS (Before Changes)'!AQ86</f>
        <v>0</v>
      </c>
      <c r="AR86" s="62">
        <f>'IS (After Changes)'!AR86-'IS (Before Changes)'!AR86</f>
        <v>0</v>
      </c>
      <c r="AS86" s="62">
        <f>'IS (After Changes)'!AS86-'IS (Before Changes)'!AS86</f>
        <v>0</v>
      </c>
      <c r="AT86" s="62">
        <f>'IS (After Changes)'!AT86-'IS (Before Changes)'!AT86</f>
        <v>0</v>
      </c>
      <c r="AU86" s="62">
        <f>'IS (After Changes)'!AU86-'IS (Before Changes)'!AU86</f>
        <v>0</v>
      </c>
      <c r="AV86" s="6">
        <f>'IS (After Changes)'!AV86-'IS (Before Changes)'!AV86</f>
        <v>0</v>
      </c>
    </row>
    <row r="87" spans="1:48" s="8" customFormat="1" outlineLevel="1" x14ac:dyDescent="0.3">
      <c r="B87" s="498" t="s">
        <v>118</v>
      </c>
      <c r="C87" s="499"/>
      <c r="D87" s="21">
        <f>'IS (After Changes)'!D87-'IS (Before Changes)'!D87</f>
        <v>0</v>
      </c>
      <c r="E87" s="115">
        <f>'IS (After Changes)'!E87-'IS (Before Changes)'!E87</f>
        <v>0</v>
      </c>
      <c r="F87" s="115">
        <f>'IS (After Changes)'!F87-'IS (Before Changes)'!F87</f>
        <v>0</v>
      </c>
      <c r="G87" s="115">
        <f>'IS (After Changes)'!G87-'IS (Before Changes)'!G87</f>
        <v>0</v>
      </c>
      <c r="H87" s="73">
        <f>'IS (After Changes)'!H87-'IS (Before Changes)'!H87</f>
        <v>0</v>
      </c>
      <c r="I87" s="115">
        <f>'IS (After Changes)'!I87-'IS (Before Changes)'!I87</f>
        <v>0</v>
      </c>
      <c r="J87" s="115">
        <f>'IS (After Changes)'!J87-'IS (Before Changes)'!J87</f>
        <v>0</v>
      </c>
      <c r="K87" s="115">
        <f>'IS (After Changes)'!K87-'IS (Before Changes)'!K87</f>
        <v>0</v>
      </c>
      <c r="L87" s="72">
        <f>'IS (After Changes)'!L87-'IS (Before Changes)'!L87</f>
        <v>0</v>
      </c>
      <c r="M87" s="73">
        <f>'IS (After Changes)'!M87-'IS (Before Changes)'!M87</f>
        <v>0</v>
      </c>
      <c r="N87" s="72">
        <f>'IS (After Changes)'!N87-'IS (Before Changes)'!N87</f>
        <v>0</v>
      </c>
      <c r="O87" s="72">
        <f>'IS (After Changes)'!O87-'IS (Before Changes)'!O87</f>
        <v>0</v>
      </c>
      <c r="P87" s="72">
        <f>'IS (After Changes)'!P87-'IS (Before Changes)'!P87</f>
        <v>0</v>
      </c>
      <c r="Q87" s="115">
        <f>'IS (After Changes)'!Q87-'IS (Before Changes)'!Q87</f>
        <v>0</v>
      </c>
      <c r="R87" s="73">
        <f>'IS (After Changes)'!R87-'IS (Before Changes)'!R87</f>
        <v>0</v>
      </c>
      <c r="S87" s="72">
        <f>'IS (After Changes)'!S87-'IS (Before Changes)'!S87</f>
        <v>0</v>
      </c>
      <c r="T87" s="72">
        <f>'IS (After Changes)'!T87-'IS (Before Changes)'!T87</f>
        <v>0</v>
      </c>
      <c r="U87" s="72">
        <f>'IS (After Changes)'!U87-'IS (Before Changes)'!U87</f>
        <v>0</v>
      </c>
      <c r="V87" s="72">
        <f>'IS (After Changes)'!V87-'IS (Before Changes)'!V87</f>
        <v>0</v>
      </c>
      <c r="W87" s="213">
        <f>'IS (After Changes)'!W87-'IS (Before Changes)'!W87</f>
        <v>0</v>
      </c>
      <c r="X87" s="72">
        <f>'IS (After Changes)'!X87-'IS (Before Changes)'!X87</f>
        <v>0</v>
      </c>
      <c r="Y87" s="72">
        <f>'IS (After Changes)'!Y87-'IS (Before Changes)'!Y87</f>
        <v>0</v>
      </c>
      <c r="Z87" s="72">
        <f>'IS (After Changes)'!Z87-'IS (Before Changes)'!Z87</f>
        <v>0</v>
      </c>
      <c r="AA87" s="72">
        <f>'IS (After Changes)'!AA87-'IS (Before Changes)'!AA87</f>
        <v>0</v>
      </c>
      <c r="AB87" s="73">
        <f>'IS (After Changes)'!AB87-'IS (Before Changes)'!AB87</f>
        <v>0</v>
      </c>
      <c r="AC87" s="72">
        <f>'IS (After Changes)'!AC87-'IS (Before Changes)'!AC87</f>
        <v>0</v>
      </c>
      <c r="AD87" s="72">
        <f>'IS (After Changes)'!AD87-'IS (Before Changes)'!AD87</f>
        <v>0</v>
      </c>
      <c r="AE87" s="72">
        <f>'IS (After Changes)'!AE87-'IS (Before Changes)'!AE87</f>
        <v>0</v>
      </c>
      <c r="AF87" s="72">
        <f>'IS (After Changes)'!AF87-'IS (Before Changes)'!AF87</f>
        <v>0</v>
      </c>
      <c r="AG87" s="73">
        <f>'IS (After Changes)'!AG87-'IS (Before Changes)'!AG87</f>
        <v>0</v>
      </c>
      <c r="AH87" s="72">
        <f>'IS (After Changes)'!AH87-'IS (Before Changes)'!AH87</f>
        <v>0</v>
      </c>
      <c r="AI87" s="72">
        <f>'IS (After Changes)'!AI87-'IS (Before Changes)'!AI87</f>
        <v>0</v>
      </c>
      <c r="AJ87" s="72">
        <f>'IS (After Changes)'!AJ87-'IS (Before Changes)'!AJ87</f>
        <v>0</v>
      </c>
      <c r="AK87" s="72">
        <f>'IS (After Changes)'!AK87-'IS (Before Changes)'!AK87</f>
        <v>0</v>
      </c>
      <c r="AL87" s="73">
        <f>'IS (After Changes)'!AL87-'IS (Before Changes)'!AL87</f>
        <v>0</v>
      </c>
      <c r="AM87" s="72">
        <f>'IS (After Changes)'!AM87-'IS (Before Changes)'!AM87</f>
        <v>0</v>
      </c>
      <c r="AN87" s="72">
        <f>'IS (After Changes)'!AN87-'IS (Before Changes)'!AN87</f>
        <v>0</v>
      </c>
      <c r="AO87" s="72">
        <f>'IS (After Changes)'!AO87-'IS (Before Changes)'!AO87</f>
        <v>0</v>
      </c>
      <c r="AP87" s="72">
        <f>'IS (After Changes)'!AP87-'IS (Before Changes)'!AP87</f>
        <v>0</v>
      </c>
      <c r="AQ87" s="73">
        <f>'IS (After Changes)'!AQ87-'IS (Before Changes)'!AQ87</f>
        <v>0</v>
      </c>
      <c r="AR87" s="72">
        <f>'IS (After Changes)'!AR87-'IS (Before Changes)'!AR87</f>
        <v>0</v>
      </c>
      <c r="AS87" s="72">
        <f>'IS (After Changes)'!AS87-'IS (Before Changes)'!AS87</f>
        <v>0</v>
      </c>
      <c r="AT87" s="72">
        <f>'IS (After Changes)'!AT87-'IS (Before Changes)'!AT87</f>
        <v>0</v>
      </c>
      <c r="AU87" s="72">
        <f>'IS (After Changes)'!AU87-'IS (Before Changes)'!AU87</f>
        <v>0</v>
      </c>
      <c r="AV87" s="73">
        <f>'IS (After Changes)'!AV87-'IS (Before Changes)'!AV87</f>
        <v>0</v>
      </c>
    </row>
    <row r="88" spans="1:48" s="8" customFormat="1" outlineLevel="1" x14ac:dyDescent="0.3">
      <c r="B88" s="500" t="s">
        <v>119</v>
      </c>
      <c r="C88" s="501"/>
      <c r="D88" s="21">
        <f>'IS (After Changes)'!D88-'IS (Before Changes)'!D88</f>
        <v>0</v>
      </c>
      <c r="E88" s="103">
        <f>'IS (After Changes)'!E88-'IS (Before Changes)'!E88</f>
        <v>0</v>
      </c>
      <c r="F88" s="103">
        <f>'IS (After Changes)'!F88-'IS (Before Changes)'!F88</f>
        <v>0</v>
      </c>
      <c r="G88" s="103">
        <f>'IS (After Changes)'!G88-'IS (Before Changes)'!G88</f>
        <v>0</v>
      </c>
      <c r="H88" s="97">
        <f>'IS (After Changes)'!H88-'IS (Before Changes)'!H88</f>
        <v>0</v>
      </c>
      <c r="I88" s="103">
        <f>'IS (After Changes)'!I88-'IS (Before Changes)'!I88</f>
        <v>0</v>
      </c>
      <c r="J88" s="103">
        <f>'IS (After Changes)'!J88-'IS (Before Changes)'!J88</f>
        <v>0</v>
      </c>
      <c r="K88" s="103">
        <f>'IS (After Changes)'!K88-'IS (Before Changes)'!K88</f>
        <v>0</v>
      </c>
      <c r="L88" s="50">
        <f>'IS (After Changes)'!L88-'IS (Before Changes)'!L88</f>
        <v>0</v>
      </c>
      <c r="M88" s="97">
        <f>'IS (After Changes)'!M88-'IS (Before Changes)'!M88</f>
        <v>0</v>
      </c>
      <c r="N88" s="50">
        <f>'IS (After Changes)'!N88-'IS (Before Changes)'!N88</f>
        <v>0</v>
      </c>
      <c r="O88" s="50">
        <f>'IS (After Changes)'!O88-'IS (Before Changes)'!O88</f>
        <v>0</v>
      </c>
      <c r="P88" s="50">
        <f>'IS (After Changes)'!P88-'IS (Before Changes)'!P88</f>
        <v>0</v>
      </c>
      <c r="Q88" s="103">
        <f>'IS (After Changes)'!Q88-'IS (Before Changes)'!Q88</f>
        <v>0</v>
      </c>
      <c r="R88" s="97">
        <f>'IS (After Changes)'!R88-'IS (Before Changes)'!R88</f>
        <v>0</v>
      </c>
      <c r="S88" s="50">
        <f>'IS (After Changes)'!S88-'IS (Before Changes)'!S88</f>
        <v>0</v>
      </c>
      <c r="T88" s="50">
        <f>'IS (After Changes)'!T88-'IS (Before Changes)'!T88</f>
        <v>0</v>
      </c>
      <c r="U88" s="50">
        <f>'IS (After Changes)'!U88-'IS (Before Changes)'!U88</f>
        <v>0</v>
      </c>
      <c r="V88" s="50">
        <f>'IS (After Changes)'!V88-'IS (Before Changes)'!V88</f>
        <v>0</v>
      </c>
      <c r="W88" s="132">
        <f>'IS (After Changes)'!W88-'IS (Before Changes)'!W88</f>
        <v>0</v>
      </c>
      <c r="X88" s="50">
        <f>'IS (After Changes)'!X88-'IS (Before Changes)'!X88</f>
        <v>0</v>
      </c>
      <c r="Y88" s="50">
        <f>'IS (After Changes)'!Y88-'IS (Before Changes)'!Y88</f>
        <v>0</v>
      </c>
      <c r="Z88" s="50">
        <f>'IS (After Changes)'!Z88-'IS (Before Changes)'!Z88</f>
        <v>0</v>
      </c>
      <c r="AA88" s="50">
        <f>'IS (After Changes)'!AA88-'IS (Before Changes)'!AA88</f>
        <v>0</v>
      </c>
      <c r="AB88" s="97">
        <f>'IS (After Changes)'!AB88-'IS (Before Changes)'!AB88</f>
        <v>0</v>
      </c>
      <c r="AC88" s="50">
        <f>'IS (After Changes)'!AC88-'IS (Before Changes)'!AC88</f>
        <v>0</v>
      </c>
      <c r="AD88" s="50">
        <f>'IS (After Changes)'!AD88-'IS (Before Changes)'!AD88</f>
        <v>0</v>
      </c>
      <c r="AE88" s="50">
        <f>'IS (After Changes)'!AE88-'IS (Before Changes)'!AE88</f>
        <v>0</v>
      </c>
      <c r="AF88" s="50">
        <f>'IS (After Changes)'!AF88-'IS (Before Changes)'!AF88</f>
        <v>0</v>
      </c>
      <c r="AG88" s="97">
        <f>'IS (After Changes)'!AG88-'IS (Before Changes)'!AG88</f>
        <v>0</v>
      </c>
      <c r="AH88" s="50">
        <f>'IS (After Changes)'!AH88-'IS (Before Changes)'!AH88</f>
        <v>0</v>
      </c>
      <c r="AI88" s="50">
        <f>'IS (After Changes)'!AI88-'IS (Before Changes)'!AI88</f>
        <v>0</v>
      </c>
      <c r="AJ88" s="50">
        <f>'IS (After Changes)'!AJ88-'IS (Before Changes)'!AJ88</f>
        <v>0</v>
      </c>
      <c r="AK88" s="50">
        <f>'IS (After Changes)'!AK88-'IS (Before Changes)'!AK88</f>
        <v>0</v>
      </c>
      <c r="AL88" s="97">
        <f>'IS (After Changes)'!AL88-'IS (Before Changes)'!AL88</f>
        <v>0</v>
      </c>
      <c r="AM88" s="50">
        <f>'IS (After Changes)'!AM88-'IS (Before Changes)'!AM88</f>
        <v>0</v>
      </c>
      <c r="AN88" s="50">
        <f>'IS (After Changes)'!AN88-'IS (Before Changes)'!AN88</f>
        <v>0</v>
      </c>
      <c r="AO88" s="50">
        <f>'IS (After Changes)'!AO88-'IS (Before Changes)'!AO88</f>
        <v>0</v>
      </c>
      <c r="AP88" s="50">
        <f>'IS (After Changes)'!AP88-'IS (Before Changes)'!AP88</f>
        <v>0</v>
      </c>
      <c r="AQ88" s="97">
        <f>'IS (After Changes)'!AQ88-'IS (Before Changes)'!AQ88</f>
        <v>0</v>
      </c>
      <c r="AR88" s="50">
        <f>'IS (After Changes)'!AR88-'IS (Before Changes)'!AR88</f>
        <v>0</v>
      </c>
      <c r="AS88" s="50">
        <f>'IS (After Changes)'!AS88-'IS (Before Changes)'!AS88</f>
        <v>0</v>
      </c>
      <c r="AT88" s="50">
        <f>'IS (After Changes)'!AT88-'IS (Before Changes)'!AT88</f>
        <v>0</v>
      </c>
      <c r="AU88" s="50">
        <f>'IS (After Changes)'!AU88-'IS (Before Changes)'!AU88</f>
        <v>0</v>
      </c>
      <c r="AV88" s="97">
        <f>'IS (After Changes)'!AV88-'IS (Before Changes)'!AV88</f>
        <v>0</v>
      </c>
    </row>
    <row r="89" spans="1:48" outlineLevel="1" x14ac:dyDescent="0.3">
      <c r="B89" s="69" t="s">
        <v>50</v>
      </c>
      <c r="C89" s="70"/>
      <c r="D89" s="21">
        <f>'IS (After Changes)'!D89-'IS (Before Changes)'!D89</f>
        <v>0</v>
      </c>
      <c r="E89" s="120">
        <f>'IS (After Changes)'!E89-'IS (Before Changes)'!E89</f>
        <v>0</v>
      </c>
      <c r="F89" s="120">
        <f>'IS (After Changes)'!F89-'IS (Before Changes)'!F89</f>
        <v>0</v>
      </c>
      <c r="G89" s="120">
        <f>'IS (After Changes)'!G89-'IS (Before Changes)'!G89</f>
        <v>0</v>
      </c>
      <c r="H89" s="58">
        <f>'IS (After Changes)'!H89-'IS (Before Changes)'!H89</f>
        <v>0</v>
      </c>
      <c r="I89" s="120">
        <f>'IS (After Changes)'!I89-'IS (Before Changes)'!I89</f>
        <v>0</v>
      </c>
      <c r="J89" s="120">
        <f>'IS (After Changes)'!J89-'IS (Before Changes)'!J89</f>
        <v>0</v>
      </c>
      <c r="K89" s="120">
        <f>'IS (After Changes)'!K89-'IS (Before Changes)'!K89</f>
        <v>0</v>
      </c>
      <c r="L89" s="120">
        <f>'IS (After Changes)'!L89-'IS (Before Changes)'!L89</f>
        <v>0</v>
      </c>
      <c r="M89" s="58">
        <f>'IS (After Changes)'!M89-'IS (Before Changes)'!M89</f>
        <v>0</v>
      </c>
      <c r="N89" s="120">
        <f>'IS (After Changes)'!N89-'IS (Before Changes)'!N89</f>
        <v>0</v>
      </c>
      <c r="O89" s="120">
        <f>'IS (After Changes)'!O89-'IS (Before Changes)'!O89</f>
        <v>0</v>
      </c>
      <c r="P89" s="120">
        <f>'IS (After Changes)'!P89-'IS (Before Changes)'!P89</f>
        <v>0</v>
      </c>
      <c r="Q89" s="120">
        <f>'IS (After Changes)'!Q89-'IS (Before Changes)'!Q89</f>
        <v>0</v>
      </c>
      <c r="R89" s="58">
        <f>'IS (After Changes)'!R89-'IS (Before Changes)'!R89</f>
        <v>0</v>
      </c>
      <c r="S89" s="120">
        <f>'IS (After Changes)'!S89-'IS (Before Changes)'!S89</f>
        <v>0</v>
      </c>
      <c r="T89" s="120">
        <f>'IS (After Changes)'!T89-'IS (Before Changes)'!T89</f>
        <v>0</v>
      </c>
      <c r="U89" s="120">
        <f>'IS (After Changes)'!U89-'IS (Before Changes)'!U89</f>
        <v>0</v>
      </c>
      <c r="V89" s="120">
        <f>'IS (After Changes)'!V89-'IS (Before Changes)'!V89</f>
        <v>0</v>
      </c>
      <c r="W89" s="155">
        <f>'IS (After Changes)'!W89-'IS (Before Changes)'!W89</f>
        <v>0</v>
      </c>
      <c r="X89" s="71">
        <f>'IS (After Changes)'!X89-'IS (Before Changes)'!X89</f>
        <v>0</v>
      </c>
      <c r="Y89" s="71">
        <f>'IS (After Changes)'!Y89-'IS (Before Changes)'!Y89</f>
        <v>0</v>
      </c>
      <c r="Z89" s="71">
        <f>'IS (After Changes)'!Z89-'IS (Before Changes)'!Z89</f>
        <v>0</v>
      </c>
      <c r="AA89" s="71">
        <f>'IS (After Changes)'!AA89-'IS (Before Changes)'!AA89</f>
        <v>0</v>
      </c>
      <c r="AB89" s="58">
        <f>'IS (After Changes)'!AB89-'IS (Before Changes)'!AB89</f>
        <v>0</v>
      </c>
      <c r="AC89" s="71">
        <f>'IS (After Changes)'!AC89-'IS (Before Changes)'!AC89</f>
        <v>0</v>
      </c>
      <c r="AD89" s="71">
        <f>'IS (After Changes)'!AD89-'IS (Before Changes)'!AD89</f>
        <v>0</v>
      </c>
      <c r="AE89" s="71">
        <f>'IS (After Changes)'!AE89-'IS (Before Changes)'!AE89</f>
        <v>0</v>
      </c>
      <c r="AF89" s="71">
        <f>'IS (After Changes)'!AF89-'IS (Before Changes)'!AF89</f>
        <v>0</v>
      </c>
      <c r="AG89" s="58">
        <f>'IS (After Changes)'!AG89-'IS (Before Changes)'!AG89</f>
        <v>0</v>
      </c>
      <c r="AH89" s="71">
        <f>'IS (After Changes)'!AH89-'IS (Before Changes)'!AH89</f>
        <v>0</v>
      </c>
      <c r="AI89" s="71">
        <f>'IS (After Changes)'!AI89-'IS (Before Changes)'!AI89</f>
        <v>0</v>
      </c>
      <c r="AJ89" s="71">
        <f>'IS (After Changes)'!AJ89-'IS (Before Changes)'!AJ89</f>
        <v>0</v>
      </c>
      <c r="AK89" s="71">
        <f>'IS (After Changes)'!AK89-'IS (Before Changes)'!AK89</f>
        <v>0</v>
      </c>
      <c r="AL89" s="58">
        <f>'IS (After Changes)'!AL89-'IS (Before Changes)'!AL89</f>
        <v>0</v>
      </c>
      <c r="AM89" s="71">
        <f>'IS (After Changes)'!AM89-'IS (Before Changes)'!AM89</f>
        <v>0</v>
      </c>
      <c r="AN89" s="71">
        <f>'IS (After Changes)'!AN89-'IS (Before Changes)'!AN89</f>
        <v>0</v>
      </c>
      <c r="AO89" s="71">
        <f>'IS (After Changes)'!AO89-'IS (Before Changes)'!AO89</f>
        <v>0</v>
      </c>
      <c r="AP89" s="71">
        <f>'IS (After Changes)'!AP89-'IS (Before Changes)'!AP89</f>
        <v>0</v>
      </c>
      <c r="AQ89" s="58">
        <f>'IS (After Changes)'!AQ89-'IS (Before Changes)'!AQ89</f>
        <v>0</v>
      </c>
      <c r="AR89" s="71">
        <f>'IS (After Changes)'!AR89-'IS (Before Changes)'!AR89</f>
        <v>0</v>
      </c>
      <c r="AS89" s="71">
        <f>'IS (After Changes)'!AS89-'IS (Before Changes)'!AS89</f>
        <v>0</v>
      </c>
      <c r="AT89" s="71">
        <f>'IS (After Changes)'!AT89-'IS (Before Changes)'!AT89</f>
        <v>0</v>
      </c>
      <c r="AU89" s="71">
        <f>'IS (After Changes)'!AU89-'IS (Before Changes)'!AU89</f>
        <v>0</v>
      </c>
      <c r="AV89" s="58">
        <f>'IS (After Changes)'!AV89-'IS (Before Changes)'!AV89</f>
        <v>0</v>
      </c>
    </row>
    <row r="90" spans="1:48" outlineLevel="1" x14ac:dyDescent="0.3">
      <c r="B90" s="180" t="s">
        <v>120</v>
      </c>
      <c r="C90" s="207"/>
      <c r="D90" s="21">
        <f>'IS (After Changes)'!D90-'IS (Before Changes)'!D90</f>
        <v>0</v>
      </c>
      <c r="E90" s="101">
        <f>'IS (After Changes)'!E90-'IS (Before Changes)'!E90</f>
        <v>0</v>
      </c>
      <c r="F90" s="101">
        <f>'IS (After Changes)'!F90-'IS (Before Changes)'!F90</f>
        <v>0</v>
      </c>
      <c r="G90" s="101">
        <f>'IS (After Changes)'!G90-'IS (Before Changes)'!G90</f>
        <v>0</v>
      </c>
      <c r="H90" s="6">
        <f>'IS (After Changes)'!H90-'IS (Before Changes)'!H90</f>
        <v>0</v>
      </c>
      <c r="I90" s="101">
        <f>'IS (After Changes)'!I90-'IS (Before Changes)'!I90</f>
        <v>0</v>
      </c>
      <c r="J90" s="101">
        <f>'IS (After Changes)'!J90-'IS (Before Changes)'!J90</f>
        <v>0</v>
      </c>
      <c r="K90" s="101">
        <f>'IS (After Changes)'!K90-'IS (Before Changes)'!K90</f>
        <v>0</v>
      </c>
      <c r="L90" s="16">
        <f>'IS (After Changes)'!L90-'IS (Before Changes)'!L90</f>
        <v>0</v>
      </c>
      <c r="M90" s="6">
        <f>'IS (After Changes)'!M90-'IS (Before Changes)'!M90</f>
        <v>0</v>
      </c>
      <c r="N90" s="16">
        <f>'IS (After Changes)'!N90-'IS (Before Changes)'!N90</f>
        <v>0</v>
      </c>
      <c r="O90" s="16">
        <f>'IS (After Changes)'!O90-'IS (Before Changes)'!O90</f>
        <v>0</v>
      </c>
      <c r="P90" s="16">
        <f>'IS (After Changes)'!P90-'IS (Before Changes)'!P90</f>
        <v>0</v>
      </c>
      <c r="Q90" s="16">
        <f>'IS (After Changes)'!Q90-'IS (Before Changes)'!Q90</f>
        <v>0</v>
      </c>
      <c r="R90" s="6">
        <f>'IS (After Changes)'!R90-'IS (Before Changes)'!R90</f>
        <v>0</v>
      </c>
      <c r="S90" s="16">
        <f>'IS (After Changes)'!S90-'IS (Before Changes)'!S90</f>
        <v>0</v>
      </c>
      <c r="T90" s="16">
        <f>'IS (After Changes)'!T90-'IS (Before Changes)'!T90</f>
        <v>0</v>
      </c>
      <c r="U90" s="16">
        <f>'IS (After Changes)'!U90-'IS (Before Changes)'!U90</f>
        <v>0</v>
      </c>
      <c r="V90" s="16">
        <f>'IS (After Changes)'!V90-'IS (Before Changes)'!V90</f>
        <v>0</v>
      </c>
      <c r="W90" s="254">
        <f>'IS (After Changes)'!W90-'IS (Before Changes)'!W90</f>
        <v>0</v>
      </c>
      <c r="X90" s="16">
        <f>'IS (After Changes)'!X90-'IS (Before Changes)'!X90</f>
        <v>0</v>
      </c>
      <c r="Y90" s="16">
        <f>'IS (After Changes)'!Y90-'IS (Before Changes)'!Y90</f>
        <v>0</v>
      </c>
      <c r="Z90" s="16">
        <f>'IS (After Changes)'!Z90-'IS (Before Changes)'!Z90</f>
        <v>0</v>
      </c>
      <c r="AA90" s="16">
        <f>'IS (After Changes)'!AA90-'IS (Before Changes)'!AA90</f>
        <v>0</v>
      </c>
      <c r="AB90" s="254">
        <f>'IS (After Changes)'!AB90-'IS (Before Changes)'!AB90</f>
        <v>0</v>
      </c>
      <c r="AC90" s="16">
        <f>'IS (After Changes)'!AC90-'IS (Before Changes)'!AC90</f>
        <v>0</v>
      </c>
      <c r="AD90" s="16">
        <f>'IS (After Changes)'!AD90-'IS (Before Changes)'!AD90</f>
        <v>0</v>
      </c>
      <c r="AE90" s="16">
        <f>'IS (After Changes)'!AE90-'IS (Before Changes)'!AE90</f>
        <v>0</v>
      </c>
      <c r="AF90" s="16">
        <f>'IS (After Changes)'!AF90-'IS (Before Changes)'!AF90</f>
        <v>0</v>
      </c>
      <c r="AG90" s="254">
        <f>'IS (After Changes)'!AG90-'IS (Before Changes)'!AG90</f>
        <v>0</v>
      </c>
      <c r="AH90" s="16">
        <f>'IS (After Changes)'!AH90-'IS (Before Changes)'!AH90</f>
        <v>0</v>
      </c>
      <c r="AI90" s="16">
        <f>'IS (After Changes)'!AI90-'IS (Before Changes)'!AI90</f>
        <v>0</v>
      </c>
      <c r="AJ90" s="16">
        <f>'IS (After Changes)'!AJ90-'IS (Before Changes)'!AJ90</f>
        <v>0</v>
      </c>
      <c r="AK90" s="16">
        <f>'IS (After Changes)'!AK90-'IS (Before Changes)'!AK90</f>
        <v>0</v>
      </c>
      <c r="AL90" s="254">
        <f>'IS (After Changes)'!AL90-'IS (Before Changes)'!AL90</f>
        <v>0</v>
      </c>
      <c r="AM90" s="16">
        <f>'IS (After Changes)'!AM90-'IS (Before Changes)'!AM90</f>
        <v>0</v>
      </c>
      <c r="AN90" s="16">
        <f>'IS (After Changes)'!AN90-'IS (Before Changes)'!AN90</f>
        <v>0</v>
      </c>
      <c r="AO90" s="16">
        <f>'IS (After Changes)'!AO90-'IS (Before Changes)'!AO90</f>
        <v>0</v>
      </c>
      <c r="AP90" s="16">
        <f>'IS (After Changes)'!AP90-'IS (Before Changes)'!AP90</f>
        <v>0</v>
      </c>
      <c r="AQ90" s="254">
        <f>'IS (After Changes)'!AQ90-'IS (Before Changes)'!AQ90</f>
        <v>0</v>
      </c>
      <c r="AR90" s="16">
        <f>'IS (After Changes)'!AR90-'IS (Before Changes)'!AR90</f>
        <v>0</v>
      </c>
      <c r="AS90" s="16">
        <f>'IS (After Changes)'!AS90-'IS (Before Changes)'!AS90</f>
        <v>0</v>
      </c>
      <c r="AT90" s="16">
        <f>'IS (After Changes)'!AT90-'IS (Before Changes)'!AT90</f>
        <v>0</v>
      </c>
      <c r="AU90" s="16">
        <f>'IS (After Changes)'!AU90-'IS (Before Changes)'!AU90</f>
        <v>0</v>
      </c>
      <c r="AV90" s="254">
        <f>'IS (After Changes)'!AV90-'IS (Before Changes)'!AV90</f>
        <v>0</v>
      </c>
    </row>
    <row r="91" spans="1:48" outlineLevel="1" x14ac:dyDescent="0.3">
      <c r="B91" s="180" t="s">
        <v>121</v>
      </c>
      <c r="C91" s="207"/>
      <c r="D91" s="21">
        <f>'IS (After Changes)'!D91-'IS (Before Changes)'!D91</f>
        <v>0</v>
      </c>
      <c r="E91" s="101">
        <f>'IS (After Changes)'!E91-'IS (Before Changes)'!E91</f>
        <v>0</v>
      </c>
      <c r="F91" s="101">
        <f>'IS (After Changes)'!F91-'IS (Before Changes)'!F91</f>
        <v>0</v>
      </c>
      <c r="G91" s="101">
        <f>'IS (After Changes)'!G91-'IS (Before Changes)'!G91</f>
        <v>0</v>
      </c>
      <c r="H91" s="122">
        <f>'IS (After Changes)'!H91-'IS (Before Changes)'!H91</f>
        <v>0</v>
      </c>
      <c r="I91" s="101">
        <f>'IS (After Changes)'!I91-'IS (Before Changes)'!I91</f>
        <v>0</v>
      </c>
      <c r="J91" s="101">
        <f>'IS (After Changes)'!J91-'IS (Before Changes)'!J91</f>
        <v>0</v>
      </c>
      <c r="K91" s="101">
        <f>'IS (After Changes)'!K91-'IS (Before Changes)'!K91</f>
        <v>0</v>
      </c>
      <c r="L91" s="101">
        <f>'IS (After Changes)'!L91-'IS (Before Changes)'!L91</f>
        <v>0</v>
      </c>
      <c r="M91" s="122">
        <f>'IS (After Changes)'!M91-'IS (Before Changes)'!M91</f>
        <v>0</v>
      </c>
      <c r="N91" s="101">
        <f>'IS (After Changes)'!N91-'IS (Before Changes)'!N91</f>
        <v>0</v>
      </c>
      <c r="O91" s="101">
        <f>'IS (After Changes)'!O91-'IS (Before Changes)'!O91</f>
        <v>0</v>
      </c>
      <c r="P91" s="101">
        <f>'IS (After Changes)'!P91-'IS (Before Changes)'!P91</f>
        <v>0</v>
      </c>
      <c r="Q91" s="101">
        <f>'IS (After Changes)'!Q91-'IS (Before Changes)'!Q91</f>
        <v>0</v>
      </c>
      <c r="R91" s="122">
        <f>'IS (After Changes)'!R91-'IS (Before Changes)'!R91</f>
        <v>0</v>
      </c>
      <c r="S91" s="16">
        <f>'IS (After Changes)'!S91-'IS (Before Changes)'!S91</f>
        <v>0</v>
      </c>
      <c r="T91" s="16">
        <f>'IS (After Changes)'!T91-'IS (Before Changes)'!T91</f>
        <v>0</v>
      </c>
      <c r="U91" s="16">
        <f>'IS (After Changes)'!U91-'IS (Before Changes)'!U91</f>
        <v>0</v>
      </c>
      <c r="V91" s="16">
        <f>'IS (After Changes)'!V91-'IS (Before Changes)'!V91</f>
        <v>0</v>
      </c>
      <c r="W91" s="122">
        <f>'IS (After Changes)'!W91-'IS (Before Changes)'!W91</f>
        <v>0</v>
      </c>
      <c r="X91" s="16">
        <f>'IS (After Changes)'!X91-'IS (Before Changes)'!X91</f>
        <v>0</v>
      </c>
      <c r="Y91" s="16">
        <f>'IS (After Changes)'!Y91-'IS (Before Changes)'!Y91</f>
        <v>0</v>
      </c>
      <c r="Z91" s="16">
        <f>'IS (After Changes)'!Z91-'IS (Before Changes)'!Z91</f>
        <v>0</v>
      </c>
      <c r="AA91" s="16">
        <f>'IS (After Changes)'!AA91-'IS (Before Changes)'!AA91</f>
        <v>0</v>
      </c>
      <c r="AB91" s="26">
        <f>'IS (After Changes)'!AB91-'IS (Before Changes)'!AB91</f>
        <v>0</v>
      </c>
      <c r="AC91" s="16">
        <f>'IS (After Changes)'!AC91-'IS (Before Changes)'!AC91</f>
        <v>0</v>
      </c>
      <c r="AD91" s="16">
        <f>'IS (After Changes)'!AD91-'IS (Before Changes)'!AD91</f>
        <v>0</v>
      </c>
      <c r="AE91" s="16">
        <f>'IS (After Changes)'!AE91-'IS (Before Changes)'!AE91</f>
        <v>0</v>
      </c>
      <c r="AF91" s="16">
        <f>'IS (After Changes)'!AF91-'IS (Before Changes)'!AF91</f>
        <v>0</v>
      </c>
      <c r="AG91" s="26">
        <f>'IS (After Changes)'!AG91-'IS (Before Changes)'!AG91</f>
        <v>0</v>
      </c>
      <c r="AH91" s="16">
        <f>'IS (After Changes)'!AH91-'IS (Before Changes)'!AH91</f>
        <v>0</v>
      </c>
      <c r="AI91" s="16">
        <f>'IS (After Changes)'!AI91-'IS (Before Changes)'!AI91</f>
        <v>0</v>
      </c>
      <c r="AJ91" s="16">
        <f>'IS (After Changes)'!AJ91-'IS (Before Changes)'!AJ91</f>
        <v>0</v>
      </c>
      <c r="AK91" s="16">
        <f>'IS (After Changes)'!AK91-'IS (Before Changes)'!AK91</f>
        <v>0</v>
      </c>
      <c r="AL91" s="26">
        <f>'IS (After Changes)'!AL91-'IS (Before Changes)'!AL91</f>
        <v>0</v>
      </c>
      <c r="AM91" s="16">
        <f>'IS (After Changes)'!AM91-'IS (Before Changes)'!AM91</f>
        <v>0</v>
      </c>
      <c r="AN91" s="16">
        <f>'IS (After Changes)'!AN91-'IS (Before Changes)'!AN91</f>
        <v>0</v>
      </c>
      <c r="AO91" s="16">
        <f>'IS (After Changes)'!AO91-'IS (Before Changes)'!AO91</f>
        <v>0</v>
      </c>
      <c r="AP91" s="16">
        <f>'IS (After Changes)'!AP91-'IS (Before Changes)'!AP91</f>
        <v>0</v>
      </c>
      <c r="AQ91" s="26">
        <f>'IS (After Changes)'!AQ91-'IS (Before Changes)'!AQ91</f>
        <v>0</v>
      </c>
      <c r="AR91" s="16">
        <f>'IS (After Changes)'!AR91-'IS (Before Changes)'!AR91</f>
        <v>0</v>
      </c>
      <c r="AS91" s="16">
        <f>'IS (After Changes)'!AS91-'IS (Before Changes)'!AS91</f>
        <v>0</v>
      </c>
      <c r="AT91" s="16">
        <f>'IS (After Changes)'!AT91-'IS (Before Changes)'!AT91</f>
        <v>0</v>
      </c>
      <c r="AU91" s="16">
        <f>'IS (After Changes)'!AU91-'IS (Before Changes)'!AU91</f>
        <v>0</v>
      </c>
      <c r="AV91" s="26">
        <f>'IS (After Changes)'!AV91-'IS (Before Changes)'!AV91</f>
        <v>0</v>
      </c>
    </row>
    <row r="92" spans="1:48" outlineLevel="1" x14ac:dyDescent="0.3">
      <c r="B92" s="502" t="s">
        <v>122</v>
      </c>
      <c r="C92" s="503"/>
      <c r="D92" s="21">
        <f>'IS (After Changes)'!D92-'IS (Before Changes)'!D92</f>
        <v>0</v>
      </c>
      <c r="E92" s="115">
        <f>'IS (After Changes)'!E92-'IS (Before Changes)'!E92</f>
        <v>0</v>
      </c>
      <c r="F92" s="115">
        <f>'IS (After Changes)'!F92-'IS (Before Changes)'!F92</f>
        <v>0</v>
      </c>
      <c r="G92" s="115">
        <f>'IS (After Changes)'!G92-'IS (Before Changes)'!G92</f>
        <v>0</v>
      </c>
      <c r="H92" s="213">
        <f>'IS (After Changes)'!H92-'IS (Before Changes)'!H92</f>
        <v>0</v>
      </c>
      <c r="I92" s="115">
        <f>'IS (After Changes)'!I92-'IS (Before Changes)'!I92</f>
        <v>0</v>
      </c>
      <c r="J92" s="115">
        <f>'IS (After Changes)'!J92-'IS (Before Changes)'!J92</f>
        <v>0</v>
      </c>
      <c r="K92" s="115">
        <f>'IS (After Changes)'!K92-'IS (Before Changes)'!K92</f>
        <v>0</v>
      </c>
      <c r="L92" s="115">
        <f>'IS (After Changes)'!L92-'IS (Before Changes)'!L92</f>
        <v>0</v>
      </c>
      <c r="M92" s="213">
        <f>'IS (After Changes)'!M92-'IS (Before Changes)'!M92</f>
        <v>0</v>
      </c>
      <c r="N92" s="115">
        <f>'IS (After Changes)'!N92-'IS (Before Changes)'!N92</f>
        <v>0</v>
      </c>
      <c r="O92" s="115">
        <f>'IS (After Changes)'!O92-'IS (Before Changes)'!O92</f>
        <v>0</v>
      </c>
      <c r="P92" s="115">
        <f>'IS (After Changes)'!P92-'IS (Before Changes)'!P92</f>
        <v>0</v>
      </c>
      <c r="Q92" s="115">
        <f>'IS (After Changes)'!Q92-'IS (Before Changes)'!Q92</f>
        <v>0</v>
      </c>
      <c r="R92" s="73">
        <f>'IS (After Changes)'!R92-'IS (Before Changes)'!R92</f>
        <v>0</v>
      </c>
      <c r="S92" s="72">
        <f>'IS (After Changes)'!S92-'IS (Before Changes)'!S92</f>
        <v>0</v>
      </c>
      <c r="T92" s="72">
        <f>'IS (After Changes)'!T92-'IS (Before Changes)'!T92</f>
        <v>0</v>
      </c>
      <c r="U92" s="72">
        <f>'IS (After Changes)'!U92-'IS (Before Changes)'!U92</f>
        <v>0</v>
      </c>
      <c r="V92" s="72">
        <f>'IS (After Changes)'!V92-'IS (Before Changes)'!V92</f>
        <v>0</v>
      </c>
      <c r="W92" s="213">
        <f>'IS (After Changes)'!W92-'IS (Before Changes)'!W92</f>
        <v>0</v>
      </c>
      <c r="X92" s="72">
        <f>'IS (After Changes)'!X92-'IS (Before Changes)'!X92</f>
        <v>0</v>
      </c>
      <c r="Y92" s="72">
        <f>'IS (After Changes)'!Y92-'IS (Before Changes)'!Y92</f>
        <v>0</v>
      </c>
      <c r="Z92" s="72">
        <f>'IS (After Changes)'!Z92-'IS (Before Changes)'!Z92</f>
        <v>0</v>
      </c>
      <c r="AA92" s="72">
        <f>'IS (After Changes)'!AA92-'IS (Before Changes)'!AA92</f>
        <v>0</v>
      </c>
      <c r="AB92" s="73">
        <f>'IS (After Changes)'!AB92-'IS (Before Changes)'!AB92</f>
        <v>0</v>
      </c>
      <c r="AC92" s="72">
        <f>'IS (After Changes)'!AC92-'IS (Before Changes)'!AC92</f>
        <v>0</v>
      </c>
      <c r="AD92" s="72">
        <f>'IS (After Changes)'!AD92-'IS (Before Changes)'!AD92</f>
        <v>0</v>
      </c>
      <c r="AE92" s="72">
        <f>'IS (After Changes)'!AE92-'IS (Before Changes)'!AE92</f>
        <v>0</v>
      </c>
      <c r="AF92" s="72">
        <f>'IS (After Changes)'!AF92-'IS (Before Changes)'!AF92</f>
        <v>0</v>
      </c>
      <c r="AG92" s="73">
        <f>'IS (After Changes)'!AG92-'IS (Before Changes)'!AG92</f>
        <v>0</v>
      </c>
      <c r="AH92" s="72">
        <f>'IS (After Changes)'!AH92-'IS (Before Changes)'!AH92</f>
        <v>0</v>
      </c>
      <c r="AI92" s="72">
        <f>'IS (After Changes)'!AI92-'IS (Before Changes)'!AI92</f>
        <v>0</v>
      </c>
      <c r="AJ92" s="72">
        <f>'IS (After Changes)'!AJ92-'IS (Before Changes)'!AJ92</f>
        <v>0</v>
      </c>
      <c r="AK92" s="72">
        <f>'IS (After Changes)'!AK92-'IS (Before Changes)'!AK92</f>
        <v>0</v>
      </c>
      <c r="AL92" s="73">
        <f>'IS (After Changes)'!AL92-'IS (Before Changes)'!AL92</f>
        <v>0</v>
      </c>
      <c r="AM92" s="72">
        <f>'IS (After Changes)'!AM92-'IS (Before Changes)'!AM92</f>
        <v>0</v>
      </c>
      <c r="AN92" s="72">
        <f>'IS (After Changes)'!AN92-'IS (Before Changes)'!AN92</f>
        <v>0</v>
      </c>
      <c r="AO92" s="72">
        <f>'IS (After Changes)'!AO92-'IS (Before Changes)'!AO92</f>
        <v>0</v>
      </c>
      <c r="AP92" s="72">
        <f>'IS (After Changes)'!AP92-'IS (Before Changes)'!AP92</f>
        <v>0</v>
      </c>
      <c r="AQ92" s="73">
        <f>'IS (After Changes)'!AQ92-'IS (Before Changes)'!AQ92</f>
        <v>0</v>
      </c>
      <c r="AR92" s="72">
        <f>'IS (After Changes)'!AR92-'IS (Before Changes)'!AR92</f>
        <v>0</v>
      </c>
      <c r="AS92" s="72">
        <f>'IS (After Changes)'!AS92-'IS (Before Changes)'!AS92</f>
        <v>0</v>
      </c>
      <c r="AT92" s="72">
        <f>'IS (After Changes)'!AT92-'IS (Before Changes)'!AT92</f>
        <v>0</v>
      </c>
      <c r="AU92" s="72">
        <f>'IS (After Changes)'!AU92-'IS (Before Changes)'!AU92</f>
        <v>0</v>
      </c>
      <c r="AV92" s="73">
        <f>'IS (After Changes)'!AV92-'IS (Before Changes)'!AV92</f>
        <v>0</v>
      </c>
    </row>
    <row r="93" spans="1:48" outlineLevel="1" x14ac:dyDescent="0.3">
      <c r="B93" s="504" t="s">
        <v>100</v>
      </c>
      <c r="C93" s="505"/>
      <c r="D93" s="21">
        <f>'IS (After Changes)'!D93-'IS (Before Changes)'!D93</f>
        <v>0</v>
      </c>
      <c r="E93" s="105">
        <f>'IS (After Changes)'!E93-'IS (Before Changes)'!E93</f>
        <v>0</v>
      </c>
      <c r="F93" s="105">
        <f>'IS (After Changes)'!F93-'IS (Before Changes)'!F93</f>
        <v>0</v>
      </c>
      <c r="G93" s="105">
        <f>'IS (After Changes)'!G93-'IS (Before Changes)'!G93</f>
        <v>0</v>
      </c>
      <c r="H93" s="129">
        <f>'IS (After Changes)'!H93-'IS (Before Changes)'!H93</f>
        <v>0</v>
      </c>
      <c r="I93" s="105">
        <f>'IS (After Changes)'!I93-'IS (Before Changes)'!I93</f>
        <v>0</v>
      </c>
      <c r="J93" s="105">
        <f>'IS (After Changes)'!J93-'IS (Before Changes)'!J93</f>
        <v>0</v>
      </c>
      <c r="K93" s="105">
        <f>'IS (After Changes)'!K93-'IS (Before Changes)'!K93</f>
        <v>0</v>
      </c>
      <c r="L93" s="105">
        <f>'IS (After Changes)'!L93-'IS (Before Changes)'!L93</f>
        <v>0</v>
      </c>
      <c r="M93" s="129">
        <f>'IS (After Changes)'!M93-'IS (Before Changes)'!M93</f>
        <v>0</v>
      </c>
      <c r="N93" s="105">
        <f>'IS (After Changes)'!N93-'IS (Before Changes)'!N93</f>
        <v>0</v>
      </c>
      <c r="O93" s="105">
        <f>'IS (After Changes)'!O93-'IS (Before Changes)'!O93</f>
        <v>0</v>
      </c>
      <c r="P93" s="105">
        <f>'IS (After Changes)'!P93-'IS (Before Changes)'!P93</f>
        <v>0</v>
      </c>
      <c r="Q93" s="105">
        <f>'IS (After Changes)'!Q93-'IS (Before Changes)'!Q93</f>
        <v>0</v>
      </c>
      <c r="R93" s="76">
        <f>'IS (After Changes)'!R93-'IS (Before Changes)'!R93</f>
        <v>0</v>
      </c>
      <c r="S93" s="48">
        <f>'IS (After Changes)'!S93-'IS (Before Changes)'!S93</f>
        <v>0</v>
      </c>
      <c r="T93" s="48">
        <f>'IS (After Changes)'!T93-'IS (Before Changes)'!T93</f>
        <v>0</v>
      </c>
      <c r="U93" s="48">
        <f>'IS (After Changes)'!U93-'IS (Before Changes)'!U93</f>
        <v>0</v>
      </c>
      <c r="V93" s="48">
        <f>'IS (After Changes)'!V93-'IS (Before Changes)'!V93</f>
        <v>0</v>
      </c>
      <c r="W93" s="76">
        <f>'IS (After Changes)'!W93-'IS (Before Changes)'!W93</f>
        <v>0</v>
      </c>
      <c r="X93" s="48">
        <f>'IS (After Changes)'!X93-'IS (Before Changes)'!X93</f>
        <v>0</v>
      </c>
      <c r="Y93" s="48">
        <f>'IS (After Changes)'!Y93-'IS (Before Changes)'!Y93</f>
        <v>0</v>
      </c>
      <c r="Z93" s="48">
        <f>'IS (After Changes)'!Z93-'IS (Before Changes)'!Z93</f>
        <v>0</v>
      </c>
      <c r="AA93" s="48">
        <f>'IS (After Changes)'!AA93-'IS (Before Changes)'!AA93</f>
        <v>0</v>
      </c>
      <c r="AB93" s="76">
        <f>'IS (After Changes)'!AB93-'IS (Before Changes)'!AB93</f>
        <v>0</v>
      </c>
      <c r="AC93" s="48">
        <f>'IS (After Changes)'!AC93-'IS (Before Changes)'!AC93</f>
        <v>0</v>
      </c>
      <c r="AD93" s="48">
        <f>'IS (After Changes)'!AD93-'IS (Before Changes)'!AD93</f>
        <v>0</v>
      </c>
      <c r="AE93" s="48">
        <f>'IS (After Changes)'!AE93-'IS (Before Changes)'!AE93</f>
        <v>0</v>
      </c>
      <c r="AF93" s="48">
        <f>'IS (After Changes)'!AF93-'IS (Before Changes)'!AF93</f>
        <v>0</v>
      </c>
      <c r="AG93" s="76">
        <f>'IS (After Changes)'!AG93-'IS (Before Changes)'!AG93</f>
        <v>0</v>
      </c>
      <c r="AH93" s="48">
        <f>'IS (After Changes)'!AH93-'IS (Before Changes)'!AH93</f>
        <v>0</v>
      </c>
      <c r="AI93" s="48">
        <f>'IS (After Changes)'!AI93-'IS (Before Changes)'!AI93</f>
        <v>0</v>
      </c>
      <c r="AJ93" s="48">
        <f>'IS (After Changes)'!AJ93-'IS (Before Changes)'!AJ93</f>
        <v>0</v>
      </c>
      <c r="AK93" s="48">
        <f>'IS (After Changes)'!AK93-'IS (Before Changes)'!AK93</f>
        <v>0</v>
      </c>
      <c r="AL93" s="76">
        <f>'IS (After Changes)'!AL93-'IS (Before Changes)'!AL93</f>
        <v>0</v>
      </c>
      <c r="AM93" s="48">
        <f>'IS (After Changes)'!AM93-'IS (Before Changes)'!AM93</f>
        <v>0</v>
      </c>
      <c r="AN93" s="48">
        <f>'IS (After Changes)'!AN93-'IS (Before Changes)'!AN93</f>
        <v>0</v>
      </c>
      <c r="AO93" s="48">
        <f>'IS (After Changes)'!AO93-'IS (Before Changes)'!AO93</f>
        <v>0</v>
      </c>
      <c r="AP93" s="48">
        <f>'IS (After Changes)'!AP93-'IS (Before Changes)'!AP93</f>
        <v>0</v>
      </c>
      <c r="AQ93" s="76">
        <f>'IS (After Changes)'!AQ93-'IS (Before Changes)'!AQ93</f>
        <v>0</v>
      </c>
      <c r="AR93" s="48">
        <f>'IS (After Changes)'!AR93-'IS (Before Changes)'!AR93</f>
        <v>0</v>
      </c>
      <c r="AS93" s="48">
        <f>'IS (After Changes)'!AS93-'IS (Before Changes)'!AS93</f>
        <v>0</v>
      </c>
      <c r="AT93" s="48">
        <f>'IS (After Changes)'!AT93-'IS (Before Changes)'!AT93</f>
        <v>0</v>
      </c>
      <c r="AU93" s="48">
        <f>'IS (After Changes)'!AU93-'IS (Before Changes)'!AU93</f>
        <v>0</v>
      </c>
      <c r="AV93" s="76">
        <f>'IS (After Changes)'!AV93-'IS (Before Changes)'!AV93</f>
        <v>0</v>
      </c>
    </row>
    <row r="94" spans="1:48" s="183" customFormat="1" outlineLevel="1" x14ac:dyDescent="0.3">
      <c r="A94" s="238"/>
      <c r="B94" s="181" t="s">
        <v>151</v>
      </c>
      <c r="C94" s="182"/>
      <c r="D94" s="21">
        <f>'IS (After Changes)'!D94-'IS (Before Changes)'!D94</f>
        <v>0</v>
      </c>
      <c r="E94" s="167">
        <f>'IS (After Changes)'!E94-'IS (Before Changes)'!E94</f>
        <v>0</v>
      </c>
      <c r="F94" s="167">
        <f>'IS (After Changes)'!F94-'IS (Before Changes)'!F94</f>
        <v>0</v>
      </c>
      <c r="G94" s="167">
        <f>'IS (After Changes)'!G94-'IS (Before Changes)'!G94</f>
        <v>0</v>
      </c>
      <c r="H94" s="186">
        <f>'IS (After Changes)'!H94-'IS (Before Changes)'!H94</f>
        <v>0</v>
      </c>
      <c r="I94" s="167">
        <f>'IS (After Changes)'!I94-'IS (Before Changes)'!I94</f>
        <v>0</v>
      </c>
      <c r="J94" s="167">
        <f>'IS (After Changes)'!J94-'IS (Before Changes)'!J94</f>
        <v>0</v>
      </c>
      <c r="K94" s="167">
        <f>'IS (After Changes)'!K94-'IS (Before Changes)'!K94</f>
        <v>0</v>
      </c>
      <c r="L94" s="167">
        <f>'IS (After Changes)'!L94-'IS (Before Changes)'!L94</f>
        <v>0</v>
      </c>
      <c r="M94" s="186">
        <f>'IS (After Changes)'!M94-'IS (Before Changes)'!M94</f>
        <v>0</v>
      </c>
      <c r="N94" s="167">
        <f>'IS (After Changes)'!N94-'IS (Before Changes)'!N94</f>
        <v>0</v>
      </c>
      <c r="O94" s="167">
        <f>'IS (After Changes)'!O94-'IS (Before Changes)'!O94</f>
        <v>0</v>
      </c>
      <c r="P94" s="167">
        <f>'IS (After Changes)'!P94-'IS (Before Changes)'!P94</f>
        <v>0</v>
      </c>
      <c r="Q94" s="167">
        <f>'IS (After Changes)'!Q94-'IS (Before Changes)'!Q94</f>
        <v>0</v>
      </c>
      <c r="R94" s="188">
        <f>'IS (After Changes)'!R94-'IS (Before Changes)'!R94</f>
        <v>0</v>
      </c>
      <c r="S94" s="167">
        <f>'IS (After Changes)'!S94-'IS (Before Changes)'!S94</f>
        <v>0</v>
      </c>
      <c r="T94" s="167">
        <f>'IS (After Changes)'!T94-'IS (Before Changes)'!T94</f>
        <v>0</v>
      </c>
      <c r="U94" s="167">
        <f>'IS (After Changes)'!U94-'IS (Before Changes)'!U94</f>
        <v>0</v>
      </c>
      <c r="V94" s="167">
        <f>'IS (After Changes)'!V94-'IS (Before Changes)'!V94</f>
        <v>0</v>
      </c>
      <c r="W94" s="188">
        <f>'IS (After Changes)'!W94-'IS (Before Changes)'!W94</f>
        <v>0</v>
      </c>
      <c r="X94" s="189">
        <f>'IS (After Changes)'!X94-'IS (Before Changes)'!X94</f>
        <v>0</v>
      </c>
      <c r="Y94" s="189">
        <f>'IS (After Changes)'!Y94-'IS (Before Changes)'!Y94</f>
        <v>0</v>
      </c>
      <c r="Z94" s="189">
        <f>'IS (After Changes)'!Z94-'IS (Before Changes)'!Z94</f>
        <v>0</v>
      </c>
      <c r="AA94" s="189">
        <f>'IS (After Changes)'!AA94-'IS (Before Changes)'!AA94</f>
        <v>0</v>
      </c>
      <c r="AB94" s="188">
        <f>'IS (After Changes)'!AB94-'IS (Before Changes)'!AB94</f>
        <v>0</v>
      </c>
      <c r="AC94" s="189">
        <f>'IS (After Changes)'!AC94-'IS (Before Changes)'!AC94</f>
        <v>0</v>
      </c>
      <c r="AD94" s="189">
        <f>'IS (After Changes)'!AD94-'IS (Before Changes)'!AD94</f>
        <v>0</v>
      </c>
      <c r="AE94" s="189">
        <f>'IS (After Changes)'!AE94-'IS (Before Changes)'!AE94</f>
        <v>0</v>
      </c>
      <c r="AF94" s="189">
        <f>'IS (After Changes)'!AF94-'IS (Before Changes)'!AF94</f>
        <v>0</v>
      </c>
      <c r="AG94" s="188">
        <f>'IS (After Changes)'!AG94-'IS (Before Changes)'!AG94</f>
        <v>0</v>
      </c>
      <c r="AH94" s="189">
        <f>'IS (After Changes)'!AH94-'IS (Before Changes)'!AH94</f>
        <v>0</v>
      </c>
      <c r="AI94" s="189">
        <f>'IS (After Changes)'!AI94-'IS (Before Changes)'!AI94</f>
        <v>0</v>
      </c>
      <c r="AJ94" s="189">
        <f>'IS (After Changes)'!AJ94-'IS (Before Changes)'!AJ94</f>
        <v>0</v>
      </c>
      <c r="AK94" s="189">
        <f>'IS (After Changes)'!AK94-'IS (Before Changes)'!AK94</f>
        <v>0</v>
      </c>
      <c r="AL94" s="188">
        <f>'IS (After Changes)'!AL94-'IS (Before Changes)'!AL94</f>
        <v>0</v>
      </c>
      <c r="AM94" s="189">
        <f>'IS (After Changes)'!AM94-'IS (Before Changes)'!AM94</f>
        <v>0</v>
      </c>
      <c r="AN94" s="189">
        <f>'IS (After Changes)'!AN94-'IS (Before Changes)'!AN94</f>
        <v>0</v>
      </c>
      <c r="AO94" s="189">
        <f>'IS (After Changes)'!AO94-'IS (Before Changes)'!AO94</f>
        <v>0</v>
      </c>
      <c r="AP94" s="189">
        <f>'IS (After Changes)'!AP94-'IS (Before Changes)'!AP94</f>
        <v>0</v>
      </c>
      <c r="AQ94" s="188">
        <f>'IS (After Changes)'!AQ94-'IS (Before Changes)'!AQ94</f>
        <v>0</v>
      </c>
      <c r="AR94" s="189">
        <f>'IS (After Changes)'!AR94-'IS (Before Changes)'!AR94</f>
        <v>0</v>
      </c>
      <c r="AS94" s="189">
        <f>'IS (After Changes)'!AS94-'IS (Before Changes)'!AS94</f>
        <v>0</v>
      </c>
      <c r="AT94" s="189">
        <f>'IS (After Changes)'!AT94-'IS (Before Changes)'!AT94</f>
        <v>0</v>
      </c>
      <c r="AU94" s="189">
        <f>'IS (After Changes)'!AU94-'IS (Before Changes)'!AU94</f>
        <v>0</v>
      </c>
      <c r="AV94" s="188">
        <f>'IS (After Changes)'!AV94-'IS (Before Changes)'!AV94</f>
        <v>0</v>
      </c>
    </row>
    <row r="95" spans="1:48" outlineLevel="1" x14ac:dyDescent="0.3">
      <c r="B95" s="180" t="s">
        <v>32</v>
      </c>
      <c r="C95" s="18"/>
      <c r="D95" s="21">
        <f>'IS (After Changes)'!D95-'IS (Before Changes)'!D95</f>
        <v>0</v>
      </c>
      <c r="E95" s="105">
        <f>'IS (After Changes)'!E95-'IS (Before Changes)'!E95</f>
        <v>0</v>
      </c>
      <c r="F95" s="105">
        <f>'IS (After Changes)'!F95-'IS (Before Changes)'!F95</f>
        <v>0</v>
      </c>
      <c r="G95" s="105">
        <f>'IS (After Changes)'!G95-'IS (Before Changes)'!G95</f>
        <v>0</v>
      </c>
      <c r="H95" s="170">
        <f>'IS (After Changes)'!H95-'IS (Before Changes)'!H95</f>
        <v>0</v>
      </c>
      <c r="I95" s="105">
        <f>'IS (After Changes)'!I95-'IS (Before Changes)'!I95</f>
        <v>0</v>
      </c>
      <c r="J95" s="105">
        <f>'IS (After Changes)'!J95-'IS (Before Changes)'!J95</f>
        <v>0</v>
      </c>
      <c r="K95" s="105">
        <f>'IS (After Changes)'!K95-'IS (Before Changes)'!K95</f>
        <v>0</v>
      </c>
      <c r="L95" s="105">
        <f>'IS (After Changes)'!L95-'IS (Before Changes)'!L95</f>
        <v>0</v>
      </c>
      <c r="M95" s="170">
        <f>'IS (After Changes)'!M95-'IS (Before Changes)'!M95</f>
        <v>0</v>
      </c>
      <c r="N95" s="105">
        <f>'IS (After Changes)'!N95-'IS (Before Changes)'!N95</f>
        <v>0</v>
      </c>
      <c r="O95" s="105">
        <f>'IS (After Changes)'!O95-'IS (Before Changes)'!O95</f>
        <v>0</v>
      </c>
      <c r="P95" s="105">
        <f>'IS (After Changes)'!P95-'IS (Before Changes)'!P95</f>
        <v>0</v>
      </c>
      <c r="Q95" s="105">
        <f>'IS (After Changes)'!Q95-'IS (Before Changes)'!Q95</f>
        <v>0</v>
      </c>
      <c r="R95" s="49">
        <f>'IS (After Changes)'!R95-'IS (Before Changes)'!R95</f>
        <v>0</v>
      </c>
      <c r="S95" s="48">
        <f>'IS (After Changes)'!S95-'IS (Before Changes)'!S95</f>
        <v>0</v>
      </c>
      <c r="T95" s="48">
        <f>'IS (After Changes)'!T95-'IS (Before Changes)'!T95</f>
        <v>0</v>
      </c>
      <c r="U95" s="48">
        <f>'IS (After Changes)'!U95-'IS (Before Changes)'!U95</f>
        <v>0</v>
      </c>
      <c r="V95" s="48">
        <f>'IS (After Changes)'!V95-'IS (Before Changes)'!V95</f>
        <v>0</v>
      </c>
      <c r="W95" s="49">
        <f>'IS (After Changes)'!W95-'IS (Before Changes)'!W95</f>
        <v>0</v>
      </c>
      <c r="X95" s="48">
        <f>'IS (After Changes)'!X95-'IS (Before Changes)'!X95</f>
        <v>0</v>
      </c>
      <c r="Y95" s="48">
        <f>'IS (After Changes)'!Y95-'IS (Before Changes)'!Y95</f>
        <v>0</v>
      </c>
      <c r="Z95" s="48">
        <f>'IS (After Changes)'!Z95-'IS (Before Changes)'!Z95</f>
        <v>0</v>
      </c>
      <c r="AA95" s="48">
        <f>'IS (After Changes)'!AA95-'IS (Before Changes)'!AA95</f>
        <v>0</v>
      </c>
      <c r="AB95" s="49">
        <f>'IS (After Changes)'!AB95-'IS (Before Changes)'!AB95</f>
        <v>0</v>
      </c>
      <c r="AC95" s="48">
        <f>'IS (After Changes)'!AC95-'IS (Before Changes)'!AC95</f>
        <v>0</v>
      </c>
      <c r="AD95" s="48">
        <f>'IS (After Changes)'!AD95-'IS (Before Changes)'!AD95</f>
        <v>0</v>
      </c>
      <c r="AE95" s="48">
        <f>'IS (After Changes)'!AE95-'IS (Before Changes)'!AE95</f>
        <v>0</v>
      </c>
      <c r="AF95" s="48">
        <f>'IS (After Changes)'!AF95-'IS (Before Changes)'!AF95</f>
        <v>0</v>
      </c>
      <c r="AG95" s="49">
        <f>'IS (After Changes)'!AG95-'IS (Before Changes)'!AG95</f>
        <v>0</v>
      </c>
      <c r="AH95" s="48">
        <f>'IS (After Changes)'!AH95-'IS (Before Changes)'!AH95</f>
        <v>0</v>
      </c>
      <c r="AI95" s="48">
        <f>'IS (After Changes)'!AI95-'IS (Before Changes)'!AI95</f>
        <v>0</v>
      </c>
      <c r="AJ95" s="48">
        <f>'IS (After Changes)'!AJ95-'IS (Before Changes)'!AJ95</f>
        <v>0</v>
      </c>
      <c r="AK95" s="48">
        <f>'IS (After Changes)'!AK95-'IS (Before Changes)'!AK95</f>
        <v>0</v>
      </c>
      <c r="AL95" s="49">
        <f>'IS (After Changes)'!AL95-'IS (Before Changes)'!AL95</f>
        <v>0</v>
      </c>
      <c r="AM95" s="48">
        <f>'IS (After Changes)'!AM95-'IS (Before Changes)'!AM95</f>
        <v>0</v>
      </c>
      <c r="AN95" s="48">
        <f>'IS (After Changes)'!AN95-'IS (Before Changes)'!AN95</f>
        <v>0</v>
      </c>
      <c r="AO95" s="48">
        <f>'IS (After Changes)'!AO95-'IS (Before Changes)'!AO95</f>
        <v>0</v>
      </c>
      <c r="AP95" s="48">
        <f>'IS (After Changes)'!AP95-'IS (Before Changes)'!AP95</f>
        <v>0</v>
      </c>
      <c r="AQ95" s="49">
        <f>'IS (After Changes)'!AQ95-'IS (Before Changes)'!AQ95</f>
        <v>0</v>
      </c>
      <c r="AR95" s="48">
        <f>'IS (After Changes)'!AR95-'IS (Before Changes)'!AR95</f>
        <v>0</v>
      </c>
      <c r="AS95" s="48">
        <f>'IS (After Changes)'!AS95-'IS (Before Changes)'!AS95</f>
        <v>0</v>
      </c>
      <c r="AT95" s="48">
        <f>'IS (After Changes)'!AT95-'IS (Before Changes)'!AT95</f>
        <v>0</v>
      </c>
      <c r="AU95" s="48">
        <f>'IS (After Changes)'!AU95-'IS (Before Changes)'!AU95</f>
        <v>0</v>
      </c>
      <c r="AV95" s="49">
        <f>'IS (After Changes)'!AV95-'IS (Before Changes)'!AV95</f>
        <v>0</v>
      </c>
    </row>
    <row r="96" spans="1:48" s="184" customFormat="1" outlineLevel="1" x14ac:dyDescent="0.3">
      <c r="B96" s="181" t="s">
        <v>150</v>
      </c>
      <c r="C96" s="190"/>
      <c r="D96" s="21">
        <f>'IS (After Changes)'!D96-'IS (Before Changes)'!D96</f>
        <v>0</v>
      </c>
      <c r="E96" s="167">
        <f>'IS (After Changes)'!E96-'IS (Before Changes)'!E96</f>
        <v>0</v>
      </c>
      <c r="F96" s="167">
        <f>'IS (After Changes)'!F96-'IS (Before Changes)'!F96</f>
        <v>0</v>
      </c>
      <c r="G96" s="167">
        <f>'IS (After Changes)'!G96-'IS (Before Changes)'!G96</f>
        <v>0</v>
      </c>
      <c r="H96" s="186">
        <f>'IS (After Changes)'!H96-'IS (Before Changes)'!H96</f>
        <v>0</v>
      </c>
      <c r="I96" s="167">
        <f>'IS (After Changes)'!I96-'IS (Before Changes)'!I96</f>
        <v>0</v>
      </c>
      <c r="J96" s="167">
        <f>'IS (After Changes)'!J96-'IS (Before Changes)'!J96</f>
        <v>0</v>
      </c>
      <c r="K96" s="167">
        <f>'IS (After Changes)'!K96-'IS (Before Changes)'!K96</f>
        <v>0</v>
      </c>
      <c r="L96" s="167">
        <f>'IS (After Changes)'!L96-'IS (Before Changes)'!L96</f>
        <v>0</v>
      </c>
      <c r="M96" s="186">
        <f>'IS (After Changes)'!M96-'IS (Before Changes)'!M96</f>
        <v>0</v>
      </c>
      <c r="N96" s="167">
        <f>'IS (After Changes)'!N96-'IS (Before Changes)'!N96</f>
        <v>0</v>
      </c>
      <c r="O96" s="167">
        <f>'IS (After Changes)'!O96-'IS (Before Changes)'!O96</f>
        <v>0</v>
      </c>
      <c r="P96" s="167">
        <f>'IS (After Changes)'!P96-'IS (Before Changes)'!P96</f>
        <v>0</v>
      </c>
      <c r="Q96" s="167">
        <f>'IS (After Changes)'!Q96-'IS (Before Changes)'!Q96</f>
        <v>0</v>
      </c>
      <c r="R96" s="188">
        <f>'IS (After Changes)'!R96-'IS (Before Changes)'!R96</f>
        <v>0</v>
      </c>
      <c r="S96" s="167">
        <f>'IS (After Changes)'!S96-'IS (Before Changes)'!S96</f>
        <v>0</v>
      </c>
      <c r="T96" s="167">
        <f>'IS (After Changes)'!T96-'IS (Before Changes)'!T96</f>
        <v>0</v>
      </c>
      <c r="U96" s="167">
        <f>'IS (After Changes)'!U96-'IS (Before Changes)'!U96</f>
        <v>0</v>
      </c>
      <c r="V96" s="167">
        <f>'IS (After Changes)'!V96-'IS (Before Changes)'!V96</f>
        <v>0</v>
      </c>
      <c r="W96" s="188">
        <f>'IS (After Changes)'!W96-'IS (Before Changes)'!W96</f>
        <v>0</v>
      </c>
      <c r="X96" s="189">
        <f>'IS (After Changes)'!X96-'IS (Before Changes)'!X96</f>
        <v>0</v>
      </c>
      <c r="Y96" s="189">
        <f>'IS (After Changes)'!Y96-'IS (Before Changes)'!Y96</f>
        <v>0</v>
      </c>
      <c r="Z96" s="189">
        <f>'IS (After Changes)'!Z96-'IS (Before Changes)'!Z96</f>
        <v>0</v>
      </c>
      <c r="AA96" s="189">
        <f>'IS (After Changes)'!AA96-'IS (Before Changes)'!AA96</f>
        <v>0</v>
      </c>
      <c r="AB96" s="188">
        <f>'IS (After Changes)'!AB96-'IS (Before Changes)'!AB96</f>
        <v>0</v>
      </c>
      <c r="AC96" s="189">
        <f>'IS (After Changes)'!AC96-'IS (Before Changes)'!AC96</f>
        <v>0</v>
      </c>
      <c r="AD96" s="189">
        <f>'IS (After Changes)'!AD96-'IS (Before Changes)'!AD96</f>
        <v>0</v>
      </c>
      <c r="AE96" s="189">
        <f>'IS (After Changes)'!AE96-'IS (Before Changes)'!AE96</f>
        <v>0</v>
      </c>
      <c r="AF96" s="189">
        <f>'IS (After Changes)'!AF96-'IS (Before Changes)'!AF96</f>
        <v>0</v>
      </c>
      <c r="AG96" s="188">
        <f>'IS (After Changes)'!AG96-'IS (Before Changes)'!AG96</f>
        <v>0</v>
      </c>
      <c r="AH96" s="189">
        <f>'IS (After Changes)'!AH96-'IS (Before Changes)'!AH96</f>
        <v>0</v>
      </c>
      <c r="AI96" s="189">
        <f>'IS (After Changes)'!AI96-'IS (Before Changes)'!AI96</f>
        <v>0</v>
      </c>
      <c r="AJ96" s="189">
        <f>'IS (After Changes)'!AJ96-'IS (Before Changes)'!AJ96</f>
        <v>0</v>
      </c>
      <c r="AK96" s="189">
        <f>'IS (After Changes)'!AK96-'IS (Before Changes)'!AK96</f>
        <v>0</v>
      </c>
      <c r="AL96" s="188">
        <f>'IS (After Changes)'!AL96-'IS (Before Changes)'!AL96</f>
        <v>0</v>
      </c>
      <c r="AM96" s="189">
        <f>'IS (After Changes)'!AM96-'IS (Before Changes)'!AM96</f>
        <v>0</v>
      </c>
      <c r="AN96" s="189">
        <f>'IS (After Changes)'!AN96-'IS (Before Changes)'!AN96</f>
        <v>0</v>
      </c>
      <c r="AO96" s="189">
        <f>'IS (After Changes)'!AO96-'IS (Before Changes)'!AO96</f>
        <v>0</v>
      </c>
      <c r="AP96" s="189">
        <f>'IS (After Changes)'!AP96-'IS (Before Changes)'!AP96</f>
        <v>0</v>
      </c>
      <c r="AQ96" s="188">
        <f>'IS (After Changes)'!AQ96-'IS (Before Changes)'!AQ96</f>
        <v>0</v>
      </c>
      <c r="AR96" s="189">
        <f>'IS (After Changes)'!AR96-'IS (Before Changes)'!AR96</f>
        <v>0</v>
      </c>
      <c r="AS96" s="189">
        <f>'IS (After Changes)'!AS96-'IS (Before Changes)'!AS96</f>
        <v>0</v>
      </c>
      <c r="AT96" s="189">
        <f>'IS (After Changes)'!AT96-'IS (Before Changes)'!AT96</f>
        <v>0</v>
      </c>
      <c r="AU96" s="189">
        <f>'IS (After Changes)'!AU96-'IS (Before Changes)'!AU96</f>
        <v>0</v>
      </c>
      <c r="AV96" s="188">
        <f>'IS (After Changes)'!AV96-'IS (Before Changes)'!AV96</f>
        <v>0</v>
      </c>
    </row>
    <row r="97" spans="1:48" outlineLevel="1" x14ac:dyDescent="0.3">
      <c r="B97" s="180" t="s">
        <v>33</v>
      </c>
      <c r="C97" s="18"/>
      <c r="D97" s="21">
        <f>'IS (After Changes)'!D97-'IS (Before Changes)'!D97</f>
        <v>0</v>
      </c>
      <c r="E97" s="105">
        <f>'IS (After Changes)'!E97-'IS (Before Changes)'!E97</f>
        <v>0</v>
      </c>
      <c r="F97" s="105">
        <f>'IS (After Changes)'!F97-'IS (Before Changes)'!F97</f>
        <v>0</v>
      </c>
      <c r="G97" s="105">
        <f>'IS (After Changes)'!G97-'IS (Before Changes)'!G97</f>
        <v>0</v>
      </c>
      <c r="H97" s="170">
        <f>'IS (After Changes)'!H97-'IS (Before Changes)'!H97</f>
        <v>0</v>
      </c>
      <c r="I97" s="105">
        <f>'IS (After Changes)'!I97-'IS (Before Changes)'!I97</f>
        <v>0</v>
      </c>
      <c r="J97" s="105">
        <f>'IS (After Changes)'!J97-'IS (Before Changes)'!J97</f>
        <v>0</v>
      </c>
      <c r="K97" s="105">
        <f>'IS (After Changes)'!K97-'IS (Before Changes)'!K97</f>
        <v>0</v>
      </c>
      <c r="L97" s="105">
        <f>'IS (After Changes)'!L97-'IS (Before Changes)'!L97</f>
        <v>0</v>
      </c>
      <c r="M97" s="170">
        <f>'IS (After Changes)'!M97-'IS (Before Changes)'!M97</f>
        <v>0</v>
      </c>
      <c r="N97" s="105">
        <f>'IS (After Changes)'!N97-'IS (Before Changes)'!N97</f>
        <v>0</v>
      </c>
      <c r="O97" s="105">
        <f>'IS (After Changes)'!O97-'IS (Before Changes)'!O97</f>
        <v>0</v>
      </c>
      <c r="P97" s="105">
        <f>'IS (After Changes)'!P97-'IS (Before Changes)'!P97</f>
        <v>0</v>
      </c>
      <c r="Q97" s="105">
        <f>'IS (After Changes)'!Q97-'IS (Before Changes)'!Q97</f>
        <v>0</v>
      </c>
      <c r="R97" s="49">
        <f>'IS (After Changes)'!R97-'IS (Before Changes)'!R97</f>
        <v>0</v>
      </c>
      <c r="S97" s="48">
        <f>'IS (After Changes)'!S97-'IS (Before Changes)'!S97</f>
        <v>0</v>
      </c>
      <c r="T97" s="48">
        <f>'IS (After Changes)'!T97-'IS (Before Changes)'!T97</f>
        <v>0</v>
      </c>
      <c r="U97" s="48">
        <f>'IS (After Changes)'!U97-'IS (Before Changes)'!U97</f>
        <v>0</v>
      </c>
      <c r="V97" s="48">
        <f>'IS (After Changes)'!V97-'IS (Before Changes)'!V97</f>
        <v>0</v>
      </c>
      <c r="W97" s="49">
        <f>'IS (After Changes)'!W97-'IS (Before Changes)'!W97</f>
        <v>0</v>
      </c>
      <c r="X97" s="48">
        <f>'IS (After Changes)'!X97-'IS (Before Changes)'!X97</f>
        <v>0</v>
      </c>
      <c r="Y97" s="48">
        <f>'IS (After Changes)'!Y97-'IS (Before Changes)'!Y97</f>
        <v>0</v>
      </c>
      <c r="Z97" s="48">
        <f>'IS (After Changes)'!Z97-'IS (Before Changes)'!Z97</f>
        <v>0</v>
      </c>
      <c r="AA97" s="48">
        <f>'IS (After Changes)'!AA97-'IS (Before Changes)'!AA97</f>
        <v>0</v>
      </c>
      <c r="AB97" s="49">
        <f>'IS (After Changes)'!AB97-'IS (Before Changes)'!AB97</f>
        <v>0</v>
      </c>
      <c r="AC97" s="48">
        <f>'IS (After Changes)'!AC97-'IS (Before Changes)'!AC97</f>
        <v>0</v>
      </c>
      <c r="AD97" s="48">
        <f>'IS (After Changes)'!AD97-'IS (Before Changes)'!AD97</f>
        <v>0</v>
      </c>
      <c r="AE97" s="48">
        <f>'IS (After Changes)'!AE97-'IS (Before Changes)'!AE97</f>
        <v>0</v>
      </c>
      <c r="AF97" s="48">
        <f>'IS (After Changes)'!AF97-'IS (Before Changes)'!AF97</f>
        <v>0</v>
      </c>
      <c r="AG97" s="49">
        <f>'IS (After Changes)'!AG97-'IS (Before Changes)'!AG97</f>
        <v>0</v>
      </c>
      <c r="AH97" s="48">
        <f>'IS (After Changes)'!AH97-'IS (Before Changes)'!AH97</f>
        <v>0</v>
      </c>
      <c r="AI97" s="48">
        <f>'IS (After Changes)'!AI97-'IS (Before Changes)'!AI97</f>
        <v>0</v>
      </c>
      <c r="AJ97" s="48">
        <f>'IS (After Changes)'!AJ97-'IS (Before Changes)'!AJ97</f>
        <v>0</v>
      </c>
      <c r="AK97" s="48">
        <f>'IS (After Changes)'!AK97-'IS (Before Changes)'!AK97</f>
        <v>0</v>
      </c>
      <c r="AL97" s="49">
        <f>'IS (After Changes)'!AL97-'IS (Before Changes)'!AL97</f>
        <v>0</v>
      </c>
      <c r="AM97" s="48">
        <f>'IS (After Changes)'!AM97-'IS (Before Changes)'!AM97</f>
        <v>0</v>
      </c>
      <c r="AN97" s="48">
        <f>'IS (After Changes)'!AN97-'IS (Before Changes)'!AN97</f>
        <v>0</v>
      </c>
      <c r="AO97" s="48">
        <f>'IS (After Changes)'!AO97-'IS (Before Changes)'!AO97</f>
        <v>0</v>
      </c>
      <c r="AP97" s="48">
        <f>'IS (After Changes)'!AP97-'IS (Before Changes)'!AP97</f>
        <v>0</v>
      </c>
      <c r="AQ97" s="49">
        <f>'IS (After Changes)'!AQ97-'IS (Before Changes)'!AQ97</f>
        <v>0</v>
      </c>
      <c r="AR97" s="48">
        <f>'IS (After Changes)'!AR97-'IS (Before Changes)'!AR97</f>
        <v>0</v>
      </c>
      <c r="AS97" s="48">
        <f>'IS (After Changes)'!AS97-'IS (Before Changes)'!AS97</f>
        <v>0</v>
      </c>
      <c r="AT97" s="48">
        <f>'IS (After Changes)'!AT97-'IS (Before Changes)'!AT97</f>
        <v>0</v>
      </c>
      <c r="AU97" s="48">
        <f>'IS (After Changes)'!AU97-'IS (Before Changes)'!AU97</f>
        <v>0</v>
      </c>
      <c r="AV97" s="49">
        <f>'IS (After Changes)'!AV97-'IS (Before Changes)'!AV97</f>
        <v>0</v>
      </c>
    </row>
    <row r="98" spans="1:48" s="184" customFormat="1" outlineLevel="1" x14ac:dyDescent="0.3">
      <c r="B98" s="181" t="s">
        <v>152</v>
      </c>
      <c r="C98" s="190"/>
      <c r="D98" s="21">
        <f>'IS (After Changes)'!D98-'IS (Before Changes)'!D98</f>
        <v>0</v>
      </c>
      <c r="E98" s="167">
        <f>'IS (After Changes)'!E98-'IS (Before Changes)'!E98</f>
        <v>0</v>
      </c>
      <c r="F98" s="167">
        <f>'IS (After Changes)'!F98-'IS (Before Changes)'!F98</f>
        <v>0</v>
      </c>
      <c r="G98" s="167">
        <f>'IS (After Changes)'!G98-'IS (Before Changes)'!G98</f>
        <v>0</v>
      </c>
      <c r="H98" s="186">
        <f>'IS (After Changes)'!H98-'IS (Before Changes)'!H98</f>
        <v>0</v>
      </c>
      <c r="I98" s="167">
        <f>'IS (After Changes)'!I98-'IS (Before Changes)'!I98</f>
        <v>0</v>
      </c>
      <c r="J98" s="167">
        <f>'IS (After Changes)'!J98-'IS (Before Changes)'!J98</f>
        <v>0</v>
      </c>
      <c r="K98" s="167">
        <f>'IS (After Changes)'!K98-'IS (Before Changes)'!K98</f>
        <v>0</v>
      </c>
      <c r="L98" s="167">
        <f>'IS (After Changes)'!L98-'IS (Before Changes)'!L98</f>
        <v>0</v>
      </c>
      <c r="M98" s="186">
        <f>'IS (After Changes)'!M98-'IS (Before Changes)'!M98</f>
        <v>0</v>
      </c>
      <c r="N98" s="167">
        <f>'IS (After Changes)'!N98-'IS (Before Changes)'!N98</f>
        <v>0</v>
      </c>
      <c r="O98" s="167">
        <f>'IS (After Changes)'!O98-'IS (Before Changes)'!O98</f>
        <v>0</v>
      </c>
      <c r="P98" s="167">
        <f>'IS (After Changes)'!P98-'IS (Before Changes)'!P98</f>
        <v>0</v>
      </c>
      <c r="Q98" s="167">
        <f>'IS (After Changes)'!Q98-'IS (Before Changes)'!Q98</f>
        <v>0</v>
      </c>
      <c r="R98" s="188">
        <f>'IS (After Changes)'!R98-'IS (Before Changes)'!R98</f>
        <v>0</v>
      </c>
      <c r="S98" s="167">
        <f>'IS (After Changes)'!S98-'IS (Before Changes)'!S98</f>
        <v>0</v>
      </c>
      <c r="T98" s="167">
        <f>'IS (After Changes)'!T98-'IS (Before Changes)'!T98</f>
        <v>0</v>
      </c>
      <c r="U98" s="167">
        <f>'IS (After Changes)'!U98-'IS (Before Changes)'!U98</f>
        <v>0</v>
      </c>
      <c r="V98" s="167">
        <f>'IS (After Changes)'!V98-'IS (Before Changes)'!V98</f>
        <v>0</v>
      </c>
      <c r="W98" s="188">
        <f>'IS (After Changes)'!W98-'IS (Before Changes)'!W98</f>
        <v>0</v>
      </c>
      <c r="X98" s="189">
        <f>'IS (After Changes)'!X98-'IS (Before Changes)'!X98</f>
        <v>0</v>
      </c>
      <c r="Y98" s="189">
        <f>'IS (After Changes)'!Y98-'IS (Before Changes)'!Y98</f>
        <v>0</v>
      </c>
      <c r="Z98" s="189">
        <f>'IS (After Changes)'!Z98-'IS (Before Changes)'!Z98</f>
        <v>0</v>
      </c>
      <c r="AA98" s="189">
        <f>'IS (After Changes)'!AA98-'IS (Before Changes)'!AA98</f>
        <v>0</v>
      </c>
      <c r="AB98" s="188">
        <f>'IS (After Changes)'!AB98-'IS (Before Changes)'!AB98</f>
        <v>0</v>
      </c>
      <c r="AC98" s="189">
        <f>'IS (After Changes)'!AC98-'IS (Before Changes)'!AC98</f>
        <v>0</v>
      </c>
      <c r="AD98" s="189">
        <f>'IS (After Changes)'!AD98-'IS (Before Changes)'!AD98</f>
        <v>0</v>
      </c>
      <c r="AE98" s="189">
        <f>'IS (After Changes)'!AE98-'IS (Before Changes)'!AE98</f>
        <v>0</v>
      </c>
      <c r="AF98" s="189">
        <f>'IS (After Changes)'!AF98-'IS (Before Changes)'!AF98</f>
        <v>0</v>
      </c>
      <c r="AG98" s="188">
        <f>'IS (After Changes)'!AG98-'IS (Before Changes)'!AG98</f>
        <v>0</v>
      </c>
      <c r="AH98" s="189">
        <f>'IS (After Changes)'!AH98-'IS (Before Changes)'!AH98</f>
        <v>0</v>
      </c>
      <c r="AI98" s="189">
        <f>'IS (After Changes)'!AI98-'IS (Before Changes)'!AI98</f>
        <v>0</v>
      </c>
      <c r="AJ98" s="189">
        <f>'IS (After Changes)'!AJ98-'IS (Before Changes)'!AJ98</f>
        <v>0</v>
      </c>
      <c r="AK98" s="189">
        <f>'IS (After Changes)'!AK98-'IS (Before Changes)'!AK98</f>
        <v>0</v>
      </c>
      <c r="AL98" s="188">
        <f>'IS (After Changes)'!AL98-'IS (Before Changes)'!AL98</f>
        <v>0</v>
      </c>
      <c r="AM98" s="189">
        <f>'IS (After Changes)'!AM98-'IS (Before Changes)'!AM98</f>
        <v>0</v>
      </c>
      <c r="AN98" s="189">
        <f>'IS (After Changes)'!AN98-'IS (Before Changes)'!AN98</f>
        <v>0</v>
      </c>
      <c r="AO98" s="189">
        <f>'IS (After Changes)'!AO98-'IS (Before Changes)'!AO98</f>
        <v>0</v>
      </c>
      <c r="AP98" s="189">
        <f>'IS (After Changes)'!AP98-'IS (Before Changes)'!AP98</f>
        <v>0</v>
      </c>
      <c r="AQ98" s="188">
        <f>'IS (After Changes)'!AQ98-'IS (Before Changes)'!AQ98</f>
        <v>0</v>
      </c>
      <c r="AR98" s="189">
        <f>'IS (After Changes)'!AR98-'IS (Before Changes)'!AR98</f>
        <v>0</v>
      </c>
      <c r="AS98" s="189">
        <f>'IS (After Changes)'!AS98-'IS (Before Changes)'!AS98</f>
        <v>0</v>
      </c>
      <c r="AT98" s="189">
        <f>'IS (After Changes)'!AT98-'IS (Before Changes)'!AT98</f>
        <v>0</v>
      </c>
      <c r="AU98" s="189">
        <f>'IS (After Changes)'!AU98-'IS (Before Changes)'!AU98</f>
        <v>0</v>
      </c>
      <c r="AV98" s="188">
        <f>'IS (After Changes)'!AV98-'IS (Before Changes)'!AV98</f>
        <v>0</v>
      </c>
    </row>
    <row r="99" spans="1:48" outlineLevel="1" x14ac:dyDescent="0.3">
      <c r="B99" s="180" t="s">
        <v>34</v>
      </c>
      <c r="C99" s="18"/>
      <c r="D99" s="21">
        <f>'IS (After Changes)'!D99-'IS (Before Changes)'!D99</f>
        <v>0</v>
      </c>
      <c r="E99" s="358">
        <f>'IS (After Changes)'!E99-'IS (Before Changes)'!E99</f>
        <v>0</v>
      </c>
      <c r="F99" s="358">
        <f>'IS (After Changes)'!F99-'IS (Before Changes)'!F99</f>
        <v>0</v>
      </c>
      <c r="G99" s="358">
        <f>'IS (After Changes)'!G99-'IS (Before Changes)'!G99</f>
        <v>0</v>
      </c>
      <c r="H99" s="126">
        <f>'IS (After Changes)'!H99-'IS (Before Changes)'!H99</f>
        <v>0</v>
      </c>
      <c r="I99" s="358">
        <f>'IS (After Changes)'!I99-'IS (Before Changes)'!I99</f>
        <v>0</v>
      </c>
      <c r="J99" s="358">
        <f>'IS (After Changes)'!J99-'IS (Before Changes)'!J99</f>
        <v>0</v>
      </c>
      <c r="K99" s="358">
        <f>'IS (After Changes)'!K99-'IS (Before Changes)'!K99</f>
        <v>0</v>
      </c>
      <c r="L99" s="358">
        <f>'IS (After Changes)'!L99-'IS (Before Changes)'!L99</f>
        <v>0</v>
      </c>
      <c r="M99" s="126">
        <f>'IS (After Changes)'!M99-'IS (Before Changes)'!M99</f>
        <v>0</v>
      </c>
      <c r="N99" s="358">
        <f>'IS (After Changes)'!N99-'IS (Before Changes)'!N99</f>
        <v>0</v>
      </c>
      <c r="O99" s="358">
        <f>'IS (After Changes)'!O99-'IS (Before Changes)'!O99</f>
        <v>0</v>
      </c>
      <c r="P99" s="358">
        <f>'IS (After Changes)'!P99-'IS (Before Changes)'!P99</f>
        <v>0</v>
      </c>
      <c r="Q99" s="358">
        <f>'IS (After Changes)'!Q99-'IS (Before Changes)'!Q99</f>
        <v>0</v>
      </c>
      <c r="R99" s="126">
        <f>'IS (After Changes)'!R99-'IS (Before Changes)'!R99</f>
        <v>0</v>
      </c>
      <c r="S99" s="358">
        <f>'IS (After Changes)'!S99-'IS (Before Changes)'!S99</f>
        <v>0</v>
      </c>
      <c r="T99" s="358">
        <f>'IS (After Changes)'!T99-'IS (Before Changes)'!T99</f>
        <v>0</v>
      </c>
      <c r="U99" s="358">
        <f>'IS (After Changes)'!U99-'IS (Before Changes)'!U99</f>
        <v>0</v>
      </c>
      <c r="V99" s="358">
        <f>'IS (After Changes)'!V99-'IS (Before Changes)'!V99</f>
        <v>0</v>
      </c>
      <c r="W99" s="126">
        <f>'IS (After Changes)'!W99-'IS (Before Changes)'!W99</f>
        <v>0</v>
      </c>
      <c r="X99" s="358">
        <f>'IS (After Changes)'!X99-'IS (Before Changes)'!X99</f>
        <v>0</v>
      </c>
      <c r="Y99" s="358">
        <f>'IS (After Changes)'!Y99-'IS (Before Changes)'!Y99</f>
        <v>3.8417421551571351E-2</v>
      </c>
      <c r="Z99" s="358">
        <f>'IS (After Changes)'!Z99-'IS (Before Changes)'!Z99</f>
        <v>7.20411679421602E-2</v>
      </c>
      <c r="AA99" s="358">
        <f>'IS (After Changes)'!AA99-'IS (Before Changes)'!AA99</f>
        <v>0.256553247986119</v>
      </c>
      <c r="AB99" s="126">
        <f>'IS (After Changes)'!AB99-'IS (Before Changes)'!AB99</f>
        <v>0.36701183747982213</v>
      </c>
      <c r="AC99" s="358">
        <f>'IS (After Changes)'!AC99-'IS (Before Changes)'!AC99</f>
        <v>0.43578265256877557</v>
      </c>
      <c r="AD99" s="358">
        <f>'IS (After Changes)'!AD99-'IS (Before Changes)'!AD99</f>
        <v>0.4911330264564242</v>
      </c>
      <c r="AE99" s="358">
        <f>'IS (After Changes)'!AE99-'IS (Before Changes)'!AE99</f>
        <v>0.53909759940762569</v>
      </c>
      <c r="AF99" s="358">
        <f>'IS (After Changes)'!AF99-'IS (Before Changes)'!AF99</f>
        <v>0.75537180222795541</v>
      </c>
      <c r="AG99" s="126">
        <f>'IS (After Changes)'!AG99-'IS (Before Changes)'!AG99</f>
        <v>2.2213850806607525</v>
      </c>
      <c r="AH99" s="358">
        <f>'IS (After Changes)'!AH99-'IS (Before Changes)'!AH99</f>
        <v>0.96096267742655073</v>
      </c>
      <c r="AI99" s="358">
        <f>'IS (After Changes)'!AI99-'IS (Before Changes)'!AI99</f>
        <v>1.0253864911433084</v>
      </c>
      <c r="AJ99" s="358">
        <f>'IS (After Changes)'!AJ99-'IS (Before Changes)'!AJ99</f>
        <v>1.0802905882160587</v>
      </c>
      <c r="AK99" s="358">
        <f>'IS (After Changes)'!AK99-'IS (Before Changes)'!AK99</f>
        <v>1.305704024685781</v>
      </c>
      <c r="AL99" s="126">
        <f>'IS (After Changes)'!AL99-'IS (Before Changes)'!AL99</f>
        <v>4.3723437814717272</v>
      </c>
      <c r="AM99" s="358">
        <f>'IS (After Changes)'!AM99-'IS (Before Changes)'!AM99</f>
        <v>1.5185593316399775</v>
      </c>
      <c r="AN99" s="358">
        <f>'IS (After Changes)'!AN99-'IS (Before Changes)'!AN99</f>
        <v>1.5608597175740897</v>
      </c>
      <c r="AO99" s="358">
        <f>'IS (After Changes)'!AO99-'IS (Before Changes)'!AO99</f>
        <v>1.5943429802420326</v>
      </c>
      <c r="AP99" s="358">
        <f>'IS (After Changes)'!AP99-'IS (Before Changes)'!AP99</f>
        <v>1.8141895818894511</v>
      </c>
      <c r="AQ99" s="126">
        <f>'IS (After Changes)'!AQ99-'IS (Before Changes)'!AQ99</f>
        <v>6.4879516113455793</v>
      </c>
      <c r="AR99" s="358">
        <f>'IS (After Changes)'!AR99-'IS (Before Changes)'!AR99</f>
        <v>2.0217934506569293</v>
      </c>
      <c r="AS99" s="358">
        <f>'IS (After Changes)'!AS99-'IS (Before Changes)'!AS99</f>
        <v>2.0433523905443849</v>
      </c>
      <c r="AT99" s="358">
        <f>'IS (After Changes)'!AT99-'IS (Before Changes)'!AT99</f>
        <v>2.0567126357958614</v>
      </c>
      <c r="AU99" s="358">
        <f>'IS (After Changes)'!AU99-'IS (Before Changes)'!AU99</f>
        <v>2.2697132394276025</v>
      </c>
      <c r="AV99" s="126">
        <f>'IS (After Changes)'!AV99-'IS (Before Changes)'!AV99</f>
        <v>8.3915717164247781</v>
      </c>
    </row>
    <row r="100" spans="1:48" outlineLevel="1" x14ac:dyDescent="0.3">
      <c r="B100" s="180" t="s">
        <v>35</v>
      </c>
      <c r="C100" s="18"/>
      <c r="D100" s="21">
        <f>'IS (After Changes)'!D100-'IS (Before Changes)'!D100</f>
        <v>0</v>
      </c>
      <c r="E100" s="105">
        <f>'IS (After Changes)'!E100-'IS (Before Changes)'!E100</f>
        <v>0</v>
      </c>
      <c r="F100" s="105">
        <f>'IS (After Changes)'!F100-'IS (Before Changes)'!F100</f>
        <v>0</v>
      </c>
      <c r="G100" s="105">
        <f>'IS (After Changes)'!G100-'IS (Before Changes)'!G100</f>
        <v>0</v>
      </c>
      <c r="H100" s="170">
        <f>'IS (After Changes)'!H100-'IS (Before Changes)'!H100</f>
        <v>0</v>
      </c>
      <c r="I100" s="105">
        <f>'IS (After Changes)'!I100-'IS (Before Changes)'!I100</f>
        <v>0</v>
      </c>
      <c r="J100" s="105">
        <f>'IS (After Changes)'!J100-'IS (Before Changes)'!J100</f>
        <v>0</v>
      </c>
      <c r="K100" s="105">
        <f>'IS (After Changes)'!K100-'IS (Before Changes)'!K100</f>
        <v>0</v>
      </c>
      <c r="L100" s="105">
        <f>'IS (After Changes)'!L100-'IS (Before Changes)'!L100</f>
        <v>0</v>
      </c>
      <c r="M100" s="170">
        <f>'IS (After Changes)'!M100-'IS (Before Changes)'!M100</f>
        <v>0</v>
      </c>
      <c r="N100" s="105">
        <f>'IS (After Changes)'!N100-'IS (Before Changes)'!N100</f>
        <v>0</v>
      </c>
      <c r="O100" s="105">
        <f>'IS (After Changes)'!O100-'IS (Before Changes)'!O100</f>
        <v>0</v>
      </c>
      <c r="P100" s="105">
        <f>'IS (After Changes)'!P100-'IS (Before Changes)'!P100</f>
        <v>0</v>
      </c>
      <c r="Q100" s="105">
        <f>'IS (After Changes)'!Q100-'IS (Before Changes)'!Q100</f>
        <v>0</v>
      </c>
      <c r="R100" s="49">
        <f>'IS (After Changes)'!R100-'IS (Before Changes)'!R100</f>
        <v>0</v>
      </c>
      <c r="S100" s="48">
        <f>'IS (After Changes)'!S100-'IS (Before Changes)'!S100</f>
        <v>0</v>
      </c>
      <c r="T100" s="48">
        <f>'IS (After Changes)'!T100-'IS (Before Changes)'!T100</f>
        <v>0</v>
      </c>
      <c r="U100" s="48">
        <f>'IS (After Changes)'!U100-'IS (Before Changes)'!U100</f>
        <v>0</v>
      </c>
      <c r="V100" s="48">
        <f>'IS (After Changes)'!V100-'IS (Before Changes)'!V100</f>
        <v>0</v>
      </c>
      <c r="W100" s="49">
        <f>'IS (After Changes)'!W100-'IS (Before Changes)'!W100</f>
        <v>0</v>
      </c>
      <c r="X100" s="48">
        <f>'IS (After Changes)'!X100-'IS (Before Changes)'!X100</f>
        <v>0</v>
      </c>
      <c r="Y100" s="48">
        <f>'IS (After Changes)'!Y100-'IS (Before Changes)'!Y100</f>
        <v>0</v>
      </c>
      <c r="Z100" s="48">
        <f>'IS (After Changes)'!Z100-'IS (Before Changes)'!Z100</f>
        <v>0</v>
      </c>
      <c r="AA100" s="48">
        <f>'IS (After Changes)'!AA100-'IS (Before Changes)'!AA100</f>
        <v>0</v>
      </c>
      <c r="AB100" s="49">
        <f>'IS (After Changes)'!AB100-'IS (Before Changes)'!AB100</f>
        <v>0</v>
      </c>
      <c r="AC100" s="48">
        <f>'IS (After Changes)'!AC100-'IS (Before Changes)'!AC100</f>
        <v>0</v>
      </c>
      <c r="AD100" s="48">
        <f>'IS (After Changes)'!AD100-'IS (Before Changes)'!AD100</f>
        <v>0</v>
      </c>
      <c r="AE100" s="48">
        <f>'IS (After Changes)'!AE100-'IS (Before Changes)'!AE100</f>
        <v>0</v>
      </c>
      <c r="AF100" s="48">
        <f>'IS (After Changes)'!AF100-'IS (Before Changes)'!AF100</f>
        <v>0</v>
      </c>
      <c r="AG100" s="49">
        <f>'IS (After Changes)'!AG100-'IS (Before Changes)'!AG100</f>
        <v>0</v>
      </c>
      <c r="AH100" s="48">
        <f>'IS (After Changes)'!AH100-'IS (Before Changes)'!AH100</f>
        <v>0</v>
      </c>
      <c r="AI100" s="48">
        <f>'IS (After Changes)'!AI100-'IS (Before Changes)'!AI100</f>
        <v>0</v>
      </c>
      <c r="AJ100" s="48">
        <f>'IS (After Changes)'!AJ100-'IS (Before Changes)'!AJ100</f>
        <v>0</v>
      </c>
      <c r="AK100" s="48">
        <f>'IS (After Changes)'!AK100-'IS (Before Changes)'!AK100</f>
        <v>0</v>
      </c>
      <c r="AL100" s="49">
        <f>'IS (After Changes)'!AL100-'IS (Before Changes)'!AL100</f>
        <v>0</v>
      </c>
      <c r="AM100" s="48">
        <f>'IS (After Changes)'!AM100-'IS (Before Changes)'!AM100</f>
        <v>0</v>
      </c>
      <c r="AN100" s="48">
        <f>'IS (After Changes)'!AN100-'IS (Before Changes)'!AN100</f>
        <v>0</v>
      </c>
      <c r="AO100" s="48">
        <f>'IS (After Changes)'!AO100-'IS (Before Changes)'!AO100</f>
        <v>0</v>
      </c>
      <c r="AP100" s="48">
        <f>'IS (After Changes)'!AP100-'IS (Before Changes)'!AP100</f>
        <v>0</v>
      </c>
      <c r="AQ100" s="49">
        <f>'IS (After Changes)'!AQ100-'IS (Before Changes)'!AQ100</f>
        <v>0</v>
      </c>
      <c r="AR100" s="48">
        <f>'IS (After Changes)'!AR100-'IS (Before Changes)'!AR100</f>
        <v>0</v>
      </c>
      <c r="AS100" s="48">
        <f>'IS (After Changes)'!AS100-'IS (Before Changes)'!AS100</f>
        <v>0</v>
      </c>
      <c r="AT100" s="48">
        <f>'IS (After Changes)'!AT100-'IS (Before Changes)'!AT100</f>
        <v>0</v>
      </c>
      <c r="AU100" s="48">
        <f>'IS (After Changes)'!AU100-'IS (Before Changes)'!AU100</f>
        <v>0</v>
      </c>
      <c r="AV100" s="49">
        <f>'IS (After Changes)'!AV100-'IS (Before Changes)'!AV100</f>
        <v>0</v>
      </c>
    </row>
    <row r="101" spans="1:48" s="184" customFormat="1" outlineLevel="1" x14ac:dyDescent="0.3">
      <c r="B101" s="181" t="s">
        <v>153</v>
      </c>
      <c r="C101" s="190"/>
      <c r="D101" s="21">
        <f>'IS (After Changes)'!D101-'IS (Before Changes)'!D101</f>
        <v>0</v>
      </c>
      <c r="E101" s="167">
        <f>'IS (After Changes)'!E101-'IS (Before Changes)'!E101</f>
        <v>0</v>
      </c>
      <c r="F101" s="167">
        <f>'IS (After Changes)'!F101-'IS (Before Changes)'!F101</f>
        <v>0</v>
      </c>
      <c r="G101" s="167">
        <f>'IS (After Changes)'!G101-'IS (Before Changes)'!G101</f>
        <v>0</v>
      </c>
      <c r="H101" s="186">
        <f>'IS (After Changes)'!H101-'IS (Before Changes)'!H101</f>
        <v>0</v>
      </c>
      <c r="I101" s="167">
        <f>'IS (After Changes)'!I101-'IS (Before Changes)'!I101</f>
        <v>0</v>
      </c>
      <c r="J101" s="167">
        <f>'IS (After Changes)'!J101-'IS (Before Changes)'!J101</f>
        <v>0</v>
      </c>
      <c r="K101" s="167">
        <f>'IS (After Changes)'!K101-'IS (Before Changes)'!K101</f>
        <v>0</v>
      </c>
      <c r="L101" s="167">
        <f>'IS (After Changes)'!L101-'IS (Before Changes)'!L101</f>
        <v>0</v>
      </c>
      <c r="M101" s="186">
        <f>'IS (After Changes)'!M101-'IS (Before Changes)'!M101</f>
        <v>0</v>
      </c>
      <c r="N101" s="167">
        <f>'IS (After Changes)'!N101-'IS (Before Changes)'!N101</f>
        <v>0</v>
      </c>
      <c r="O101" s="167">
        <f>'IS (After Changes)'!O101-'IS (Before Changes)'!O101</f>
        <v>0</v>
      </c>
      <c r="P101" s="167">
        <f>'IS (After Changes)'!P101-'IS (Before Changes)'!P101</f>
        <v>0</v>
      </c>
      <c r="Q101" s="167">
        <f>'IS (After Changes)'!Q101-'IS (Before Changes)'!Q101</f>
        <v>0</v>
      </c>
      <c r="R101" s="188">
        <f>'IS (After Changes)'!R101-'IS (Before Changes)'!R101</f>
        <v>0</v>
      </c>
      <c r="S101" s="167">
        <f>'IS (After Changes)'!S101-'IS (Before Changes)'!S101</f>
        <v>0</v>
      </c>
      <c r="T101" s="167">
        <f>'IS (After Changes)'!T101-'IS (Before Changes)'!T101</f>
        <v>0</v>
      </c>
      <c r="U101" s="167">
        <f>'IS (After Changes)'!U101-'IS (Before Changes)'!U101</f>
        <v>0</v>
      </c>
      <c r="V101" s="167">
        <f>'IS (After Changes)'!V101-'IS (Before Changes)'!V101</f>
        <v>0</v>
      </c>
      <c r="W101" s="188">
        <f>'IS (After Changes)'!W101-'IS (Before Changes)'!W101</f>
        <v>0</v>
      </c>
      <c r="X101" s="189">
        <f>'IS (After Changes)'!X101-'IS (Before Changes)'!X101</f>
        <v>0</v>
      </c>
      <c r="Y101" s="189">
        <f>'IS (After Changes)'!Y101-'IS (Before Changes)'!Y101</f>
        <v>0</v>
      </c>
      <c r="Z101" s="189">
        <f>'IS (After Changes)'!Z101-'IS (Before Changes)'!Z101</f>
        <v>0</v>
      </c>
      <c r="AA101" s="189">
        <f>'IS (After Changes)'!AA101-'IS (Before Changes)'!AA101</f>
        <v>0</v>
      </c>
      <c r="AB101" s="188">
        <f>'IS (After Changes)'!AB101-'IS (Before Changes)'!AB101</f>
        <v>0</v>
      </c>
      <c r="AC101" s="189">
        <f>'IS (After Changes)'!AC101-'IS (Before Changes)'!AC101</f>
        <v>0</v>
      </c>
      <c r="AD101" s="189">
        <f>'IS (After Changes)'!AD101-'IS (Before Changes)'!AD101</f>
        <v>0</v>
      </c>
      <c r="AE101" s="189">
        <f>'IS (After Changes)'!AE101-'IS (Before Changes)'!AE101</f>
        <v>0</v>
      </c>
      <c r="AF101" s="189">
        <f>'IS (After Changes)'!AF101-'IS (Before Changes)'!AF101</f>
        <v>0</v>
      </c>
      <c r="AG101" s="188">
        <f>'IS (After Changes)'!AG101-'IS (Before Changes)'!AG101</f>
        <v>0</v>
      </c>
      <c r="AH101" s="189">
        <f>'IS (After Changes)'!AH101-'IS (Before Changes)'!AH101</f>
        <v>0</v>
      </c>
      <c r="AI101" s="189">
        <f>'IS (After Changes)'!AI101-'IS (Before Changes)'!AI101</f>
        <v>0</v>
      </c>
      <c r="AJ101" s="189">
        <f>'IS (After Changes)'!AJ101-'IS (Before Changes)'!AJ101</f>
        <v>0</v>
      </c>
      <c r="AK101" s="189">
        <f>'IS (After Changes)'!AK101-'IS (Before Changes)'!AK101</f>
        <v>0</v>
      </c>
      <c r="AL101" s="188">
        <f>'IS (After Changes)'!AL101-'IS (Before Changes)'!AL101</f>
        <v>0</v>
      </c>
      <c r="AM101" s="189">
        <f>'IS (After Changes)'!AM101-'IS (Before Changes)'!AM101</f>
        <v>0</v>
      </c>
      <c r="AN101" s="189">
        <f>'IS (After Changes)'!AN101-'IS (Before Changes)'!AN101</f>
        <v>0</v>
      </c>
      <c r="AO101" s="189">
        <f>'IS (After Changes)'!AO101-'IS (Before Changes)'!AO101</f>
        <v>0</v>
      </c>
      <c r="AP101" s="189">
        <f>'IS (After Changes)'!AP101-'IS (Before Changes)'!AP101</f>
        <v>0</v>
      </c>
      <c r="AQ101" s="188">
        <f>'IS (After Changes)'!AQ101-'IS (Before Changes)'!AQ101</f>
        <v>0</v>
      </c>
      <c r="AR101" s="189">
        <f>'IS (After Changes)'!AR101-'IS (Before Changes)'!AR101</f>
        <v>0</v>
      </c>
      <c r="AS101" s="189">
        <f>'IS (After Changes)'!AS101-'IS (Before Changes)'!AS101</f>
        <v>0</v>
      </c>
      <c r="AT101" s="189">
        <f>'IS (After Changes)'!AT101-'IS (Before Changes)'!AT101</f>
        <v>0</v>
      </c>
      <c r="AU101" s="189">
        <f>'IS (After Changes)'!AU101-'IS (Before Changes)'!AU101</f>
        <v>0</v>
      </c>
      <c r="AV101" s="188">
        <f>'IS (After Changes)'!AV101-'IS (Before Changes)'!AV101</f>
        <v>0</v>
      </c>
    </row>
    <row r="102" spans="1:48" ht="16.2" outlineLevel="1" x14ac:dyDescent="0.45">
      <c r="B102" s="180" t="s">
        <v>42</v>
      </c>
      <c r="C102" s="18"/>
      <c r="D102" s="21">
        <f>'IS (After Changes)'!D102-'IS (Before Changes)'!D102</f>
        <v>0</v>
      </c>
      <c r="E102" s="119">
        <f>'IS (After Changes)'!E102-'IS (Before Changes)'!E102</f>
        <v>0</v>
      </c>
      <c r="F102" s="119">
        <f>'IS (After Changes)'!F102-'IS (Before Changes)'!F102</f>
        <v>0</v>
      </c>
      <c r="G102" s="119">
        <f>'IS (After Changes)'!G102-'IS (Before Changes)'!G102</f>
        <v>0</v>
      </c>
      <c r="H102" s="131">
        <f>'IS (After Changes)'!H102-'IS (Before Changes)'!H102</f>
        <v>0</v>
      </c>
      <c r="I102" s="119">
        <f>'IS (After Changes)'!I102-'IS (Before Changes)'!I102</f>
        <v>0</v>
      </c>
      <c r="J102" s="119">
        <f>'IS (After Changes)'!J102-'IS (Before Changes)'!J102</f>
        <v>0</v>
      </c>
      <c r="K102" s="119">
        <f>'IS (After Changes)'!K102-'IS (Before Changes)'!K102</f>
        <v>0</v>
      </c>
      <c r="L102" s="119">
        <f>'IS (After Changes)'!L102-'IS (Before Changes)'!L102</f>
        <v>0</v>
      </c>
      <c r="M102" s="131">
        <f>'IS (After Changes)'!M102-'IS (Before Changes)'!M102</f>
        <v>0</v>
      </c>
      <c r="N102" s="119">
        <f>'IS (After Changes)'!N102-'IS (Before Changes)'!N102</f>
        <v>0</v>
      </c>
      <c r="O102" s="119">
        <f>'IS (After Changes)'!O102-'IS (Before Changes)'!O102</f>
        <v>0</v>
      </c>
      <c r="P102" s="119">
        <f>'IS (After Changes)'!P102-'IS (Before Changes)'!P102</f>
        <v>0</v>
      </c>
      <c r="Q102" s="119">
        <f>'IS (After Changes)'!Q102-'IS (Before Changes)'!Q102</f>
        <v>0</v>
      </c>
      <c r="R102" s="131">
        <f>'IS (After Changes)'!R102-'IS (Before Changes)'!R102</f>
        <v>0</v>
      </c>
      <c r="S102" s="119">
        <f>'IS (After Changes)'!S102-'IS (Before Changes)'!S102</f>
        <v>0</v>
      </c>
      <c r="T102" s="119">
        <f>'IS (After Changes)'!T102-'IS (Before Changes)'!T102</f>
        <v>0</v>
      </c>
      <c r="U102" s="119">
        <f>'IS (After Changes)'!U102-'IS (Before Changes)'!U102</f>
        <v>0</v>
      </c>
      <c r="V102" s="119">
        <f>'IS (After Changes)'!V102-'IS (Before Changes)'!V102</f>
        <v>0</v>
      </c>
      <c r="W102" s="131">
        <f>'IS (After Changes)'!W102-'IS (Before Changes)'!W102</f>
        <v>0</v>
      </c>
      <c r="X102" s="119">
        <f>'IS (After Changes)'!X102-'IS (Before Changes)'!X102</f>
        <v>0</v>
      </c>
      <c r="Y102" s="119">
        <f>'IS (After Changes)'!Y102-'IS (Before Changes)'!Y102</f>
        <v>0</v>
      </c>
      <c r="Z102" s="119">
        <f>'IS (After Changes)'!Z102-'IS (Before Changes)'!Z102</f>
        <v>0</v>
      </c>
      <c r="AA102" s="119">
        <f>'IS (After Changes)'!AA102-'IS (Before Changes)'!AA102</f>
        <v>0</v>
      </c>
      <c r="AB102" s="131">
        <f>'IS (After Changes)'!AB102-'IS (Before Changes)'!AB102</f>
        <v>0</v>
      </c>
      <c r="AC102" s="119">
        <f>'IS (After Changes)'!AC102-'IS (Before Changes)'!AC102</f>
        <v>0</v>
      </c>
      <c r="AD102" s="119">
        <f>'IS (After Changes)'!AD102-'IS (Before Changes)'!AD102</f>
        <v>0</v>
      </c>
      <c r="AE102" s="119">
        <f>'IS (After Changes)'!AE102-'IS (Before Changes)'!AE102</f>
        <v>0</v>
      </c>
      <c r="AF102" s="119">
        <f>'IS (After Changes)'!AF102-'IS (Before Changes)'!AF102</f>
        <v>0</v>
      </c>
      <c r="AG102" s="131">
        <f>'IS (After Changes)'!AG102-'IS (Before Changes)'!AG102</f>
        <v>0</v>
      </c>
      <c r="AH102" s="119">
        <f>'IS (After Changes)'!AH102-'IS (Before Changes)'!AH102</f>
        <v>0</v>
      </c>
      <c r="AI102" s="119">
        <f>'IS (After Changes)'!AI102-'IS (Before Changes)'!AI102</f>
        <v>0</v>
      </c>
      <c r="AJ102" s="119">
        <f>'IS (After Changes)'!AJ102-'IS (Before Changes)'!AJ102</f>
        <v>0</v>
      </c>
      <c r="AK102" s="119">
        <f>'IS (After Changes)'!AK102-'IS (Before Changes)'!AK102</f>
        <v>0</v>
      </c>
      <c r="AL102" s="131">
        <f>'IS (After Changes)'!AL102-'IS (Before Changes)'!AL102</f>
        <v>0</v>
      </c>
      <c r="AM102" s="119">
        <f>'IS (After Changes)'!AM102-'IS (Before Changes)'!AM102</f>
        <v>0</v>
      </c>
      <c r="AN102" s="119">
        <f>'IS (After Changes)'!AN102-'IS (Before Changes)'!AN102</f>
        <v>0</v>
      </c>
      <c r="AO102" s="119">
        <f>'IS (After Changes)'!AO102-'IS (Before Changes)'!AO102</f>
        <v>0</v>
      </c>
      <c r="AP102" s="119">
        <f>'IS (After Changes)'!AP102-'IS (Before Changes)'!AP102</f>
        <v>0</v>
      </c>
      <c r="AQ102" s="131">
        <f>'IS (After Changes)'!AQ102-'IS (Before Changes)'!AQ102</f>
        <v>0</v>
      </c>
      <c r="AR102" s="119">
        <f>'IS (After Changes)'!AR102-'IS (Before Changes)'!AR102</f>
        <v>0</v>
      </c>
      <c r="AS102" s="119">
        <f>'IS (After Changes)'!AS102-'IS (Before Changes)'!AS102</f>
        <v>0</v>
      </c>
      <c r="AT102" s="119">
        <f>'IS (After Changes)'!AT102-'IS (Before Changes)'!AT102</f>
        <v>0</v>
      </c>
      <c r="AU102" s="119">
        <f>'IS (After Changes)'!AU102-'IS (Before Changes)'!AU102</f>
        <v>0</v>
      </c>
      <c r="AV102" s="131">
        <f>'IS (After Changes)'!AV102-'IS (Before Changes)'!AV102</f>
        <v>0</v>
      </c>
    </row>
    <row r="103" spans="1:48" outlineLevel="1" x14ac:dyDescent="0.3">
      <c r="B103" s="46" t="s">
        <v>123</v>
      </c>
      <c r="C103" s="19"/>
      <c r="D103" s="21">
        <f>'IS (After Changes)'!D103-'IS (Before Changes)'!D103</f>
        <v>0</v>
      </c>
      <c r="E103" s="103">
        <f>'IS (After Changes)'!E103-'IS (Before Changes)'!E103</f>
        <v>0</v>
      </c>
      <c r="F103" s="103">
        <f>'IS (After Changes)'!F103-'IS (Before Changes)'!F103</f>
        <v>0</v>
      </c>
      <c r="G103" s="103">
        <f>'IS (After Changes)'!G103-'IS (Before Changes)'!G103</f>
        <v>0</v>
      </c>
      <c r="H103" s="171">
        <f>'IS (After Changes)'!H103-'IS (Before Changes)'!H103</f>
        <v>0</v>
      </c>
      <c r="I103" s="103">
        <f>'IS (After Changes)'!I103-'IS (Before Changes)'!I103</f>
        <v>0</v>
      </c>
      <c r="J103" s="103">
        <f>'IS (After Changes)'!J103-'IS (Before Changes)'!J103</f>
        <v>0</v>
      </c>
      <c r="K103" s="103">
        <f>'IS (After Changes)'!K103-'IS (Before Changes)'!K103</f>
        <v>0</v>
      </c>
      <c r="L103" s="103">
        <f>'IS (After Changes)'!L103-'IS (Before Changes)'!L103</f>
        <v>0</v>
      </c>
      <c r="M103" s="171">
        <f>'IS (After Changes)'!M103-'IS (Before Changes)'!M103</f>
        <v>0</v>
      </c>
      <c r="N103" s="103">
        <f>'IS (After Changes)'!N103-'IS (Before Changes)'!N103</f>
        <v>0</v>
      </c>
      <c r="O103" s="103">
        <f>'IS (After Changes)'!O103-'IS (Before Changes)'!O103</f>
        <v>0</v>
      </c>
      <c r="P103" s="103">
        <f>'IS (After Changes)'!P103-'IS (Before Changes)'!P103</f>
        <v>0</v>
      </c>
      <c r="Q103" s="103">
        <f>'IS (After Changes)'!Q103-'IS (Before Changes)'!Q103</f>
        <v>0</v>
      </c>
      <c r="R103" s="171">
        <f>'IS (After Changes)'!R103-'IS (Before Changes)'!R103</f>
        <v>0</v>
      </c>
      <c r="S103" s="103">
        <f>'IS (After Changes)'!S103-'IS (Before Changes)'!S103</f>
        <v>0</v>
      </c>
      <c r="T103" s="103">
        <f>'IS (After Changes)'!T103-'IS (Before Changes)'!T103</f>
        <v>0</v>
      </c>
      <c r="U103" s="103">
        <f>'IS (After Changes)'!U103-'IS (Before Changes)'!U103</f>
        <v>0</v>
      </c>
      <c r="V103" s="103">
        <f>'IS (After Changes)'!V103-'IS (Before Changes)'!V103</f>
        <v>0</v>
      </c>
      <c r="W103" s="171">
        <f>'IS (After Changes)'!W103-'IS (Before Changes)'!W103</f>
        <v>0</v>
      </c>
      <c r="X103" s="103">
        <f>'IS (After Changes)'!X103-'IS (Before Changes)'!X103</f>
        <v>0</v>
      </c>
      <c r="Y103" s="103">
        <f>'IS (After Changes)'!Y103-'IS (Before Changes)'!Y103</f>
        <v>3.8417421551685038E-2</v>
      </c>
      <c r="Z103" s="103">
        <f>'IS (After Changes)'!Z103-'IS (Before Changes)'!Z103</f>
        <v>7.2041167942188622E-2</v>
      </c>
      <c r="AA103" s="103">
        <f>'IS (After Changes)'!AA103-'IS (Before Changes)'!AA103</f>
        <v>0.25655324798617585</v>
      </c>
      <c r="AB103" s="171">
        <f>'IS (After Changes)'!AB103-'IS (Before Changes)'!AB103</f>
        <v>0.36701183747936739</v>
      </c>
      <c r="AC103" s="103">
        <f>'IS (After Changes)'!AC103-'IS (Before Changes)'!AC103</f>
        <v>0.43578265256883242</v>
      </c>
      <c r="AD103" s="103">
        <f>'IS (After Changes)'!AD103-'IS (Before Changes)'!AD103</f>
        <v>0.4911330264562821</v>
      </c>
      <c r="AE103" s="103">
        <f>'IS (After Changes)'!AE103-'IS (Before Changes)'!AE103</f>
        <v>0.53909759940734148</v>
      </c>
      <c r="AF103" s="103">
        <f>'IS (After Changes)'!AF103-'IS (Before Changes)'!AF103</f>
        <v>0.75537180222818279</v>
      </c>
      <c r="AG103" s="171">
        <f>'IS (After Changes)'!AG103-'IS (Before Changes)'!AG103</f>
        <v>2.221385080662003</v>
      </c>
      <c r="AH103" s="103">
        <f>'IS (After Changes)'!AH103-'IS (Before Changes)'!AH103</f>
        <v>0.96096267742632335</v>
      </c>
      <c r="AI103" s="103">
        <f>'IS (After Changes)'!AI103-'IS (Before Changes)'!AI103</f>
        <v>1.0253864911433084</v>
      </c>
      <c r="AJ103" s="103">
        <f>'IS (After Changes)'!AJ103-'IS (Before Changes)'!AJ103</f>
        <v>1.0802905882160303</v>
      </c>
      <c r="AK103" s="103">
        <f>'IS (After Changes)'!AK103-'IS (Before Changes)'!AK103</f>
        <v>1.3057040246858378</v>
      </c>
      <c r="AL103" s="171">
        <f>'IS (After Changes)'!AL103-'IS (Before Changes)'!AL103</f>
        <v>4.3723437814714998</v>
      </c>
      <c r="AM103" s="103">
        <f>'IS (After Changes)'!AM103-'IS (Before Changes)'!AM103</f>
        <v>1.518559331639608</v>
      </c>
      <c r="AN103" s="103">
        <f>'IS (After Changes)'!AN103-'IS (Before Changes)'!AN103</f>
        <v>1.5608597175742034</v>
      </c>
      <c r="AO103" s="103">
        <f>'IS (After Changes)'!AO103-'IS (Before Changes)'!AO103</f>
        <v>1.5943429802423452</v>
      </c>
      <c r="AP103" s="103">
        <f>'IS (After Changes)'!AP103-'IS (Before Changes)'!AP103</f>
        <v>1.8141895818894227</v>
      </c>
      <c r="AQ103" s="171">
        <f>'IS (After Changes)'!AQ103-'IS (Before Changes)'!AQ103</f>
        <v>6.4879516113469435</v>
      </c>
      <c r="AR103" s="103">
        <f>'IS (After Changes)'!AR103-'IS (Before Changes)'!AR103</f>
        <v>2.0217934506572419</v>
      </c>
      <c r="AS103" s="103">
        <f>'IS (After Changes)'!AS103-'IS (Before Changes)'!AS103</f>
        <v>2.0433523905444417</v>
      </c>
      <c r="AT103" s="103">
        <f>'IS (After Changes)'!AT103-'IS (Before Changes)'!AT103</f>
        <v>2.0567126357959751</v>
      </c>
      <c r="AU103" s="103">
        <f>'IS (After Changes)'!AU103-'IS (Before Changes)'!AU103</f>
        <v>2.2697132394278015</v>
      </c>
      <c r="AV103" s="171">
        <f>'IS (After Changes)'!AV103-'IS (Before Changes)'!AV103</f>
        <v>8.3915717164254602</v>
      </c>
    </row>
    <row r="104" spans="1:48" ht="16.2" outlineLevel="1" x14ac:dyDescent="0.45">
      <c r="B104" s="180" t="s">
        <v>36</v>
      </c>
      <c r="C104" s="18"/>
      <c r="D104" s="21">
        <f>'IS (After Changes)'!D104-'IS (Before Changes)'!D104</f>
        <v>0</v>
      </c>
      <c r="E104" s="104">
        <f>'IS (After Changes)'!E104-'IS (Before Changes)'!E104</f>
        <v>0</v>
      </c>
      <c r="F104" s="104">
        <f>'IS (After Changes)'!F104-'IS (Before Changes)'!F104</f>
        <v>0</v>
      </c>
      <c r="G104" s="104">
        <f>'IS (After Changes)'!G104-'IS (Before Changes)'!G104</f>
        <v>0</v>
      </c>
      <c r="H104" s="214">
        <f>'IS (After Changes)'!H104-'IS (Before Changes)'!H104</f>
        <v>0</v>
      </c>
      <c r="I104" s="104">
        <f>'IS (After Changes)'!I104-'IS (Before Changes)'!I104</f>
        <v>0</v>
      </c>
      <c r="J104" s="104">
        <f>'IS (After Changes)'!J104-'IS (Before Changes)'!J104</f>
        <v>0</v>
      </c>
      <c r="K104" s="104">
        <f>'IS (After Changes)'!K104-'IS (Before Changes)'!K104</f>
        <v>0</v>
      </c>
      <c r="L104" s="104">
        <f>'IS (After Changes)'!L104-'IS (Before Changes)'!L104</f>
        <v>0</v>
      </c>
      <c r="M104" s="214">
        <f>'IS (After Changes)'!M104-'IS (Before Changes)'!M104</f>
        <v>0</v>
      </c>
      <c r="N104" s="104">
        <f>'IS (After Changes)'!N104-'IS (Before Changes)'!N104</f>
        <v>0</v>
      </c>
      <c r="O104" s="104">
        <f>'IS (After Changes)'!O104-'IS (Before Changes)'!O104</f>
        <v>0</v>
      </c>
      <c r="P104" s="104">
        <f>'IS (After Changes)'!P104-'IS (Before Changes)'!P104</f>
        <v>0</v>
      </c>
      <c r="Q104" s="104">
        <f>'IS (After Changes)'!Q104-'IS (Before Changes)'!Q104</f>
        <v>0</v>
      </c>
      <c r="R104" s="193">
        <f>'IS (After Changes)'!R104-'IS (Before Changes)'!R104</f>
        <v>0</v>
      </c>
      <c r="S104" s="104">
        <f>'IS (After Changes)'!S104-'IS (Before Changes)'!S104</f>
        <v>0</v>
      </c>
      <c r="T104" s="104">
        <f>'IS (After Changes)'!T104-'IS (Before Changes)'!T104</f>
        <v>0</v>
      </c>
      <c r="U104" s="104">
        <f>'IS (After Changes)'!U104-'IS (Before Changes)'!U104</f>
        <v>0</v>
      </c>
      <c r="V104" s="104">
        <f>'IS (After Changes)'!V104-'IS (Before Changes)'!V104</f>
        <v>0</v>
      </c>
      <c r="W104" s="193">
        <f>'IS (After Changes)'!W104-'IS (Before Changes)'!W104</f>
        <v>0</v>
      </c>
      <c r="X104" s="56">
        <f>'IS (After Changes)'!X104-'IS (Before Changes)'!X104</f>
        <v>0</v>
      </c>
      <c r="Y104" s="56">
        <f>'IS (After Changes)'!Y104-'IS (Before Changes)'!Y104</f>
        <v>0</v>
      </c>
      <c r="Z104" s="56">
        <f>'IS (After Changes)'!Z104-'IS (Before Changes)'!Z104</f>
        <v>0</v>
      </c>
      <c r="AA104" s="56">
        <f>'IS (After Changes)'!AA104-'IS (Before Changes)'!AA104</f>
        <v>0</v>
      </c>
      <c r="AB104" s="193">
        <f>'IS (After Changes)'!AB104-'IS (Before Changes)'!AB104</f>
        <v>0</v>
      </c>
      <c r="AC104" s="56">
        <f>'IS (After Changes)'!AC104-'IS (Before Changes)'!AC104</f>
        <v>0</v>
      </c>
      <c r="AD104" s="56">
        <f>'IS (After Changes)'!AD104-'IS (Before Changes)'!AD104</f>
        <v>0</v>
      </c>
      <c r="AE104" s="56">
        <f>'IS (After Changes)'!AE104-'IS (Before Changes)'!AE104</f>
        <v>0</v>
      </c>
      <c r="AF104" s="56">
        <f>'IS (After Changes)'!AF104-'IS (Before Changes)'!AF104</f>
        <v>0</v>
      </c>
      <c r="AG104" s="193">
        <f>'IS (After Changes)'!AG104-'IS (Before Changes)'!AG104</f>
        <v>0</v>
      </c>
      <c r="AH104" s="56">
        <f>'IS (After Changes)'!AH104-'IS (Before Changes)'!AH104</f>
        <v>0</v>
      </c>
      <c r="AI104" s="56">
        <f>'IS (After Changes)'!AI104-'IS (Before Changes)'!AI104</f>
        <v>0</v>
      </c>
      <c r="AJ104" s="56">
        <f>'IS (After Changes)'!AJ104-'IS (Before Changes)'!AJ104</f>
        <v>0</v>
      </c>
      <c r="AK104" s="56">
        <f>'IS (After Changes)'!AK104-'IS (Before Changes)'!AK104</f>
        <v>0</v>
      </c>
      <c r="AL104" s="193">
        <f>'IS (After Changes)'!AL104-'IS (Before Changes)'!AL104</f>
        <v>0</v>
      </c>
      <c r="AM104" s="56">
        <f>'IS (After Changes)'!AM104-'IS (Before Changes)'!AM104</f>
        <v>0</v>
      </c>
      <c r="AN104" s="56">
        <f>'IS (After Changes)'!AN104-'IS (Before Changes)'!AN104</f>
        <v>0</v>
      </c>
      <c r="AO104" s="56">
        <f>'IS (After Changes)'!AO104-'IS (Before Changes)'!AO104</f>
        <v>0</v>
      </c>
      <c r="AP104" s="56">
        <f>'IS (After Changes)'!AP104-'IS (Before Changes)'!AP104</f>
        <v>0</v>
      </c>
      <c r="AQ104" s="193">
        <f>'IS (After Changes)'!AQ104-'IS (Before Changes)'!AQ104</f>
        <v>0</v>
      </c>
      <c r="AR104" s="56">
        <f>'IS (After Changes)'!AR104-'IS (Before Changes)'!AR104</f>
        <v>0</v>
      </c>
      <c r="AS104" s="56">
        <f>'IS (After Changes)'!AS104-'IS (Before Changes)'!AS104</f>
        <v>0</v>
      </c>
      <c r="AT104" s="56">
        <f>'IS (After Changes)'!AT104-'IS (Before Changes)'!AT104</f>
        <v>0</v>
      </c>
      <c r="AU104" s="56">
        <f>'IS (After Changes)'!AU104-'IS (Before Changes)'!AU104</f>
        <v>0</v>
      </c>
      <c r="AV104" s="193">
        <f>'IS (After Changes)'!AV104-'IS (Before Changes)'!AV104</f>
        <v>0</v>
      </c>
    </row>
    <row r="105" spans="1:48" outlineLevel="1" x14ac:dyDescent="0.3">
      <c r="B105" s="46" t="s">
        <v>124</v>
      </c>
      <c r="C105" s="44"/>
      <c r="D105" s="21">
        <f>'IS (After Changes)'!D105-'IS (Before Changes)'!D105</f>
        <v>0</v>
      </c>
      <c r="E105" s="156">
        <f>'IS (After Changes)'!E105-'IS (Before Changes)'!E105</f>
        <v>0</v>
      </c>
      <c r="F105" s="156">
        <f>'IS (After Changes)'!F105-'IS (Before Changes)'!F105</f>
        <v>0</v>
      </c>
      <c r="G105" s="156">
        <f>'IS (After Changes)'!G105-'IS (Before Changes)'!G105</f>
        <v>0</v>
      </c>
      <c r="H105" s="132">
        <f>'IS (After Changes)'!H105-'IS (Before Changes)'!H105</f>
        <v>0</v>
      </c>
      <c r="I105" s="156">
        <f>'IS (After Changes)'!I105-'IS (Before Changes)'!I105</f>
        <v>0</v>
      </c>
      <c r="J105" s="156">
        <f>'IS (After Changes)'!J105-'IS (Before Changes)'!J105</f>
        <v>0</v>
      </c>
      <c r="K105" s="156">
        <f>'IS (After Changes)'!K105-'IS (Before Changes)'!K105</f>
        <v>0</v>
      </c>
      <c r="L105" s="156">
        <f>'IS (After Changes)'!L105-'IS (Before Changes)'!L105</f>
        <v>0</v>
      </c>
      <c r="M105" s="132">
        <f>'IS (After Changes)'!M105-'IS (Before Changes)'!M105</f>
        <v>0</v>
      </c>
      <c r="N105" s="156">
        <f>'IS (After Changes)'!N105-'IS (Before Changes)'!N105</f>
        <v>0</v>
      </c>
      <c r="O105" s="156">
        <f>'IS (After Changes)'!O105-'IS (Before Changes)'!O105</f>
        <v>0</v>
      </c>
      <c r="P105" s="156">
        <f>'IS (After Changes)'!P105-'IS (Before Changes)'!P105</f>
        <v>0</v>
      </c>
      <c r="Q105" s="156">
        <f>'IS (After Changes)'!Q105-'IS (Before Changes)'!Q105</f>
        <v>0</v>
      </c>
      <c r="R105" s="97">
        <f>'IS (After Changes)'!R105-'IS (Before Changes)'!R105</f>
        <v>0</v>
      </c>
      <c r="S105" s="74">
        <f>'IS (After Changes)'!S105-'IS (Before Changes)'!S105</f>
        <v>0</v>
      </c>
      <c r="T105" s="74">
        <f>'IS (After Changes)'!T105-'IS (Before Changes)'!T105</f>
        <v>0</v>
      </c>
      <c r="U105" s="74">
        <f>'IS (After Changes)'!U105-'IS (Before Changes)'!U105</f>
        <v>0</v>
      </c>
      <c r="V105" s="74">
        <f>'IS (After Changes)'!V105-'IS (Before Changes)'!V105</f>
        <v>0</v>
      </c>
      <c r="W105" s="97">
        <f>'IS (After Changes)'!W105-'IS (Before Changes)'!W105</f>
        <v>0</v>
      </c>
      <c r="X105" s="74">
        <f>'IS (After Changes)'!X105-'IS (Before Changes)'!X105</f>
        <v>0</v>
      </c>
      <c r="Y105" s="74">
        <f>'IS (After Changes)'!Y105-'IS (Before Changes)'!Y105</f>
        <v>-3.8417421551685038E-2</v>
      </c>
      <c r="Z105" s="74">
        <f>'IS (After Changes)'!Z105-'IS (Before Changes)'!Z105</f>
        <v>-7.2041167942188622E-2</v>
      </c>
      <c r="AA105" s="74">
        <f>'IS (After Changes)'!AA105-'IS (Before Changes)'!AA105</f>
        <v>-0.25655324798617585</v>
      </c>
      <c r="AB105" s="97">
        <f>'IS (After Changes)'!AB105-'IS (Before Changes)'!AB105</f>
        <v>-0.36701183748004951</v>
      </c>
      <c r="AC105" s="74">
        <f>'IS (After Changes)'!AC105-'IS (Before Changes)'!AC105</f>
        <v>-0.43578265256883242</v>
      </c>
      <c r="AD105" s="74">
        <f>'IS (After Changes)'!AD105-'IS (Before Changes)'!AD105</f>
        <v>-0.4911330264562821</v>
      </c>
      <c r="AE105" s="74">
        <f>'IS (After Changes)'!AE105-'IS (Before Changes)'!AE105</f>
        <v>-0.53909759940734148</v>
      </c>
      <c r="AF105" s="74">
        <f>'IS (After Changes)'!AF105-'IS (Before Changes)'!AF105</f>
        <v>-0.75537180222818279</v>
      </c>
      <c r="AG105" s="97">
        <f>'IS (After Changes)'!AG105-'IS (Before Changes)'!AG105</f>
        <v>-2.2213850806606388</v>
      </c>
      <c r="AH105" s="74">
        <f>'IS (After Changes)'!AH105-'IS (Before Changes)'!AH105</f>
        <v>-0.96096267742632335</v>
      </c>
      <c r="AI105" s="74">
        <f>'IS (After Changes)'!AI105-'IS (Before Changes)'!AI105</f>
        <v>-1.0253864911433084</v>
      </c>
      <c r="AJ105" s="74">
        <f>'IS (After Changes)'!AJ105-'IS (Before Changes)'!AJ105</f>
        <v>-1.0802905882160303</v>
      </c>
      <c r="AK105" s="74">
        <f>'IS (After Changes)'!AK105-'IS (Before Changes)'!AK105</f>
        <v>-1.3057040246858378</v>
      </c>
      <c r="AL105" s="97">
        <f>'IS (After Changes)'!AL105-'IS (Before Changes)'!AL105</f>
        <v>-4.3723437814714998</v>
      </c>
      <c r="AM105" s="74">
        <f>'IS (After Changes)'!AM105-'IS (Before Changes)'!AM105</f>
        <v>-1.518559331639608</v>
      </c>
      <c r="AN105" s="74">
        <f>'IS (After Changes)'!AN105-'IS (Before Changes)'!AN105</f>
        <v>-1.5608597175742034</v>
      </c>
      <c r="AO105" s="74">
        <f>'IS (After Changes)'!AO105-'IS (Before Changes)'!AO105</f>
        <v>-1.5943429802423452</v>
      </c>
      <c r="AP105" s="74">
        <f>'IS (After Changes)'!AP105-'IS (Before Changes)'!AP105</f>
        <v>-1.8141895818894227</v>
      </c>
      <c r="AQ105" s="97">
        <f>'IS (After Changes)'!AQ105-'IS (Before Changes)'!AQ105</f>
        <v>-6.4879516113455793</v>
      </c>
      <c r="AR105" s="74">
        <f>'IS (After Changes)'!AR105-'IS (Before Changes)'!AR105</f>
        <v>-2.0217934506572419</v>
      </c>
      <c r="AS105" s="74">
        <f>'IS (After Changes)'!AS105-'IS (Before Changes)'!AS105</f>
        <v>-2.0433523905444417</v>
      </c>
      <c r="AT105" s="74">
        <f>'IS (After Changes)'!AT105-'IS (Before Changes)'!AT105</f>
        <v>-2.0567126357959751</v>
      </c>
      <c r="AU105" s="74">
        <f>'IS (After Changes)'!AU105-'IS (Before Changes)'!AU105</f>
        <v>-2.2697132394278015</v>
      </c>
      <c r="AV105" s="97">
        <f>'IS (After Changes)'!AV105-'IS (Before Changes)'!AV105</f>
        <v>-8.3915717164254602</v>
      </c>
    </row>
    <row r="106" spans="1:48" outlineLevel="1" x14ac:dyDescent="0.3">
      <c r="B106" s="46" t="s">
        <v>125</v>
      </c>
      <c r="C106" s="44"/>
      <c r="D106" s="21">
        <f>'IS (After Changes)'!D106-'IS (Before Changes)'!D106</f>
        <v>0</v>
      </c>
      <c r="E106" s="157">
        <f>'IS (After Changes)'!E106-'IS (Before Changes)'!E106</f>
        <v>0</v>
      </c>
      <c r="F106" s="157">
        <f>'IS (After Changes)'!F106-'IS (Before Changes)'!F106</f>
        <v>0</v>
      </c>
      <c r="G106" s="157">
        <f>'IS (After Changes)'!G106-'IS (Before Changes)'!G106</f>
        <v>0</v>
      </c>
      <c r="H106" s="133">
        <f>'IS (After Changes)'!H106-'IS (Before Changes)'!H106</f>
        <v>0</v>
      </c>
      <c r="I106" s="157">
        <f>'IS (After Changes)'!I106-'IS (Before Changes)'!I106</f>
        <v>0</v>
      </c>
      <c r="J106" s="157">
        <f>'IS (After Changes)'!J106-'IS (Before Changes)'!J106</f>
        <v>0</v>
      </c>
      <c r="K106" s="157">
        <f>'IS (After Changes)'!K106-'IS (Before Changes)'!K106</f>
        <v>0</v>
      </c>
      <c r="L106" s="157">
        <f>'IS (After Changes)'!L106-'IS (Before Changes)'!L106</f>
        <v>0</v>
      </c>
      <c r="M106" s="133">
        <f>'IS (After Changes)'!M106-'IS (Before Changes)'!M106</f>
        <v>0</v>
      </c>
      <c r="N106" s="157">
        <f>'IS (After Changes)'!N106-'IS (Before Changes)'!N106</f>
        <v>0</v>
      </c>
      <c r="O106" s="157">
        <f>'IS (After Changes)'!O106-'IS (Before Changes)'!O106</f>
        <v>0</v>
      </c>
      <c r="P106" s="157">
        <f>'IS (After Changes)'!P106-'IS (Before Changes)'!P106</f>
        <v>0</v>
      </c>
      <c r="Q106" s="157">
        <f>'IS (After Changes)'!Q106-'IS (Before Changes)'!Q106</f>
        <v>0</v>
      </c>
      <c r="R106" s="98">
        <f>'IS (After Changes)'!R106-'IS (Before Changes)'!R106</f>
        <v>0</v>
      </c>
      <c r="S106" s="75">
        <f>'IS (After Changes)'!S106-'IS (Before Changes)'!S106</f>
        <v>0</v>
      </c>
      <c r="T106" s="75">
        <f>'IS (After Changes)'!T106-'IS (Before Changes)'!T106</f>
        <v>0</v>
      </c>
      <c r="U106" s="75">
        <f>'IS (After Changes)'!U106-'IS (Before Changes)'!U106</f>
        <v>0</v>
      </c>
      <c r="V106" s="75">
        <f>'IS (After Changes)'!V106-'IS (Before Changes)'!V106</f>
        <v>0</v>
      </c>
      <c r="W106" s="98">
        <f>'IS (After Changes)'!W106-'IS (Before Changes)'!W106</f>
        <v>0</v>
      </c>
      <c r="X106" s="75">
        <f>'IS (After Changes)'!X106-'IS (Before Changes)'!X106</f>
        <v>0</v>
      </c>
      <c r="Y106" s="75">
        <f>'IS (After Changes)'!Y106-'IS (Before Changes)'!Y106</f>
        <v>-2.0434771094646198E-5</v>
      </c>
      <c r="Z106" s="75">
        <f>'IS (After Changes)'!Z106-'IS (Before Changes)'!Z106</f>
        <v>-3.3877033924933908E-5</v>
      </c>
      <c r="AA106" s="75">
        <f>'IS (After Changes)'!AA106-'IS (Before Changes)'!AA106</f>
        <v>-1.0723662757691765E-4</v>
      </c>
      <c r="AB106" s="98">
        <f>'IS (After Changes)'!AB106-'IS (Before Changes)'!AB106</f>
        <v>-4.4365415655001073E-5</v>
      </c>
      <c r="AC106" s="75">
        <f>'IS (After Changes)'!AC106-'IS (Before Changes)'!AC106</f>
        <v>-1.7888735279694701E-4</v>
      </c>
      <c r="AD106" s="75">
        <f>'IS (After Changes)'!AD106-'IS (Before Changes)'!AD106</f>
        <v>-2.23171834712238E-4</v>
      </c>
      <c r="AE106" s="75">
        <f>'IS (After Changes)'!AE106-'IS (Before Changes)'!AE106</f>
        <v>-2.1704489215405853E-4</v>
      </c>
      <c r="AF106" s="75">
        <f>'IS (After Changes)'!AF106-'IS (Before Changes)'!AF106</f>
        <v>-2.7062804398630957E-4</v>
      </c>
      <c r="AG106" s="98">
        <f>'IS (After Changes)'!AG106-'IS (Before Changes)'!AG106</f>
        <v>-2.2411621709911289E-4</v>
      </c>
      <c r="AH106" s="75">
        <f>'IS (After Changes)'!AH106-'IS (Before Changes)'!AH106</f>
        <v>-3.3824371030988232E-4</v>
      </c>
      <c r="AI106" s="75">
        <f>'IS (After Changes)'!AI106-'IS (Before Changes)'!AI106</f>
        <v>-4.0056956042430758E-4</v>
      </c>
      <c r="AJ106" s="75">
        <f>'IS (After Changes)'!AJ106-'IS (Before Changes)'!AJ106</f>
        <v>-3.7479928388303718E-4</v>
      </c>
      <c r="AK106" s="75">
        <f>'IS (After Changes)'!AK106-'IS (Before Changes)'!AK106</f>
        <v>-4.0353706097892572E-4</v>
      </c>
      <c r="AL106" s="98">
        <f>'IS (After Changes)'!AL106-'IS (Before Changes)'!AL106</f>
        <v>-3.7958249195510496E-4</v>
      </c>
      <c r="AM106" s="75">
        <f>'IS (After Changes)'!AM106-'IS (Before Changes)'!AM106</f>
        <v>-4.6522064780327166E-4</v>
      </c>
      <c r="AN106" s="75">
        <f>'IS (After Changes)'!AN106-'IS (Before Changes)'!AN106</f>
        <v>-5.3893325173653972E-4</v>
      </c>
      <c r="AO106" s="75">
        <f>'IS (After Changes)'!AO106-'IS (Before Changes)'!AO106</f>
        <v>-4.9614658179769622E-4</v>
      </c>
      <c r="AP106" s="75">
        <f>'IS (After Changes)'!AP106-'IS (Before Changes)'!AP106</f>
        <v>-5.0970918180009983E-4</v>
      </c>
      <c r="AQ106" s="98">
        <f>'IS (After Changes)'!AQ106-'IS (Before Changes)'!AQ106</f>
        <v>-5.0165525979359304E-4</v>
      </c>
      <c r="AR106" s="75">
        <f>'IS (After Changes)'!AR106-'IS (Before Changes)'!AR106</f>
        <v>-5.7790679657976352E-4</v>
      </c>
      <c r="AS106" s="75">
        <f>'IS (After Changes)'!AS106-'IS (Before Changes)'!AS106</f>
        <v>-6.5895080598393774E-4</v>
      </c>
      <c r="AT106" s="75">
        <f>'IS (After Changes)'!AT106-'IS (Before Changes)'!AT106</f>
        <v>-5.9821197002318804E-4</v>
      </c>
      <c r="AU106" s="75">
        <f>'IS (After Changes)'!AU106-'IS (Before Changes)'!AU106</f>
        <v>-5.9591074765336094E-4</v>
      </c>
      <c r="AV106" s="98">
        <f>'IS (After Changes)'!AV106-'IS (Before Changes)'!AV106</f>
        <v>-6.0605117431958289E-4</v>
      </c>
    </row>
    <row r="107" spans="1:48" ht="17.399999999999999" x14ac:dyDescent="0.45">
      <c r="B107" s="494" t="s">
        <v>51</v>
      </c>
      <c r="C107" s="495"/>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00" t="s">
        <v>126</v>
      </c>
      <c r="C108" s="501"/>
      <c r="D108" s="50">
        <f>'IS (After Changes)'!D108-'IS (Before Changes)'!D108</f>
        <v>0</v>
      </c>
      <c r="E108" s="50">
        <f>'IS (After Changes)'!E108-'IS (Before Changes)'!E108</f>
        <v>0</v>
      </c>
      <c r="F108" s="103">
        <f>'IS (After Changes)'!F108-'IS (Before Changes)'!F108</f>
        <v>0</v>
      </c>
      <c r="G108" s="50">
        <f>'IS (After Changes)'!G108-'IS (Before Changes)'!G108</f>
        <v>0</v>
      </c>
      <c r="H108" s="31">
        <f>'IS (After Changes)'!H108-'IS (Before Changes)'!H108</f>
        <v>0</v>
      </c>
      <c r="I108" s="50">
        <f>'IS (After Changes)'!I108-'IS (Before Changes)'!I108</f>
        <v>0</v>
      </c>
      <c r="J108" s="50">
        <f>'IS (After Changes)'!J108-'IS (Before Changes)'!J108</f>
        <v>0</v>
      </c>
      <c r="K108" s="50">
        <f>'IS (After Changes)'!K108-'IS (Before Changes)'!K108</f>
        <v>0</v>
      </c>
      <c r="L108" s="50">
        <f>'IS (After Changes)'!L108-'IS (Before Changes)'!L108</f>
        <v>0</v>
      </c>
      <c r="M108" s="31">
        <f>'IS (After Changes)'!M108-'IS (Before Changes)'!M108</f>
        <v>0</v>
      </c>
      <c r="N108" s="50">
        <f>'IS (After Changes)'!N108-'IS (Before Changes)'!N108</f>
        <v>0</v>
      </c>
      <c r="O108" s="50">
        <f>'IS (After Changes)'!O108-'IS (Before Changes)'!O108</f>
        <v>0</v>
      </c>
      <c r="P108" s="50">
        <f>'IS (After Changes)'!P108-'IS (Before Changes)'!P108</f>
        <v>0</v>
      </c>
      <c r="Q108" s="103">
        <f>'IS (After Changes)'!Q108-'IS (Before Changes)'!Q108</f>
        <v>0</v>
      </c>
      <c r="R108" s="126">
        <f>'IS (After Changes)'!R108-'IS (Before Changes)'!R108</f>
        <v>0</v>
      </c>
      <c r="S108" s="50">
        <f>'IS (After Changes)'!S108-'IS (Before Changes)'!S108</f>
        <v>0</v>
      </c>
      <c r="T108" s="50">
        <f>'IS (After Changes)'!T108-'IS (Before Changes)'!T108</f>
        <v>0</v>
      </c>
      <c r="U108" s="50">
        <f>'IS (After Changes)'!U108-'IS (Before Changes)'!U108</f>
        <v>0</v>
      </c>
      <c r="V108" s="50">
        <f>'IS (After Changes)'!V108-'IS (Before Changes)'!V108</f>
        <v>0</v>
      </c>
      <c r="W108" s="31">
        <f>'IS (After Changes)'!W108-'IS (Before Changes)'!W108</f>
        <v>0</v>
      </c>
      <c r="X108" s="50">
        <f>'IS (After Changes)'!X108-'IS (Before Changes)'!X108</f>
        <v>0</v>
      </c>
      <c r="Y108" s="50">
        <f>'IS (After Changes)'!Y108-'IS (Before Changes)'!Y108</f>
        <v>0</v>
      </c>
      <c r="Z108" s="50">
        <f>'IS (After Changes)'!Z108-'IS (Before Changes)'!Z108</f>
        <v>0</v>
      </c>
      <c r="AA108" s="50">
        <f>'IS (After Changes)'!AA108-'IS (Before Changes)'!AA108</f>
        <v>0</v>
      </c>
      <c r="AB108" s="31">
        <f>'IS (After Changes)'!AB108-'IS (Before Changes)'!AB108</f>
        <v>0</v>
      </c>
      <c r="AC108" s="50">
        <f>'IS (After Changes)'!AC108-'IS (Before Changes)'!AC108</f>
        <v>0</v>
      </c>
      <c r="AD108" s="50">
        <f>'IS (After Changes)'!AD108-'IS (Before Changes)'!AD108</f>
        <v>0</v>
      </c>
      <c r="AE108" s="50">
        <f>'IS (After Changes)'!AE108-'IS (Before Changes)'!AE108</f>
        <v>0</v>
      </c>
      <c r="AF108" s="50">
        <f>'IS (After Changes)'!AF108-'IS (Before Changes)'!AF108</f>
        <v>0</v>
      </c>
      <c r="AG108" s="31">
        <f>'IS (After Changes)'!AG108-'IS (Before Changes)'!AG108</f>
        <v>0</v>
      </c>
      <c r="AH108" s="50">
        <f>'IS (After Changes)'!AH108-'IS (Before Changes)'!AH108</f>
        <v>0</v>
      </c>
      <c r="AI108" s="50">
        <f>'IS (After Changes)'!AI108-'IS (Before Changes)'!AI108</f>
        <v>0</v>
      </c>
      <c r="AJ108" s="50">
        <f>'IS (After Changes)'!AJ108-'IS (Before Changes)'!AJ108</f>
        <v>0</v>
      </c>
      <c r="AK108" s="50">
        <f>'IS (After Changes)'!AK108-'IS (Before Changes)'!AK108</f>
        <v>0</v>
      </c>
      <c r="AL108" s="31">
        <f>'IS (After Changes)'!AL108-'IS (Before Changes)'!AL108</f>
        <v>0</v>
      </c>
      <c r="AM108" s="50">
        <f>'IS (After Changes)'!AM108-'IS (Before Changes)'!AM108</f>
        <v>0</v>
      </c>
      <c r="AN108" s="50">
        <f>'IS (After Changes)'!AN108-'IS (Before Changes)'!AN108</f>
        <v>0</v>
      </c>
      <c r="AO108" s="50">
        <f>'IS (After Changes)'!AO108-'IS (Before Changes)'!AO108</f>
        <v>0</v>
      </c>
      <c r="AP108" s="50">
        <f>'IS (After Changes)'!AP108-'IS (Before Changes)'!AP108</f>
        <v>0</v>
      </c>
      <c r="AQ108" s="31">
        <f>'IS (After Changes)'!AQ108-'IS (Before Changes)'!AQ108</f>
        <v>0</v>
      </c>
      <c r="AR108" s="50">
        <f>'IS (After Changes)'!AR108-'IS (Before Changes)'!AR108</f>
        <v>0</v>
      </c>
      <c r="AS108" s="50">
        <f>'IS (After Changes)'!AS108-'IS (Before Changes)'!AS108</f>
        <v>0</v>
      </c>
      <c r="AT108" s="50">
        <f>'IS (After Changes)'!AT108-'IS (Before Changes)'!AT108</f>
        <v>0</v>
      </c>
      <c r="AU108" s="50">
        <f>'IS (After Changes)'!AU108-'IS (Before Changes)'!AU108</f>
        <v>0</v>
      </c>
      <c r="AV108" s="31">
        <f>'IS (After Changes)'!AV108-'IS (Before Changes)'!AV108</f>
        <v>0</v>
      </c>
    </row>
    <row r="109" spans="1:48" outlineLevel="1" x14ac:dyDescent="0.3">
      <c r="B109" s="69" t="s">
        <v>58</v>
      </c>
      <c r="C109" s="70"/>
      <c r="D109" s="120">
        <f>'IS (After Changes)'!D109-'IS (Before Changes)'!D109</f>
        <v>0</v>
      </c>
      <c r="E109" s="120">
        <f>'IS (After Changes)'!E109-'IS (Before Changes)'!E109</f>
        <v>0</v>
      </c>
      <c r="F109" s="120">
        <f>'IS (After Changes)'!F109-'IS (Before Changes)'!F109</f>
        <v>0</v>
      </c>
      <c r="G109" s="120">
        <f>'IS (After Changes)'!G109-'IS (Before Changes)'!G109</f>
        <v>0</v>
      </c>
      <c r="H109" s="58">
        <f>'IS (After Changes)'!H109-'IS (Before Changes)'!H109</f>
        <v>0</v>
      </c>
      <c r="I109" s="120">
        <f>'IS (After Changes)'!I109-'IS (Before Changes)'!I109</f>
        <v>0</v>
      </c>
      <c r="J109" s="120">
        <f>'IS (After Changes)'!J109-'IS (Before Changes)'!J109</f>
        <v>0</v>
      </c>
      <c r="K109" s="120">
        <f>'IS (After Changes)'!K109-'IS (Before Changes)'!K109</f>
        <v>0</v>
      </c>
      <c r="L109" s="120">
        <f>'IS (After Changes)'!L109-'IS (Before Changes)'!L109</f>
        <v>0</v>
      </c>
      <c r="M109" s="168">
        <f>'IS (After Changes)'!M109-'IS (Before Changes)'!M109</f>
        <v>0</v>
      </c>
      <c r="N109" s="120">
        <f>'IS (After Changes)'!N109-'IS (Before Changes)'!N109</f>
        <v>0</v>
      </c>
      <c r="O109" s="120">
        <f>'IS (After Changes)'!O109-'IS (Before Changes)'!O109</f>
        <v>0</v>
      </c>
      <c r="P109" s="120">
        <f>'IS (After Changes)'!P109-'IS (Before Changes)'!P109</f>
        <v>0</v>
      </c>
      <c r="Q109" s="120">
        <f>'IS (After Changes)'!Q109-'IS (Before Changes)'!Q109</f>
        <v>0</v>
      </c>
      <c r="R109" s="168">
        <f>'IS (After Changes)'!R109-'IS (Before Changes)'!R109</f>
        <v>0</v>
      </c>
      <c r="S109" s="120">
        <f>'IS (After Changes)'!S109-'IS (Before Changes)'!S109</f>
        <v>0</v>
      </c>
      <c r="T109" s="120">
        <f>'IS (After Changes)'!T109-'IS (Before Changes)'!T109</f>
        <v>0</v>
      </c>
      <c r="U109" s="120">
        <f>'IS (After Changes)'!U109-'IS (Before Changes)'!U109</f>
        <v>0</v>
      </c>
      <c r="V109" s="120">
        <f>'IS (After Changes)'!V109-'IS (Before Changes)'!V109</f>
        <v>0</v>
      </c>
      <c r="W109" s="168">
        <f>'IS (After Changes)'!W109-'IS (Before Changes)'!W109</f>
        <v>0</v>
      </c>
      <c r="X109" s="197">
        <f>'IS (After Changes)'!X109-'IS (Before Changes)'!X109</f>
        <v>0</v>
      </c>
      <c r="Y109" s="197">
        <f>'IS (After Changes)'!Y109-'IS (Before Changes)'!Y109</f>
        <v>0</v>
      </c>
      <c r="Z109" s="197">
        <f>'IS (After Changes)'!Z109-'IS (Before Changes)'!Z109</f>
        <v>0</v>
      </c>
      <c r="AA109" s="197">
        <f>'IS (After Changes)'!AA109-'IS (Before Changes)'!AA109</f>
        <v>0</v>
      </c>
      <c r="AB109" s="168">
        <f>'IS (After Changes)'!AB109-'IS (Before Changes)'!AB109</f>
        <v>0</v>
      </c>
      <c r="AC109" s="197">
        <f>'IS (After Changes)'!AC109-'IS (Before Changes)'!AC109</f>
        <v>0</v>
      </c>
      <c r="AD109" s="197">
        <f>'IS (After Changes)'!AD109-'IS (Before Changes)'!AD109</f>
        <v>0</v>
      </c>
      <c r="AE109" s="197">
        <f>'IS (After Changes)'!AE109-'IS (Before Changes)'!AE109</f>
        <v>0</v>
      </c>
      <c r="AF109" s="197">
        <f>'IS (After Changes)'!AF109-'IS (Before Changes)'!AF109</f>
        <v>0</v>
      </c>
      <c r="AG109" s="168">
        <f>'IS (After Changes)'!AG109-'IS (Before Changes)'!AG109</f>
        <v>0</v>
      </c>
      <c r="AH109" s="197">
        <f>'IS (After Changes)'!AH109-'IS (Before Changes)'!AH109</f>
        <v>0</v>
      </c>
      <c r="AI109" s="197">
        <f>'IS (After Changes)'!AI109-'IS (Before Changes)'!AI109</f>
        <v>0</v>
      </c>
      <c r="AJ109" s="197">
        <f>'IS (After Changes)'!AJ109-'IS (Before Changes)'!AJ109</f>
        <v>0</v>
      </c>
      <c r="AK109" s="197">
        <f>'IS (After Changes)'!AK109-'IS (Before Changes)'!AK109</f>
        <v>0</v>
      </c>
      <c r="AL109" s="168">
        <f>'IS (After Changes)'!AL109-'IS (Before Changes)'!AL109</f>
        <v>0</v>
      </c>
      <c r="AM109" s="197">
        <f>'IS (After Changes)'!AM109-'IS (Before Changes)'!AM109</f>
        <v>0</v>
      </c>
      <c r="AN109" s="197">
        <f>'IS (After Changes)'!AN109-'IS (Before Changes)'!AN109</f>
        <v>0</v>
      </c>
      <c r="AO109" s="197">
        <f>'IS (After Changes)'!AO109-'IS (Before Changes)'!AO109</f>
        <v>0</v>
      </c>
      <c r="AP109" s="197">
        <f>'IS (After Changes)'!AP109-'IS (Before Changes)'!AP109</f>
        <v>0</v>
      </c>
      <c r="AQ109" s="168">
        <f>'IS (After Changes)'!AQ109-'IS (Before Changes)'!AQ109</f>
        <v>0</v>
      </c>
      <c r="AR109" s="197">
        <f>'IS (After Changes)'!AR109-'IS (Before Changes)'!AR109</f>
        <v>0</v>
      </c>
      <c r="AS109" s="197">
        <f>'IS (After Changes)'!AS109-'IS (Before Changes)'!AS109</f>
        <v>0</v>
      </c>
      <c r="AT109" s="197">
        <f>'IS (After Changes)'!AT109-'IS (Before Changes)'!AT109</f>
        <v>0</v>
      </c>
      <c r="AU109" s="197">
        <f>'IS (After Changes)'!AU109-'IS (Before Changes)'!AU109</f>
        <v>0</v>
      </c>
      <c r="AV109" s="168">
        <f>'IS (After Changes)'!AV109-'IS (Before Changes)'!AV109</f>
        <v>0</v>
      </c>
    </row>
    <row r="110" spans="1:48" outlineLevel="1" x14ac:dyDescent="0.3">
      <c r="B110" s="504" t="s">
        <v>100</v>
      </c>
      <c r="C110" s="505"/>
      <c r="D110" s="48">
        <f>'IS (After Changes)'!D110-'IS (Before Changes)'!D110</f>
        <v>0</v>
      </c>
      <c r="E110" s="48">
        <f>'IS (After Changes)'!E110-'IS (Before Changes)'!E110</f>
        <v>0</v>
      </c>
      <c r="F110" s="48">
        <f>'IS (After Changes)'!F110-'IS (Before Changes)'!F110</f>
        <v>0</v>
      </c>
      <c r="G110" s="48">
        <f>'IS (After Changes)'!G110-'IS (Before Changes)'!G110</f>
        <v>0</v>
      </c>
      <c r="H110" s="76">
        <f>'IS (After Changes)'!H110-'IS (Before Changes)'!H110</f>
        <v>0</v>
      </c>
      <c r="I110" s="48">
        <f>'IS (After Changes)'!I110-'IS (Before Changes)'!I110</f>
        <v>0</v>
      </c>
      <c r="J110" s="48">
        <f>'IS (After Changes)'!J110-'IS (Before Changes)'!J110</f>
        <v>0</v>
      </c>
      <c r="K110" s="48">
        <f>'IS (After Changes)'!K110-'IS (Before Changes)'!K110</f>
        <v>0</v>
      </c>
      <c r="L110" s="48">
        <f>'IS (After Changes)'!L110-'IS (Before Changes)'!L110</f>
        <v>0</v>
      </c>
      <c r="M110" s="76">
        <f>'IS (After Changes)'!M110-'IS (Before Changes)'!M110</f>
        <v>0</v>
      </c>
      <c r="N110" s="48">
        <f>'IS (After Changes)'!N110-'IS (Before Changes)'!N110</f>
        <v>0</v>
      </c>
      <c r="O110" s="48">
        <f>'IS (After Changes)'!O110-'IS (Before Changes)'!O110</f>
        <v>0</v>
      </c>
      <c r="P110" s="48">
        <f>'IS (After Changes)'!P110-'IS (Before Changes)'!P110</f>
        <v>0</v>
      </c>
      <c r="Q110" s="105">
        <f>'IS (After Changes)'!Q110-'IS (Before Changes)'!Q110</f>
        <v>0</v>
      </c>
      <c r="R110" s="76">
        <f>'IS (After Changes)'!R110-'IS (Before Changes)'!R110</f>
        <v>0</v>
      </c>
      <c r="S110" s="48">
        <f>'IS (After Changes)'!S110-'IS (Before Changes)'!S110</f>
        <v>0</v>
      </c>
      <c r="T110" s="48">
        <f>'IS (After Changes)'!T110-'IS (Before Changes)'!T110</f>
        <v>0</v>
      </c>
      <c r="U110" s="48">
        <f>'IS (After Changes)'!U110-'IS (Before Changes)'!U110</f>
        <v>0</v>
      </c>
      <c r="V110" s="48">
        <f>'IS (After Changes)'!V110-'IS (Before Changes)'!V110</f>
        <v>0</v>
      </c>
      <c r="W110" s="76">
        <f>'IS (After Changes)'!W110-'IS (Before Changes)'!W110</f>
        <v>0</v>
      </c>
      <c r="X110" s="48">
        <f>'IS (After Changes)'!X110-'IS (Before Changes)'!X110</f>
        <v>0</v>
      </c>
      <c r="Y110" s="48">
        <f>'IS (After Changes)'!Y110-'IS (Before Changes)'!Y110</f>
        <v>0</v>
      </c>
      <c r="Z110" s="48">
        <f>'IS (After Changes)'!Z110-'IS (Before Changes)'!Z110</f>
        <v>0</v>
      </c>
      <c r="AA110" s="48">
        <f>'IS (After Changes)'!AA110-'IS (Before Changes)'!AA110</f>
        <v>0</v>
      </c>
      <c r="AB110" s="76">
        <f>'IS (After Changes)'!AB110-'IS (Before Changes)'!AB110</f>
        <v>0</v>
      </c>
      <c r="AC110" s="48">
        <f>'IS (After Changes)'!AC110-'IS (Before Changes)'!AC110</f>
        <v>0</v>
      </c>
      <c r="AD110" s="48">
        <f>'IS (After Changes)'!AD110-'IS (Before Changes)'!AD110</f>
        <v>0</v>
      </c>
      <c r="AE110" s="48">
        <f>'IS (After Changes)'!AE110-'IS (Before Changes)'!AE110</f>
        <v>0</v>
      </c>
      <c r="AF110" s="48">
        <f>'IS (After Changes)'!AF110-'IS (Before Changes)'!AF110</f>
        <v>0</v>
      </c>
      <c r="AG110" s="76">
        <f>'IS (After Changes)'!AG110-'IS (Before Changes)'!AG110</f>
        <v>0</v>
      </c>
      <c r="AH110" s="48">
        <f>'IS (After Changes)'!AH110-'IS (Before Changes)'!AH110</f>
        <v>0</v>
      </c>
      <c r="AI110" s="48">
        <f>'IS (After Changes)'!AI110-'IS (Before Changes)'!AI110</f>
        <v>0</v>
      </c>
      <c r="AJ110" s="48">
        <f>'IS (After Changes)'!AJ110-'IS (Before Changes)'!AJ110</f>
        <v>0</v>
      </c>
      <c r="AK110" s="48">
        <f>'IS (After Changes)'!AK110-'IS (Before Changes)'!AK110</f>
        <v>0</v>
      </c>
      <c r="AL110" s="76">
        <f>'IS (After Changes)'!AL110-'IS (Before Changes)'!AL110</f>
        <v>0</v>
      </c>
      <c r="AM110" s="48">
        <f>'IS (After Changes)'!AM110-'IS (Before Changes)'!AM110</f>
        <v>0</v>
      </c>
      <c r="AN110" s="48">
        <f>'IS (After Changes)'!AN110-'IS (Before Changes)'!AN110</f>
        <v>0</v>
      </c>
      <c r="AO110" s="48">
        <f>'IS (After Changes)'!AO110-'IS (Before Changes)'!AO110</f>
        <v>0</v>
      </c>
      <c r="AP110" s="48">
        <f>'IS (After Changes)'!AP110-'IS (Before Changes)'!AP110</f>
        <v>0</v>
      </c>
      <c r="AQ110" s="76">
        <f>'IS (After Changes)'!AQ110-'IS (Before Changes)'!AQ110</f>
        <v>0</v>
      </c>
      <c r="AR110" s="48">
        <f>'IS (After Changes)'!AR110-'IS (Before Changes)'!AR110</f>
        <v>0</v>
      </c>
      <c r="AS110" s="48">
        <f>'IS (After Changes)'!AS110-'IS (Before Changes)'!AS110</f>
        <v>0</v>
      </c>
      <c r="AT110" s="48">
        <f>'IS (After Changes)'!AT110-'IS (Before Changes)'!AT110</f>
        <v>0</v>
      </c>
      <c r="AU110" s="48">
        <f>'IS (After Changes)'!AU110-'IS (Before Changes)'!AU110</f>
        <v>0</v>
      </c>
      <c r="AV110" s="76">
        <f>'IS (After Changes)'!AV110-'IS (Before Changes)'!AV110</f>
        <v>0</v>
      </c>
    </row>
    <row r="111" spans="1:48" s="183" customFormat="1" outlineLevel="1" x14ac:dyDescent="0.3">
      <c r="A111" s="238"/>
      <c r="B111" s="181" t="s">
        <v>151</v>
      </c>
      <c r="C111" s="182"/>
      <c r="D111" s="167">
        <f>'IS (After Changes)'!D111-'IS (Before Changes)'!D111</f>
        <v>0</v>
      </c>
      <c r="E111" s="167">
        <f>'IS (After Changes)'!E111-'IS (Before Changes)'!E111</f>
        <v>0</v>
      </c>
      <c r="F111" s="167">
        <f>'IS (After Changes)'!F111-'IS (Before Changes)'!F111</f>
        <v>0</v>
      </c>
      <c r="G111" s="167">
        <f>'IS (After Changes)'!G111-'IS (Before Changes)'!G111</f>
        <v>0</v>
      </c>
      <c r="H111" s="188">
        <f>'IS (After Changes)'!H111-'IS (Before Changes)'!H111</f>
        <v>0</v>
      </c>
      <c r="I111" s="167">
        <f>'IS (After Changes)'!I111-'IS (Before Changes)'!I111</f>
        <v>0</v>
      </c>
      <c r="J111" s="167">
        <f>'IS (After Changes)'!J111-'IS (Before Changes)'!J111</f>
        <v>0</v>
      </c>
      <c r="K111" s="167">
        <f>'IS (After Changes)'!K111-'IS (Before Changes)'!K111</f>
        <v>0</v>
      </c>
      <c r="L111" s="187">
        <f>'IS (After Changes)'!L111-'IS (Before Changes)'!L111</f>
        <v>0</v>
      </c>
      <c r="M111" s="188">
        <f>'IS (After Changes)'!M111-'IS (Before Changes)'!M111</f>
        <v>0</v>
      </c>
      <c r="N111" s="187">
        <f>'IS (After Changes)'!N111-'IS (Before Changes)'!N111</f>
        <v>0</v>
      </c>
      <c r="O111" s="167">
        <f>'IS (After Changes)'!O111-'IS (Before Changes)'!O111</f>
        <v>0</v>
      </c>
      <c r="P111" s="167">
        <f>'IS (After Changes)'!P111-'IS (Before Changes)'!P111</f>
        <v>0</v>
      </c>
      <c r="Q111" s="167">
        <f>'IS (After Changes)'!Q111-'IS (Before Changes)'!Q111</f>
        <v>0</v>
      </c>
      <c r="R111" s="188">
        <f>'IS (After Changes)'!R111-'IS (Before Changes)'!R111</f>
        <v>0</v>
      </c>
      <c r="S111" s="187">
        <f>'IS (After Changes)'!S111-'IS (Before Changes)'!S111</f>
        <v>0</v>
      </c>
      <c r="T111" s="167">
        <f>'IS (After Changes)'!T111-'IS (Before Changes)'!T111</f>
        <v>0</v>
      </c>
      <c r="U111" s="167">
        <f>'IS (After Changes)'!U111-'IS (Before Changes)'!U111</f>
        <v>0</v>
      </c>
      <c r="V111" s="167">
        <f>'IS (After Changes)'!V111-'IS (Before Changes)'!V111</f>
        <v>0</v>
      </c>
      <c r="W111" s="188">
        <f>'IS (After Changes)'!W111-'IS (Before Changes)'!W111</f>
        <v>0</v>
      </c>
      <c r="X111" s="189">
        <f>'IS (After Changes)'!X111-'IS (Before Changes)'!X111</f>
        <v>0</v>
      </c>
      <c r="Y111" s="189">
        <f>'IS (After Changes)'!Y111-'IS (Before Changes)'!Y111</f>
        <v>0</v>
      </c>
      <c r="Z111" s="189">
        <f>'IS (After Changes)'!Z111-'IS (Before Changes)'!Z111</f>
        <v>0</v>
      </c>
      <c r="AA111" s="189">
        <f>'IS (After Changes)'!AA111-'IS (Before Changes)'!AA111</f>
        <v>0</v>
      </c>
      <c r="AB111" s="188">
        <f>'IS (After Changes)'!AB111-'IS (Before Changes)'!AB111</f>
        <v>0</v>
      </c>
      <c r="AC111" s="189">
        <f>'IS (After Changes)'!AC111-'IS (Before Changes)'!AC111</f>
        <v>0</v>
      </c>
      <c r="AD111" s="189">
        <f>'IS (After Changes)'!AD111-'IS (Before Changes)'!AD111</f>
        <v>0</v>
      </c>
      <c r="AE111" s="189">
        <f>'IS (After Changes)'!AE111-'IS (Before Changes)'!AE111</f>
        <v>0</v>
      </c>
      <c r="AF111" s="189">
        <f>'IS (After Changes)'!AF111-'IS (Before Changes)'!AF111</f>
        <v>0</v>
      </c>
      <c r="AG111" s="188">
        <f>'IS (After Changes)'!AG111-'IS (Before Changes)'!AG111</f>
        <v>0</v>
      </c>
      <c r="AH111" s="189">
        <f>'IS (After Changes)'!AH111-'IS (Before Changes)'!AH111</f>
        <v>0</v>
      </c>
      <c r="AI111" s="189">
        <f>'IS (After Changes)'!AI111-'IS (Before Changes)'!AI111</f>
        <v>0</v>
      </c>
      <c r="AJ111" s="189">
        <f>'IS (After Changes)'!AJ111-'IS (Before Changes)'!AJ111</f>
        <v>0</v>
      </c>
      <c r="AK111" s="189">
        <f>'IS (After Changes)'!AK111-'IS (Before Changes)'!AK111</f>
        <v>0</v>
      </c>
      <c r="AL111" s="188">
        <f>'IS (After Changes)'!AL111-'IS (Before Changes)'!AL111</f>
        <v>0</v>
      </c>
      <c r="AM111" s="189">
        <f>'IS (After Changes)'!AM111-'IS (Before Changes)'!AM111</f>
        <v>0</v>
      </c>
      <c r="AN111" s="189">
        <f>'IS (After Changes)'!AN111-'IS (Before Changes)'!AN111</f>
        <v>0</v>
      </c>
      <c r="AO111" s="189">
        <f>'IS (After Changes)'!AO111-'IS (Before Changes)'!AO111</f>
        <v>0</v>
      </c>
      <c r="AP111" s="189">
        <f>'IS (After Changes)'!AP111-'IS (Before Changes)'!AP111</f>
        <v>0</v>
      </c>
      <c r="AQ111" s="188">
        <f>'IS (After Changes)'!AQ111-'IS (Before Changes)'!AQ111</f>
        <v>0</v>
      </c>
      <c r="AR111" s="189">
        <f>'IS (After Changes)'!AR111-'IS (Before Changes)'!AR111</f>
        <v>0</v>
      </c>
      <c r="AS111" s="189">
        <f>'IS (After Changes)'!AS111-'IS (Before Changes)'!AS111</f>
        <v>0</v>
      </c>
      <c r="AT111" s="189">
        <f>'IS (After Changes)'!AT111-'IS (Before Changes)'!AT111</f>
        <v>0</v>
      </c>
      <c r="AU111" s="189">
        <f>'IS (After Changes)'!AU111-'IS (Before Changes)'!AU111</f>
        <v>0</v>
      </c>
      <c r="AV111" s="188">
        <f>'IS (After Changes)'!AV111-'IS (Before Changes)'!AV111</f>
        <v>0</v>
      </c>
    </row>
    <row r="112" spans="1:48" outlineLevel="1" x14ac:dyDescent="0.3">
      <c r="B112" s="180" t="s">
        <v>33</v>
      </c>
      <c r="C112" s="18"/>
      <c r="D112" s="48">
        <f>'IS (After Changes)'!D112-'IS (Before Changes)'!D112</f>
        <v>0</v>
      </c>
      <c r="E112" s="48">
        <f>'IS (After Changes)'!E112-'IS (Before Changes)'!E112</f>
        <v>0</v>
      </c>
      <c r="F112" s="48">
        <f>'IS (After Changes)'!F112-'IS (Before Changes)'!F112</f>
        <v>0</v>
      </c>
      <c r="G112" s="48">
        <f>'IS (After Changes)'!G112-'IS (Before Changes)'!G112</f>
        <v>0</v>
      </c>
      <c r="H112" s="49">
        <f>'IS (After Changes)'!H112-'IS (Before Changes)'!H112</f>
        <v>0</v>
      </c>
      <c r="I112" s="48">
        <f>'IS (After Changes)'!I112-'IS (Before Changes)'!I112</f>
        <v>0</v>
      </c>
      <c r="J112" s="48">
        <f>'IS (After Changes)'!J112-'IS (Before Changes)'!J112</f>
        <v>0</v>
      </c>
      <c r="K112" s="48">
        <f>'IS (After Changes)'!K112-'IS (Before Changes)'!K112</f>
        <v>0</v>
      </c>
      <c r="L112" s="48">
        <f>'IS (After Changes)'!L112-'IS (Before Changes)'!L112</f>
        <v>0</v>
      </c>
      <c r="M112" s="49">
        <f>'IS (After Changes)'!M112-'IS (Before Changes)'!M112</f>
        <v>0</v>
      </c>
      <c r="N112" s="48">
        <f>'IS (After Changes)'!N112-'IS (Before Changes)'!N112</f>
        <v>0</v>
      </c>
      <c r="O112" s="48">
        <f>'IS (After Changes)'!O112-'IS (Before Changes)'!O112</f>
        <v>0</v>
      </c>
      <c r="P112" s="48">
        <f>'IS (After Changes)'!P112-'IS (Before Changes)'!P112</f>
        <v>0</v>
      </c>
      <c r="Q112" s="105">
        <f>'IS (After Changes)'!Q112-'IS (Before Changes)'!Q112</f>
        <v>0</v>
      </c>
      <c r="R112" s="49">
        <f>'IS (After Changes)'!R112-'IS (Before Changes)'!R112</f>
        <v>0</v>
      </c>
      <c r="S112" s="48">
        <f>'IS (After Changes)'!S112-'IS (Before Changes)'!S112</f>
        <v>0</v>
      </c>
      <c r="T112" s="48">
        <f>'IS (After Changes)'!T112-'IS (Before Changes)'!T112</f>
        <v>0</v>
      </c>
      <c r="U112" s="48">
        <f>'IS (After Changes)'!U112-'IS (Before Changes)'!U112</f>
        <v>0</v>
      </c>
      <c r="V112" s="48">
        <f>'IS (After Changes)'!V112-'IS (Before Changes)'!V112</f>
        <v>0</v>
      </c>
      <c r="W112" s="49">
        <f>'IS (After Changes)'!W112-'IS (Before Changes)'!W112</f>
        <v>0</v>
      </c>
      <c r="X112" s="48">
        <f>'IS (After Changes)'!X112-'IS (Before Changes)'!X112</f>
        <v>0</v>
      </c>
      <c r="Y112" s="48">
        <f>'IS (After Changes)'!Y112-'IS (Before Changes)'!Y112</f>
        <v>0</v>
      </c>
      <c r="Z112" s="48">
        <f>'IS (After Changes)'!Z112-'IS (Before Changes)'!Z112</f>
        <v>0</v>
      </c>
      <c r="AA112" s="48">
        <f>'IS (After Changes)'!AA112-'IS (Before Changes)'!AA112</f>
        <v>0</v>
      </c>
      <c r="AB112" s="49">
        <f>'IS (After Changes)'!AB112-'IS (Before Changes)'!AB112</f>
        <v>0</v>
      </c>
      <c r="AC112" s="48">
        <f>'IS (After Changes)'!AC112-'IS (Before Changes)'!AC112</f>
        <v>0</v>
      </c>
      <c r="AD112" s="48">
        <f>'IS (After Changes)'!AD112-'IS (Before Changes)'!AD112</f>
        <v>0</v>
      </c>
      <c r="AE112" s="48">
        <f>'IS (After Changes)'!AE112-'IS (Before Changes)'!AE112</f>
        <v>0</v>
      </c>
      <c r="AF112" s="48">
        <f>'IS (After Changes)'!AF112-'IS (Before Changes)'!AF112</f>
        <v>0</v>
      </c>
      <c r="AG112" s="49">
        <f>'IS (After Changes)'!AG112-'IS (Before Changes)'!AG112</f>
        <v>0</v>
      </c>
      <c r="AH112" s="48">
        <f>'IS (After Changes)'!AH112-'IS (Before Changes)'!AH112</f>
        <v>0</v>
      </c>
      <c r="AI112" s="48">
        <f>'IS (After Changes)'!AI112-'IS (Before Changes)'!AI112</f>
        <v>0</v>
      </c>
      <c r="AJ112" s="48">
        <f>'IS (After Changes)'!AJ112-'IS (Before Changes)'!AJ112</f>
        <v>0</v>
      </c>
      <c r="AK112" s="48">
        <f>'IS (After Changes)'!AK112-'IS (Before Changes)'!AK112</f>
        <v>0</v>
      </c>
      <c r="AL112" s="49">
        <f>'IS (After Changes)'!AL112-'IS (Before Changes)'!AL112</f>
        <v>0</v>
      </c>
      <c r="AM112" s="48">
        <f>'IS (After Changes)'!AM112-'IS (Before Changes)'!AM112</f>
        <v>0</v>
      </c>
      <c r="AN112" s="48">
        <f>'IS (After Changes)'!AN112-'IS (Before Changes)'!AN112</f>
        <v>0</v>
      </c>
      <c r="AO112" s="48">
        <f>'IS (After Changes)'!AO112-'IS (Before Changes)'!AO112</f>
        <v>0</v>
      </c>
      <c r="AP112" s="48">
        <f>'IS (After Changes)'!AP112-'IS (Before Changes)'!AP112</f>
        <v>0</v>
      </c>
      <c r="AQ112" s="49">
        <f>'IS (After Changes)'!AQ112-'IS (Before Changes)'!AQ112</f>
        <v>0</v>
      </c>
      <c r="AR112" s="48">
        <f>'IS (After Changes)'!AR112-'IS (Before Changes)'!AR112</f>
        <v>0</v>
      </c>
      <c r="AS112" s="48">
        <f>'IS (After Changes)'!AS112-'IS (Before Changes)'!AS112</f>
        <v>0</v>
      </c>
      <c r="AT112" s="48">
        <f>'IS (After Changes)'!AT112-'IS (Before Changes)'!AT112</f>
        <v>0</v>
      </c>
      <c r="AU112" s="48">
        <f>'IS (After Changes)'!AU112-'IS (Before Changes)'!AU112</f>
        <v>0</v>
      </c>
      <c r="AV112" s="49">
        <f>'IS (After Changes)'!AV112-'IS (Before Changes)'!AV112</f>
        <v>0</v>
      </c>
    </row>
    <row r="113" spans="2:48" s="184" customFormat="1" outlineLevel="1" x14ac:dyDescent="0.3">
      <c r="B113" s="181" t="s">
        <v>154</v>
      </c>
      <c r="C113" s="190"/>
      <c r="D113" s="187">
        <f>'IS (After Changes)'!D113-'IS (Before Changes)'!D113</f>
        <v>0</v>
      </c>
      <c r="E113" s="187">
        <f>'IS (After Changes)'!E113-'IS (Before Changes)'!E113</f>
        <v>0</v>
      </c>
      <c r="F113" s="187">
        <f>'IS (After Changes)'!F113-'IS (Before Changes)'!F113</f>
        <v>0</v>
      </c>
      <c r="G113" s="187">
        <f>'IS (After Changes)'!G113-'IS (Before Changes)'!G113</f>
        <v>0</v>
      </c>
      <c r="H113" s="188">
        <f>'IS (After Changes)'!H113-'IS (Before Changes)'!H113</f>
        <v>0</v>
      </c>
      <c r="I113" s="187">
        <f>'IS (After Changes)'!I113-'IS (Before Changes)'!I113</f>
        <v>0</v>
      </c>
      <c r="J113" s="187">
        <f>'IS (After Changes)'!J113-'IS (Before Changes)'!J113</f>
        <v>0</v>
      </c>
      <c r="K113" s="187">
        <f>'IS (After Changes)'!K113-'IS (Before Changes)'!K113</f>
        <v>0</v>
      </c>
      <c r="L113" s="187">
        <f>'IS (After Changes)'!L113-'IS (Before Changes)'!L113</f>
        <v>0</v>
      </c>
      <c r="M113" s="188">
        <f>'IS (After Changes)'!M113-'IS (Before Changes)'!M113</f>
        <v>0</v>
      </c>
      <c r="N113" s="187">
        <f>'IS (After Changes)'!N113-'IS (Before Changes)'!N113</f>
        <v>0</v>
      </c>
      <c r="O113" s="187">
        <f>'IS (After Changes)'!O113-'IS (Before Changes)'!O113</f>
        <v>0</v>
      </c>
      <c r="P113" s="187">
        <f>'IS (After Changes)'!P113-'IS (Before Changes)'!P113</f>
        <v>0</v>
      </c>
      <c r="Q113" s="167">
        <f>'IS (After Changes)'!Q113-'IS (Before Changes)'!Q113</f>
        <v>0</v>
      </c>
      <c r="R113" s="188">
        <f>'IS (After Changes)'!R113-'IS (Before Changes)'!R113</f>
        <v>0</v>
      </c>
      <c r="S113" s="187">
        <f>'IS (After Changes)'!S113-'IS (Before Changes)'!S113</f>
        <v>0</v>
      </c>
      <c r="T113" s="187">
        <f>'IS (After Changes)'!T113-'IS (Before Changes)'!T113</f>
        <v>0</v>
      </c>
      <c r="U113" s="187">
        <f>'IS (After Changes)'!U113-'IS (Before Changes)'!U113</f>
        <v>0</v>
      </c>
      <c r="V113" s="187">
        <f>'IS (After Changes)'!V113-'IS (Before Changes)'!V113</f>
        <v>0</v>
      </c>
      <c r="W113" s="188">
        <f>'IS (After Changes)'!W113-'IS (Before Changes)'!W113</f>
        <v>0</v>
      </c>
      <c r="X113" s="189">
        <f>'IS (After Changes)'!X113-'IS (Before Changes)'!X113</f>
        <v>0</v>
      </c>
      <c r="Y113" s="189">
        <f>'IS (After Changes)'!Y113-'IS (Before Changes)'!Y113</f>
        <v>0</v>
      </c>
      <c r="Z113" s="189">
        <f>'IS (After Changes)'!Z113-'IS (Before Changes)'!Z113</f>
        <v>0</v>
      </c>
      <c r="AA113" s="189">
        <f>'IS (After Changes)'!AA113-'IS (Before Changes)'!AA113</f>
        <v>0</v>
      </c>
      <c r="AB113" s="188">
        <f>'IS (After Changes)'!AB113-'IS (Before Changes)'!AB113</f>
        <v>0</v>
      </c>
      <c r="AC113" s="189">
        <f>'IS (After Changes)'!AC113-'IS (Before Changes)'!AC113</f>
        <v>0</v>
      </c>
      <c r="AD113" s="189">
        <f>'IS (After Changes)'!AD113-'IS (Before Changes)'!AD113</f>
        <v>0</v>
      </c>
      <c r="AE113" s="189">
        <f>'IS (After Changes)'!AE113-'IS (Before Changes)'!AE113</f>
        <v>0</v>
      </c>
      <c r="AF113" s="189">
        <f>'IS (After Changes)'!AF113-'IS (Before Changes)'!AF113</f>
        <v>0</v>
      </c>
      <c r="AG113" s="188">
        <f>'IS (After Changes)'!AG113-'IS (Before Changes)'!AG113</f>
        <v>0</v>
      </c>
      <c r="AH113" s="189">
        <f>'IS (After Changes)'!AH113-'IS (Before Changes)'!AH113</f>
        <v>0</v>
      </c>
      <c r="AI113" s="189">
        <f>'IS (After Changes)'!AI113-'IS (Before Changes)'!AI113</f>
        <v>0</v>
      </c>
      <c r="AJ113" s="189">
        <f>'IS (After Changes)'!AJ113-'IS (Before Changes)'!AJ113</f>
        <v>0</v>
      </c>
      <c r="AK113" s="189">
        <f>'IS (After Changes)'!AK113-'IS (Before Changes)'!AK113</f>
        <v>0</v>
      </c>
      <c r="AL113" s="188">
        <f>'IS (After Changes)'!AL113-'IS (Before Changes)'!AL113</f>
        <v>0</v>
      </c>
      <c r="AM113" s="189">
        <f>'IS (After Changes)'!AM113-'IS (Before Changes)'!AM113</f>
        <v>0</v>
      </c>
      <c r="AN113" s="189">
        <f>'IS (After Changes)'!AN113-'IS (Before Changes)'!AN113</f>
        <v>0</v>
      </c>
      <c r="AO113" s="189">
        <f>'IS (After Changes)'!AO113-'IS (Before Changes)'!AO113</f>
        <v>0</v>
      </c>
      <c r="AP113" s="189">
        <f>'IS (After Changes)'!AP113-'IS (Before Changes)'!AP113</f>
        <v>0</v>
      </c>
      <c r="AQ113" s="188">
        <f>'IS (After Changes)'!AQ113-'IS (Before Changes)'!AQ113</f>
        <v>0</v>
      </c>
      <c r="AR113" s="189">
        <f>'IS (After Changes)'!AR113-'IS (Before Changes)'!AR113</f>
        <v>0</v>
      </c>
      <c r="AS113" s="189">
        <f>'IS (After Changes)'!AS113-'IS (Before Changes)'!AS113</f>
        <v>0</v>
      </c>
      <c r="AT113" s="189">
        <f>'IS (After Changes)'!AT113-'IS (Before Changes)'!AT113</f>
        <v>0</v>
      </c>
      <c r="AU113" s="189">
        <f>'IS (After Changes)'!AU113-'IS (Before Changes)'!AU113</f>
        <v>0</v>
      </c>
      <c r="AV113" s="188">
        <f>'IS (After Changes)'!AV113-'IS (Before Changes)'!AV113</f>
        <v>0</v>
      </c>
    </row>
    <row r="114" spans="2:48" outlineLevel="1" x14ac:dyDescent="0.3">
      <c r="B114" s="180" t="s">
        <v>34</v>
      </c>
      <c r="C114" s="18"/>
      <c r="D114" s="358">
        <f>'IS (After Changes)'!D114-'IS (Before Changes)'!D114</f>
        <v>0</v>
      </c>
      <c r="E114" s="358">
        <f>'IS (After Changes)'!E114-'IS (Before Changes)'!E114</f>
        <v>0</v>
      </c>
      <c r="F114" s="358">
        <f>'IS (After Changes)'!F114-'IS (Before Changes)'!F114</f>
        <v>0</v>
      </c>
      <c r="G114" s="358">
        <f>'IS (After Changes)'!G114-'IS (Before Changes)'!G114</f>
        <v>0</v>
      </c>
      <c r="H114" s="126">
        <f>'IS (After Changes)'!H114-'IS (Before Changes)'!H114</f>
        <v>0</v>
      </c>
      <c r="I114" s="358">
        <f>'IS (After Changes)'!I114-'IS (Before Changes)'!I114</f>
        <v>0</v>
      </c>
      <c r="J114" s="358">
        <f>'IS (After Changes)'!J114-'IS (Before Changes)'!J114</f>
        <v>0</v>
      </c>
      <c r="K114" s="358">
        <f>'IS (After Changes)'!K114-'IS (Before Changes)'!K114</f>
        <v>0</v>
      </c>
      <c r="L114" s="358">
        <f>'IS (After Changes)'!L114-'IS (Before Changes)'!L114</f>
        <v>0</v>
      </c>
      <c r="M114" s="126">
        <f>'IS (After Changes)'!M114-'IS (Before Changes)'!M114</f>
        <v>0</v>
      </c>
      <c r="N114" s="358">
        <f>'IS (After Changes)'!N114-'IS (Before Changes)'!N114</f>
        <v>0</v>
      </c>
      <c r="O114" s="358">
        <f>'IS (After Changes)'!O114-'IS (Before Changes)'!O114</f>
        <v>0</v>
      </c>
      <c r="P114" s="358">
        <f>'IS (After Changes)'!P114-'IS (Before Changes)'!P114</f>
        <v>0</v>
      </c>
      <c r="Q114" s="358">
        <f>'IS (After Changes)'!Q114-'IS (Before Changes)'!Q114</f>
        <v>0</v>
      </c>
      <c r="R114" s="126">
        <f>'IS (After Changes)'!R114-'IS (Before Changes)'!R114</f>
        <v>0</v>
      </c>
      <c r="S114" s="358">
        <f>'IS (After Changes)'!S114-'IS (Before Changes)'!S114</f>
        <v>0</v>
      </c>
      <c r="T114" s="358">
        <f>'IS (After Changes)'!T114-'IS (Before Changes)'!T114</f>
        <v>0</v>
      </c>
      <c r="U114" s="358">
        <f>'IS (After Changes)'!U114-'IS (Before Changes)'!U114</f>
        <v>0</v>
      </c>
      <c r="V114" s="358">
        <f>'IS (After Changes)'!V114-'IS (Before Changes)'!V114</f>
        <v>0</v>
      </c>
      <c r="W114" s="126">
        <f>'IS (After Changes)'!W114-'IS (Before Changes)'!W114</f>
        <v>0</v>
      </c>
      <c r="X114" s="360">
        <f>'IS (After Changes)'!X114-'IS (Before Changes)'!X114</f>
        <v>0</v>
      </c>
      <c r="Y114" s="360">
        <f>'IS (After Changes)'!Y114-'IS (Before Changes)'!Y114</f>
        <v>0</v>
      </c>
      <c r="Z114" s="360">
        <f>'IS (After Changes)'!Z114-'IS (Before Changes)'!Z114</f>
        <v>0</v>
      </c>
      <c r="AA114" s="360">
        <f>'IS (After Changes)'!AA114-'IS (Before Changes)'!AA114</f>
        <v>0</v>
      </c>
      <c r="AB114" s="126">
        <f>'IS (After Changes)'!AB114-'IS (Before Changes)'!AB114</f>
        <v>0</v>
      </c>
      <c r="AC114" s="360">
        <f>'IS (After Changes)'!AC114-'IS (Before Changes)'!AC114</f>
        <v>0</v>
      </c>
      <c r="AD114" s="360">
        <f>'IS (After Changes)'!AD114-'IS (Before Changes)'!AD114</f>
        <v>0</v>
      </c>
      <c r="AE114" s="360">
        <f>'IS (After Changes)'!AE114-'IS (Before Changes)'!AE114</f>
        <v>0</v>
      </c>
      <c r="AF114" s="360">
        <f>'IS (After Changes)'!AF114-'IS (Before Changes)'!AF114</f>
        <v>0</v>
      </c>
      <c r="AG114" s="126">
        <f>'IS (After Changes)'!AG114-'IS (Before Changes)'!AG114</f>
        <v>0</v>
      </c>
      <c r="AH114" s="360">
        <f>'IS (After Changes)'!AH114-'IS (Before Changes)'!AH114</f>
        <v>0</v>
      </c>
      <c r="AI114" s="360">
        <f>'IS (After Changes)'!AI114-'IS (Before Changes)'!AI114</f>
        <v>0</v>
      </c>
      <c r="AJ114" s="360">
        <f>'IS (After Changes)'!AJ114-'IS (Before Changes)'!AJ114</f>
        <v>0</v>
      </c>
      <c r="AK114" s="360">
        <f>'IS (After Changes)'!AK114-'IS (Before Changes)'!AK114</f>
        <v>0</v>
      </c>
      <c r="AL114" s="126">
        <f>'IS (After Changes)'!AL114-'IS (Before Changes)'!AL114</f>
        <v>0</v>
      </c>
      <c r="AM114" s="360">
        <f>'IS (After Changes)'!AM114-'IS (Before Changes)'!AM114</f>
        <v>0</v>
      </c>
      <c r="AN114" s="360">
        <f>'IS (After Changes)'!AN114-'IS (Before Changes)'!AN114</f>
        <v>0</v>
      </c>
      <c r="AO114" s="360">
        <f>'IS (After Changes)'!AO114-'IS (Before Changes)'!AO114</f>
        <v>0</v>
      </c>
      <c r="AP114" s="360">
        <f>'IS (After Changes)'!AP114-'IS (Before Changes)'!AP114</f>
        <v>0</v>
      </c>
      <c r="AQ114" s="126">
        <f>'IS (After Changes)'!AQ114-'IS (Before Changes)'!AQ114</f>
        <v>0</v>
      </c>
      <c r="AR114" s="360">
        <f>'IS (After Changes)'!AR114-'IS (Before Changes)'!AR114</f>
        <v>0</v>
      </c>
      <c r="AS114" s="360">
        <f>'IS (After Changes)'!AS114-'IS (Before Changes)'!AS114</f>
        <v>0</v>
      </c>
      <c r="AT114" s="360">
        <f>'IS (After Changes)'!AT114-'IS (Before Changes)'!AT114</f>
        <v>0</v>
      </c>
      <c r="AU114" s="360">
        <f>'IS (After Changes)'!AU114-'IS (Before Changes)'!AU114</f>
        <v>0</v>
      </c>
      <c r="AV114" s="126">
        <f>'IS (After Changes)'!AV114-'IS (Before Changes)'!AV114</f>
        <v>0</v>
      </c>
    </row>
    <row r="115" spans="2:48" outlineLevel="1" x14ac:dyDescent="0.3">
      <c r="B115" s="180" t="s">
        <v>35</v>
      </c>
      <c r="C115" s="18"/>
      <c r="D115" s="48">
        <f>'IS (After Changes)'!D115-'IS (Before Changes)'!D115</f>
        <v>0</v>
      </c>
      <c r="E115" s="48">
        <f>'IS (After Changes)'!E115-'IS (Before Changes)'!E115</f>
        <v>0</v>
      </c>
      <c r="F115" s="48">
        <f>'IS (After Changes)'!F115-'IS (Before Changes)'!F115</f>
        <v>0</v>
      </c>
      <c r="G115" s="48">
        <f>'IS (After Changes)'!G115-'IS (Before Changes)'!G115</f>
        <v>0</v>
      </c>
      <c r="H115" s="49">
        <f>'IS (After Changes)'!H115-'IS (Before Changes)'!H115</f>
        <v>0</v>
      </c>
      <c r="I115" s="48">
        <f>'IS (After Changes)'!I115-'IS (Before Changes)'!I115</f>
        <v>0</v>
      </c>
      <c r="J115" s="48">
        <f>'IS (After Changes)'!J115-'IS (Before Changes)'!J115</f>
        <v>0</v>
      </c>
      <c r="K115" s="48">
        <f>'IS (After Changes)'!K115-'IS (Before Changes)'!K115</f>
        <v>0</v>
      </c>
      <c r="L115" s="48">
        <f>'IS (After Changes)'!L115-'IS (Before Changes)'!L115</f>
        <v>0</v>
      </c>
      <c r="M115" s="49">
        <f>'IS (After Changes)'!M115-'IS (Before Changes)'!M115</f>
        <v>0</v>
      </c>
      <c r="N115" s="48">
        <f>'IS (After Changes)'!N115-'IS (Before Changes)'!N115</f>
        <v>0</v>
      </c>
      <c r="O115" s="48">
        <f>'IS (After Changes)'!O115-'IS (Before Changes)'!O115</f>
        <v>0</v>
      </c>
      <c r="P115" s="48">
        <f>'IS (After Changes)'!P115-'IS (Before Changes)'!P115</f>
        <v>0</v>
      </c>
      <c r="Q115" s="105">
        <f>'IS (After Changes)'!Q115-'IS (Before Changes)'!Q115</f>
        <v>0</v>
      </c>
      <c r="R115" s="49">
        <f>'IS (After Changes)'!R115-'IS (Before Changes)'!R115</f>
        <v>0</v>
      </c>
      <c r="S115" s="48">
        <f>'IS (After Changes)'!S115-'IS (Before Changes)'!S115</f>
        <v>0</v>
      </c>
      <c r="T115" s="48">
        <f>'IS (After Changes)'!T115-'IS (Before Changes)'!T115</f>
        <v>0</v>
      </c>
      <c r="U115" s="48">
        <f>'IS (After Changes)'!U115-'IS (Before Changes)'!U115</f>
        <v>0</v>
      </c>
      <c r="V115" s="48">
        <f>'IS (After Changes)'!V115-'IS (Before Changes)'!V115</f>
        <v>0</v>
      </c>
      <c r="W115" s="49">
        <f>'IS (After Changes)'!W115-'IS (Before Changes)'!W115</f>
        <v>0</v>
      </c>
      <c r="X115" s="48">
        <f>'IS (After Changes)'!X115-'IS (Before Changes)'!X115</f>
        <v>0</v>
      </c>
      <c r="Y115" s="48">
        <f>'IS (After Changes)'!Y115-'IS (Before Changes)'!Y115</f>
        <v>0</v>
      </c>
      <c r="Z115" s="48">
        <f>'IS (After Changes)'!Z115-'IS (Before Changes)'!Z115</f>
        <v>0</v>
      </c>
      <c r="AA115" s="48">
        <f>'IS (After Changes)'!AA115-'IS (Before Changes)'!AA115</f>
        <v>0</v>
      </c>
      <c r="AB115" s="49">
        <f>'IS (After Changes)'!AB115-'IS (Before Changes)'!AB115</f>
        <v>0</v>
      </c>
      <c r="AC115" s="48">
        <f>'IS (After Changes)'!AC115-'IS (Before Changes)'!AC115</f>
        <v>0</v>
      </c>
      <c r="AD115" s="48">
        <f>'IS (After Changes)'!AD115-'IS (Before Changes)'!AD115</f>
        <v>0</v>
      </c>
      <c r="AE115" s="48">
        <f>'IS (After Changes)'!AE115-'IS (Before Changes)'!AE115</f>
        <v>0</v>
      </c>
      <c r="AF115" s="48">
        <f>'IS (After Changes)'!AF115-'IS (Before Changes)'!AF115</f>
        <v>0</v>
      </c>
      <c r="AG115" s="49">
        <f>'IS (After Changes)'!AG115-'IS (Before Changes)'!AG115</f>
        <v>0</v>
      </c>
      <c r="AH115" s="48">
        <f>'IS (After Changes)'!AH115-'IS (Before Changes)'!AH115</f>
        <v>0</v>
      </c>
      <c r="AI115" s="48">
        <f>'IS (After Changes)'!AI115-'IS (Before Changes)'!AI115</f>
        <v>0</v>
      </c>
      <c r="AJ115" s="48">
        <f>'IS (After Changes)'!AJ115-'IS (Before Changes)'!AJ115</f>
        <v>0</v>
      </c>
      <c r="AK115" s="48">
        <f>'IS (After Changes)'!AK115-'IS (Before Changes)'!AK115</f>
        <v>0</v>
      </c>
      <c r="AL115" s="49">
        <f>'IS (After Changes)'!AL115-'IS (Before Changes)'!AL115</f>
        <v>0</v>
      </c>
      <c r="AM115" s="48">
        <f>'IS (After Changes)'!AM115-'IS (Before Changes)'!AM115</f>
        <v>0</v>
      </c>
      <c r="AN115" s="48">
        <f>'IS (After Changes)'!AN115-'IS (Before Changes)'!AN115</f>
        <v>0</v>
      </c>
      <c r="AO115" s="48">
        <f>'IS (After Changes)'!AO115-'IS (Before Changes)'!AO115</f>
        <v>0</v>
      </c>
      <c r="AP115" s="48">
        <f>'IS (After Changes)'!AP115-'IS (Before Changes)'!AP115</f>
        <v>0</v>
      </c>
      <c r="AQ115" s="49">
        <f>'IS (After Changes)'!AQ115-'IS (Before Changes)'!AQ115</f>
        <v>0</v>
      </c>
      <c r="AR115" s="48">
        <f>'IS (After Changes)'!AR115-'IS (Before Changes)'!AR115</f>
        <v>0</v>
      </c>
      <c r="AS115" s="48">
        <f>'IS (After Changes)'!AS115-'IS (Before Changes)'!AS115</f>
        <v>0</v>
      </c>
      <c r="AT115" s="48">
        <f>'IS (After Changes)'!AT115-'IS (Before Changes)'!AT115</f>
        <v>0</v>
      </c>
      <c r="AU115" s="48">
        <f>'IS (After Changes)'!AU115-'IS (Before Changes)'!AU115</f>
        <v>0</v>
      </c>
      <c r="AV115" s="49">
        <f>'IS (After Changes)'!AV115-'IS (Before Changes)'!AV115</f>
        <v>0</v>
      </c>
    </row>
    <row r="116" spans="2:48" s="184" customFormat="1" outlineLevel="1" x14ac:dyDescent="0.3">
      <c r="B116" s="181" t="s">
        <v>153</v>
      </c>
      <c r="C116" s="190"/>
      <c r="D116" s="187">
        <f>'IS (After Changes)'!D116-'IS (Before Changes)'!D116</f>
        <v>0</v>
      </c>
      <c r="E116" s="187">
        <f>'IS (After Changes)'!E116-'IS (Before Changes)'!E116</f>
        <v>0</v>
      </c>
      <c r="F116" s="187">
        <f>'IS (After Changes)'!F116-'IS (Before Changes)'!F116</f>
        <v>0</v>
      </c>
      <c r="G116" s="187">
        <f>'IS (After Changes)'!G116-'IS (Before Changes)'!G116</f>
        <v>0</v>
      </c>
      <c r="H116" s="188">
        <f>'IS (After Changes)'!H116-'IS (Before Changes)'!H116</f>
        <v>0</v>
      </c>
      <c r="I116" s="187">
        <f>'IS (After Changes)'!I116-'IS (Before Changes)'!I116</f>
        <v>0</v>
      </c>
      <c r="J116" s="187">
        <f>'IS (After Changes)'!J116-'IS (Before Changes)'!J116</f>
        <v>0</v>
      </c>
      <c r="K116" s="187">
        <f>'IS (After Changes)'!K116-'IS (Before Changes)'!K116</f>
        <v>0</v>
      </c>
      <c r="L116" s="187">
        <f>'IS (After Changes)'!L116-'IS (Before Changes)'!L116</f>
        <v>0</v>
      </c>
      <c r="M116" s="188">
        <f>'IS (After Changes)'!M116-'IS (Before Changes)'!M116</f>
        <v>0</v>
      </c>
      <c r="N116" s="187">
        <f>'IS (After Changes)'!N116-'IS (Before Changes)'!N116</f>
        <v>0</v>
      </c>
      <c r="O116" s="187">
        <f>'IS (After Changes)'!O116-'IS (Before Changes)'!O116</f>
        <v>0</v>
      </c>
      <c r="P116" s="187">
        <f>'IS (After Changes)'!P116-'IS (Before Changes)'!P116</f>
        <v>0</v>
      </c>
      <c r="Q116" s="167">
        <f>'IS (After Changes)'!Q116-'IS (Before Changes)'!Q116</f>
        <v>0</v>
      </c>
      <c r="R116" s="188">
        <f>'IS (After Changes)'!R116-'IS (Before Changes)'!R116</f>
        <v>0</v>
      </c>
      <c r="S116" s="187">
        <f>'IS (After Changes)'!S116-'IS (Before Changes)'!S116</f>
        <v>0</v>
      </c>
      <c r="T116" s="187">
        <f>'IS (After Changes)'!T116-'IS (Before Changes)'!T116</f>
        <v>0</v>
      </c>
      <c r="U116" s="187">
        <f>'IS (After Changes)'!U116-'IS (Before Changes)'!U116</f>
        <v>0</v>
      </c>
      <c r="V116" s="187">
        <f>'IS (After Changes)'!V116-'IS (Before Changes)'!V116</f>
        <v>0</v>
      </c>
      <c r="W116" s="188">
        <f>'IS (After Changes)'!W116-'IS (Before Changes)'!W116</f>
        <v>0</v>
      </c>
      <c r="X116" s="189">
        <f>'IS (After Changes)'!X116-'IS (Before Changes)'!X116</f>
        <v>0</v>
      </c>
      <c r="Y116" s="189">
        <f>'IS (After Changes)'!Y116-'IS (Before Changes)'!Y116</f>
        <v>0</v>
      </c>
      <c r="Z116" s="189">
        <f>'IS (After Changes)'!Z116-'IS (Before Changes)'!Z116</f>
        <v>0</v>
      </c>
      <c r="AA116" s="189">
        <f>'IS (After Changes)'!AA116-'IS (Before Changes)'!AA116</f>
        <v>0</v>
      </c>
      <c r="AB116" s="188">
        <f>'IS (After Changes)'!AB116-'IS (Before Changes)'!AB116</f>
        <v>0</v>
      </c>
      <c r="AC116" s="189">
        <f>'IS (After Changes)'!AC116-'IS (Before Changes)'!AC116</f>
        <v>0</v>
      </c>
      <c r="AD116" s="189">
        <f>'IS (After Changes)'!AD116-'IS (Before Changes)'!AD116</f>
        <v>0</v>
      </c>
      <c r="AE116" s="189">
        <f>'IS (After Changes)'!AE116-'IS (Before Changes)'!AE116</f>
        <v>0</v>
      </c>
      <c r="AF116" s="189">
        <f>'IS (After Changes)'!AF116-'IS (Before Changes)'!AF116</f>
        <v>0</v>
      </c>
      <c r="AG116" s="188">
        <f>'IS (After Changes)'!AG116-'IS (Before Changes)'!AG116</f>
        <v>0</v>
      </c>
      <c r="AH116" s="189">
        <f>'IS (After Changes)'!AH116-'IS (Before Changes)'!AH116</f>
        <v>0</v>
      </c>
      <c r="AI116" s="189">
        <f>'IS (After Changes)'!AI116-'IS (Before Changes)'!AI116</f>
        <v>0</v>
      </c>
      <c r="AJ116" s="189">
        <f>'IS (After Changes)'!AJ116-'IS (Before Changes)'!AJ116</f>
        <v>0</v>
      </c>
      <c r="AK116" s="189">
        <f>'IS (After Changes)'!AK116-'IS (Before Changes)'!AK116</f>
        <v>0</v>
      </c>
      <c r="AL116" s="188">
        <f>'IS (After Changes)'!AL116-'IS (Before Changes)'!AL116</f>
        <v>0</v>
      </c>
      <c r="AM116" s="189">
        <f>'IS (After Changes)'!AM116-'IS (Before Changes)'!AM116</f>
        <v>0</v>
      </c>
      <c r="AN116" s="189">
        <f>'IS (After Changes)'!AN116-'IS (Before Changes)'!AN116</f>
        <v>0</v>
      </c>
      <c r="AO116" s="189">
        <f>'IS (After Changes)'!AO116-'IS (Before Changes)'!AO116</f>
        <v>0</v>
      </c>
      <c r="AP116" s="189">
        <f>'IS (After Changes)'!AP116-'IS (Before Changes)'!AP116</f>
        <v>0</v>
      </c>
      <c r="AQ116" s="188">
        <f>'IS (After Changes)'!AQ116-'IS (Before Changes)'!AQ116</f>
        <v>0</v>
      </c>
      <c r="AR116" s="189">
        <f>'IS (After Changes)'!AR116-'IS (Before Changes)'!AR116</f>
        <v>0</v>
      </c>
      <c r="AS116" s="189">
        <f>'IS (After Changes)'!AS116-'IS (Before Changes)'!AS116</f>
        <v>0</v>
      </c>
      <c r="AT116" s="189">
        <f>'IS (After Changes)'!AT116-'IS (Before Changes)'!AT116</f>
        <v>0</v>
      </c>
      <c r="AU116" s="189">
        <f>'IS (After Changes)'!AU116-'IS (Before Changes)'!AU116</f>
        <v>0</v>
      </c>
      <c r="AV116" s="188">
        <f>'IS (After Changes)'!AV116-'IS (Before Changes)'!AV116</f>
        <v>0</v>
      </c>
    </row>
    <row r="117" spans="2:48" ht="16.2" outlineLevel="1" x14ac:dyDescent="0.45">
      <c r="B117" s="180" t="s">
        <v>42</v>
      </c>
      <c r="C117" s="18"/>
      <c r="D117" s="119">
        <f>'IS (After Changes)'!D117-'IS (Before Changes)'!D117</f>
        <v>0</v>
      </c>
      <c r="E117" s="119">
        <f>'IS (After Changes)'!E117-'IS (Before Changes)'!E117</f>
        <v>0</v>
      </c>
      <c r="F117" s="119">
        <f>'IS (After Changes)'!F117-'IS (Before Changes)'!F117</f>
        <v>0</v>
      </c>
      <c r="G117" s="119">
        <f>'IS (After Changes)'!G117-'IS (Before Changes)'!G117</f>
        <v>0</v>
      </c>
      <c r="H117" s="131">
        <f>'IS (After Changes)'!H117-'IS (Before Changes)'!H117</f>
        <v>0</v>
      </c>
      <c r="I117" s="119">
        <f>'IS (After Changes)'!I117-'IS (Before Changes)'!I117</f>
        <v>0</v>
      </c>
      <c r="J117" s="119">
        <f>'IS (After Changes)'!J117-'IS (Before Changes)'!J117</f>
        <v>0</v>
      </c>
      <c r="K117" s="119">
        <f>'IS (After Changes)'!K117-'IS (Before Changes)'!K117</f>
        <v>0</v>
      </c>
      <c r="L117" s="119">
        <f>'IS (After Changes)'!L117-'IS (Before Changes)'!L117</f>
        <v>0</v>
      </c>
      <c r="M117" s="131">
        <f>'IS (After Changes)'!M117-'IS (Before Changes)'!M117</f>
        <v>0</v>
      </c>
      <c r="N117" s="119">
        <f>'IS (After Changes)'!N117-'IS (Before Changes)'!N117</f>
        <v>0</v>
      </c>
      <c r="O117" s="119">
        <f>'IS (After Changes)'!O117-'IS (Before Changes)'!O117</f>
        <v>0</v>
      </c>
      <c r="P117" s="119">
        <f>'IS (After Changes)'!P117-'IS (Before Changes)'!P117</f>
        <v>0</v>
      </c>
      <c r="Q117" s="119">
        <f>'IS (After Changes)'!Q117-'IS (Before Changes)'!Q117</f>
        <v>0</v>
      </c>
      <c r="R117" s="131">
        <f>'IS (After Changes)'!R117-'IS (Before Changes)'!R117</f>
        <v>0</v>
      </c>
      <c r="S117" s="119">
        <f>'IS (After Changes)'!S117-'IS (Before Changes)'!S117</f>
        <v>0</v>
      </c>
      <c r="T117" s="119">
        <f>'IS (After Changes)'!T117-'IS (Before Changes)'!T117</f>
        <v>0</v>
      </c>
      <c r="U117" s="119">
        <f>'IS (After Changes)'!U117-'IS (Before Changes)'!U117</f>
        <v>0</v>
      </c>
      <c r="V117" s="119">
        <f>'IS (After Changes)'!V117-'IS (Before Changes)'!V117</f>
        <v>0</v>
      </c>
      <c r="W117" s="131">
        <f>'IS (After Changes)'!W117-'IS (Before Changes)'!W117</f>
        <v>0</v>
      </c>
      <c r="X117" s="119">
        <f>'IS (After Changes)'!X117-'IS (Before Changes)'!X117</f>
        <v>0</v>
      </c>
      <c r="Y117" s="119">
        <f>'IS (After Changes)'!Y117-'IS (Before Changes)'!Y117</f>
        <v>0</v>
      </c>
      <c r="Z117" s="119">
        <f>'IS (After Changes)'!Z117-'IS (Before Changes)'!Z117</f>
        <v>0</v>
      </c>
      <c r="AA117" s="119">
        <f>'IS (After Changes)'!AA117-'IS (Before Changes)'!AA117</f>
        <v>0</v>
      </c>
      <c r="AB117" s="131">
        <f>'IS (After Changes)'!AB117-'IS (Before Changes)'!AB117</f>
        <v>0</v>
      </c>
      <c r="AC117" s="119">
        <f>'IS (After Changes)'!AC117-'IS (Before Changes)'!AC117</f>
        <v>0</v>
      </c>
      <c r="AD117" s="119">
        <f>'IS (After Changes)'!AD117-'IS (Before Changes)'!AD117</f>
        <v>0</v>
      </c>
      <c r="AE117" s="119">
        <f>'IS (After Changes)'!AE117-'IS (Before Changes)'!AE117</f>
        <v>0</v>
      </c>
      <c r="AF117" s="119">
        <f>'IS (After Changes)'!AF117-'IS (Before Changes)'!AF117</f>
        <v>0</v>
      </c>
      <c r="AG117" s="131">
        <f>'IS (After Changes)'!AG117-'IS (Before Changes)'!AG117</f>
        <v>0</v>
      </c>
      <c r="AH117" s="119">
        <f>'IS (After Changes)'!AH117-'IS (Before Changes)'!AH117</f>
        <v>0</v>
      </c>
      <c r="AI117" s="119">
        <f>'IS (After Changes)'!AI117-'IS (Before Changes)'!AI117</f>
        <v>0</v>
      </c>
      <c r="AJ117" s="119">
        <f>'IS (After Changes)'!AJ117-'IS (Before Changes)'!AJ117</f>
        <v>0</v>
      </c>
      <c r="AK117" s="119">
        <f>'IS (After Changes)'!AK117-'IS (Before Changes)'!AK117</f>
        <v>0</v>
      </c>
      <c r="AL117" s="131">
        <f>'IS (After Changes)'!AL117-'IS (Before Changes)'!AL117</f>
        <v>0</v>
      </c>
      <c r="AM117" s="119">
        <f>'IS (After Changes)'!AM117-'IS (Before Changes)'!AM117</f>
        <v>0</v>
      </c>
      <c r="AN117" s="119">
        <f>'IS (After Changes)'!AN117-'IS (Before Changes)'!AN117</f>
        <v>0</v>
      </c>
      <c r="AO117" s="119">
        <f>'IS (After Changes)'!AO117-'IS (Before Changes)'!AO117</f>
        <v>0</v>
      </c>
      <c r="AP117" s="119">
        <f>'IS (After Changes)'!AP117-'IS (Before Changes)'!AP117</f>
        <v>0</v>
      </c>
      <c r="AQ117" s="131">
        <f>'IS (After Changes)'!AQ117-'IS (Before Changes)'!AQ117</f>
        <v>0</v>
      </c>
      <c r="AR117" s="119">
        <f>'IS (After Changes)'!AR117-'IS (Before Changes)'!AR117</f>
        <v>0</v>
      </c>
      <c r="AS117" s="119">
        <f>'IS (After Changes)'!AS117-'IS (Before Changes)'!AS117</f>
        <v>0</v>
      </c>
      <c r="AT117" s="119">
        <f>'IS (After Changes)'!AT117-'IS (Before Changes)'!AT117</f>
        <v>0</v>
      </c>
      <c r="AU117" s="119">
        <f>'IS (After Changes)'!AU117-'IS (Before Changes)'!AU117</f>
        <v>0</v>
      </c>
      <c r="AV117" s="131">
        <f>'IS (After Changes)'!AV117-'IS (Before Changes)'!AV117</f>
        <v>0</v>
      </c>
    </row>
    <row r="118" spans="2:48" outlineLevel="1" x14ac:dyDescent="0.3">
      <c r="B118" s="46" t="s">
        <v>52</v>
      </c>
      <c r="C118" s="19"/>
      <c r="D118" s="50">
        <f>'IS (After Changes)'!D118-'IS (Before Changes)'!D118</f>
        <v>0</v>
      </c>
      <c r="E118" s="50">
        <f>'IS (After Changes)'!E118-'IS (Before Changes)'!E118</f>
        <v>0</v>
      </c>
      <c r="F118" s="50">
        <f>'IS (After Changes)'!F118-'IS (Before Changes)'!F118</f>
        <v>0</v>
      </c>
      <c r="G118" s="50">
        <f>'IS (After Changes)'!G118-'IS (Before Changes)'!G118</f>
        <v>0</v>
      </c>
      <c r="H118" s="26">
        <f>'IS (After Changes)'!H118-'IS (Before Changes)'!H118</f>
        <v>0</v>
      </c>
      <c r="I118" s="50">
        <f>'IS (After Changes)'!I118-'IS (Before Changes)'!I118</f>
        <v>0</v>
      </c>
      <c r="J118" s="50">
        <f>'IS (After Changes)'!J118-'IS (Before Changes)'!J118</f>
        <v>0</v>
      </c>
      <c r="K118" s="50">
        <f>'IS (After Changes)'!K118-'IS (Before Changes)'!K118</f>
        <v>0</v>
      </c>
      <c r="L118" s="50">
        <f>'IS (After Changes)'!L118-'IS (Before Changes)'!L118</f>
        <v>0</v>
      </c>
      <c r="M118" s="26">
        <f>'IS (After Changes)'!M118-'IS (Before Changes)'!M118</f>
        <v>0</v>
      </c>
      <c r="N118" s="50">
        <f>'IS (After Changes)'!N118-'IS (Before Changes)'!N118</f>
        <v>0</v>
      </c>
      <c r="O118" s="50">
        <f>'IS (After Changes)'!O118-'IS (Before Changes)'!O118</f>
        <v>0</v>
      </c>
      <c r="P118" s="50">
        <f>'IS (After Changes)'!P118-'IS (Before Changes)'!P118</f>
        <v>0</v>
      </c>
      <c r="Q118" s="103">
        <f>'IS (After Changes)'!Q118-'IS (Before Changes)'!Q118</f>
        <v>0</v>
      </c>
      <c r="R118" s="26">
        <f>'IS (After Changes)'!R118-'IS (Before Changes)'!R118</f>
        <v>0</v>
      </c>
      <c r="S118" s="50">
        <f>'IS (After Changes)'!S118-'IS (Before Changes)'!S118</f>
        <v>0</v>
      </c>
      <c r="T118" s="50">
        <f>'IS (After Changes)'!T118-'IS (Before Changes)'!T118</f>
        <v>0</v>
      </c>
      <c r="U118" s="50">
        <f>'IS (After Changes)'!U118-'IS (Before Changes)'!U118</f>
        <v>0</v>
      </c>
      <c r="V118" s="50">
        <f>'IS (After Changes)'!V118-'IS (Before Changes)'!V118</f>
        <v>0</v>
      </c>
      <c r="W118" s="26">
        <f>'IS (After Changes)'!W118-'IS (Before Changes)'!W118</f>
        <v>0</v>
      </c>
      <c r="X118" s="50">
        <f>'IS (After Changes)'!X118-'IS (Before Changes)'!X118</f>
        <v>0</v>
      </c>
      <c r="Y118" s="50">
        <f>'IS (After Changes)'!Y118-'IS (Before Changes)'!Y118</f>
        <v>0</v>
      </c>
      <c r="Z118" s="50">
        <f>'IS (After Changes)'!Z118-'IS (Before Changes)'!Z118</f>
        <v>0</v>
      </c>
      <c r="AA118" s="50">
        <f>'IS (After Changes)'!AA118-'IS (Before Changes)'!AA118</f>
        <v>0</v>
      </c>
      <c r="AB118" s="26">
        <f>'IS (After Changes)'!AB118-'IS (Before Changes)'!AB118</f>
        <v>0</v>
      </c>
      <c r="AC118" s="50">
        <f>'IS (After Changes)'!AC118-'IS (Before Changes)'!AC118</f>
        <v>0</v>
      </c>
      <c r="AD118" s="50">
        <f>'IS (After Changes)'!AD118-'IS (Before Changes)'!AD118</f>
        <v>0</v>
      </c>
      <c r="AE118" s="50">
        <f>'IS (After Changes)'!AE118-'IS (Before Changes)'!AE118</f>
        <v>0</v>
      </c>
      <c r="AF118" s="50">
        <f>'IS (After Changes)'!AF118-'IS (Before Changes)'!AF118</f>
        <v>0</v>
      </c>
      <c r="AG118" s="26">
        <f>'IS (After Changes)'!AG118-'IS (Before Changes)'!AG118</f>
        <v>0</v>
      </c>
      <c r="AH118" s="50">
        <f>'IS (After Changes)'!AH118-'IS (Before Changes)'!AH118</f>
        <v>0</v>
      </c>
      <c r="AI118" s="50">
        <f>'IS (After Changes)'!AI118-'IS (Before Changes)'!AI118</f>
        <v>0</v>
      </c>
      <c r="AJ118" s="50">
        <f>'IS (After Changes)'!AJ118-'IS (Before Changes)'!AJ118</f>
        <v>0</v>
      </c>
      <c r="AK118" s="50">
        <f>'IS (After Changes)'!AK118-'IS (Before Changes)'!AK118</f>
        <v>0</v>
      </c>
      <c r="AL118" s="26">
        <f>'IS (After Changes)'!AL118-'IS (Before Changes)'!AL118</f>
        <v>0</v>
      </c>
      <c r="AM118" s="50">
        <f>'IS (After Changes)'!AM118-'IS (Before Changes)'!AM118</f>
        <v>0</v>
      </c>
      <c r="AN118" s="50">
        <f>'IS (After Changes)'!AN118-'IS (Before Changes)'!AN118</f>
        <v>0</v>
      </c>
      <c r="AO118" s="50">
        <f>'IS (After Changes)'!AO118-'IS (Before Changes)'!AO118</f>
        <v>0</v>
      </c>
      <c r="AP118" s="50">
        <f>'IS (After Changes)'!AP118-'IS (Before Changes)'!AP118</f>
        <v>0</v>
      </c>
      <c r="AQ118" s="26">
        <f>'IS (After Changes)'!AQ118-'IS (Before Changes)'!AQ118</f>
        <v>0</v>
      </c>
      <c r="AR118" s="50">
        <f>'IS (After Changes)'!AR118-'IS (Before Changes)'!AR118</f>
        <v>0</v>
      </c>
      <c r="AS118" s="50">
        <f>'IS (After Changes)'!AS118-'IS (Before Changes)'!AS118</f>
        <v>0</v>
      </c>
      <c r="AT118" s="50">
        <f>'IS (After Changes)'!AT118-'IS (Before Changes)'!AT118</f>
        <v>0</v>
      </c>
      <c r="AU118" s="50">
        <f>'IS (After Changes)'!AU118-'IS (Before Changes)'!AU118</f>
        <v>0</v>
      </c>
      <c r="AV118" s="26">
        <f>'IS (After Changes)'!AV118-'IS (Before Changes)'!AV118</f>
        <v>0</v>
      </c>
    </row>
    <row r="119" spans="2:48" ht="16.2" outlineLevel="1" x14ac:dyDescent="0.45">
      <c r="B119" s="47" t="s">
        <v>36</v>
      </c>
      <c r="C119" s="44"/>
      <c r="D119" s="52">
        <f>'IS (After Changes)'!D119-'IS (Before Changes)'!D119</f>
        <v>0</v>
      </c>
      <c r="E119" s="104">
        <f>'IS (After Changes)'!E119-'IS (Before Changes)'!E119</f>
        <v>0</v>
      </c>
      <c r="F119" s="104">
        <f>'IS (After Changes)'!F119-'IS (Before Changes)'!F119</f>
        <v>0</v>
      </c>
      <c r="G119" s="104">
        <f>'IS (After Changes)'!G119-'IS (Before Changes)'!G119</f>
        <v>0</v>
      </c>
      <c r="H119" s="193">
        <f>'IS (After Changes)'!H119-'IS (Before Changes)'!H119</f>
        <v>0</v>
      </c>
      <c r="I119" s="104">
        <f>'IS (After Changes)'!I119-'IS (Before Changes)'!I119</f>
        <v>0</v>
      </c>
      <c r="J119" s="104">
        <f>'IS (After Changes)'!J119-'IS (Before Changes)'!J119</f>
        <v>0</v>
      </c>
      <c r="K119" s="104">
        <f>'IS (After Changes)'!K119-'IS (Before Changes)'!K119</f>
        <v>0</v>
      </c>
      <c r="L119" s="104">
        <f>'IS (After Changes)'!L119-'IS (Before Changes)'!L119</f>
        <v>0</v>
      </c>
      <c r="M119" s="193">
        <f>'IS (After Changes)'!M119-'IS (Before Changes)'!M119</f>
        <v>0</v>
      </c>
      <c r="N119" s="104">
        <f>'IS (After Changes)'!N119-'IS (Before Changes)'!N119</f>
        <v>0</v>
      </c>
      <c r="O119" s="104">
        <f>'IS (After Changes)'!O119-'IS (Before Changes)'!O119</f>
        <v>0</v>
      </c>
      <c r="P119" s="104">
        <f>'IS (After Changes)'!P119-'IS (Before Changes)'!P119</f>
        <v>0</v>
      </c>
      <c r="Q119" s="104">
        <f>'IS (After Changes)'!Q119-'IS (Before Changes)'!Q119</f>
        <v>0</v>
      </c>
      <c r="R119" s="193">
        <f>'IS (After Changes)'!R119-'IS (Before Changes)'!R119</f>
        <v>0</v>
      </c>
      <c r="S119" s="104">
        <f>'IS (After Changes)'!S119-'IS (Before Changes)'!S119</f>
        <v>0</v>
      </c>
      <c r="T119" s="104">
        <f>'IS (After Changes)'!T119-'IS (Before Changes)'!T119</f>
        <v>0</v>
      </c>
      <c r="U119" s="104">
        <f>'IS (After Changes)'!U119-'IS (Before Changes)'!U119</f>
        <v>0</v>
      </c>
      <c r="V119" s="104">
        <f>'IS (After Changes)'!V119-'IS (Before Changes)'!V119</f>
        <v>0</v>
      </c>
      <c r="W119" s="193">
        <f>'IS (After Changes)'!W119-'IS (Before Changes)'!W119</f>
        <v>0</v>
      </c>
      <c r="X119" s="56">
        <f>'IS (After Changes)'!X119-'IS (Before Changes)'!X119</f>
        <v>0</v>
      </c>
      <c r="Y119" s="56">
        <f>'IS (After Changes)'!Y119-'IS (Before Changes)'!Y119</f>
        <v>0</v>
      </c>
      <c r="Z119" s="56">
        <f>'IS (After Changes)'!Z119-'IS (Before Changes)'!Z119</f>
        <v>0</v>
      </c>
      <c r="AA119" s="56">
        <f>'IS (After Changes)'!AA119-'IS (Before Changes)'!AA119</f>
        <v>0</v>
      </c>
      <c r="AB119" s="193">
        <f>'IS (After Changes)'!AB119-'IS (Before Changes)'!AB119</f>
        <v>0</v>
      </c>
      <c r="AC119" s="56">
        <f>'IS (After Changes)'!AC119-'IS (Before Changes)'!AC119</f>
        <v>0</v>
      </c>
      <c r="AD119" s="56">
        <f>'IS (After Changes)'!AD119-'IS (Before Changes)'!AD119</f>
        <v>0</v>
      </c>
      <c r="AE119" s="56">
        <f>'IS (After Changes)'!AE119-'IS (Before Changes)'!AE119</f>
        <v>0</v>
      </c>
      <c r="AF119" s="56">
        <f>'IS (After Changes)'!AF119-'IS (Before Changes)'!AF119</f>
        <v>0</v>
      </c>
      <c r="AG119" s="193">
        <f>'IS (After Changes)'!AG119-'IS (Before Changes)'!AG119</f>
        <v>0</v>
      </c>
      <c r="AH119" s="56">
        <f>'IS (After Changes)'!AH119-'IS (Before Changes)'!AH119</f>
        <v>0</v>
      </c>
      <c r="AI119" s="56">
        <f>'IS (After Changes)'!AI119-'IS (Before Changes)'!AI119</f>
        <v>0</v>
      </c>
      <c r="AJ119" s="56">
        <f>'IS (After Changes)'!AJ119-'IS (Before Changes)'!AJ119</f>
        <v>0</v>
      </c>
      <c r="AK119" s="56">
        <f>'IS (After Changes)'!AK119-'IS (Before Changes)'!AK119</f>
        <v>0</v>
      </c>
      <c r="AL119" s="193">
        <f>'IS (After Changes)'!AL119-'IS (Before Changes)'!AL119</f>
        <v>0</v>
      </c>
      <c r="AM119" s="56">
        <f>'IS (After Changes)'!AM119-'IS (Before Changes)'!AM119</f>
        <v>0</v>
      </c>
      <c r="AN119" s="56">
        <f>'IS (After Changes)'!AN119-'IS (Before Changes)'!AN119</f>
        <v>0</v>
      </c>
      <c r="AO119" s="56">
        <f>'IS (After Changes)'!AO119-'IS (Before Changes)'!AO119</f>
        <v>0</v>
      </c>
      <c r="AP119" s="56">
        <f>'IS (After Changes)'!AP119-'IS (Before Changes)'!AP119</f>
        <v>0</v>
      </c>
      <c r="AQ119" s="193">
        <f>'IS (After Changes)'!AQ119-'IS (Before Changes)'!AQ119</f>
        <v>0</v>
      </c>
      <c r="AR119" s="56">
        <f>'IS (After Changes)'!AR119-'IS (Before Changes)'!AR119</f>
        <v>0</v>
      </c>
      <c r="AS119" s="56">
        <f>'IS (After Changes)'!AS119-'IS (Before Changes)'!AS119</f>
        <v>0</v>
      </c>
      <c r="AT119" s="56">
        <f>'IS (After Changes)'!AT119-'IS (Before Changes)'!AT119</f>
        <v>0</v>
      </c>
      <c r="AU119" s="56">
        <f>'IS (After Changes)'!AU119-'IS (Before Changes)'!AU119</f>
        <v>0</v>
      </c>
      <c r="AV119" s="193">
        <f>'IS (After Changes)'!AV119-'IS (Before Changes)'!AV119</f>
        <v>0</v>
      </c>
    </row>
    <row r="120" spans="2:48" outlineLevel="1" x14ac:dyDescent="0.3">
      <c r="B120" s="46" t="s">
        <v>53</v>
      </c>
      <c r="C120" s="44"/>
      <c r="D120" s="156">
        <f>'IS (After Changes)'!D120-'IS (Before Changes)'!D120</f>
        <v>0</v>
      </c>
      <c r="E120" s="156">
        <f>'IS (After Changes)'!E120-'IS (Before Changes)'!E120</f>
        <v>0</v>
      </c>
      <c r="F120" s="156">
        <f>'IS (After Changes)'!F120-'IS (Before Changes)'!F120</f>
        <v>0</v>
      </c>
      <c r="G120" s="156">
        <f>'IS (After Changes)'!G120-'IS (Before Changes)'!G120</f>
        <v>0</v>
      </c>
      <c r="H120" s="97">
        <f>'IS (After Changes)'!H120-'IS (Before Changes)'!H120</f>
        <v>0</v>
      </c>
      <c r="I120" s="156">
        <f>'IS (After Changes)'!I120-'IS (Before Changes)'!I120</f>
        <v>0</v>
      </c>
      <c r="J120" s="156">
        <f>'IS (After Changes)'!J120-'IS (Before Changes)'!J120</f>
        <v>0</v>
      </c>
      <c r="K120" s="156">
        <f>'IS (After Changes)'!K120-'IS (Before Changes)'!K120</f>
        <v>0</v>
      </c>
      <c r="L120" s="74">
        <f>'IS (After Changes)'!L120-'IS (Before Changes)'!L120</f>
        <v>0</v>
      </c>
      <c r="M120" s="97">
        <f>'IS (After Changes)'!M120-'IS (Before Changes)'!M120</f>
        <v>0</v>
      </c>
      <c r="N120" s="74">
        <f>'IS (After Changes)'!N120-'IS (Before Changes)'!N120</f>
        <v>0</v>
      </c>
      <c r="O120" s="74">
        <f>'IS (After Changes)'!O120-'IS (Before Changes)'!O120</f>
        <v>0</v>
      </c>
      <c r="P120" s="74">
        <f>'IS (After Changes)'!P120-'IS (Before Changes)'!P120</f>
        <v>0</v>
      </c>
      <c r="Q120" s="74">
        <f>'IS (After Changes)'!Q120-'IS (Before Changes)'!Q120</f>
        <v>0</v>
      </c>
      <c r="R120" s="97">
        <f>'IS (After Changes)'!R120-'IS (Before Changes)'!R120</f>
        <v>0</v>
      </c>
      <c r="S120" s="74">
        <f>'IS (After Changes)'!S120-'IS (Before Changes)'!S120</f>
        <v>0</v>
      </c>
      <c r="T120" s="74">
        <f>'IS (After Changes)'!T120-'IS (Before Changes)'!T120</f>
        <v>0</v>
      </c>
      <c r="U120" s="74">
        <f>'IS (After Changes)'!U120-'IS (Before Changes)'!U120</f>
        <v>0</v>
      </c>
      <c r="V120" s="74">
        <f>'IS (After Changes)'!V120-'IS (Before Changes)'!V120</f>
        <v>0</v>
      </c>
      <c r="W120" s="97">
        <f>'IS (After Changes)'!W120-'IS (Before Changes)'!W120</f>
        <v>0</v>
      </c>
      <c r="X120" s="74">
        <f>'IS (After Changes)'!X120-'IS (Before Changes)'!X120</f>
        <v>0</v>
      </c>
      <c r="Y120" s="74">
        <f>'IS (After Changes)'!Y120-'IS (Before Changes)'!Y120</f>
        <v>0</v>
      </c>
      <c r="Z120" s="74">
        <f>'IS (After Changes)'!Z120-'IS (Before Changes)'!Z120</f>
        <v>0</v>
      </c>
      <c r="AA120" s="74">
        <f>'IS (After Changes)'!AA120-'IS (Before Changes)'!AA120</f>
        <v>0</v>
      </c>
      <c r="AB120" s="97">
        <f>'IS (After Changes)'!AB120-'IS (Before Changes)'!AB120</f>
        <v>0</v>
      </c>
      <c r="AC120" s="74">
        <f>'IS (After Changes)'!AC120-'IS (Before Changes)'!AC120</f>
        <v>0</v>
      </c>
      <c r="AD120" s="74">
        <f>'IS (After Changes)'!AD120-'IS (Before Changes)'!AD120</f>
        <v>0</v>
      </c>
      <c r="AE120" s="74">
        <f>'IS (After Changes)'!AE120-'IS (Before Changes)'!AE120</f>
        <v>0</v>
      </c>
      <c r="AF120" s="74">
        <f>'IS (After Changes)'!AF120-'IS (Before Changes)'!AF120</f>
        <v>0</v>
      </c>
      <c r="AG120" s="97">
        <f>'IS (After Changes)'!AG120-'IS (Before Changes)'!AG120</f>
        <v>0</v>
      </c>
      <c r="AH120" s="74">
        <f>'IS (After Changes)'!AH120-'IS (Before Changes)'!AH120</f>
        <v>0</v>
      </c>
      <c r="AI120" s="74">
        <f>'IS (After Changes)'!AI120-'IS (Before Changes)'!AI120</f>
        <v>0</v>
      </c>
      <c r="AJ120" s="74">
        <f>'IS (After Changes)'!AJ120-'IS (Before Changes)'!AJ120</f>
        <v>0</v>
      </c>
      <c r="AK120" s="74">
        <f>'IS (After Changes)'!AK120-'IS (Before Changes)'!AK120</f>
        <v>0</v>
      </c>
      <c r="AL120" s="97">
        <f>'IS (After Changes)'!AL120-'IS (Before Changes)'!AL120</f>
        <v>0</v>
      </c>
      <c r="AM120" s="74">
        <f>'IS (After Changes)'!AM120-'IS (Before Changes)'!AM120</f>
        <v>0</v>
      </c>
      <c r="AN120" s="74">
        <f>'IS (After Changes)'!AN120-'IS (Before Changes)'!AN120</f>
        <v>0</v>
      </c>
      <c r="AO120" s="74">
        <f>'IS (After Changes)'!AO120-'IS (Before Changes)'!AO120</f>
        <v>0</v>
      </c>
      <c r="AP120" s="74">
        <f>'IS (After Changes)'!AP120-'IS (Before Changes)'!AP120</f>
        <v>0</v>
      </c>
      <c r="AQ120" s="97">
        <f>'IS (After Changes)'!AQ120-'IS (Before Changes)'!AQ120</f>
        <v>0</v>
      </c>
      <c r="AR120" s="74">
        <f>'IS (After Changes)'!AR120-'IS (Before Changes)'!AR120</f>
        <v>0</v>
      </c>
      <c r="AS120" s="74">
        <f>'IS (After Changes)'!AS120-'IS (Before Changes)'!AS120</f>
        <v>0</v>
      </c>
      <c r="AT120" s="74">
        <f>'IS (After Changes)'!AT120-'IS (Before Changes)'!AT120</f>
        <v>0</v>
      </c>
      <c r="AU120" s="74">
        <f>'IS (After Changes)'!AU120-'IS (Before Changes)'!AU120</f>
        <v>0</v>
      </c>
      <c r="AV120" s="97">
        <f>'IS (After Changes)'!AV120-'IS (Before Changes)'!AV120</f>
        <v>0</v>
      </c>
    </row>
    <row r="121" spans="2:48" outlineLevel="1" x14ac:dyDescent="0.3">
      <c r="B121" s="46" t="s">
        <v>54</v>
      </c>
      <c r="C121" s="44"/>
      <c r="D121" s="157">
        <f>'IS (After Changes)'!D121-'IS (Before Changes)'!D121</f>
        <v>0</v>
      </c>
      <c r="E121" s="157">
        <f>'IS (After Changes)'!E121-'IS (Before Changes)'!E121</f>
        <v>0</v>
      </c>
      <c r="F121" s="157">
        <f>'IS (After Changes)'!F121-'IS (Before Changes)'!F121</f>
        <v>0</v>
      </c>
      <c r="G121" s="157">
        <f>'IS (After Changes)'!G121-'IS (Before Changes)'!G121</f>
        <v>0</v>
      </c>
      <c r="H121" s="125">
        <f>'IS (After Changes)'!H121-'IS (Before Changes)'!H121</f>
        <v>0</v>
      </c>
      <c r="I121" s="157">
        <f>'IS (After Changes)'!I121-'IS (Before Changes)'!I121</f>
        <v>0</v>
      </c>
      <c r="J121" s="157">
        <f>'IS (After Changes)'!J121-'IS (Before Changes)'!J121</f>
        <v>0</v>
      </c>
      <c r="K121" s="157">
        <f>'IS (After Changes)'!K121-'IS (Before Changes)'!K121</f>
        <v>0</v>
      </c>
      <c r="L121" s="75">
        <f>'IS (After Changes)'!L121-'IS (Before Changes)'!L121</f>
        <v>0</v>
      </c>
      <c r="M121" s="98">
        <f>'IS (After Changes)'!M121-'IS (Before Changes)'!M121</f>
        <v>0</v>
      </c>
      <c r="N121" s="75">
        <f>'IS (After Changes)'!N121-'IS (Before Changes)'!N121</f>
        <v>0</v>
      </c>
      <c r="O121" s="75">
        <f>'IS (After Changes)'!O121-'IS (Before Changes)'!O121</f>
        <v>0</v>
      </c>
      <c r="P121" s="75">
        <f>'IS (After Changes)'!P121-'IS (Before Changes)'!P121</f>
        <v>0</v>
      </c>
      <c r="Q121" s="75">
        <f>'IS (After Changes)'!Q121-'IS (Before Changes)'!Q121</f>
        <v>0</v>
      </c>
      <c r="R121" s="98">
        <f>'IS (After Changes)'!R121-'IS (Before Changes)'!R121</f>
        <v>0</v>
      </c>
      <c r="S121" s="75">
        <f>'IS (After Changes)'!S121-'IS (Before Changes)'!S121</f>
        <v>0</v>
      </c>
      <c r="T121" s="75">
        <f>'IS (After Changes)'!T121-'IS (Before Changes)'!T121</f>
        <v>0</v>
      </c>
      <c r="U121" s="75">
        <f>'IS (After Changes)'!U121-'IS (Before Changes)'!U121</f>
        <v>0</v>
      </c>
      <c r="V121" s="75">
        <f>'IS (After Changes)'!V121-'IS (Before Changes)'!V121</f>
        <v>0</v>
      </c>
      <c r="W121" s="98">
        <f>'IS (After Changes)'!W121-'IS (Before Changes)'!W121</f>
        <v>0</v>
      </c>
      <c r="X121" s="75">
        <f>'IS (After Changes)'!X121-'IS (Before Changes)'!X121</f>
        <v>0</v>
      </c>
      <c r="Y121" s="75">
        <f>'IS (After Changes)'!Y121-'IS (Before Changes)'!Y121</f>
        <v>0</v>
      </c>
      <c r="Z121" s="75">
        <f>'IS (After Changes)'!Z121-'IS (Before Changes)'!Z121</f>
        <v>0</v>
      </c>
      <c r="AA121" s="75">
        <f>'IS (After Changes)'!AA121-'IS (Before Changes)'!AA121</f>
        <v>0</v>
      </c>
      <c r="AB121" s="98">
        <f>'IS (After Changes)'!AB121-'IS (Before Changes)'!AB121</f>
        <v>0</v>
      </c>
      <c r="AC121" s="75">
        <f>'IS (After Changes)'!AC121-'IS (Before Changes)'!AC121</f>
        <v>0</v>
      </c>
      <c r="AD121" s="75">
        <f>'IS (After Changes)'!AD121-'IS (Before Changes)'!AD121</f>
        <v>0</v>
      </c>
      <c r="AE121" s="75">
        <f>'IS (After Changes)'!AE121-'IS (Before Changes)'!AE121</f>
        <v>0</v>
      </c>
      <c r="AF121" s="75">
        <f>'IS (After Changes)'!AF121-'IS (Before Changes)'!AF121</f>
        <v>0</v>
      </c>
      <c r="AG121" s="98">
        <f>'IS (After Changes)'!AG121-'IS (Before Changes)'!AG121</f>
        <v>0</v>
      </c>
      <c r="AH121" s="75">
        <f>'IS (After Changes)'!AH121-'IS (Before Changes)'!AH121</f>
        <v>0</v>
      </c>
      <c r="AI121" s="75">
        <f>'IS (After Changes)'!AI121-'IS (Before Changes)'!AI121</f>
        <v>0</v>
      </c>
      <c r="AJ121" s="75">
        <f>'IS (After Changes)'!AJ121-'IS (Before Changes)'!AJ121</f>
        <v>0</v>
      </c>
      <c r="AK121" s="75">
        <f>'IS (After Changes)'!AK121-'IS (Before Changes)'!AK121</f>
        <v>0</v>
      </c>
      <c r="AL121" s="98">
        <f>'IS (After Changes)'!AL121-'IS (Before Changes)'!AL121</f>
        <v>0</v>
      </c>
      <c r="AM121" s="75">
        <f>'IS (After Changes)'!AM121-'IS (Before Changes)'!AM121</f>
        <v>0</v>
      </c>
      <c r="AN121" s="75">
        <f>'IS (After Changes)'!AN121-'IS (Before Changes)'!AN121</f>
        <v>0</v>
      </c>
      <c r="AO121" s="75">
        <f>'IS (After Changes)'!AO121-'IS (Before Changes)'!AO121</f>
        <v>0</v>
      </c>
      <c r="AP121" s="75">
        <f>'IS (After Changes)'!AP121-'IS (Before Changes)'!AP121</f>
        <v>0</v>
      </c>
      <c r="AQ121" s="98">
        <f>'IS (After Changes)'!AQ121-'IS (Before Changes)'!AQ121</f>
        <v>0</v>
      </c>
      <c r="AR121" s="75">
        <f>'IS (After Changes)'!AR121-'IS (Before Changes)'!AR121</f>
        <v>0</v>
      </c>
      <c r="AS121" s="75">
        <f>'IS (After Changes)'!AS121-'IS (Before Changes)'!AS121</f>
        <v>0</v>
      </c>
      <c r="AT121" s="75">
        <f>'IS (After Changes)'!AT121-'IS (Before Changes)'!AT121</f>
        <v>0</v>
      </c>
      <c r="AU121" s="75">
        <f>'IS (After Changes)'!AU121-'IS (Before Changes)'!AU121</f>
        <v>0</v>
      </c>
      <c r="AV121" s="98">
        <f>'IS (After Changes)'!AV121-'IS (Before Changes)'!AV121</f>
        <v>0</v>
      </c>
    </row>
    <row r="122" spans="2:48" ht="17.399999999999999" x14ac:dyDescent="0.45">
      <c r="B122" s="494" t="s">
        <v>55</v>
      </c>
      <c r="C122" s="495"/>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486" t="s">
        <v>127</v>
      </c>
      <c r="C123" s="487"/>
      <c r="D123" s="48">
        <f>'IS (After Changes)'!D123-'IS (Before Changes)'!D123</f>
        <v>0</v>
      </c>
      <c r="E123" s="48">
        <f>'IS (After Changes)'!E123-'IS (Before Changes)'!E123</f>
        <v>0</v>
      </c>
      <c r="F123" s="48">
        <f>'IS (After Changes)'!F123-'IS (Before Changes)'!F123</f>
        <v>0</v>
      </c>
      <c r="G123" s="48">
        <f>'IS (After Changes)'!G123-'IS (Before Changes)'!G123</f>
        <v>0</v>
      </c>
      <c r="H123" s="31">
        <f>'IS (After Changes)'!H123-'IS (Before Changes)'!H123</f>
        <v>0</v>
      </c>
      <c r="I123" s="48">
        <f>'IS (After Changes)'!I123-'IS (Before Changes)'!I123</f>
        <v>0</v>
      </c>
      <c r="J123" s="48">
        <f>'IS (After Changes)'!J123-'IS (Before Changes)'!J123</f>
        <v>0</v>
      </c>
      <c r="K123" s="48">
        <f>'IS (After Changes)'!K123-'IS (Before Changes)'!K123</f>
        <v>0</v>
      </c>
      <c r="L123" s="48">
        <f>'IS (After Changes)'!L123-'IS (Before Changes)'!L123</f>
        <v>0</v>
      </c>
      <c r="M123" s="31">
        <f>'IS (After Changes)'!M123-'IS (Before Changes)'!M123</f>
        <v>0</v>
      </c>
      <c r="N123" s="48">
        <f>'IS (After Changes)'!N123-'IS (Before Changes)'!N123</f>
        <v>0</v>
      </c>
      <c r="O123" s="48">
        <f>'IS (After Changes)'!O123-'IS (Before Changes)'!O123</f>
        <v>0</v>
      </c>
      <c r="P123" s="48">
        <f>'IS (After Changes)'!P123-'IS (Before Changes)'!P123</f>
        <v>0</v>
      </c>
      <c r="Q123" s="105">
        <f>'IS (After Changes)'!Q123-'IS (Before Changes)'!Q123</f>
        <v>0</v>
      </c>
      <c r="R123" s="31">
        <f>'IS (After Changes)'!R123-'IS (Before Changes)'!R123</f>
        <v>0</v>
      </c>
      <c r="S123" s="48">
        <f>'IS (After Changes)'!S123-'IS (Before Changes)'!S123</f>
        <v>0</v>
      </c>
      <c r="T123" s="48">
        <f>'IS (After Changes)'!T123-'IS (Before Changes)'!T123</f>
        <v>0</v>
      </c>
      <c r="U123" s="48">
        <f>'IS (After Changes)'!U123-'IS (Before Changes)'!U123</f>
        <v>0</v>
      </c>
      <c r="V123" s="48">
        <f>'IS (After Changes)'!V123-'IS (Before Changes)'!V123</f>
        <v>0</v>
      </c>
      <c r="W123" s="31">
        <f>'IS (After Changes)'!W123-'IS (Before Changes)'!W123</f>
        <v>0</v>
      </c>
      <c r="X123" s="48">
        <f>'IS (After Changes)'!X123-'IS (Before Changes)'!X123</f>
        <v>0</v>
      </c>
      <c r="Y123" s="48">
        <f>'IS (After Changes)'!Y123-'IS (Before Changes)'!Y123</f>
        <v>0</v>
      </c>
      <c r="Z123" s="48">
        <f>'IS (After Changes)'!Z123-'IS (Before Changes)'!Z123</f>
        <v>0</v>
      </c>
      <c r="AA123" s="48">
        <f>'IS (After Changes)'!AA123-'IS (Before Changes)'!AA123</f>
        <v>0</v>
      </c>
      <c r="AB123" s="31">
        <f>'IS (After Changes)'!AB123-'IS (Before Changes)'!AB123</f>
        <v>0</v>
      </c>
      <c r="AC123" s="48">
        <f>'IS (After Changes)'!AC123-'IS (Before Changes)'!AC123</f>
        <v>0</v>
      </c>
      <c r="AD123" s="48">
        <f>'IS (After Changes)'!AD123-'IS (Before Changes)'!AD123</f>
        <v>0</v>
      </c>
      <c r="AE123" s="48">
        <f>'IS (After Changes)'!AE123-'IS (Before Changes)'!AE123</f>
        <v>0</v>
      </c>
      <c r="AF123" s="48">
        <f>'IS (After Changes)'!AF123-'IS (Before Changes)'!AF123</f>
        <v>0</v>
      </c>
      <c r="AG123" s="31">
        <f>'IS (After Changes)'!AG123-'IS (Before Changes)'!AG123</f>
        <v>0</v>
      </c>
      <c r="AH123" s="48">
        <f>'IS (After Changes)'!AH123-'IS (Before Changes)'!AH123</f>
        <v>0</v>
      </c>
      <c r="AI123" s="48">
        <f>'IS (After Changes)'!AI123-'IS (Before Changes)'!AI123</f>
        <v>0</v>
      </c>
      <c r="AJ123" s="48">
        <f>'IS (After Changes)'!AJ123-'IS (Before Changes)'!AJ123</f>
        <v>0</v>
      </c>
      <c r="AK123" s="48">
        <f>'IS (After Changes)'!AK123-'IS (Before Changes)'!AK123</f>
        <v>0</v>
      </c>
      <c r="AL123" s="31">
        <f>'IS (After Changes)'!AL123-'IS (Before Changes)'!AL123</f>
        <v>0</v>
      </c>
      <c r="AM123" s="48">
        <f>'IS (After Changes)'!AM123-'IS (Before Changes)'!AM123</f>
        <v>0</v>
      </c>
      <c r="AN123" s="48">
        <f>'IS (After Changes)'!AN123-'IS (Before Changes)'!AN123</f>
        <v>0</v>
      </c>
      <c r="AO123" s="48">
        <f>'IS (After Changes)'!AO123-'IS (Before Changes)'!AO123</f>
        <v>0</v>
      </c>
      <c r="AP123" s="48">
        <f>'IS (After Changes)'!AP123-'IS (Before Changes)'!AP123</f>
        <v>0</v>
      </c>
      <c r="AQ123" s="31">
        <f>'IS (After Changes)'!AQ123-'IS (Before Changes)'!AQ123</f>
        <v>0</v>
      </c>
      <c r="AR123" s="48">
        <f>'IS (After Changes)'!AR123-'IS (Before Changes)'!AR123</f>
        <v>0</v>
      </c>
      <c r="AS123" s="48">
        <f>'IS (After Changes)'!AS123-'IS (Before Changes)'!AS123</f>
        <v>0</v>
      </c>
      <c r="AT123" s="48">
        <f>'IS (After Changes)'!AT123-'IS (Before Changes)'!AT123</f>
        <v>0</v>
      </c>
      <c r="AU123" s="48">
        <f>'IS (After Changes)'!AU123-'IS (Before Changes)'!AU123</f>
        <v>0</v>
      </c>
      <c r="AV123" s="31">
        <f>'IS (After Changes)'!AV123-'IS (Before Changes)'!AV123</f>
        <v>0</v>
      </c>
    </row>
    <row r="124" spans="2:48" s="8" customFormat="1" outlineLevel="1" x14ac:dyDescent="0.3">
      <c r="B124" s="38" t="s">
        <v>128</v>
      </c>
      <c r="C124" s="201"/>
      <c r="D124" s="30">
        <f>'IS (After Changes)'!D124-'IS (Before Changes)'!D124</f>
        <v>0</v>
      </c>
      <c r="E124" s="30">
        <f>'IS (After Changes)'!E124-'IS (Before Changes)'!E124</f>
        <v>0</v>
      </c>
      <c r="F124" s="30">
        <f>'IS (After Changes)'!F124-'IS (Before Changes)'!F124</f>
        <v>0</v>
      </c>
      <c r="G124" s="118">
        <f>'IS (After Changes)'!G124-'IS (Before Changes)'!G124</f>
        <v>0</v>
      </c>
      <c r="H124" s="130">
        <f>'IS (After Changes)'!H124-'IS (Before Changes)'!H124</f>
        <v>0</v>
      </c>
      <c r="I124" s="118">
        <f>'IS (After Changes)'!I124-'IS (Before Changes)'!I124</f>
        <v>0</v>
      </c>
      <c r="J124" s="118">
        <f>'IS (After Changes)'!J124-'IS (Before Changes)'!J124</f>
        <v>0</v>
      </c>
      <c r="K124" s="118">
        <f>'IS (After Changes)'!K124-'IS (Before Changes)'!K124</f>
        <v>0</v>
      </c>
      <c r="L124" s="118">
        <f>'IS (After Changes)'!L124-'IS (Before Changes)'!L124</f>
        <v>0</v>
      </c>
      <c r="M124" s="128">
        <f>'IS (After Changes)'!M124-'IS (Before Changes)'!M124</f>
        <v>0</v>
      </c>
      <c r="N124" s="118">
        <f>'IS (After Changes)'!N124-'IS (Before Changes)'!N124</f>
        <v>0</v>
      </c>
      <c r="O124" s="118">
        <f>'IS (After Changes)'!O124-'IS (Before Changes)'!O124</f>
        <v>0</v>
      </c>
      <c r="P124" s="118">
        <f>'IS (After Changes)'!P124-'IS (Before Changes)'!P124</f>
        <v>0</v>
      </c>
      <c r="Q124" s="118">
        <f>'IS (After Changes)'!Q124-'IS (Before Changes)'!Q124</f>
        <v>0</v>
      </c>
      <c r="R124" s="128">
        <f>'IS (After Changes)'!R124-'IS (Before Changes)'!R124</f>
        <v>0</v>
      </c>
      <c r="S124" s="118">
        <f>'IS (After Changes)'!S124-'IS (Before Changes)'!S124</f>
        <v>0</v>
      </c>
      <c r="T124" s="118">
        <f>'IS (After Changes)'!T124-'IS (Before Changes)'!T124</f>
        <v>0</v>
      </c>
      <c r="U124" s="118">
        <f>'IS (After Changes)'!U124-'IS (Before Changes)'!U124</f>
        <v>0</v>
      </c>
      <c r="V124" s="118">
        <f>'IS (After Changes)'!V124-'IS (Before Changes)'!V124</f>
        <v>0</v>
      </c>
      <c r="W124" s="128">
        <f>'IS (After Changes)'!W124-'IS (Before Changes)'!W124</f>
        <v>0</v>
      </c>
      <c r="X124" s="34">
        <f>'IS (After Changes)'!X124-'IS (Before Changes)'!X124</f>
        <v>0</v>
      </c>
      <c r="Y124" s="34">
        <f>'IS (After Changes)'!Y124-'IS (Before Changes)'!Y124</f>
        <v>0</v>
      </c>
      <c r="Z124" s="34">
        <f>'IS (After Changes)'!Z124-'IS (Before Changes)'!Z124</f>
        <v>0</v>
      </c>
      <c r="AA124" s="34">
        <f>'IS (After Changes)'!AA124-'IS (Before Changes)'!AA124</f>
        <v>0</v>
      </c>
      <c r="AB124" s="128">
        <f>'IS (After Changes)'!AB124-'IS (Before Changes)'!AB124</f>
        <v>0</v>
      </c>
      <c r="AC124" s="34">
        <f>'IS (After Changes)'!AC124-'IS (Before Changes)'!AC124</f>
        <v>0</v>
      </c>
      <c r="AD124" s="34">
        <f>'IS (After Changes)'!AD124-'IS (Before Changes)'!AD124</f>
        <v>0</v>
      </c>
      <c r="AE124" s="34">
        <f>'IS (After Changes)'!AE124-'IS (Before Changes)'!AE124</f>
        <v>0</v>
      </c>
      <c r="AF124" s="34">
        <f>'IS (After Changes)'!AF124-'IS (Before Changes)'!AF124</f>
        <v>0</v>
      </c>
      <c r="AG124" s="128">
        <f>'IS (After Changes)'!AG124-'IS (Before Changes)'!AG124</f>
        <v>0</v>
      </c>
      <c r="AH124" s="34">
        <f>'IS (After Changes)'!AH124-'IS (Before Changes)'!AH124</f>
        <v>0</v>
      </c>
      <c r="AI124" s="34">
        <f>'IS (After Changes)'!AI124-'IS (Before Changes)'!AI124</f>
        <v>0</v>
      </c>
      <c r="AJ124" s="34">
        <f>'IS (After Changes)'!AJ124-'IS (Before Changes)'!AJ124</f>
        <v>0</v>
      </c>
      <c r="AK124" s="34">
        <f>'IS (After Changes)'!AK124-'IS (Before Changes)'!AK124</f>
        <v>0</v>
      </c>
      <c r="AL124" s="128">
        <f>'IS (After Changes)'!AL124-'IS (Before Changes)'!AL124</f>
        <v>0</v>
      </c>
      <c r="AM124" s="34">
        <f>'IS (After Changes)'!AM124-'IS (Before Changes)'!AM124</f>
        <v>0</v>
      </c>
      <c r="AN124" s="34">
        <f>'IS (After Changes)'!AN124-'IS (Before Changes)'!AN124</f>
        <v>0</v>
      </c>
      <c r="AO124" s="34">
        <f>'IS (After Changes)'!AO124-'IS (Before Changes)'!AO124</f>
        <v>0</v>
      </c>
      <c r="AP124" s="34">
        <f>'IS (After Changes)'!AP124-'IS (Before Changes)'!AP124</f>
        <v>0</v>
      </c>
      <c r="AQ124" s="128">
        <f>'IS (After Changes)'!AQ124-'IS (Before Changes)'!AQ124</f>
        <v>0</v>
      </c>
      <c r="AR124" s="34">
        <f>'IS (After Changes)'!AR124-'IS (Before Changes)'!AR124</f>
        <v>0</v>
      </c>
      <c r="AS124" s="34">
        <f>'IS (After Changes)'!AS124-'IS (Before Changes)'!AS124</f>
        <v>0</v>
      </c>
      <c r="AT124" s="34">
        <f>'IS (After Changes)'!AT124-'IS (Before Changes)'!AT124</f>
        <v>0</v>
      </c>
      <c r="AU124" s="34">
        <f>'IS (After Changes)'!AU124-'IS (Before Changes)'!AU124</f>
        <v>0</v>
      </c>
      <c r="AV124" s="128">
        <f>'IS (After Changes)'!AV124-'IS (Before Changes)'!AV124</f>
        <v>0</v>
      </c>
    </row>
    <row r="125" spans="2:48" outlineLevel="1" x14ac:dyDescent="0.3">
      <c r="B125" s="504" t="s">
        <v>100</v>
      </c>
      <c r="C125" s="505"/>
      <c r="D125" s="48">
        <f>'IS (After Changes)'!D125-'IS (Before Changes)'!D125</f>
        <v>0</v>
      </c>
      <c r="E125" s="48">
        <f>'IS (After Changes)'!E125-'IS (Before Changes)'!E125</f>
        <v>0</v>
      </c>
      <c r="F125" s="48">
        <f>'IS (After Changes)'!F125-'IS (Before Changes)'!F125</f>
        <v>0</v>
      </c>
      <c r="G125" s="105">
        <f>'IS (After Changes)'!G125-'IS (Before Changes)'!G125</f>
        <v>0</v>
      </c>
      <c r="H125" s="170">
        <f>'IS (After Changes)'!H125-'IS (Before Changes)'!H125</f>
        <v>0</v>
      </c>
      <c r="I125" s="105">
        <f>'IS (After Changes)'!I125-'IS (Before Changes)'!I125</f>
        <v>0</v>
      </c>
      <c r="J125" s="105">
        <f>'IS (After Changes)'!J125-'IS (Before Changes)'!J125</f>
        <v>0</v>
      </c>
      <c r="K125" s="105">
        <f>'IS (After Changes)'!K125-'IS (Before Changes)'!K125</f>
        <v>0</v>
      </c>
      <c r="L125" s="105">
        <f>'IS (After Changes)'!L125-'IS (Before Changes)'!L125</f>
        <v>0</v>
      </c>
      <c r="M125" s="31">
        <f>'IS (After Changes)'!M125-'IS (Before Changes)'!M125</f>
        <v>0</v>
      </c>
      <c r="N125" s="105">
        <f>'IS (After Changes)'!N125-'IS (Before Changes)'!N125</f>
        <v>0</v>
      </c>
      <c r="O125" s="105">
        <f>'IS (After Changes)'!O125-'IS (Before Changes)'!O125</f>
        <v>0</v>
      </c>
      <c r="P125" s="105">
        <f>'IS (After Changes)'!P125-'IS (Before Changes)'!P125</f>
        <v>0</v>
      </c>
      <c r="Q125" s="105">
        <f>'IS (After Changes)'!Q125-'IS (Before Changes)'!Q125</f>
        <v>0</v>
      </c>
      <c r="R125" s="31">
        <f>'IS (After Changes)'!R125-'IS (Before Changes)'!R125</f>
        <v>0</v>
      </c>
      <c r="S125" s="105">
        <f>'IS (After Changes)'!S125-'IS (Before Changes)'!S125</f>
        <v>0</v>
      </c>
      <c r="T125" s="105">
        <f>'IS (After Changes)'!T125-'IS (Before Changes)'!T125</f>
        <v>0</v>
      </c>
      <c r="U125" s="105">
        <f>'IS (After Changes)'!U125-'IS (Before Changes)'!U125</f>
        <v>0</v>
      </c>
      <c r="V125" s="105">
        <f>'IS (After Changes)'!V125-'IS (Before Changes)'!V125</f>
        <v>0</v>
      </c>
      <c r="W125" s="31">
        <f>'IS (After Changes)'!W125-'IS (Before Changes)'!W125</f>
        <v>0</v>
      </c>
      <c r="X125" s="95">
        <f>'IS (After Changes)'!X125-'IS (Before Changes)'!X125</f>
        <v>0</v>
      </c>
      <c r="Y125" s="95">
        <f>'IS (After Changes)'!Y125-'IS (Before Changes)'!Y125</f>
        <v>0</v>
      </c>
      <c r="Z125" s="95">
        <f>'IS (After Changes)'!Z125-'IS (Before Changes)'!Z125</f>
        <v>0</v>
      </c>
      <c r="AA125" s="95">
        <f>'IS (After Changes)'!AA125-'IS (Before Changes)'!AA125</f>
        <v>0</v>
      </c>
      <c r="AB125" s="31">
        <f>'IS (After Changes)'!AB125-'IS (Before Changes)'!AB125</f>
        <v>0</v>
      </c>
      <c r="AC125" s="95">
        <f>'IS (After Changes)'!AC125-'IS (Before Changes)'!AC125</f>
        <v>0</v>
      </c>
      <c r="AD125" s="95">
        <f>'IS (After Changes)'!AD125-'IS (Before Changes)'!AD125</f>
        <v>0</v>
      </c>
      <c r="AE125" s="95">
        <f>'IS (After Changes)'!AE125-'IS (Before Changes)'!AE125</f>
        <v>0</v>
      </c>
      <c r="AF125" s="95">
        <f>'IS (After Changes)'!AF125-'IS (Before Changes)'!AF125</f>
        <v>0</v>
      </c>
      <c r="AG125" s="31">
        <f>'IS (After Changes)'!AG125-'IS (Before Changes)'!AG125</f>
        <v>0</v>
      </c>
      <c r="AH125" s="95">
        <f>'IS (After Changes)'!AH125-'IS (Before Changes)'!AH125</f>
        <v>0</v>
      </c>
      <c r="AI125" s="95">
        <f>'IS (After Changes)'!AI125-'IS (Before Changes)'!AI125</f>
        <v>0</v>
      </c>
      <c r="AJ125" s="95">
        <f>'IS (After Changes)'!AJ125-'IS (Before Changes)'!AJ125</f>
        <v>0</v>
      </c>
      <c r="AK125" s="95">
        <f>'IS (After Changes)'!AK125-'IS (Before Changes)'!AK125</f>
        <v>0</v>
      </c>
      <c r="AL125" s="31">
        <f>'IS (After Changes)'!AL125-'IS (Before Changes)'!AL125</f>
        <v>0</v>
      </c>
      <c r="AM125" s="95">
        <f>'IS (After Changes)'!AM125-'IS (Before Changes)'!AM125</f>
        <v>0</v>
      </c>
      <c r="AN125" s="95">
        <f>'IS (After Changes)'!AN125-'IS (Before Changes)'!AN125</f>
        <v>0</v>
      </c>
      <c r="AO125" s="95">
        <f>'IS (After Changes)'!AO125-'IS (Before Changes)'!AO125</f>
        <v>0</v>
      </c>
      <c r="AP125" s="95">
        <f>'IS (After Changes)'!AP125-'IS (Before Changes)'!AP125</f>
        <v>0</v>
      </c>
      <c r="AQ125" s="31">
        <f>'IS (After Changes)'!AQ125-'IS (Before Changes)'!AQ125</f>
        <v>0</v>
      </c>
      <c r="AR125" s="95">
        <f>'IS (After Changes)'!AR125-'IS (Before Changes)'!AR125</f>
        <v>0</v>
      </c>
      <c r="AS125" s="95">
        <f>'IS (After Changes)'!AS125-'IS (Before Changes)'!AS125</f>
        <v>0</v>
      </c>
      <c r="AT125" s="95">
        <f>'IS (After Changes)'!AT125-'IS (Before Changes)'!AT125</f>
        <v>0</v>
      </c>
      <c r="AU125" s="95">
        <f>'IS (After Changes)'!AU125-'IS (Before Changes)'!AU125</f>
        <v>0</v>
      </c>
      <c r="AV125" s="31">
        <f>'IS (After Changes)'!AV125-'IS (Before Changes)'!AV125</f>
        <v>0</v>
      </c>
    </row>
    <row r="126" spans="2:48" outlineLevel="1" x14ac:dyDescent="0.3">
      <c r="B126" s="180" t="s">
        <v>33</v>
      </c>
      <c r="C126" s="18"/>
      <c r="D126" s="48">
        <f>'IS (After Changes)'!D126-'IS (Before Changes)'!D126</f>
        <v>0</v>
      </c>
      <c r="E126" s="48">
        <f>'IS (After Changes)'!E126-'IS (Before Changes)'!E126</f>
        <v>0</v>
      </c>
      <c r="F126" s="48">
        <f>'IS (After Changes)'!F126-'IS (Before Changes)'!F126</f>
        <v>0</v>
      </c>
      <c r="G126" s="105">
        <f>'IS (After Changes)'!G126-'IS (Before Changes)'!G126</f>
        <v>0</v>
      </c>
      <c r="H126" s="170">
        <f>'IS (After Changes)'!H126-'IS (Before Changes)'!H126</f>
        <v>0</v>
      </c>
      <c r="I126" s="105">
        <f>'IS (After Changes)'!I126-'IS (Before Changes)'!I126</f>
        <v>0</v>
      </c>
      <c r="J126" s="105">
        <f>'IS (After Changes)'!J126-'IS (Before Changes)'!J126</f>
        <v>0</v>
      </c>
      <c r="K126" s="105">
        <f>'IS (After Changes)'!K126-'IS (Before Changes)'!K126</f>
        <v>0</v>
      </c>
      <c r="L126" s="105">
        <f>'IS (After Changes)'!L126-'IS (Before Changes)'!L126</f>
        <v>0</v>
      </c>
      <c r="M126" s="31">
        <f>'IS (After Changes)'!M126-'IS (Before Changes)'!M126</f>
        <v>0</v>
      </c>
      <c r="N126" s="105">
        <f>'IS (After Changes)'!N126-'IS (Before Changes)'!N126</f>
        <v>0</v>
      </c>
      <c r="O126" s="105">
        <f>'IS (After Changes)'!O126-'IS (Before Changes)'!O126</f>
        <v>0</v>
      </c>
      <c r="P126" s="105">
        <f>'IS (After Changes)'!P126-'IS (Before Changes)'!P126</f>
        <v>0</v>
      </c>
      <c r="Q126" s="105">
        <f>'IS (After Changes)'!Q126-'IS (Before Changes)'!Q126</f>
        <v>0</v>
      </c>
      <c r="R126" s="31">
        <f>'IS (After Changes)'!R126-'IS (Before Changes)'!R126</f>
        <v>0</v>
      </c>
      <c r="S126" s="105">
        <f>'IS (After Changes)'!S126-'IS (Before Changes)'!S126</f>
        <v>0</v>
      </c>
      <c r="T126" s="105">
        <f>'IS (After Changes)'!T126-'IS (Before Changes)'!T126</f>
        <v>0</v>
      </c>
      <c r="U126" s="105">
        <f>'IS (After Changes)'!U126-'IS (Before Changes)'!U126</f>
        <v>0</v>
      </c>
      <c r="V126" s="105">
        <f>'IS (After Changes)'!V126-'IS (Before Changes)'!V126</f>
        <v>0</v>
      </c>
      <c r="W126" s="31">
        <f>'IS (After Changes)'!W126-'IS (Before Changes)'!W126</f>
        <v>0</v>
      </c>
      <c r="X126" s="95">
        <f>'IS (After Changes)'!X126-'IS (Before Changes)'!X126</f>
        <v>0</v>
      </c>
      <c r="Y126" s="95">
        <f>'IS (After Changes)'!Y126-'IS (Before Changes)'!Y126</f>
        <v>0</v>
      </c>
      <c r="Z126" s="95">
        <f>'IS (After Changes)'!Z126-'IS (Before Changes)'!Z126</f>
        <v>0</v>
      </c>
      <c r="AA126" s="95">
        <f>'IS (After Changes)'!AA126-'IS (Before Changes)'!AA126</f>
        <v>0</v>
      </c>
      <c r="AB126" s="31">
        <f>'IS (After Changes)'!AB126-'IS (Before Changes)'!AB126</f>
        <v>0</v>
      </c>
      <c r="AC126" s="95">
        <f>'IS (After Changes)'!AC126-'IS (Before Changes)'!AC126</f>
        <v>0</v>
      </c>
      <c r="AD126" s="95">
        <f>'IS (After Changes)'!AD126-'IS (Before Changes)'!AD126</f>
        <v>0</v>
      </c>
      <c r="AE126" s="95">
        <f>'IS (After Changes)'!AE126-'IS (Before Changes)'!AE126</f>
        <v>0</v>
      </c>
      <c r="AF126" s="95">
        <f>'IS (After Changes)'!AF126-'IS (Before Changes)'!AF126</f>
        <v>0</v>
      </c>
      <c r="AG126" s="31">
        <f>'IS (After Changes)'!AG126-'IS (Before Changes)'!AG126</f>
        <v>0</v>
      </c>
      <c r="AH126" s="95">
        <f>'IS (After Changes)'!AH126-'IS (Before Changes)'!AH126</f>
        <v>0</v>
      </c>
      <c r="AI126" s="95">
        <f>'IS (After Changes)'!AI126-'IS (Before Changes)'!AI126</f>
        <v>0</v>
      </c>
      <c r="AJ126" s="95">
        <f>'IS (After Changes)'!AJ126-'IS (Before Changes)'!AJ126</f>
        <v>0</v>
      </c>
      <c r="AK126" s="95">
        <f>'IS (After Changes)'!AK126-'IS (Before Changes)'!AK126</f>
        <v>0</v>
      </c>
      <c r="AL126" s="31">
        <f>'IS (After Changes)'!AL126-'IS (Before Changes)'!AL126</f>
        <v>0</v>
      </c>
      <c r="AM126" s="95">
        <f>'IS (After Changes)'!AM126-'IS (Before Changes)'!AM126</f>
        <v>0</v>
      </c>
      <c r="AN126" s="95">
        <f>'IS (After Changes)'!AN126-'IS (Before Changes)'!AN126</f>
        <v>0</v>
      </c>
      <c r="AO126" s="95">
        <f>'IS (After Changes)'!AO126-'IS (Before Changes)'!AO126</f>
        <v>0</v>
      </c>
      <c r="AP126" s="95">
        <f>'IS (After Changes)'!AP126-'IS (Before Changes)'!AP126</f>
        <v>0</v>
      </c>
      <c r="AQ126" s="31">
        <f>'IS (After Changes)'!AQ126-'IS (Before Changes)'!AQ126</f>
        <v>0</v>
      </c>
      <c r="AR126" s="95">
        <f>'IS (After Changes)'!AR126-'IS (Before Changes)'!AR126</f>
        <v>0</v>
      </c>
      <c r="AS126" s="95">
        <f>'IS (After Changes)'!AS126-'IS (Before Changes)'!AS126</f>
        <v>0</v>
      </c>
      <c r="AT126" s="95">
        <f>'IS (After Changes)'!AT126-'IS (Before Changes)'!AT126</f>
        <v>0</v>
      </c>
      <c r="AU126" s="95">
        <f>'IS (After Changes)'!AU126-'IS (Before Changes)'!AU126</f>
        <v>0</v>
      </c>
      <c r="AV126" s="31">
        <f>'IS (After Changes)'!AV126-'IS (Before Changes)'!AV126</f>
        <v>0</v>
      </c>
    </row>
    <row r="127" spans="2:48" outlineLevel="1" x14ac:dyDescent="0.3">
      <c r="B127" s="180" t="s">
        <v>34</v>
      </c>
      <c r="C127" s="18"/>
      <c r="D127" s="358">
        <f>'IS (After Changes)'!D127-'IS (Before Changes)'!D127</f>
        <v>0</v>
      </c>
      <c r="E127" s="358">
        <f>'IS (After Changes)'!E127-'IS (Before Changes)'!E127</f>
        <v>0</v>
      </c>
      <c r="F127" s="358">
        <f>'IS (After Changes)'!F127-'IS (Before Changes)'!F127</f>
        <v>0</v>
      </c>
      <c r="G127" s="358">
        <f>'IS (After Changes)'!G127-'IS (Before Changes)'!G127</f>
        <v>0</v>
      </c>
      <c r="H127" s="130">
        <f>'IS (After Changes)'!H127-'IS (Before Changes)'!H127</f>
        <v>0</v>
      </c>
      <c r="I127" s="358">
        <f>'IS (After Changes)'!I127-'IS (Before Changes)'!I127</f>
        <v>0</v>
      </c>
      <c r="J127" s="358">
        <f>'IS (After Changes)'!J127-'IS (Before Changes)'!J127</f>
        <v>0</v>
      </c>
      <c r="K127" s="358">
        <f>'IS (After Changes)'!K127-'IS (Before Changes)'!K127</f>
        <v>0</v>
      </c>
      <c r="L127" s="358">
        <f>'IS (After Changes)'!L127-'IS (Before Changes)'!L127</f>
        <v>0</v>
      </c>
      <c r="M127" s="126">
        <f>'IS (After Changes)'!M127-'IS (Before Changes)'!M127</f>
        <v>0</v>
      </c>
      <c r="N127" s="358">
        <f>'IS (After Changes)'!N127-'IS (Before Changes)'!N127</f>
        <v>0</v>
      </c>
      <c r="O127" s="358">
        <f>'IS (After Changes)'!O127-'IS (Before Changes)'!O127</f>
        <v>0</v>
      </c>
      <c r="P127" s="358">
        <f>'IS (After Changes)'!P127-'IS (Before Changes)'!P127</f>
        <v>0</v>
      </c>
      <c r="Q127" s="358">
        <f>'IS (After Changes)'!Q127-'IS (Before Changes)'!Q127</f>
        <v>0</v>
      </c>
      <c r="R127" s="126">
        <f>'IS (After Changes)'!R127-'IS (Before Changes)'!R127</f>
        <v>0</v>
      </c>
      <c r="S127" s="358">
        <f>'IS (After Changes)'!S127-'IS (Before Changes)'!S127</f>
        <v>0</v>
      </c>
      <c r="T127" s="358">
        <f>'IS (After Changes)'!T127-'IS (Before Changes)'!T127</f>
        <v>0</v>
      </c>
      <c r="U127" s="358">
        <f>'IS (After Changes)'!U127-'IS (Before Changes)'!U127</f>
        <v>0</v>
      </c>
      <c r="V127" s="358">
        <f>'IS (After Changes)'!V127-'IS (Before Changes)'!V127</f>
        <v>0</v>
      </c>
      <c r="W127" s="126">
        <f>'IS (After Changes)'!W127-'IS (Before Changes)'!W127</f>
        <v>0</v>
      </c>
      <c r="X127" s="358">
        <f>'IS (After Changes)'!X127-'IS (Before Changes)'!X127</f>
        <v>0</v>
      </c>
      <c r="Y127" s="358">
        <f>'IS (After Changes)'!Y127-'IS (Before Changes)'!Y127</f>
        <v>9.7071180381362865E-3</v>
      </c>
      <c r="Z127" s="358">
        <f>'IS (After Changes)'!Z127-'IS (Before Changes)'!Z127</f>
        <v>1.8202994698128805E-2</v>
      </c>
      <c r="AA127" s="358">
        <f>'IS (After Changes)'!AA127-'IS (Before Changes)'!AA127</f>
        <v>6.4824565540511969E-2</v>
      </c>
      <c r="AB127" s="126">
        <f>'IS (After Changes)'!AB127-'IS (Before Changes)'!AB127</f>
        <v>9.2734678276769955E-2</v>
      </c>
      <c r="AC127" s="358">
        <f>'IS (After Changes)'!AC127-'IS (Before Changes)'!AC127</f>
        <v>0.11011133690420394</v>
      </c>
      <c r="AD127" s="358">
        <f>'IS (After Changes)'!AD127-'IS (Before Changes)'!AD127</f>
        <v>0.12409698693178228</v>
      </c>
      <c r="AE127" s="358">
        <f>'IS (After Changes)'!AE127-'IS (Before Changes)'!AE127</f>
        <v>0.13621643046760568</v>
      </c>
      <c r="AF127" s="358">
        <f>'IS (After Changes)'!AF127-'IS (Before Changes)'!AF127</f>
        <v>0.19086349241479894</v>
      </c>
      <c r="AG127" s="126">
        <f>'IS (After Changes)'!AG127-'IS (Before Changes)'!AG127</f>
        <v>0.56128824671839084</v>
      </c>
      <c r="AH127" s="358">
        <f>'IS (After Changes)'!AH127-'IS (Before Changes)'!AH127</f>
        <v>0.24281114565428652</v>
      </c>
      <c r="AI127" s="358">
        <f>'IS (After Changes)'!AI127-'IS (Before Changes)'!AI127</f>
        <v>0.25908942615721031</v>
      </c>
      <c r="AJ127" s="358">
        <f>'IS (After Changes)'!AJ127-'IS (Before Changes)'!AJ127</f>
        <v>0.27296231323649067</v>
      </c>
      <c r="AK127" s="358">
        <f>'IS (After Changes)'!AK127-'IS (Before Changes)'!AK127</f>
        <v>0.32991863010578726</v>
      </c>
      <c r="AL127" s="126">
        <f>'IS (After Changes)'!AL127-'IS (Before Changes)'!AL127</f>
        <v>1.1047815151537748</v>
      </c>
      <c r="AM127" s="358">
        <f>'IS (After Changes)'!AM127-'IS (Before Changes)'!AM127</f>
        <v>0.38370182289173727</v>
      </c>
      <c r="AN127" s="358">
        <f>'IS (After Changes)'!AN127-'IS (Before Changes)'!AN127</f>
        <v>0.39439006855574377</v>
      </c>
      <c r="AO127" s="358">
        <f>'IS (After Changes)'!AO127-'IS (Before Changes)'!AO127</f>
        <v>0.40285044850558904</v>
      </c>
      <c r="AP127" s="358">
        <f>'IS (After Changes)'!AP127-'IS (Before Changes)'!AP127</f>
        <v>0.458400165958885</v>
      </c>
      <c r="AQ127" s="126">
        <f>'IS (After Changes)'!AQ127-'IS (Before Changes)'!AQ127</f>
        <v>1.6393425059119693</v>
      </c>
      <c r="AR127" s="358">
        <f>'IS (After Changes)'!AR127-'IS (Before Changes)'!AR127</f>
        <v>0.51085645214128306</v>
      </c>
      <c r="AS127" s="358">
        <f>'IS (After Changes)'!AS127-'IS (Before Changes)'!AS127</f>
        <v>0.5163038550593555</v>
      </c>
      <c r="AT127" s="358">
        <f>'IS (After Changes)'!AT127-'IS (Before Changes)'!AT127</f>
        <v>0.51967965365375335</v>
      </c>
      <c r="AU127" s="358">
        <f>'IS (After Changes)'!AU127-'IS (Before Changes)'!AU127</f>
        <v>0.57349955926274987</v>
      </c>
      <c r="AV127" s="126">
        <f>'IS (After Changes)'!AV127-'IS (Before Changes)'!AV127</f>
        <v>2.1203395201171418</v>
      </c>
    </row>
    <row r="128" spans="2:48" outlineLevel="1" x14ac:dyDescent="0.3">
      <c r="B128" s="180" t="s">
        <v>35</v>
      </c>
      <c r="C128" s="18"/>
      <c r="D128" s="48">
        <f>'IS (After Changes)'!D128-'IS (Before Changes)'!D128</f>
        <v>0</v>
      </c>
      <c r="E128" s="48">
        <f>'IS (After Changes)'!E128-'IS (Before Changes)'!E128</f>
        <v>0</v>
      </c>
      <c r="F128" s="48">
        <f>'IS (After Changes)'!F128-'IS (Before Changes)'!F128</f>
        <v>0</v>
      </c>
      <c r="G128" s="105">
        <f>'IS (After Changes)'!G128-'IS (Before Changes)'!G128</f>
        <v>0</v>
      </c>
      <c r="H128" s="170">
        <f>'IS (After Changes)'!H128-'IS (Before Changes)'!H128</f>
        <v>0</v>
      </c>
      <c r="I128" s="105">
        <f>'IS (After Changes)'!I128-'IS (Before Changes)'!I128</f>
        <v>0</v>
      </c>
      <c r="J128" s="105">
        <f>'IS (After Changes)'!J128-'IS (Before Changes)'!J128</f>
        <v>0</v>
      </c>
      <c r="K128" s="105">
        <f>'IS (After Changes)'!K128-'IS (Before Changes)'!K128</f>
        <v>0</v>
      </c>
      <c r="L128" s="105">
        <f>'IS (After Changes)'!L128-'IS (Before Changes)'!L128</f>
        <v>0</v>
      </c>
      <c r="M128" s="31">
        <f>'IS (After Changes)'!M128-'IS (Before Changes)'!M128</f>
        <v>0</v>
      </c>
      <c r="N128" s="105">
        <f>'IS (After Changes)'!N128-'IS (Before Changes)'!N128</f>
        <v>0</v>
      </c>
      <c r="O128" s="105">
        <f>'IS (After Changes)'!O128-'IS (Before Changes)'!O128</f>
        <v>0</v>
      </c>
      <c r="P128" s="105">
        <f>'IS (After Changes)'!P128-'IS (Before Changes)'!P128</f>
        <v>0</v>
      </c>
      <c r="Q128" s="105">
        <f>'IS (After Changes)'!Q128-'IS (Before Changes)'!Q128</f>
        <v>0</v>
      </c>
      <c r="R128" s="31">
        <f>'IS (After Changes)'!R128-'IS (Before Changes)'!R128</f>
        <v>0</v>
      </c>
      <c r="S128" s="105">
        <f>'IS (After Changes)'!S128-'IS (Before Changes)'!S128</f>
        <v>0</v>
      </c>
      <c r="T128" s="105">
        <f>'IS (After Changes)'!T128-'IS (Before Changes)'!T128</f>
        <v>0</v>
      </c>
      <c r="U128" s="105">
        <f>'IS (After Changes)'!U128-'IS (Before Changes)'!U128</f>
        <v>0</v>
      </c>
      <c r="V128" s="105">
        <f>'IS (After Changes)'!V128-'IS (Before Changes)'!V128</f>
        <v>0</v>
      </c>
      <c r="W128" s="31">
        <f>'IS (After Changes)'!W128-'IS (Before Changes)'!W128</f>
        <v>0</v>
      </c>
      <c r="X128" s="95">
        <f>'IS (After Changes)'!X128-'IS (Before Changes)'!X128</f>
        <v>0</v>
      </c>
      <c r="Y128" s="95">
        <f>'IS (After Changes)'!Y128-'IS (Before Changes)'!Y128</f>
        <v>0</v>
      </c>
      <c r="Z128" s="95">
        <f>'IS (After Changes)'!Z128-'IS (Before Changes)'!Z128</f>
        <v>0</v>
      </c>
      <c r="AA128" s="95">
        <f>'IS (After Changes)'!AA128-'IS (Before Changes)'!AA128</f>
        <v>0</v>
      </c>
      <c r="AB128" s="31">
        <f>'IS (After Changes)'!AB128-'IS (Before Changes)'!AB128</f>
        <v>0</v>
      </c>
      <c r="AC128" s="95">
        <f>'IS (After Changes)'!AC128-'IS (Before Changes)'!AC128</f>
        <v>0</v>
      </c>
      <c r="AD128" s="95">
        <f>'IS (After Changes)'!AD128-'IS (Before Changes)'!AD128</f>
        <v>0</v>
      </c>
      <c r="AE128" s="95">
        <f>'IS (After Changes)'!AE128-'IS (Before Changes)'!AE128</f>
        <v>0</v>
      </c>
      <c r="AF128" s="95">
        <f>'IS (After Changes)'!AF128-'IS (Before Changes)'!AF128</f>
        <v>0</v>
      </c>
      <c r="AG128" s="31">
        <f>'IS (After Changes)'!AG128-'IS (Before Changes)'!AG128</f>
        <v>0</v>
      </c>
      <c r="AH128" s="95">
        <f>'IS (After Changes)'!AH128-'IS (Before Changes)'!AH128</f>
        <v>0</v>
      </c>
      <c r="AI128" s="95">
        <f>'IS (After Changes)'!AI128-'IS (Before Changes)'!AI128</f>
        <v>0</v>
      </c>
      <c r="AJ128" s="95">
        <f>'IS (After Changes)'!AJ128-'IS (Before Changes)'!AJ128</f>
        <v>0</v>
      </c>
      <c r="AK128" s="95">
        <f>'IS (After Changes)'!AK128-'IS (Before Changes)'!AK128</f>
        <v>0</v>
      </c>
      <c r="AL128" s="31">
        <f>'IS (After Changes)'!AL128-'IS (Before Changes)'!AL128</f>
        <v>0</v>
      </c>
      <c r="AM128" s="95">
        <f>'IS (After Changes)'!AM128-'IS (Before Changes)'!AM128</f>
        <v>0</v>
      </c>
      <c r="AN128" s="95">
        <f>'IS (After Changes)'!AN128-'IS (Before Changes)'!AN128</f>
        <v>0</v>
      </c>
      <c r="AO128" s="95">
        <f>'IS (After Changes)'!AO128-'IS (Before Changes)'!AO128</f>
        <v>0</v>
      </c>
      <c r="AP128" s="95">
        <f>'IS (After Changes)'!AP128-'IS (Before Changes)'!AP128</f>
        <v>0</v>
      </c>
      <c r="AQ128" s="31">
        <f>'IS (After Changes)'!AQ128-'IS (Before Changes)'!AQ128</f>
        <v>0</v>
      </c>
      <c r="AR128" s="95">
        <f>'IS (After Changes)'!AR128-'IS (Before Changes)'!AR128</f>
        <v>0</v>
      </c>
      <c r="AS128" s="95">
        <f>'IS (After Changes)'!AS128-'IS (Before Changes)'!AS128</f>
        <v>0</v>
      </c>
      <c r="AT128" s="95">
        <f>'IS (After Changes)'!AT128-'IS (Before Changes)'!AT128</f>
        <v>0</v>
      </c>
      <c r="AU128" s="95">
        <f>'IS (After Changes)'!AU128-'IS (Before Changes)'!AU128</f>
        <v>0</v>
      </c>
      <c r="AV128" s="31">
        <f>'IS (After Changes)'!AV128-'IS (Before Changes)'!AV128</f>
        <v>0</v>
      </c>
    </row>
    <row r="129" spans="2:48" ht="16.2" outlineLevel="1" x14ac:dyDescent="0.45">
      <c r="B129" s="180" t="s">
        <v>42</v>
      </c>
      <c r="C129" s="18"/>
      <c r="D129" s="119">
        <f>'IS (After Changes)'!D129-'IS (Before Changes)'!D129</f>
        <v>0</v>
      </c>
      <c r="E129" s="119">
        <f>'IS (After Changes)'!E129-'IS (Before Changes)'!E129</f>
        <v>0</v>
      </c>
      <c r="F129" s="119">
        <f>'IS (After Changes)'!F129-'IS (Before Changes)'!F129</f>
        <v>0</v>
      </c>
      <c r="G129" s="119">
        <f>'IS (After Changes)'!G129-'IS (Before Changes)'!G129</f>
        <v>0</v>
      </c>
      <c r="H129" s="131">
        <f>'IS (After Changes)'!H129-'IS (Before Changes)'!H129</f>
        <v>0</v>
      </c>
      <c r="I129" s="119">
        <f>'IS (After Changes)'!I129-'IS (Before Changes)'!I129</f>
        <v>0</v>
      </c>
      <c r="J129" s="119">
        <f>'IS (After Changes)'!J129-'IS (Before Changes)'!J129</f>
        <v>0</v>
      </c>
      <c r="K129" s="119">
        <f>'IS (After Changes)'!K129-'IS (Before Changes)'!K129</f>
        <v>0</v>
      </c>
      <c r="L129" s="119">
        <f>'IS (After Changes)'!L129-'IS (Before Changes)'!L129</f>
        <v>0</v>
      </c>
      <c r="M129" s="193">
        <f>'IS (After Changes)'!M129-'IS (Before Changes)'!M129</f>
        <v>0</v>
      </c>
      <c r="N129" s="119">
        <f>'IS (After Changes)'!N129-'IS (Before Changes)'!N129</f>
        <v>0</v>
      </c>
      <c r="O129" s="119">
        <f>'IS (After Changes)'!O129-'IS (Before Changes)'!O129</f>
        <v>0</v>
      </c>
      <c r="P129" s="119">
        <f>'IS (After Changes)'!P129-'IS (Before Changes)'!P129</f>
        <v>0</v>
      </c>
      <c r="Q129" s="119">
        <f>'IS (After Changes)'!Q129-'IS (Before Changes)'!Q129</f>
        <v>0</v>
      </c>
      <c r="R129" s="193">
        <f>'IS (After Changes)'!R129-'IS (Before Changes)'!R129</f>
        <v>0</v>
      </c>
      <c r="S129" s="119">
        <f>'IS (After Changes)'!S129-'IS (Before Changes)'!S129</f>
        <v>0</v>
      </c>
      <c r="T129" s="119">
        <f>'IS (After Changes)'!T129-'IS (Before Changes)'!T129</f>
        <v>0</v>
      </c>
      <c r="U129" s="119">
        <f>'IS (After Changes)'!U129-'IS (Before Changes)'!U129</f>
        <v>0</v>
      </c>
      <c r="V129" s="119">
        <f>'IS (After Changes)'!V129-'IS (Before Changes)'!V129</f>
        <v>0</v>
      </c>
      <c r="W129" s="193">
        <f>'IS (After Changes)'!W129-'IS (Before Changes)'!W129</f>
        <v>0</v>
      </c>
      <c r="X129" s="119">
        <f>'IS (After Changes)'!X129-'IS (Before Changes)'!X129</f>
        <v>0</v>
      </c>
      <c r="Y129" s="119">
        <f>'IS (After Changes)'!Y129-'IS (Before Changes)'!Y129</f>
        <v>0</v>
      </c>
      <c r="Z129" s="119">
        <f>'IS (After Changes)'!Z129-'IS (Before Changes)'!Z129</f>
        <v>0</v>
      </c>
      <c r="AA129" s="119">
        <f>'IS (After Changes)'!AA129-'IS (Before Changes)'!AA129</f>
        <v>0</v>
      </c>
      <c r="AB129" s="193">
        <f>'IS (After Changes)'!AB129-'IS (Before Changes)'!AB129</f>
        <v>0</v>
      </c>
      <c r="AC129" s="119">
        <f>'IS (After Changes)'!AC129-'IS (Before Changes)'!AC129</f>
        <v>0</v>
      </c>
      <c r="AD129" s="119">
        <f>'IS (After Changes)'!AD129-'IS (Before Changes)'!AD129</f>
        <v>0</v>
      </c>
      <c r="AE129" s="119">
        <f>'IS (After Changes)'!AE129-'IS (Before Changes)'!AE129</f>
        <v>0</v>
      </c>
      <c r="AF129" s="119">
        <f>'IS (After Changes)'!AF129-'IS (Before Changes)'!AF129</f>
        <v>0</v>
      </c>
      <c r="AG129" s="193">
        <f>'IS (After Changes)'!AG129-'IS (Before Changes)'!AG129</f>
        <v>0</v>
      </c>
      <c r="AH129" s="119">
        <f>'IS (After Changes)'!AH129-'IS (Before Changes)'!AH129</f>
        <v>0</v>
      </c>
      <c r="AI129" s="119">
        <f>'IS (After Changes)'!AI129-'IS (Before Changes)'!AI129</f>
        <v>0</v>
      </c>
      <c r="AJ129" s="119">
        <f>'IS (After Changes)'!AJ129-'IS (Before Changes)'!AJ129</f>
        <v>0</v>
      </c>
      <c r="AK129" s="119">
        <f>'IS (After Changes)'!AK129-'IS (Before Changes)'!AK129</f>
        <v>0</v>
      </c>
      <c r="AL129" s="193">
        <f>'IS (After Changes)'!AL129-'IS (Before Changes)'!AL129</f>
        <v>0</v>
      </c>
      <c r="AM129" s="119">
        <f>'IS (After Changes)'!AM129-'IS (Before Changes)'!AM129</f>
        <v>0</v>
      </c>
      <c r="AN129" s="119">
        <f>'IS (After Changes)'!AN129-'IS (Before Changes)'!AN129</f>
        <v>0</v>
      </c>
      <c r="AO129" s="119">
        <f>'IS (After Changes)'!AO129-'IS (Before Changes)'!AO129</f>
        <v>0</v>
      </c>
      <c r="AP129" s="119">
        <f>'IS (After Changes)'!AP129-'IS (Before Changes)'!AP129</f>
        <v>0</v>
      </c>
      <c r="AQ129" s="193">
        <f>'IS (After Changes)'!AQ129-'IS (Before Changes)'!AQ129</f>
        <v>0</v>
      </c>
      <c r="AR129" s="119">
        <f>'IS (After Changes)'!AR129-'IS (Before Changes)'!AR129</f>
        <v>0</v>
      </c>
      <c r="AS129" s="119">
        <f>'IS (After Changes)'!AS129-'IS (Before Changes)'!AS129</f>
        <v>0</v>
      </c>
      <c r="AT129" s="119">
        <f>'IS (After Changes)'!AT129-'IS (Before Changes)'!AT129</f>
        <v>0</v>
      </c>
      <c r="AU129" s="119">
        <f>'IS (After Changes)'!AU129-'IS (Before Changes)'!AU129</f>
        <v>0</v>
      </c>
      <c r="AV129" s="193">
        <f>'IS (After Changes)'!AV129-'IS (Before Changes)'!AV129</f>
        <v>0</v>
      </c>
    </row>
    <row r="130" spans="2:48" outlineLevel="1" x14ac:dyDescent="0.3">
      <c r="B130" s="46" t="s">
        <v>56</v>
      </c>
      <c r="C130" s="19"/>
      <c r="D130" s="103">
        <f>'IS (After Changes)'!D130-'IS (Before Changes)'!D130</f>
        <v>0</v>
      </c>
      <c r="E130" s="103">
        <f>'IS (After Changes)'!E130-'IS (Before Changes)'!E130</f>
        <v>0</v>
      </c>
      <c r="F130" s="103">
        <f>'IS (After Changes)'!F130-'IS (Before Changes)'!F130</f>
        <v>0</v>
      </c>
      <c r="G130" s="103">
        <f>'IS (After Changes)'!G130-'IS (Before Changes)'!G130</f>
        <v>0</v>
      </c>
      <c r="H130" s="130">
        <f>'IS (After Changes)'!H130-'IS (Before Changes)'!H130</f>
        <v>0</v>
      </c>
      <c r="I130" s="103">
        <f>'IS (After Changes)'!I130-'IS (Before Changes)'!I130</f>
        <v>0</v>
      </c>
      <c r="J130" s="103">
        <f>'IS (After Changes)'!J130-'IS (Before Changes)'!J130</f>
        <v>0</v>
      </c>
      <c r="K130" s="103">
        <f>'IS (After Changes)'!K130-'IS (Before Changes)'!K130</f>
        <v>0</v>
      </c>
      <c r="L130" s="50">
        <f>'IS (After Changes)'!L130-'IS (Before Changes)'!L130</f>
        <v>0</v>
      </c>
      <c r="M130" s="51">
        <f>'IS (After Changes)'!M130-'IS (Before Changes)'!M130</f>
        <v>0</v>
      </c>
      <c r="N130" s="50">
        <f>'IS (After Changes)'!N130-'IS (Before Changes)'!N130</f>
        <v>0</v>
      </c>
      <c r="O130" s="50">
        <f>'IS (After Changes)'!O130-'IS (Before Changes)'!O130</f>
        <v>0</v>
      </c>
      <c r="P130" s="50">
        <f>'IS (After Changes)'!P130-'IS (Before Changes)'!P130</f>
        <v>0</v>
      </c>
      <c r="Q130" s="50">
        <f>'IS (After Changes)'!Q130-'IS (Before Changes)'!Q130</f>
        <v>0</v>
      </c>
      <c r="R130" s="51">
        <f>'IS (After Changes)'!R130-'IS (Before Changes)'!R130</f>
        <v>0</v>
      </c>
      <c r="S130" s="50">
        <f>'IS (After Changes)'!S130-'IS (Before Changes)'!S130</f>
        <v>0</v>
      </c>
      <c r="T130" s="50">
        <f>'IS (After Changes)'!T130-'IS (Before Changes)'!T130</f>
        <v>0</v>
      </c>
      <c r="U130" s="50">
        <f>'IS (After Changes)'!U130-'IS (Before Changes)'!U130</f>
        <v>0</v>
      </c>
      <c r="V130" s="50">
        <f>'IS (After Changes)'!V130-'IS (Before Changes)'!V130</f>
        <v>0</v>
      </c>
      <c r="W130" s="51">
        <f>'IS (After Changes)'!W130-'IS (Before Changes)'!W130</f>
        <v>0</v>
      </c>
      <c r="X130" s="50">
        <f>'IS (After Changes)'!X130-'IS (Before Changes)'!X130</f>
        <v>0</v>
      </c>
      <c r="Y130" s="50">
        <f>'IS (After Changes)'!Y130-'IS (Before Changes)'!Y130</f>
        <v>9.7071180381362865E-3</v>
      </c>
      <c r="Z130" s="50">
        <f>'IS (After Changes)'!Z130-'IS (Before Changes)'!Z130</f>
        <v>1.8202994698128805E-2</v>
      </c>
      <c r="AA130" s="50">
        <f>'IS (After Changes)'!AA130-'IS (Before Changes)'!AA130</f>
        <v>6.4824565540504864E-2</v>
      </c>
      <c r="AB130" s="51">
        <f>'IS (After Changes)'!AB130-'IS (Before Changes)'!AB130</f>
        <v>9.2734678276656268E-2</v>
      </c>
      <c r="AC130" s="50">
        <f>'IS (After Changes)'!AC130-'IS (Before Changes)'!AC130</f>
        <v>0.11011133690425368</v>
      </c>
      <c r="AD130" s="50">
        <f>'IS (After Changes)'!AD130-'IS (Before Changes)'!AD130</f>
        <v>0.12409698693176097</v>
      </c>
      <c r="AE130" s="50">
        <f>'IS (After Changes)'!AE130-'IS (Before Changes)'!AE130</f>
        <v>0.1362164304676412</v>
      </c>
      <c r="AF130" s="50">
        <f>'IS (After Changes)'!AF130-'IS (Before Changes)'!AF130</f>
        <v>0.19086349241479184</v>
      </c>
      <c r="AG130" s="51">
        <f>'IS (After Changes)'!AG130-'IS (Before Changes)'!AG130</f>
        <v>0.56128824671827715</v>
      </c>
      <c r="AH130" s="50">
        <f>'IS (After Changes)'!AH130-'IS (Before Changes)'!AH130</f>
        <v>0.24281114565428652</v>
      </c>
      <c r="AI130" s="50">
        <f>'IS (After Changes)'!AI130-'IS (Before Changes)'!AI130</f>
        <v>0.25908942615723163</v>
      </c>
      <c r="AJ130" s="50">
        <f>'IS (After Changes)'!AJ130-'IS (Before Changes)'!AJ130</f>
        <v>0.27296231323651909</v>
      </c>
      <c r="AK130" s="50">
        <f>'IS (After Changes)'!AK130-'IS (Before Changes)'!AK130</f>
        <v>0.32991863010579436</v>
      </c>
      <c r="AL130" s="51">
        <f>'IS (After Changes)'!AL130-'IS (Before Changes)'!AL130</f>
        <v>1.1047815151537179</v>
      </c>
      <c r="AM130" s="50">
        <f>'IS (After Changes)'!AM130-'IS (Before Changes)'!AM130</f>
        <v>0.38370182289173727</v>
      </c>
      <c r="AN130" s="50">
        <f>'IS (After Changes)'!AN130-'IS (Before Changes)'!AN130</f>
        <v>0.39439006855576508</v>
      </c>
      <c r="AO130" s="50">
        <f>'IS (After Changes)'!AO130-'IS (Before Changes)'!AO130</f>
        <v>0.40285044850560325</v>
      </c>
      <c r="AP130" s="50">
        <f>'IS (After Changes)'!AP130-'IS (Before Changes)'!AP130</f>
        <v>0.4584001659588921</v>
      </c>
      <c r="AQ130" s="51">
        <f>'IS (After Changes)'!AQ130-'IS (Before Changes)'!AQ130</f>
        <v>1.6393425059120545</v>
      </c>
      <c r="AR130" s="50">
        <f>'IS (After Changes)'!AR130-'IS (Before Changes)'!AR130</f>
        <v>0.51085645214129727</v>
      </c>
      <c r="AS130" s="50">
        <f>'IS (After Changes)'!AS130-'IS (Before Changes)'!AS130</f>
        <v>0.51630385505933418</v>
      </c>
      <c r="AT130" s="50">
        <f>'IS (After Changes)'!AT130-'IS (Before Changes)'!AT130</f>
        <v>0.51967965365372493</v>
      </c>
      <c r="AU130" s="50">
        <f>'IS (After Changes)'!AU130-'IS (Before Changes)'!AU130</f>
        <v>0.57349955926275697</v>
      </c>
      <c r="AV130" s="51">
        <f>'IS (After Changes)'!AV130-'IS (Before Changes)'!AV130</f>
        <v>2.1203395201173407</v>
      </c>
    </row>
    <row r="131" spans="2:48" outlineLevel="1" x14ac:dyDescent="0.3">
      <c r="B131" s="46" t="s">
        <v>57</v>
      </c>
      <c r="C131" s="44"/>
      <c r="D131" s="156">
        <f>'IS (After Changes)'!D131-'IS (Before Changes)'!D131</f>
        <v>0</v>
      </c>
      <c r="E131" s="156">
        <f>'IS (After Changes)'!E131-'IS (Before Changes)'!E131</f>
        <v>0</v>
      </c>
      <c r="F131" s="156">
        <f>'IS (After Changes)'!F131-'IS (Before Changes)'!F131</f>
        <v>0</v>
      </c>
      <c r="G131" s="156">
        <f>'IS (After Changes)'!G131-'IS (Before Changes)'!G131</f>
        <v>0</v>
      </c>
      <c r="H131" s="158">
        <f>'IS (After Changes)'!H131-'IS (Before Changes)'!H131</f>
        <v>0</v>
      </c>
      <c r="I131" s="156">
        <f>'IS (After Changes)'!I131-'IS (Before Changes)'!I131</f>
        <v>0</v>
      </c>
      <c r="J131" s="156">
        <f>'IS (After Changes)'!J131-'IS (Before Changes)'!J131</f>
        <v>0</v>
      </c>
      <c r="K131" s="156">
        <f>'IS (After Changes)'!K131-'IS (Before Changes)'!K131</f>
        <v>0</v>
      </c>
      <c r="L131" s="74">
        <f>'IS (After Changes)'!L131-'IS (Before Changes)'!L131</f>
        <v>0</v>
      </c>
      <c r="M131" s="194">
        <f>'IS (After Changes)'!M131-'IS (Before Changes)'!M131</f>
        <v>0</v>
      </c>
      <c r="N131" s="74">
        <f>'IS (After Changes)'!N131-'IS (Before Changes)'!N131</f>
        <v>0</v>
      </c>
      <c r="O131" s="74">
        <f>'IS (After Changes)'!O131-'IS (Before Changes)'!O131</f>
        <v>0</v>
      </c>
      <c r="P131" s="74">
        <f>'IS (After Changes)'!P131-'IS (Before Changes)'!P131</f>
        <v>0</v>
      </c>
      <c r="Q131" s="74">
        <f>'IS (After Changes)'!Q131-'IS (Before Changes)'!Q131</f>
        <v>0</v>
      </c>
      <c r="R131" s="194">
        <f>'IS (After Changes)'!R131-'IS (Before Changes)'!R131</f>
        <v>0</v>
      </c>
      <c r="S131" s="74">
        <f>'IS (After Changes)'!S131-'IS (Before Changes)'!S131</f>
        <v>0</v>
      </c>
      <c r="T131" s="74">
        <f>'IS (After Changes)'!T131-'IS (Before Changes)'!T131</f>
        <v>0</v>
      </c>
      <c r="U131" s="74">
        <f>'IS (After Changes)'!U131-'IS (Before Changes)'!U131</f>
        <v>0</v>
      </c>
      <c r="V131" s="74">
        <f>'IS (After Changes)'!V131-'IS (Before Changes)'!V131</f>
        <v>0</v>
      </c>
      <c r="W131" s="194">
        <f>'IS (After Changes)'!W131-'IS (Before Changes)'!W131</f>
        <v>0</v>
      </c>
      <c r="X131" s="74">
        <f>'IS (After Changes)'!X131-'IS (Before Changes)'!X131</f>
        <v>0</v>
      </c>
      <c r="Y131" s="74">
        <f>'IS (After Changes)'!Y131-'IS (Before Changes)'!Y131</f>
        <v>-9.7071180381362865E-3</v>
      </c>
      <c r="Z131" s="74">
        <f>'IS (After Changes)'!Z131-'IS (Before Changes)'!Z131</f>
        <v>-1.8202994698128805E-2</v>
      </c>
      <c r="AA131" s="74">
        <f>'IS (After Changes)'!AA131-'IS (Before Changes)'!AA131</f>
        <v>-6.4824565540504864E-2</v>
      </c>
      <c r="AB131" s="194">
        <f>'IS (After Changes)'!AB131-'IS (Before Changes)'!AB131</f>
        <v>-9.2734678276656268E-2</v>
      </c>
      <c r="AC131" s="74">
        <f>'IS (After Changes)'!AC131-'IS (Before Changes)'!AC131</f>
        <v>-0.11011133690425368</v>
      </c>
      <c r="AD131" s="74">
        <f>'IS (After Changes)'!AD131-'IS (Before Changes)'!AD131</f>
        <v>-0.12409698693176097</v>
      </c>
      <c r="AE131" s="74">
        <f>'IS (After Changes)'!AE131-'IS (Before Changes)'!AE131</f>
        <v>-0.1362164304676412</v>
      </c>
      <c r="AF131" s="74">
        <f>'IS (After Changes)'!AF131-'IS (Before Changes)'!AF131</f>
        <v>-0.19086349241479184</v>
      </c>
      <c r="AG131" s="194">
        <f>'IS (After Changes)'!AG131-'IS (Before Changes)'!AG131</f>
        <v>-0.56128824671827715</v>
      </c>
      <c r="AH131" s="74">
        <f>'IS (After Changes)'!AH131-'IS (Before Changes)'!AH131</f>
        <v>-0.24281114565428652</v>
      </c>
      <c r="AI131" s="74">
        <f>'IS (After Changes)'!AI131-'IS (Before Changes)'!AI131</f>
        <v>-0.25908942615723163</v>
      </c>
      <c r="AJ131" s="74">
        <f>'IS (After Changes)'!AJ131-'IS (Before Changes)'!AJ131</f>
        <v>-0.27296231323651909</v>
      </c>
      <c r="AK131" s="74">
        <f>'IS (After Changes)'!AK131-'IS (Before Changes)'!AK131</f>
        <v>-0.32991863010579436</v>
      </c>
      <c r="AL131" s="194">
        <f>'IS (After Changes)'!AL131-'IS (Before Changes)'!AL131</f>
        <v>-1.1047815151537179</v>
      </c>
      <c r="AM131" s="74">
        <f>'IS (After Changes)'!AM131-'IS (Before Changes)'!AM131</f>
        <v>-0.38370182289173727</v>
      </c>
      <c r="AN131" s="74">
        <f>'IS (After Changes)'!AN131-'IS (Before Changes)'!AN131</f>
        <v>-0.39439006855576508</v>
      </c>
      <c r="AO131" s="74">
        <f>'IS (After Changes)'!AO131-'IS (Before Changes)'!AO131</f>
        <v>-0.40285044850560325</v>
      </c>
      <c r="AP131" s="74">
        <f>'IS (After Changes)'!AP131-'IS (Before Changes)'!AP131</f>
        <v>-0.4584001659588921</v>
      </c>
      <c r="AQ131" s="194">
        <f>'IS (After Changes)'!AQ131-'IS (Before Changes)'!AQ131</f>
        <v>-1.6393425059120545</v>
      </c>
      <c r="AR131" s="74">
        <f>'IS (After Changes)'!AR131-'IS (Before Changes)'!AR131</f>
        <v>-0.51085645214129727</v>
      </c>
      <c r="AS131" s="74">
        <f>'IS (After Changes)'!AS131-'IS (Before Changes)'!AS131</f>
        <v>-0.51630385505933418</v>
      </c>
      <c r="AT131" s="74">
        <f>'IS (After Changes)'!AT131-'IS (Before Changes)'!AT131</f>
        <v>-0.51967965365372493</v>
      </c>
      <c r="AU131" s="74">
        <f>'IS (After Changes)'!AU131-'IS (Before Changes)'!AU131</f>
        <v>-0.57349955926275697</v>
      </c>
      <c r="AV131" s="194">
        <f>'IS (After Changes)'!AV131-'IS (Before Changes)'!AV131</f>
        <v>-2.1203395201173407</v>
      </c>
    </row>
    <row r="132" spans="2:48" ht="17.399999999999999" x14ac:dyDescent="0.45">
      <c r="B132" s="494" t="s">
        <v>14</v>
      </c>
      <c r="C132" s="495"/>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'IS (After Changes)'!D133-'IS (Before Changes)'!D133</f>
        <v>0</v>
      </c>
      <c r="E133" s="65">
        <f>'IS (After Changes)'!E133-'IS (Before Changes)'!E133</f>
        <v>0</v>
      </c>
      <c r="F133" s="121">
        <f>'IS (After Changes)'!F133-'IS (Before Changes)'!F133</f>
        <v>0</v>
      </c>
      <c r="G133" s="65">
        <f>'IS (After Changes)'!G133-'IS (Before Changes)'!G133</f>
        <v>0</v>
      </c>
      <c r="H133" s="66">
        <f>'IS (After Changes)'!H133-'IS (Before Changes)'!H133</f>
        <v>0</v>
      </c>
      <c r="I133" s="65">
        <f>'IS (After Changes)'!I133-'IS (Before Changes)'!I133</f>
        <v>0</v>
      </c>
      <c r="J133" s="65">
        <f>'IS (After Changes)'!J133-'IS (Before Changes)'!J133</f>
        <v>0</v>
      </c>
      <c r="K133" s="121">
        <f>'IS (After Changes)'!K133-'IS (Before Changes)'!K133</f>
        <v>0</v>
      </c>
      <c r="L133" s="65">
        <f>'IS (After Changes)'!L133-'IS (Before Changes)'!L133</f>
        <v>0</v>
      </c>
      <c r="M133" s="66">
        <f>'IS (After Changes)'!M133-'IS (Before Changes)'!M133</f>
        <v>0</v>
      </c>
      <c r="N133" s="65">
        <f>'IS (After Changes)'!N133-'IS (Before Changes)'!N133</f>
        <v>0</v>
      </c>
      <c r="O133" s="65">
        <f>'IS (After Changes)'!O133-'IS (Before Changes)'!O133</f>
        <v>0</v>
      </c>
      <c r="P133" s="121">
        <f>'IS (After Changes)'!P133-'IS (Before Changes)'!P133</f>
        <v>0</v>
      </c>
      <c r="Q133" s="65">
        <f>'IS (After Changes)'!Q133-'IS (Before Changes)'!Q133</f>
        <v>0</v>
      </c>
      <c r="R133" s="66">
        <f>'IS (After Changes)'!R133-'IS (Before Changes)'!R133</f>
        <v>0</v>
      </c>
      <c r="S133" s="65">
        <f>'IS (After Changes)'!S133-'IS (Before Changes)'!S133</f>
        <v>0</v>
      </c>
      <c r="T133" s="65">
        <f>'IS (After Changes)'!T133-'IS (Before Changes)'!T133</f>
        <v>0</v>
      </c>
      <c r="U133" s="121">
        <f>'IS (After Changes)'!U133-'IS (Before Changes)'!U133</f>
        <v>0</v>
      </c>
      <c r="V133" s="65">
        <f>'IS (After Changes)'!V133-'IS (Before Changes)'!V133</f>
        <v>0</v>
      </c>
      <c r="W133" s="66">
        <f>'IS (After Changes)'!W133-'IS (Before Changes)'!W133</f>
        <v>0</v>
      </c>
      <c r="X133" s="65">
        <f>'IS (After Changes)'!X133-'IS (Before Changes)'!X133</f>
        <v>0</v>
      </c>
      <c r="Y133" s="65">
        <f>'IS (After Changes)'!Y133-'IS (Before Changes)'!Y133</f>
        <v>0</v>
      </c>
      <c r="Z133" s="121">
        <f>'IS (After Changes)'!Z133-'IS (Before Changes)'!Z133</f>
        <v>0</v>
      </c>
      <c r="AA133" s="65">
        <f>'IS (After Changes)'!AA133-'IS (Before Changes)'!AA133</f>
        <v>0</v>
      </c>
      <c r="AB133" s="66">
        <f>'IS (After Changes)'!AB133-'IS (Before Changes)'!AB133</f>
        <v>0</v>
      </c>
      <c r="AC133" s="65">
        <f>'IS (After Changes)'!AC133-'IS (Before Changes)'!AC133</f>
        <v>0</v>
      </c>
      <c r="AD133" s="65">
        <f>'IS (After Changes)'!AD133-'IS (Before Changes)'!AD133</f>
        <v>0</v>
      </c>
      <c r="AE133" s="121">
        <f>'IS (After Changes)'!AE133-'IS (Before Changes)'!AE133</f>
        <v>0</v>
      </c>
      <c r="AF133" s="65">
        <f>'IS (After Changes)'!AF133-'IS (Before Changes)'!AF133</f>
        <v>0</v>
      </c>
      <c r="AG133" s="66">
        <f>'IS (After Changes)'!AG133-'IS (Before Changes)'!AG133</f>
        <v>0</v>
      </c>
      <c r="AH133" s="65">
        <f>'IS (After Changes)'!AH133-'IS (Before Changes)'!AH133</f>
        <v>0</v>
      </c>
      <c r="AI133" s="65">
        <f>'IS (After Changes)'!AI133-'IS (Before Changes)'!AI133</f>
        <v>0</v>
      </c>
      <c r="AJ133" s="121">
        <f>'IS (After Changes)'!AJ133-'IS (Before Changes)'!AJ133</f>
        <v>0</v>
      </c>
      <c r="AK133" s="65">
        <f>'IS (After Changes)'!AK133-'IS (Before Changes)'!AK133</f>
        <v>0</v>
      </c>
      <c r="AL133" s="66">
        <f>'IS (After Changes)'!AL133-'IS (Before Changes)'!AL133</f>
        <v>0</v>
      </c>
      <c r="AM133" s="65">
        <f>'IS (After Changes)'!AM133-'IS (Before Changes)'!AM133</f>
        <v>0</v>
      </c>
      <c r="AN133" s="65">
        <f>'IS (After Changes)'!AN133-'IS (Before Changes)'!AN133</f>
        <v>0</v>
      </c>
      <c r="AO133" s="121">
        <f>'IS (After Changes)'!AO133-'IS (Before Changes)'!AO133</f>
        <v>0</v>
      </c>
      <c r="AP133" s="65">
        <f>'IS (After Changes)'!AP133-'IS (Before Changes)'!AP133</f>
        <v>0</v>
      </c>
      <c r="AQ133" s="66">
        <f>'IS (After Changes)'!AQ133-'IS (Before Changes)'!AQ133</f>
        <v>0</v>
      </c>
      <c r="AR133" s="65">
        <f>'IS (After Changes)'!AR133-'IS (Before Changes)'!AR133</f>
        <v>0</v>
      </c>
      <c r="AS133" s="65">
        <f>'IS (After Changes)'!AS133-'IS (Before Changes)'!AS133</f>
        <v>0</v>
      </c>
      <c r="AT133" s="121">
        <f>'IS (After Changes)'!AT133-'IS (Before Changes)'!AT133</f>
        <v>0</v>
      </c>
      <c r="AU133" s="65">
        <f>'IS (After Changes)'!AU133-'IS (Before Changes)'!AU133</f>
        <v>0</v>
      </c>
      <c r="AV133" s="66">
        <f>'IS (After Changes)'!AV133-'IS (Before Changes)'!AV133</f>
        <v>0</v>
      </c>
    </row>
    <row r="134" spans="2:48" s="77" customFormat="1" ht="15.6" customHeight="1" outlineLevel="1" x14ac:dyDescent="0.3">
      <c r="B134" s="64" t="s">
        <v>60</v>
      </c>
      <c r="C134" s="78"/>
      <c r="D134" s="65">
        <f>'IS (After Changes)'!D134-'IS (Before Changes)'!D134</f>
        <v>0</v>
      </c>
      <c r="E134" s="65">
        <f>'IS (After Changes)'!E134-'IS (Before Changes)'!E134</f>
        <v>0</v>
      </c>
      <c r="F134" s="121">
        <f>'IS (After Changes)'!F134-'IS (Before Changes)'!F134</f>
        <v>0</v>
      </c>
      <c r="G134" s="65">
        <f>'IS (After Changes)'!G134-'IS (Before Changes)'!G134</f>
        <v>0</v>
      </c>
      <c r="H134" s="66">
        <f>'IS (After Changes)'!H134-'IS (Before Changes)'!H134</f>
        <v>0</v>
      </c>
      <c r="I134" s="65">
        <f>'IS (After Changes)'!I134-'IS (Before Changes)'!I134</f>
        <v>0</v>
      </c>
      <c r="J134" s="65">
        <f>'IS (After Changes)'!J134-'IS (Before Changes)'!J134</f>
        <v>0</v>
      </c>
      <c r="K134" s="121">
        <f>'IS (After Changes)'!K134-'IS (Before Changes)'!K134</f>
        <v>0</v>
      </c>
      <c r="L134" s="65">
        <f>'IS (After Changes)'!L134-'IS (Before Changes)'!L134</f>
        <v>0</v>
      </c>
      <c r="M134" s="66">
        <f>'IS (After Changes)'!M134-'IS (Before Changes)'!M134</f>
        <v>0</v>
      </c>
      <c r="N134" s="65">
        <f>'IS (After Changes)'!N134-'IS (Before Changes)'!N134</f>
        <v>0</v>
      </c>
      <c r="O134" s="65">
        <f>'IS (After Changes)'!O134-'IS (Before Changes)'!O134</f>
        <v>0</v>
      </c>
      <c r="P134" s="121">
        <f>'IS (After Changes)'!P134-'IS (Before Changes)'!P134</f>
        <v>0</v>
      </c>
      <c r="Q134" s="65">
        <f>'IS (After Changes)'!Q134-'IS (Before Changes)'!Q134</f>
        <v>0</v>
      </c>
      <c r="R134" s="66">
        <f>'IS (After Changes)'!R134-'IS (Before Changes)'!R134</f>
        <v>0</v>
      </c>
      <c r="S134" s="65">
        <f>'IS (After Changes)'!S134-'IS (Before Changes)'!S134</f>
        <v>0</v>
      </c>
      <c r="T134" s="65">
        <f>'IS (After Changes)'!T134-'IS (Before Changes)'!T134</f>
        <v>0</v>
      </c>
      <c r="U134" s="121">
        <f>'IS (After Changes)'!U134-'IS (Before Changes)'!U134</f>
        <v>0</v>
      </c>
      <c r="V134" s="65">
        <f>'IS (After Changes)'!V134-'IS (Before Changes)'!V134</f>
        <v>0</v>
      </c>
      <c r="W134" s="66">
        <f>'IS (After Changes)'!W134-'IS (Before Changes)'!W134</f>
        <v>0</v>
      </c>
      <c r="X134" s="65">
        <f>'IS (After Changes)'!X134-'IS (Before Changes)'!X134</f>
        <v>0</v>
      </c>
      <c r="Y134" s="65">
        <f>'IS (After Changes)'!Y134-'IS (Before Changes)'!Y134</f>
        <v>0</v>
      </c>
      <c r="Z134" s="121">
        <f>'IS (After Changes)'!Z134-'IS (Before Changes)'!Z134</f>
        <v>0</v>
      </c>
      <c r="AA134" s="65">
        <f>'IS (After Changes)'!AA134-'IS (Before Changes)'!AA134</f>
        <v>0</v>
      </c>
      <c r="AB134" s="66">
        <f>'IS (After Changes)'!AB134-'IS (Before Changes)'!AB134</f>
        <v>0</v>
      </c>
      <c r="AC134" s="65">
        <f>'IS (After Changes)'!AC134-'IS (Before Changes)'!AC134</f>
        <v>0</v>
      </c>
      <c r="AD134" s="65">
        <f>'IS (After Changes)'!AD134-'IS (Before Changes)'!AD134</f>
        <v>0</v>
      </c>
      <c r="AE134" s="121">
        <f>'IS (After Changes)'!AE134-'IS (Before Changes)'!AE134</f>
        <v>0</v>
      </c>
      <c r="AF134" s="65">
        <f>'IS (After Changes)'!AF134-'IS (Before Changes)'!AF134</f>
        <v>0</v>
      </c>
      <c r="AG134" s="66">
        <f>'IS (After Changes)'!AG134-'IS (Before Changes)'!AG134</f>
        <v>0</v>
      </c>
      <c r="AH134" s="65">
        <f>'IS (After Changes)'!AH134-'IS (Before Changes)'!AH134</f>
        <v>0</v>
      </c>
      <c r="AI134" s="65">
        <f>'IS (After Changes)'!AI134-'IS (Before Changes)'!AI134</f>
        <v>0</v>
      </c>
      <c r="AJ134" s="121">
        <f>'IS (After Changes)'!AJ134-'IS (Before Changes)'!AJ134</f>
        <v>0</v>
      </c>
      <c r="AK134" s="65">
        <f>'IS (After Changes)'!AK134-'IS (Before Changes)'!AK134</f>
        <v>0</v>
      </c>
      <c r="AL134" s="66">
        <f>'IS (After Changes)'!AL134-'IS (Before Changes)'!AL134</f>
        <v>0</v>
      </c>
      <c r="AM134" s="65">
        <f>'IS (After Changes)'!AM134-'IS (Before Changes)'!AM134</f>
        <v>0</v>
      </c>
      <c r="AN134" s="65">
        <f>'IS (After Changes)'!AN134-'IS (Before Changes)'!AN134</f>
        <v>0</v>
      </c>
      <c r="AO134" s="121">
        <f>'IS (After Changes)'!AO134-'IS (Before Changes)'!AO134</f>
        <v>0</v>
      </c>
      <c r="AP134" s="65">
        <f>'IS (After Changes)'!AP134-'IS (Before Changes)'!AP134</f>
        <v>0</v>
      </c>
      <c r="AQ134" s="66">
        <f>'IS (After Changes)'!AQ134-'IS (Before Changes)'!AQ134</f>
        <v>0</v>
      </c>
      <c r="AR134" s="65">
        <f>'IS (After Changes)'!AR134-'IS (Before Changes)'!AR134</f>
        <v>0</v>
      </c>
      <c r="AS134" s="65">
        <f>'IS (After Changes)'!AS134-'IS (Before Changes)'!AS134</f>
        <v>0</v>
      </c>
      <c r="AT134" s="121">
        <f>'IS (After Changes)'!AT134-'IS (Before Changes)'!AT134</f>
        <v>0</v>
      </c>
      <c r="AU134" s="65">
        <f>'IS (After Changes)'!AU134-'IS (Before Changes)'!AU134</f>
        <v>0</v>
      </c>
      <c r="AV134" s="66">
        <f>'IS (After Changes)'!AV134-'IS (Before Changes)'!AV134</f>
        <v>0</v>
      </c>
    </row>
    <row r="135" spans="2:48" s="77" customFormat="1" ht="15.6" customHeight="1" outlineLevel="1" x14ac:dyDescent="0.3">
      <c r="B135" s="64" t="s">
        <v>61</v>
      </c>
      <c r="C135" s="78"/>
      <c r="D135" s="65">
        <f>'IS (After Changes)'!D135-'IS (Before Changes)'!D135</f>
        <v>0</v>
      </c>
      <c r="E135" s="65">
        <f>'IS (After Changes)'!E135-'IS (Before Changes)'!E135</f>
        <v>0</v>
      </c>
      <c r="F135" s="121">
        <f>'IS (After Changes)'!F135-'IS (Before Changes)'!F135</f>
        <v>0</v>
      </c>
      <c r="G135" s="65">
        <f>'IS (After Changes)'!G135-'IS (Before Changes)'!G135</f>
        <v>0</v>
      </c>
      <c r="H135" s="66">
        <f>'IS (After Changes)'!H135-'IS (Before Changes)'!H135</f>
        <v>0</v>
      </c>
      <c r="I135" s="65">
        <f>'IS (After Changes)'!I135-'IS (Before Changes)'!I135</f>
        <v>0</v>
      </c>
      <c r="J135" s="65">
        <f>'IS (After Changes)'!J135-'IS (Before Changes)'!J135</f>
        <v>0</v>
      </c>
      <c r="K135" s="121">
        <f>'IS (After Changes)'!K135-'IS (Before Changes)'!K135</f>
        <v>0</v>
      </c>
      <c r="L135" s="65">
        <f>'IS (After Changes)'!L135-'IS (Before Changes)'!L135</f>
        <v>0</v>
      </c>
      <c r="M135" s="66">
        <f>'IS (After Changes)'!M135-'IS (Before Changes)'!M135</f>
        <v>0</v>
      </c>
      <c r="N135" s="65">
        <f>'IS (After Changes)'!N135-'IS (Before Changes)'!N135</f>
        <v>0</v>
      </c>
      <c r="O135" s="65">
        <f>'IS (After Changes)'!O135-'IS (Before Changes)'!O135</f>
        <v>0</v>
      </c>
      <c r="P135" s="121">
        <f>'IS (After Changes)'!P135-'IS (Before Changes)'!P135</f>
        <v>0</v>
      </c>
      <c r="Q135" s="65">
        <f>'IS (After Changes)'!Q135-'IS (Before Changes)'!Q135</f>
        <v>0</v>
      </c>
      <c r="R135" s="66">
        <f>'IS (After Changes)'!R135-'IS (Before Changes)'!R135</f>
        <v>0</v>
      </c>
      <c r="S135" s="65">
        <f>'IS (After Changes)'!S135-'IS (Before Changes)'!S135</f>
        <v>0</v>
      </c>
      <c r="T135" s="65">
        <f>'IS (After Changes)'!T135-'IS (Before Changes)'!T135</f>
        <v>0</v>
      </c>
      <c r="U135" s="121">
        <f>'IS (After Changes)'!U135-'IS (Before Changes)'!U135</f>
        <v>0</v>
      </c>
      <c r="V135" s="65">
        <f>'IS (After Changes)'!V135-'IS (Before Changes)'!V135</f>
        <v>0</v>
      </c>
      <c r="W135" s="66">
        <f>'IS (After Changes)'!W135-'IS (Before Changes)'!W135</f>
        <v>0</v>
      </c>
      <c r="X135" s="65">
        <f>'IS (After Changes)'!X135-'IS (Before Changes)'!X135</f>
        <v>0</v>
      </c>
      <c r="Y135" s="65">
        <f>'IS (After Changes)'!Y135-'IS (Before Changes)'!Y135</f>
        <v>0</v>
      </c>
      <c r="Z135" s="121">
        <f>'IS (After Changes)'!Z135-'IS (Before Changes)'!Z135</f>
        <v>0</v>
      </c>
      <c r="AA135" s="65">
        <f>'IS (After Changes)'!AA135-'IS (Before Changes)'!AA135</f>
        <v>0</v>
      </c>
      <c r="AB135" s="66">
        <f>'IS (After Changes)'!AB135-'IS (Before Changes)'!AB135</f>
        <v>0</v>
      </c>
      <c r="AC135" s="65">
        <f>'IS (After Changes)'!AC135-'IS (Before Changes)'!AC135</f>
        <v>0</v>
      </c>
      <c r="AD135" s="65">
        <f>'IS (After Changes)'!AD135-'IS (Before Changes)'!AD135</f>
        <v>0</v>
      </c>
      <c r="AE135" s="121">
        <f>'IS (After Changes)'!AE135-'IS (Before Changes)'!AE135</f>
        <v>0</v>
      </c>
      <c r="AF135" s="65">
        <f>'IS (After Changes)'!AF135-'IS (Before Changes)'!AF135</f>
        <v>0</v>
      </c>
      <c r="AG135" s="66">
        <f>'IS (After Changes)'!AG135-'IS (Before Changes)'!AG135</f>
        <v>0</v>
      </c>
      <c r="AH135" s="65">
        <f>'IS (After Changes)'!AH135-'IS (Before Changes)'!AH135</f>
        <v>0</v>
      </c>
      <c r="AI135" s="65">
        <f>'IS (After Changes)'!AI135-'IS (Before Changes)'!AI135</f>
        <v>0</v>
      </c>
      <c r="AJ135" s="121">
        <f>'IS (After Changes)'!AJ135-'IS (Before Changes)'!AJ135</f>
        <v>0</v>
      </c>
      <c r="AK135" s="65">
        <f>'IS (After Changes)'!AK135-'IS (Before Changes)'!AK135</f>
        <v>0</v>
      </c>
      <c r="AL135" s="66">
        <f>'IS (After Changes)'!AL135-'IS (Before Changes)'!AL135</f>
        <v>0</v>
      </c>
      <c r="AM135" s="65">
        <f>'IS (After Changes)'!AM135-'IS (Before Changes)'!AM135</f>
        <v>0</v>
      </c>
      <c r="AN135" s="65">
        <f>'IS (After Changes)'!AN135-'IS (Before Changes)'!AN135</f>
        <v>0</v>
      </c>
      <c r="AO135" s="121">
        <f>'IS (After Changes)'!AO135-'IS (Before Changes)'!AO135</f>
        <v>0</v>
      </c>
      <c r="AP135" s="65">
        <f>'IS (After Changes)'!AP135-'IS (Before Changes)'!AP135</f>
        <v>0</v>
      </c>
      <c r="AQ135" s="66">
        <f>'IS (After Changes)'!AQ135-'IS (Before Changes)'!AQ135</f>
        <v>0</v>
      </c>
      <c r="AR135" s="65">
        <f>'IS (After Changes)'!AR135-'IS (Before Changes)'!AR135</f>
        <v>0</v>
      </c>
      <c r="AS135" s="65">
        <f>'IS (After Changes)'!AS135-'IS (Before Changes)'!AS135</f>
        <v>0</v>
      </c>
      <c r="AT135" s="121">
        <f>'IS (After Changes)'!AT135-'IS (Before Changes)'!AT135</f>
        <v>0</v>
      </c>
      <c r="AU135" s="65">
        <f>'IS (After Changes)'!AU135-'IS (Before Changes)'!AU135</f>
        <v>0</v>
      </c>
      <c r="AV135" s="66">
        <f>'IS (After Changes)'!AV135-'IS (Before Changes)'!AV135</f>
        <v>0</v>
      </c>
    </row>
    <row r="136" spans="2:48" s="77" customFormat="1" ht="15.6" customHeight="1" outlineLevel="1" x14ac:dyDescent="0.3">
      <c r="B136" s="64" t="s">
        <v>36</v>
      </c>
      <c r="C136" s="78"/>
      <c r="D136" s="65">
        <f>'IS (After Changes)'!D136-'IS (Before Changes)'!D136</f>
        <v>0</v>
      </c>
      <c r="E136" s="65">
        <f>'IS (After Changes)'!E136-'IS (Before Changes)'!E136</f>
        <v>0</v>
      </c>
      <c r="F136" s="121">
        <f>'IS (After Changes)'!F136-'IS (Before Changes)'!F136</f>
        <v>0</v>
      </c>
      <c r="G136" s="65">
        <f>'IS (After Changes)'!G136-'IS (Before Changes)'!G136</f>
        <v>0</v>
      </c>
      <c r="H136" s="66">
        <f>'IS (After Changes)'!H136-'IS (Before Changes)'!H136</f>
        <v>0</v>
      </c>
      <c r="I136" s="65">
        <f>'IS (After Changes)'!I136-'IS (Before Changes)'!I136</f>
        <v>0</v>
      </c>
      <c r="J136" s="65">
        <f>'IS (After Changes)'!J136-'IS (Before Changes)'!J136</f>
        <v>0</v>
      </c>
      <c r="K136" s="121">
        <f>'IS (After Changes)'!K136-'IS (Before Changes)'!K136</f>
        <v>0</v>
      </c>
      <c r="L136" s="65">
        <f>'IS (After Changes)'!L136-'IS (Before Changes)'!L136</f>
        <v>0</v>
      </c>
      <c r="M136" s="66">
        <f>'IS (After Changes)'!M136-'IS (Before Changes)'!M136</f>
        <v>0</v>
      </c>
      <c r="N136" s="65">
        <f>'IS (After Changes)'!N136-'IS (Before Changes)'!N136</f>
        <v>0</v>
      </c>
      <c r="O136" s="65">
        <f>'IS (After Changes)'!O136-'IS (Before Changes)'!O136</f>
        <v>0</v>
      </c>
      <c r="P136" s="121">
        <f>'IS (After Changes)'!P136-'IS (Before Changes)'!P136</f>
        <v>0</v>
      </c>
      <c r="Q136" s="65">
        <f>'IS (After Changes)'!Q136-'IS (Before Changes)'!Q136</f>
        <v>0</v>
      </c>
      <c r="R136" s="66">
        <f>'IS (After Changes)'!R136-'IS (Before Changes)'!R136</f>
        <v>0</v>
      </c>
      <c r="S136" s="65">
        <f>'IS (After Changes)'!S136-'IS (Before Changes)'!S136</f>
        <v>0</v>
      </c>
      <c r="T136" s="65">
        <f>'IS (After Changes)'!T136-'IS (Before Changes)'!T136</f>
        <v>0</v>
      </c>
      <c r="U136" s="121">
        <f>'IS (After Changes)'!U136-'IS (Before Changes)'!U136</f>
        <v>0</v>
      </c>
      <c r="V136" s="65">
        <f>'IS (After Changes)'!V136-'IS (Before Changes)'!V136</f>
        <v>0</v>
      </c>
      <c r="W136" s="66">
        <f>'IS (After Changes)'!W136-'IS (Before Changes)'!W136</f>
        <v>0</v>
      </c>
      <c r="X136" s="65">
        <f>'IS (After Changes)'!X136-'IS (Before Changes)'!X136</f>
        <v>0</v>
      </c>
      <c r="Y136" s="65">
        <f>'IS (After Changes)'!Y136-'IS (Before Changes)'!Y136</f>
        <v>0</v>
      </c>
      <c r="Z136" s="121">
        <f>'IS (After Changes)'!Z136-'IS (Before Changes)'!Z136</f>
        <v>0</v>
      </c>
      <c r="AA136" s="65">
        <f>'IS (After Changes)'!AA136-'IS (Before Changes)'!AA136</f>
        <v>0</v>
      </c>
      <c r="AB136" s="66">
        <f>'IS (After Changes)'!AB136-'IS (Before Changes)'!AB136</f>
        <v>0</v>
      </c>
      <c r="AC136" s="65">
        <f>'IS (After Changes)'!AC136-'IS (Before Changes)'!AC136</f>
        <v>0</v>
      </c>
      <c r="AD136" s="65">
        <f>'IS (After Changes)'!AD136-'IS (Before Changes)'!AD136</f>
        <v>0</v>
      </c>
      <c r="AE136" s="121">
        <f>'IS (After Changes)'!AE136-'IS (Before Changes)'!AE136</f>
        <v>0</v>
      </c>
      <c r="AF136" s="65">
        <f>'IS (After Changes)'!AF136-'IS (Before Changes)'!AF136</f>
        <v>0</v>
      </c>
      <c r="AG136" s="66">
        <f>'IS (After Changes)'!AG136-'IS (Before Changes)'!AG136</f>
        <v>0</v>
      </c>
      <c r="AH136" s="65">
        <f>'IS (After Changes)'!AH136-'IS (Before Changes)'!AH136</f>
        <v>0</v>
      </c>
      <c r="AI136" s="65">
        <f>'IS (After Changes)'!AI136-'IS (Before Changes)'!AI136</f>
        <v>0</v>
      </c>
      <c r="AJ136" s="121">
        <f>'IS (After Changes)'!AJ136-'IS (Before Changes)'!AJ136</f>
        <v>0</v>
      </c>
      <c r="AK136" s="65">
        <f>'IS (After Changes)'!AK136-'IS (Before Changes)'!AK136</f>
        <v>0</v>
      </c>
      <c r="AL136" s="66">
        <f>'IS (After Changes)'!AL136-'IS (Before Changes)'!AL136</f>
        <v>0</v>
      </c>
      <c r="AM136" s="65">
        <f>'IS (After Changes)'!AM136-'IS (Before Changes)'!AM136</f>
        <v>0</v>
      </c>
      <c r="AN136" s="65">
        <f>'IS (After Changes)'!AN136-'IS (Before Changes)'!AN136</f>
        <v>0</v>
      </c>
      <c r="AO136" s="121">
        <f>'IS (After Changes)'!AO136-'IS (Before Changes)'!AO136</f>
        <v>0</v>
      </c>
      <c r="AP136" s="65">
        <f>'IS (After Changes)'!AP136-'IS (Before Changes)'!AP136</f>
        <v>0</v>
      </c>
      <c r="AQ136" s="66">
        <f>'IS (After Changes)'!AQ136-'IS (Before Changes)'!AQ136</f>
        <v>0</v>
      </c>
      <c r="AR136" s="65">
        <f>'IS (After Changes)'!AR136-'IS (Before Changes)'!AR136</f>
        <v>0</v>
      </c>
      <c r="AS136" s="65">
        <f>'IS (After Changes)'!AS136-'IS (Before Changes)'!AS136</f>
        <v>0</v>
      </c>
      <c r="AT136" s="121">
        <f>'IS (After Changes)'!AT136-'IS (Before Changes)'!AT136</f>
        <v>0</v>
      </c>
      <c r="AU136" s="65">
        <f>'IS (After Changes)'!AU136-'IS (Before Changes)'!AU136</f>
        <v>0</v>
      </c>
      <c r="AV136" s="66">
        <f>'IS (After Changes)'!AV136-'IS (Before Changes)'!AV136</f>
        <v>0</v>
      </c>
    </row>
    <row r="137" spans="2:48" s="77" customFormat="1" ht="15.6" customHeight="1" outlineLevel="1" x14ac:dyDescent="0.3">
      <c r="B137" s="64" t="s">
        <v>62</v>
      </c>
      <c r="C137" s="78"/>
      <c r="D137" s="65">
        <f>'IS (After Changes)'!D137-'IS (Before Changes)'!D137</f>
        <v>0</v>
      </c>
      <c r="E137" s="65">
        <f>'IS (After Changes)'!E137-'IS (Before Changes)'!E137</f>
        <v>0</v>
      </c>
      <c r="F137" s="121">
        <f>'IS (After Changes)'!F137-'IS (Before Changes)'!F137</f>
        <v>0</v>
      </c>
      <c r="G137" s="65">
        <f>'IS (After Changes)'!G137-'IS (Before Changes)'!G137</f>
        <v>0</v>
      </c>
      <c r="H137" s="66">
        <f>'IS (After Changes)'!H137-'IS (Before Changes)'!H137</f>
        <v>0</v>
      </c>
      <c r="I137" s="65">
        <f>'IS (After Changes)'!I137-'IS (Before Changes)'!I137</f>
        <v>0</v>
      </c>
      <c r="J137" s="65">
        <f>'IS (After Changes)'!J137-'IS (Before Changes)'!J137</f>
        <v>0</v>
      </c>
      <c r="K137" s="121">
        <f>'IS (After Changes)'!K137-'IS (Before Changes)'!K137</f>
        <v>0</v>
      </c>
      <c r="L137" s="65">
        <f>'IS (After Changes)'!L137-'IS (Before Changes)'!L137</f>
        <v>0</v>
      </c>
      <c r="M137" s="66">
        <f>'IS (After Changes)'!M137-'IS (Before Changes)'!M137</f>
        <v>0</v>
      </c>
      <c r="N137" s="65">
        <f>'IS (After Changes)'!N137-'IS (Before Changes)'!N137</f>
        <v>0</v>
      </c>
      <c r="O137" s="65">
        <f>'IS (After Changes)'!O137-'IS (Before Changes)'!O137</f>
        <v>0</v>
      </c>
      <c r="P137" s="121">
        <f>'IS (After Changes)'!P137-'IS (Before Changes)'!P137</f>
        <v>0</v>
      </c>
      <c r="Q137" s="65">
        <f>'IS (After Changes)'!Q137-'IS (Before Changes)'!Q137</f>
        <v>0</v>
      </c>
      <c r="R137" s="66">
        <f>'IS (After Changes)'!R137-'IS (Before Changes)'!R137</f>
        <v>0</v>
      </c>
      <c r="S137" s="65">
        <f>'IS (After Changes)'!S137-'IS (Before Changes)'!S137</f>
        <v>0</v>
      </c>
      <c r="T137" s="65">
        <f>'IS (After Changes)'!T137-'IS (Before Changes)'!T137</f>
        <v>0</v>
      </c>
      <c r="U137" s="121">
        <f>'IS (After Changes)'!U137-'IS (Before Changes)'!U137</f>
        <v>0</v>
      </c>
      <c r="V137" s="65">
        <f>'IS (After Changes)'!V137-'IS (Before Changes)'!V137</f>
        <v>0</v>
      </c>
      <c r="W137" s="66">
        <f>'IS (After Changes)'!W137-'IS (Before Changes)'!W137</f>
        <v>0</v>
      </c>
      <c r="X137" s="65">
        <f>'IS (After Changes)'!X137-'IS (Before Changes)'!X137</f>
        <v>0</v>
      </c>
      <c r="Y137" s="65">
        <f>'IS (After Changes)'!Y137-'IS (Before Changes)'!Y137</f>
        <v>0</v>
      </c>
      <c r="Z137" s="121">
        <f>'IS (After Changes)'!Z137-'IS (Before Changes)'!Z137</f>
        <v>0</v>
      </c>
      <c r="AA137" s="65">
        <f>'IS (After Changes)'!AA137-'IS (Before Changes)'!AA137</f>
        <v>0</v>
      </c>
      <c r="AB137" s="66">
        <f>'IS (After Changes)'!AB137-'IS (Before Changes)'!AB137</f>
        <v>0</v>
      </c>
      <c r="AC137" s="65">
        <f>'IS (After Changes)'!AC137-'IS (Before Changes)'!AC137</f>
        <v>-2.9558577807620168E-12</v>
      </c>
      <c r="AD137" s="65">
        <f>'IS (After Changes)'!AD137-'IS (Before Changes)'!AD137</f>
        <v>2.5011104298755527E-12</v>
      </c>
      <c r="AE137" s="121">
        <f>'IS (After Changes)'!AE137-'IS (Before Changes)'!AE137</f>
        <v>0</v>
      </c>
      <c r="AF137" s="65">
        <f>'IS (After Changes)'!AF137-'IS (Before Changes)'!AF137</f>
        <v>-2.2737367544323206E-12</v>
      </c>
      <c r="AG137" s="66">
        <f>'IS (After Changes)'!AG137-'IS (Before Changes)'!AG137</f>
        <v>0</v>
      </c>
      <c r="AH137" s="65">
        <f>'IS (After Changes)'!AH137-'IS (Before Changes)'!AH137</f>
        <v>0</v>
      </c>
      <c r="AI137" s="65">
        <f>'IS (After Changes)'!AI137-'IS (Before Changes)'!AI137</f>
        <v>6.8212102632969618E-13</v>
      </c>
      <c r="AJ137" s="121">
        <f>'IS (After Changes)'!AJ137-'IS (Before Changes)'!AJ137</f>
        <v>0</v>
      </c>
      <c r="AK137" s="65">
        <f>'IS (After Changes)'!AK137-'IS (Before Changes)'!AK137</f>
        <v>0</v>
      </c>
      <c r="AL137" s="66">
        <f>'IS (After Changes)'!AL137-'IS (Before Changes)'!AL137</f>
        <v>0</v>
      </c>
      <c r="AM137" s="65">
        <f>'IS (After Changes)'!AM137-'IS (Before Changes)'!AM137</f>
        <v>0</v>
      </c>
      <c r="AN137" s="65">
        <f>'IS (After Changes)'!AN137-'IS (Before Changes)'!AN137</f>
        <v>-3.865352482534945E-12</v>
      </c>
      <c r="AO137" s="121">
        <f>'IS (After Changes)'!AO137-'IS (Before Changes)'!AO137</f>
        <v>0</v>
      </c>
      <c r="AP137" s="65">
        <f>'IS (After Changes)'!AP137-'IS (Before Changes)'!AP137</f>
        <v>0</v>
      </c>
      <c r="AQ137" s="66">
        <f>'IS (After Changes)'!AQ137-'IS (Before Changes)'!AQ137</f>
        <v>0</v>
      </c>
      <c r="AR137" s="65">
        <f>'IS (After Changes)'!AR137-'IS (Before Changes)'!AR137</f>
        <v>0</v>
      </c>
      <c r="AS137" s="65">
        <f>'IS (After Changes)'!AS137-'IS (Before Changes)'!AS137</f>
        <v>0</v>
      </c>
      <c r="AT137" s="121">
        <f>'IS (After Changes)'!AT137-'IS (Before Changes)'!AT137</f>
        <v>0</v>
      </c>
      <c r="AU137" s="65">
        <f>'IS (After Changes)'!AU137-'IS (Before Changes)'!AU137</f>
        <v>0</v>
      </c>
      <c r="AV137" s="66">
        <f>'IS (After Changes)'!AV137-'IS (Before Changes)'!AV137</f>
        <v>0</v>
      </c>
    </row>
    <row r="138" spans="2:48" ht="15" customHeight="1" x14ac:dyDescent="0.45">
      <c r="B138" s="494" t="s">
        <v>9</v>
      </c>
      <c r="C138" s="495"/>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f>'IS (After Changes)'!D139-'IS (Before Changes)'!D139</f>
        <v>0</v>
      </c>
      <c r="E139" s="27">
        <f>'IS (After Changes)'!E139-'IS (Before Changes)'!E139</f>
        <v>0</v>
      </c>
      <c r="F139" s="27">
        <f>'IS (After Changes)'!F139-'IS (Before Changes)'!F139</f>
        <v>0</v>
      </c>
      <c r="G139" s="27">
        <f>'IS (After Changes)'!G139-'IS (Before Changes)'!G139</f>
        <v>0</v>
      </c>
      <c r="H139" s="29">
        <f>'IS (After Changes)'!H139-'IS (Before Changes)'!H139</f>
        <v>0</v>
      </c>
      <c r="I139" s="27">
        <f>'IS (After Changes)'!I139-'IS (Before Changes)'!I139</f>
        <v>0</v>
      </c>
      <c r="J139" s="27">
        <f>'IS (After Changes)'!J139-'IS (Before Changes)'!J139</f>
        <v>0</v>
      </c>
      <c r="K139" s="27">
        <f>'IS (After Changes)'!K139-'IS (Before Changes)'!K139</f>
        <v>0</v>
      </c>
      <c r="L139" s="113">
        <f>'IS (After Changes)'!L139-'IS (Before Changes)'!L139</f>
        <v>0</v>
      </c>
      <c r="M139" s="137">
        <f>'IS (After Changes)'!M139-'IS (Before Changes)'!M139</f>
        <v>0</v>
      </c>
      <c r="N139" s="113">
        <f>'IS (After Changes)'!N139-'IS (Before Changes)'!N139</f>
        <v>0</v>
      </c>
      <c r="O139" s="113">
        <f>'IS (After Changes)'!O139-'IS (Before Changes)'!O139</f>
        <v>0</v>
      </c>
      <c r="P139" s="113">
        <f>'IS (After Changes)'!P139-'IS (Before Changes)'!P139</f>
        <v>0</v>
      </c>
      <c r="Q139" s="113">
        <f>'IS (After Changes)'!Q139-'IS (Before Changes)'!Q139</f>
        <v>0</v>
      </c>
      <c r="R139" s="29">
        <f>'IS (After Changes)'!R139-'IS (Before Changes)'!R139</f>
        <v>0</v>
      </c>
      <c r="S139" s="113">
        <f>'IS (After Changes)'!S139-'IS (Before Changes)'!S139</f>
        <v>0</v>
      </c>
      <c r="T139" s="113">
        <f>'IS (After Changes)'!T139-'IS (Before Changes)'!T139</f>
        <v>0</v>
      </c>
      <c r="U139" s="113">
        <f>'IS (After Changes)'!U139-'IS (Before Changes)'!U139</f>
        <v>0</v>
      </c>
      <c r="V139" s="113">
        <f>'IS (After Changes)'!V139-'IS (Before Changes)'!V139</f>
        <v>0</v>
      </c>
      <c r="W139" s="137">
        <f>'IS (After Changes)'!W139-'IS (Before Changes)'!W139</f>
        <v>0</v>
      </c>
      <c r="X139" s="113">
        <f>'IS (After Changes)'!X139-'IS (Before Changes)'!X139</f>
        <v>0</v>
      </c>
      <c r="Y139" s="113">
        <f>'IS (After Changes)'!Y139-'IS (Before Changes)'!Y139</f>
        <v>0</v>
      </c>
      <c r="Z139" s="113">
        <f>'IS (After Changes)'!Z139-'IS (Before Changes)'!Z139</f>
        <v>0</v>
      </c>
      <c r="AA139" s="113">
        <f>'IS (After Changes)'!AA139-'IS (Before Changes)'!AA139</f>
        <v>0</v>
      </c>
      <c r="AB139" s="137">
        <f>'IS (After Changes)'!AB139-'IS (Before Changes)'!AB139</f>
        <v>0</v>
      </c>
      <c r="AC139" s="113">
        <f>'IS (After Changes)'!AC139-'IS (Before Changes)'!AC139</f>
        <v>0</v>
      </c>
      <c r="AD139" s="113">
        <f>'IS (After Changes)'!AD139-'IS (Before Changes)'!AD139</f>
        <v>0</v>
      </c>
      <c r="AE139" s="113">
        <f>'IS (After Changes)'!AE139-'IS (Before Changes)'!AE139</f>
        <v>0</v>
      </c>
      <c r="AF139" s="113">
        <f>'IS (After Changes)'!AF139-'IS (Before Changes)'!AF139</f>
        <v>0</v>
      </c>
      <c r="AG139" s="137">
        <f>'IS (After Changes)'!AG139-'IS (Before Changes)'!AG139</f>
        <v>0</v>
      </c>
      <c r="AH139" s="113">
        <f>'IS (After Changes)'!AH139-'IS (Before Changes)'!AH139</f>
        <v>0</v>
      </c>
      <c r="AI139" s="113">
        <f>'IS (After Changes)'!AI139-'IS (Before Changes)'!AI139</f>
        <v>0</v>
      </c>
      <c r="AJ139" s="113">
        <f>'IS (After Changes)'!AJ139-'IS (Before Changes)'!AJ139</f>
        <v>0</v>
      </c>
      <c r="AK139" s="113">
        <f>'IS (After Changes)'!AK139-'IS (Before Changes)'!AK139</f>
        <v>0</v>
      </c>
      <c r="AL139" s="406">
        <f>'IS (After Changes)'!AL139-'IS (Before Changes)'!AL139</f>
        <v>0</v>
      </c>
      <c r="AM139" s="113">
        <f>'IS (After Changes)'!AM139-'IS (Before Changes)'!AM139</f>
        <v>0</v>
      </c>
      <c r="AN139" s="113">
        <f>'IS (After Changes)'!AN139-'IS (Before Changes)'!AN139</f>
        <v>0</v>
      </c>
      <c r="AO139" s="113">
        <f>'IS (After Changes)'!AO139-'IS (Before Changes)'!AO139</f>
        <v>0</v>
      </c>
      <c r="AP139" s="113">
        <f>'IS (After Changes)'!AP139-'IS (Before Changes)'!AP139</f>
        <v>0</v>
      </c>
      <c r="AQ139" s="137">
        <f>'IS (After Changes)'!AQ139-'IS (Before Changes)'!AQ139</f>
        <v>0</v>
      </c>
      <c r="AR139" s="113">
        <f>'IS (After Changes)'!AR139-'IS (Before Changes)'!AR139</f>
        <v>0</v>
      </c>
      <c r="AS139" s="113">
        <f>'IS (After Changes)'!AS139-'IS (Before Changes)'!AS139</f>
        <v>0</v>
      </c>
      <c r="AT139" s="113">
        <f>'IS (After Changes)'!AT139-'IS (Before Changes)'!AT139</f>
        <v>0</v>
      </c>
      <c r="AU139" s="113">
        <f>'IS (After Changes)'!AU139-'IS (Before Changes)'!AU139</f>
        <v>0</v>
      </c>
      <c r="AV139" s="137">
        <f>'IS (After Changes)'!AV139-'IS (Before Changes)'!AV139</f>
        <v>0</v>
      </c>
    </row>
    <row r="140" spans="2:48" s="23" customFormat="1" outlineLevel="1" x14ac:dyDescent="0.3">
      <c r="B140" s="486" t="s">
        <v>17</v>
      </c>
      <c r="C140" s="487"/>
      <c r="D140" s="30">
        <f>'IS (After Changes)'!D140-'IS (Before Changes)'!D140</f>
        <v>0</v>
      </c>
      <c r="E140" s="30">
        <f>'IS (After Changes)'!E140-'IS (Before Changes)'!E140</f>
        <v>0</v>
      </c>
      <c r="F140" s="30">
        <f>'IS (After Changes)'!F140-'IS (Before Changes)'!F140</f>
        <v>0</v>
      </c>
      <c r="G140" s="30">
        <f>'IS (After Changes)'!G140-'IS (Before Changes)'!G140</f>
        <v>0</v>
      </c>
      <c r="H140" s="137">
        <f>'IS (After Changes)'!H140-'IS (Before Changes)'!H140</f>
        <v>0</v>
      </c>
      <c r="I140" s="30">
        <f>'IS (After Changes)'!I140-'IS (Before Changes)'!I140</f>
        <v>0</v>
      </c>
      <c r="J140" s="30">
        <f>'IS (After Changes)'!J140-'IS (Before Changes)'!J140</f>
        <v>0</v>
      </c>
      <c r="K140" s="30">
        <f>'IS (After Changes)'!K140-'IS (Before Changes)'!K140</f>
        <v>0</v>
      </c>
      <c r="L140" s="113">
        <f>'IS (After Changes)'!L140-'IS (Before Changes)'!L140</f>
        <v>0</v>
      </c>
      <c r="M140" s="128">
        <f>'IS (After Changes)'!M140-'IS (Before Changes)'!M140</f>
        <v>0</v>
      </c>
      <c r="N140" s="30">
        <f>'IS (After Changes)'!N140-'IS (Before Changes)'!N140</f>
        <v>0</v>
      </c>
      <c r="O140" s="30">
        <f>'IS (After Changes)'!O140-'IS (Before Changes)'!O140</f>
        <v>0</v>
      </c>
      <c r="P140" s="30">
        <f>'IS (After Changes)'!P140-'IS (Before Changes)'!P140</f>
        <v>0</v>
      </c>
      <c r="Q140" s="30">
        <f>'IS (After Changes)'!Q140-'IS (Before Changes)'!Q140</f>
        <v>0</v>
      </c>
      <c r="R140" s="128">
        <f>'IS (After Changes)'!R140-'IS (Before Changes)'!R140</f>
        <v>0</v>
      </c>
      <c r="S140" s="30">
        <f>'IS (After Changes)'!S140-'IS (Before Changes)'!S140</f>
        <v>0</v>
      </c>
      <c r="T140" s="30">
        <f>'IS (After Changes)'!T140-'IS (Before Changes)'!T140</f>
        <v>0</v>
      </c>
      <c r="U140" s="30">
        <f>'IS (After Changes)'!U140-'IS (Before Changes)'!U140</f>
        <v>0</v>
      </c>
      <c r="V140" s="30">
        <f>'IS (After Changes)'!V140-'IS (Before Changes)'!V140</f>
        <v>0</v>
      </c>
      <c r="W140" s="28">
        <f>'IS (After Changes)'!W140-'IS (Before Changes)'!W140</f>
        <v>0</v>
      </c>
      <c r="X140" s="30">
        <f>'IS (After Changes)'!X140-'IS (Before Changes)'!X140</f>
        <v>3.5933680671538237E-3</v>
      </c>
      <c r="Y140" s="30">
        <f>'IS (After Changes)'!Y140-'IS (Before Changes)'!Y140</f>
        <v>3.5910039146440642E-3</v>
      </c>
      <c r="Z140" s="30">
        <f>'IS (After Changes)'!Z140-'IS (Before Changes)'!Z140</f>
        <v>1.7774422323729056E-2</v>
      </c>
      <c r="AA140" s="30">
        <f>'IS (After Changes)'!AA140-'IS (Before Changes)'!AA140</f>
        <v>1.7208769119636091E-2</v>
      </c>
      <c r="AB140" s="137">
        <f>'IS (After Changes)'!AB140-'IS (Before Changes)'!AB140</f>
        <v>1.0728857228786692E-2</v>
      </c>
      <c r="AC140" s="30">
        <f>'IS (After Changes)'!AC140-'IS (Before Changes)'!AC140</f>
        <v>3.4139500192342798E-3</v>
      </c>
      <c r="AD140" s="30">
        <f>'IS (After Changes)'!AD140-'IS (Before Changes)'!AD140</f>
        <v>3.4348465803835104E-3</v>
      </c>
      <c r="AE140" s="30">
        <f>'IS (After Changes)'!AE140-'IS (Before Changes)'!AE140</f>
        <v>3.2160940753096501E-3</v>
      </c>
      <c r="AF140" s="30">
        <f>'IS (After Changes)'!AF140-'IS (Before Changes)'!AF140</f>
        <v>3.0988575701358378E-3</v>
      </c>
      <c r="AG140" s="137">
        <f>'IS (After Changes)'!AG140-'IS (Before Changes)'!AG140</f>
        <v>3.2498196708465876E-3</v>
      </c>
      <c r="AH140" s="30">
        <f>'IS (After Changes)'!AH140-'IS (Before Changes)'!AH140</f>
        <v>3.4133325091614264E-3</v>
      </c>
      <c r="AI140" s="30">
        <f>'IS (After Changes)'!AI140-'IS (Before Changes)'!AI140</f>
        <v>3.4424686529397341E-3</v>
      </c>
      <c r="AJ140" s="30">
        <f>'IS (After Changes)'!AJ140-'IS (Before Changes)'!AJ140</f>
        <v>3.3254902328048175E-3</v>
      </c>
      <c r="AK140" s="30">
        <f>'IS (After Changes)'!AK140-'IS (Before Changes)'!AK140</f>
        <v>3.2079690380155679E-3</v>
      </c>
      <c r="AL140" s="406">
        <f>'IS (After Changes)'!AL140-'IS (Before Changes)'!AL140</f>
        <v>3.346271461939665E-3</v>
      </c>
      <c r="AM140" s="30">
        <f>'IS (After Changes)'!AM140-'IS (Before Changes)'!AM140</f>
        <v>-1.4827052027710508E-4</v>
      </c>
      <c r="AN140" s="30">
        <f>'IS (After Changes)'!AN140-'IS (Before Changes)'!AN140</f>
        <v>-9.0456541987693484E-5</v>
      </c>
      <c r="AO140" s="30">
        <f>'IS (After Changes)'!AO140-'IS (Before Changes)'!AO140</f>
        <v>-1.0519035340417204E-4</v>
      </c>
      <c r="AP140" s="30">
        <f>'IS (After Changes)'!AP140-'IS (Before Changes)'!AP140</f>
        <v>-1.2885756720315555E-5</v>
      </c>
      <c r="AQ140" s="28">
        <f>'IS (After Changes)'!AQ140-'IS (Before Changes)'!AQ140</f>
        <v>-1.1268433887989815E-4</v>
      </c>
      <c r="AR140" s="30">
        <f>'IS (After Changes)'!AR140-'IS (Before Changes)'!AR140</f>
        <v>6.1443005501260473E-6</v>
      </c>
      <c r="AS140" s="30">
        <f>'IS (After Changes)'!AS140-'IS (Before Changes)'!AS140</f>
        <v>1.0486304805823465E-5</v>
      </c>
      <c r="AT140" s="30">
        <f>'IS (After Changes)'!AT140-'IS (Before Changes)'!AT140</f>
        <v>2.2067295895489281E-5</v>
      </c>
      <c r="AU140" s="30">
        <f>'IS (After Changes)'!AU140-'IS (Before Changes)'!AU140</f>
        <v>1.6979912555115106E-5</v>
      </c>
      <c r="AV140" s="28">
        <f>'IS (After Changes)'!AV140-'IS (Before Changes)'!AV140</f>
        <v>1.2201274844692023E-5</v>
      </c>
    </row>
    <row r="141" spans="2:48" s="23" customFormat="1" outlineLevel="1" x14ac:dyDescent="0.3">
      <c r="B141" s="486" t="s">
        <v>4</v>
      </c>
      <c r="C141" s="487"/>
      <c r="D141" s="27">
        <f>'IS (After Changes)'!D141-'IS (Before Changes)'!D141</f>
        <v>0</v>
      </c>
      <c r="E141" s="27">
        <f>'IS (After Changes)'!E141-'IS (Before Changes)'!E141</f>
        <v>0</v>
      </c>
      <c r="F141" s="27">
        <f>'IS (After Changes)'!F141-'IS (Before Changes)'!F141</f>
        <v>0</v>
      </c>
      <c r="G141" s="27">
        <f>'IS (After Changes)'!G141-'IS (Before Changes)'!G141</f>
        <v>0</v>
      </c>
      <c r="H141" s="29">
        <f>'IS (After Changes)'!H141-'IS (Before Changes)'!H141</f>
        <v>0</v>
      </c>
      <c r="I141" s="27">
        <f>'IS (After Changes)'!I141-'IS (Before Changes)'!I141</f>
        <v>0</v>
      </c>
      <c r="J141" s="27">
        <f>'IS (After Changes)'!J141-'IS (Before Changes)'!J141</f>
        <v>0</v>
      </c>
      <c r="K141" s="27">
        <f>'IS (After Changes)'!K141-'IS (Before Changes)'!K141</f>
        <v>0</v>
      </c>
      <c r="L141" s="113">
        <f>'IS (After Changes)'!L141-'IS (Before Changes)'!L141</f>
        <v>0</v>
      </c>
      <c r="M141" s="137">
        <f>'IS (After Changes)'!M141-'IS (Before Changes)'!M141</f>
        <v>0</v>
      </c>
      <c r="N141" s="27">
        <f>'IS (After Changes)'!N141-'IS (Before Changes)'!N141</f>
        <v>0</v>
      </c>
      <c r="O141" s="27">
        <f>'IS (After Changes)'!O141-'IS (Before Changes)'!O141</f>
        <v>0</v>
      </c>
      <c r="P141" s="27">
        <f>'IS (After Changes)'!P141-'IS (Before Changes)'!P141</f>
        <v>0</v>
      </c>
      <c r="Q141" s="27">
        <f>'IS (After Changes)'!Q141-'IS (Before Changes)'!Q141</f>
        <v>0</v>
      </c>
      <c r="R141" s="137">
        <f>'IS (After Changes)'!R141-'IS (Before Changes)'!R141</f>
        <v>0</v>
      </c>
      <c r="S141" s="27">
        <f>'IS (After Changes)'!S141-'IS (Before Changes)'!S141</f>
        <v>0</v>
      </c>
      <c r="T141" s="27">
        <f>'IS (After Changes)'!T141-'IS (Before Changes)'!T141</f>
        <v>0</v>
      </c>
      <c r="U141" s="27">
        <f>'IS (After Changes)'!U141-'IS (Before Changes)'!U141</f>
        <v>0</v>
      </c>
      <c r="V141" s="27">
        <f>'IS (After Changes)'!V141-'IS (Before Changes)'!V141</f>
        <v>0</v>
      </c>
      <c r="W141" s="137">
        <f>'IS (After Changes)'!W141-'IS (Before Changes)'!W141</f>
        <v>0</v>
      </c>
      <c r="X141" s="27">
        <f>'IS (After Changes)'!X141-'IS (Before Changes)'!X141</f>
        <v>7.7014442394146565E-4</v>
      </c>
      <c r="Y141" s="27">
        <f>'IS (After Changes)'!Y141-'IS (Before Changes)'!Y141</f>
        <v>-4.4987340284151911E-3</v>
      </c>
      <c r="Z141" s="27">
        <f>'IS (After Changes)'!Z141-'IS (Before Changes)'!Z141</f>
        <v>9.1109689776586178E-4</v>
      </c>
      <c r="AA141" s="27">
        <f>'IS (After Changes)'!AA141-'IS (Before Changes)'!AA141</f>
        <v>-1.446364380574186E-2</v>
      </c>
      <c r="AB141" s="137">
        <f>'IS (After Changes)'!AB141-'IS (Before Changes)'!AB141</f>
        <v>-4.4042591851893853E-3</v>
      </c>
      <c r="AC141" s="27">
        <f>'IS (After Changes)'!AC141-'IS (Before Changes)'!AC141</f>
        <v>1.3162619823679222E-3</v>
      </c>
      <c r="AD141" s="27">
        <f>'IS (After Changes)'!AD141-'IS (Before Changes)'!AD141</f>
        <v>8.2076704293329028E-3</v>
      </c>
      <c r="AE141" s="27">
        <f>'IS (After Changes)'!AE141-'IS (Before Changes)'!AE141</f>
        <v>1.3676439674574298E-2</v>
      </c>
      <c r="AF141" s="27">
        <f>'IS (After Changes)'!AF141-'IS (Before Changes)'!AF141</f>
        <v>1.2440974858401371E-2</v>
      </c>
      <c r="AG141" s="137">
        <f>'IS (After Changes)'!AG141-'IS (Before Changes)'!AG141</f>
        <v>9.0676626431409058E-3</v>
      </c>
      <c r="AH141" s="27">
        <f>'IS (After Changes)'!AH141-'IS (Before Changes)'!AH141</f>
        <v>1.8580299231970021E-3</v>
      </c>
      <c r="AI141" s="27">
        <f>'IS (After Changes)'!AI141-'IS (Before Changes)'!AI141</f>
        <v>8.6427464410983867E-3</v>
      </c>
      <c r="AJ141" s="27">
        <f>'IS (After Changes)'!AJ141-'IS (Before Changes)'!AJ141</f>
        <v>1.4001286028326759E-2</v>
      </c>
      <c r="AK141" s="27">
        <f>'IS (After Changes)'!AK141-'IS (Before Changes)'!AK141</f>
        <v>1.2829763119308613E-2</v>
      </c>
      <c r="AL141" s="29">
        <f>'IS (After Changes)'!AL141-'IS (Before Changes)'!AL141</f>
        <v>9.4988941470518784E-3</v>
      </c>
      <c r="AM141" s="27">
        <f>'IS (After Changes)'!AM141-'IS (Before Changes)'!AM141</f>
        <v>1.695443572527211E-3</v>
      </c>
      <c r="AN141" s="27">
        <f>'IS (After Changes)'!AN141-'IS (Before Changes)'!AN141</f>
        <v>8.4322038150153877E-3</v>
      </c>
      <c r="AO141" s="27">
        <f>'IS (After Changes)'!AO141-'IS (Before Changes)'!AO141</f>
        <v>1.381988783696575E-2</v>
      </c>
      <c r="AP141" s="27">
        <f>'IS (After Changes)'!AP141-'IS (Before Changes)'!AP141</f>
        <v>1.2723636645402603E-2</v>
      </c>
      <c r="AQ141" s="29">
        <f>'IS (After Changes)'!AQ141-'IS (Before Changes)'!AQ141</f>
        <v>9.3104305430340428E-3</v>
      </c>
      <c r="AR141" s="27">
        <f>'IS (After Changes)'!AR141-'IS (Before Changes)'!AR141</f>
        <v>1.6093635751942836E-3</v>
      </c>
      <c r="AS141" s="27">
        <f>'IS (After Changes)'!AS141-'IS (Before Changes)'!AS141</f>
        <v>8.3478123478081812E-3</v>
      </c>
      <c r="AT141" s="27">
        <f>'IS (After Changes)'!AT141-'IS (Before Changes)'!AT141</f>
        <v>1.3763850956164336E-2</v>
      </c>
      <c r="AU141" s="27">
        <f>'IS (After Changes)'!AU141-'IS (Before Changes)'!AU141</f>
        <v>1.2673818810933074E-2</v>
      </c>
      <c r="AV141" s="29">
        <f>'IS (After Changes)'!AV141-'IS (Before Changes)'!AV141</f>
        <v>9.239986535399175E-3</v>
      </c>
    </row>
    <row r="142" spans="2:48" s="23" customFormat="1" outlineLevel="1" x14ac:dyDescent="0.3">
      <c r="B142" s="486" t="s">
        <v>77</v>
      </c>
      <c r="C142" s="487"/>
      <c r="D142" s="27">
        <f>'IS (After Changes)'!D142-'IS (Before Changes)'!D142</f>
        <v>0</v>
      </c>
      <c r="E142" s="27">
        <f>'IS (After Changes)'!E142-'IS (Before Changes)'!E142</f>
        <v>0</v>
      </c>
      <c r="F142" s="27">
        <f>'IS (After Changes)'!F142-'IS (Before Changes)'!F142</f>
        <v>0</v>
      </c>
      <c r="G142" s="27">
        <f>'IS (After Changes)'!G142-'IS (Before Changes)'!G142</f>
        <v>0</v>
      </c>
      <c r="H142" s="29">
        <f>'IS (After Changes)'!H142-'IS (Before Changes)'!H142</f>
        <v>0</v>
      </c>
      <c r="I142" s="27">
        <f>'IS (After Changes)'!I142-'IS (Before Changes)'!I142</f>
        <v>0</v>
      </c>
      <c r="J142" s="27">
        <f>'IS (After Changes)'!J142-'IS (Before Changes)'!J142</f>
        <v>0</v>
      </c>
      <c r="K142" s="27">
        <f>'IS (After Changes)'!K142-'IS (Before Changes)'!K142</f>
        <v>0</v>
      </c>
      <c r="L142" s="113">
        <f>'IS (After Changes)'!L142-'IS (Before Changes)'!L142</f>
        <v>0</v>
      </c>
      <c r="M142" s="137">
        <f>'IS (After Changes)'!M142-'IS (Before Changes)'!M142</f>
        <v>0</v>
      </c>
      <c r="N142" s="27">
        <f>'IS (After Changes)'!N142-'IS (Before Changes)'!N142</f>
        <v>0</v>
      </c>
      <c r="O142" s="27">
        <f>'IS (After Changes)'!O142-'IS (Before Changes)'!O142</f>
        <v>0</v>
      </c>
      <c r="P142" s="27">
        <f>'IS (After Changes)'!P142-'IS (Before Changes)'!P142</f>
        <v>0</v>
      </c>
      <c r="Q142" s="27">
        <f>'IS (After Changes)'!Q142-'IS (Before Changes)'!Q142</f>
        <v>0</v>
      </c>
      <c r="R142" s="137">
        <f>'IS (After Changes)'!R142-'IS (Before Changes)'!R142</f>
        <v>0</v>
      </c>
      <c r="S142" s="27">
        <f>'IS (After Changes)'!S142-'IS (Before Changes)'!S142</f>
        <v>0</v>
      </c>
      <c r="T142" s="27">
        <f>'IS (After Changes)'!T142-'IS (Before Changes)'!T142</f>
        <v>0</v>
      </c>
      <c r="U142" s="27">
        <f>'IS (After Changes)'!U142-'IS (Before Changes)'!U142</f>
        <v>0</v>
      </c>
      <c r="V142" s="27">
        <f>'IS (After Changes)'!V142-'IS (Before Changes)'!V142</f>
        <v>0</v>
      </c>
      <c r="W142" s="137">
        <f>'IS (After Changes)'!W142-'IS (Before Changes)'!W142</f>
        <v>0</v>
      </c>
      <c r="X142" s="27">
        <f>'IS (After Changes)'!X142-'IS (Before Changes)'!X142</f>
        <v>7.4734909737217414E-4</v>
      </c>
      <c r="Y142" s="27">
        <f>'IS (After Changes)'!Y142-'IS (Before Changes)'!Y142</f>
        <v>-4.5026404717383173E-3</v>
      </c>
      <c r="Z142" s="27">
        <f>'IS (After Changes)'!Z142-'IS (Before Changes)'!Z142</f>
        <v>8.9409421318004112E-4</v>
      </c>
      <c r="AA142" s="27">
        <f>'IS (After Changes)'!AA142-'IS (Before Changes)'!AA142</f>
        <v>-1.4479593492939952E-2</v>
      </c>
      <c r="AB142" s="137">
        <f>'IS (After Changes)'!AB142-'IS (Before Changes)'!AB142</f>
        <v>-4.4283033596395349E-3</v>
      </c>
      <c r="AC142" s="27">
        <f>'IS (After Changes)'!AC142-'IS (Before Changes)'!AC142</f>
        <v>1.3096771299338228E-3</v>
      </c>
      <c r="AD142" s="27">
        <f>'IS (After Changes)'!AD142-'IS (Before Changes)'!AD142</f>
        <v>8.1788884033995868E-3</v>
      </c>
      <c r="AE142" s="27">
        <f>'IS (After Changes)'!AE142-'IS (Before Changes)'!AE142</f>
        <v>1.3600747602435931E-2</v>
      </c>
      <c r="AF142" s="27">
        <f>'IS (After Changes)'!AF142-'IS (Before Changes)'!AF142</f>
        <v>1.2370201476381293E-2</v>
      </c>
      <c r="AG142" s="137">
        <f>'IS (After Changes)'!AG142-'IS (Before Changes)'!AG142</f>
        <v>9.025027303281502E-3</v>
      </c>
      <c r="AH142" s="27">
        <f>'IS (After Changes)'!AH142-'IS (Before Changes)'!AH142</f>
        <v>1.8220531380731819E-3</v>
      </c>
      <c r="AI142" s="27">
        <f>'IS (After Changes)'!AI142-'IS (Before Changes)'!AI142</f>
        <v>8.6044540683602178E-3</v>
      </c>
      <c r="AJ142" s="27">
        <f>'IS (After Changes)'!AJ142-'IS (Before Changes)'!AJ142</f>
        <v>1.392255145995272E-2</v>
      </c>
      <c r="AK142" s="27">
        <f>'IS (After Changes)'!AK142-'IS (Before Changes)'!AK142</f>
        <v>1.2756303039053618E-2</v>
      </c>
      <c r="AL142" s="406">
        <f>'IS (After Changes)'!AL142-'IS (Before Changes)'!AL142</f>
        <v>9.4405268998412062E-3</v>
      </c>
      <c r="AM142" s="27">
        <f>'IS (After Changes)'!AM142-'IS (Before Changes)'!AM142</f>
        <v>1.6631984619852047E-3</v>
      </c>
      <c r="AN142" s="27">
        <f>'IS (After Changes)'!AN142-'IS (Before Changes)'!AN142</f>
        <v>8.3975148531694466E-3</v>
      </c>
      <c r="AO142" s="27">
        <f>'IS (After Changes)'!AO142-'IS (Before Changes)'!AO142</f>
        <v>1.3747995616427339E-2</v>
      </c>
      <c r="AP142" s="27">
        <f>'IS (After Changes)'!AP142-'IS (Before Changes)'!AP142</f>
        <v>1.26560722668701E-2</v>
      </c>
      <c r="AQ142" s="29">
        <f>'IS (After Changes)'!AQ142-'IS (Before Changes)'!AQ142</f>
        <v>9.2573626501621098E-3</v>
      </c>
      <c r="AR142" s="27">
        <f>'IS (After Changes)'!AR142-'IS (Before Changes)'!AR142</f>
        <v>1.5790631140262801E-3</v>
      </c>
      <c r="AS142" s="27">
        <f>'IS (After Changes)'!AS142-'IS (Before Changes)'!AS142</f>
        <v>8.3151781703815486E-3</v>
      </c>
      <c r="AT142" s="27">
        <f>'IS (After Changes)'!AT142-'IS (Before Changes)'!AT142</f>
        <v>1.3696209104209156E-2</v>
      </c>
      <c r="AU142" s="27">
        <f>'IS (After Changes)'!AU142-'IS (Before Changes)'!AU142</f>
        <v>1.2610256988672325E-2</v>
      </c>
      <c r="AV142" s="29">
        <f>'IS (After Changes)'!AV142-'IS (Before Changes)'!AV142</f>
        <v>9.1900800671875782E-3</v>
      </c>
    </row>
    <row r="143" spans="2:48" s="23" customFormat="1" outlineLevel="1" x14ac:dyDescent="0.3">
      <c r="B143" s="486" t="s">
        <v>2</v>
      </c>
      <c r="C143" s="487"/>
      <c r="D143" s="27">
        <f>'IS (After Changes)'!D143-'IS (Before Changes)'!D143</f>
        <v>0</v>
      </c>
      <c r="E143" s="27">
        <f>'IS (After Changes)'!E143-'IS (Before Changes)'!E143</f>
        <v>0</v>
      </c>
      <c r="F143" s="27">
        <f>'IS (After Changes)'!F143-'IS (Before Changes)'!F143</f>
        <v>0</v>
      </c>
      <c r="G143" s="118">
        <f>'IS (After Changes)'!G143-'IS (Before Changes)'!G143</f>
        <v>0</v>
      </c>
      <c r="H143" s="137">
        <f>'IS (After Changes)'!H143-'IS (Before Changes)'!H143</f>
        <v>0</v>
      </c>
      <c r="I143" s="118">
        <f>'IS (After Changes)'!I143-'IS (Before Changes)'!I143</f>
        <v>0</v>
      </c>
      <c r="J143" s="118">
        <f>'IS (After Changes)'!J143-'IS (Before Changes)'!J143</f>
        <v>0</v>
      </c>
      <c r="K143" s="118">
        <f>'IS (After Changes)'!K143-'IS (Before Changes)'!K143</f>
        <v>0</v>
      </c>
      <c r="L143" s="118">
        <f>'IS (After Changes)'!L143-'IS (Before Changes)'!L143</f>
        <v>0</v>
      </c>
      <c r="M143" s="137">
        <f>'IS (After Changes)'!M143-'IS (Before Changes)'!M143</f>
        <v>0</v>
      </c>
      <c r="N143" s="118">
        <f>'IS (After Changes)'!N143-'IS (Before Changes)'!N143</f>
        <v>0</v>
      </c>
      <c r="O143" s="118">
        <f>'IS (After Changes)'!O143-'IS (Before Changes)'!O143</f>
        <v>0</v>
      </c>
      <c r="P143" s="118">
        <f>'IS (After Changes)'!P143-'IS (Before Changes)'!P143</f>
        <v>0</v>
      </c>
      <c r="Q143" s="118">
        <f>'IS (After Changes)'!Q143-'IS (Before Changes)'!Q143</f>
        <v>0</v>
      </c>
      <c r="R143" s="137">
        <f>'IS (After Changes)'!R143-'IS (Before Changes)'!R143</f>
        <v>0</v>
      </c>
      <c r="S143" s="118">
        <f>'IS (After Changes)'!S143-'IS (Before Changes)'!S143</f>
        <v>0</v>
      </c>
      <c r="T143" s="118">
        <f>'IS (After Changes)'!T143-'IS (Before Changes)'!T143</f>
        <v>0</v>
      </c>
      <c r="U143" s="118">
        <f>'IS (After Changes)'!U143-'IS (Before Changes)'!U143</f>
        <v>0</v>
      </c>
      <c r="V143" s="118">
        <f>'IS (After Changes)'!V143-'IS (Before Changes)'!V143</f>
        <v>0</v>
      </c>
      <c r="W143" s="137">
        <f>'IS (After Changes)'!W143-'IS (Before Changes)'!W143</f>
        <v>0</v>
      </c>
      <c r="X143" s="35">
        <f>'IS (After Changes)'!X143-'IS (Before Changes)'!X143</f>
        <v>0</v>
      </c>
      <c r="Y143" s="35">
        <f>'IS (After Changes)'!Y143-'IS (Before Changes)'!Y143</f>
        <v>0</v>
      </c>
      <c r="Z143" s="35">
        <f>'IS (After Changes)'!Z143-'IS (Before Changes)'!Z143</f>
        <v>0</v>
      </c>
      <c r="AA143" s="35">
        <f>'IS (After Changes)'!AA143-'IS (Before Changes)'!AA143</f>
        <v>0</v>
      </c>
      <c r="AB143" s="137">
        <f>'IS (After Changes)'!AB143-'IS (Before Changes)'!AB143</f>
        <v>-3.8857805861880479E-16</v>
      </c>
      <c r="AC143" s="34">
        <f>'IS (After Changes)'!AC143-'IS (Before Changes)'!AC143</f>
        <v>0</v>
      </c>
      <c r="AD143" s="34">
        <f>'IS (After Changes)'!AD143-'IS (Before Changes)'!AD143</f>
        <v>0</v>
      </c>
      <c r="AE143" s="34">
        <f>'IS (After Changes)'!AE143-'IS (Before Changes)'!AE143</f>
        <v>0</v>
      </c>
      <c r="AF143" s="34">
        <f>'IS (After Changes)'!AF143-'IS (Before Changes)'!AF143</f>
        <v>0</v>
      </c>
      <c r="AG143" s="29">
        <f>'IS (After Changes)'!AG143-'IS (Before Changes)'!AG143</f>
        <v>4.7184478546569153E-16</v>
      </c>
      <c r="AH143" s="34">
        <f>'IS (After Changes)'!AH143-'IS (Before Changes)'!AH143</f>
        <v>0</v>
      </c>
      <c r="AI143" s="34">
        <f>'IS (After Changes)'!AI143-'IS (Before Changes)'!AI143</f>
        <v>0</v>
      </c>
      <c r="AJ143" s="34">
        <f>'IS (After Changes)'!AJ143-'IS (Before Changes)'!AJ143</f>
        <v>0</v>
      </c>
      <c r="AK143" s="34">
        <f>'IS (After Changes)'!AK143-'IS (Before Changes)'!AK143</f>
        <v>0</v>
      </c>
      <c r="AL143" s="29">
        <f>'IS (After Changes)'!AL143-'IS (Before Changes)'!AL143</f>
        <v>0</v>
      </c>
      <c r="AM143" s="34">
        <f>'IS (After Changes)'!AM143-'IS (Before Changes)'!AM143</f>
        <v>0</v>
      </c>
      <c r="AN143" s="34">
        <f>'IS (After Changes)'!AN143-'IS (Before Changes)'!AN143</f>
        <v>0</v>
      </c>
      <c r="AO143" s="34">
        <f>'IS (After Changes)'!AO143-'IS (Before Changes)'!AO143</f>
        <v>0</v>
      </c>
      <c r="AP143" s="34">
        <f>'IS (After Changes)'!AP143-'IS (Before Changes)'!AP143</f>
        <v>0</v>
      </c>
      <c r="AQ143" s="29">
        <f>'IS (After Changes)'!AQ143-'IS (Before Changes)'!AQ143</f>
        <v>-6.3837823915946501E-16</v>
      </c>
      <c r="AR143" s="34">
        <f>'IS (After Changes)'!AR143-'IS (Before Changes)'!AR143</f>
        <v>0</v>
      </c>
      <c r="AS143" s="34">
        <f>'IS (After Changes)'!AS143-'IS (Before Changes)'!AS143</f>
        <v>0</v>
      </c>
      <c r="AT143" s="34">
        <f>'IS (After Changes)'!AT143-'IS (Before Changes)'!AT143</f>
        <v>0</v>
      </c>
      <c r="AU143" s="34">
        <f>'IS (After Changes)'!AU143-'IS (Before Changes)'!AU143</f>
        <v>0</v>
      </c>
      <c r="AV143" s="29">
        <f>'IS (After Changes)'!AV143-'IS (Before Changes)'!AV143</f>
        <v>0</v>
      </c>
    </row>
    <row r="144" spans="2:48" s="23" customFormat="1" outlineLevel="1" x14ac:dyDescent="0.3">
      <c r="B144" s="486" t="s">
        <v>78</v>
      </c>
      <c r="C144" s="487"/>
      <c r="D144" s="27">
        <f>'IS (After Changes)'!D144-'IS (Before Changes)'!D144</f>
        <v>0</v>
      </c>
      <c r="E144" s="27">
        <f>'IS (After Changes)'!E144-'IS (Before Changes)'!E144</f>
        <v>0</v>
      </c>
      <c r="F144" s="27">
        <f>'IS (After Changes)'!F144-'IS (Before Changes)'!F144</f>
        <v>0</v>
      </c>
      <c r="G144" s="27">
        <f>'IS (After Changes)'!G144-'IS (Before Changes)'!G144</f>
        <v>0</v>
      </c>
      <c r="H144" s="29">
        <f>'IS (After Changes)'!H144-'IS (Before Changes)'!H144</f>
        <v>0</v>
      </c>
      <c r="I144" s="27">
        <f>'IS (After Changes)'!I144-'IS (Before Changes)'!I144</f>
        <v>0</v>
      </c>
      <c r="J144" s="27">
        <f>'IS (After Changes)'!J144-'IS (Before Changes)'!J144</f>
        <v>0</v>
      </c>
      <c r="K144" s="27">
        <f>'IS (After Changes)'!K144-'IS (Before Changes)'!K144</f>
        <v>0</v>
      </c>
      <c r="L144" s="27">
        <f>'IS (After Changes)'!L144-'IS (Before Changes)'!L144</f>
        <v>0</v>
      </c>
      <c r="M144" s="29">
        <f>'IS (After Changes)'!M144-'IS (Before Changes)'!M144</f>
        <v>0</v>
      </c>
      <c r="N144" s="27">
        <f>'IS (After Changes)'!N144-'IS (Before Changes)'!N144</f>
        <v>0</v>
      </c>
      <c r="O144" s="27">
        <f>'IS (After Changes)'!O144-'IS (Before Changes)'!O144</f>
        <v>0</v>
      </c>
      <c r="P144" s="27">
        <f>'IS (After Changes)'!P144-'IS (Before Changes)'!P144</f>
        <v>0</v>
      </c>
      <c r="Q144" s="27">
        <f>'IS (After Changes)'!Q144-'IS (Before Changes)'!Q144</f>
        <v>0</v>
      </c>
      <c r="R144" s="137">
        <f>'IS (After Changes)'!R144-'IS (Before Changes)'!R144</f>
        <v>0</v>
      </c>
      <c r="S144" s="27">
        <f>'IS (After Changes)'!S144-'IS (Before Changes)'!S144</f>
        <v>0</v>
      </c>
      <c r="T144" s="27">
        <f>'IS (After Changes)'!T144-'IS (Before Changes)'!T144</f>
        <v>0</v>
      </c>
      <c r="U144" s="27">
        <f>'IS (After Changes)'!U144-'IS (Before Changes)'!U144</f>
        <v>0</v>
      </c>
      <c r="V144" s="27">
        <f>'IS (After Changes)'!V144-'IS (Before Changes)'!V144</f>
        <v>0</v>
      </c>
      <c r="W144" s="137">
        <f>'IS (After Changes)'!W144-'IS (Before Changes)'!W144</f>
        <v>0</v>
      </c>
      <c r="X144" s="35">
        <f>'IS (After Changes)'!X144-'IS (Before Changes)'!X144</f>
        <v>0</v>
      </c>
      <c r="Y144" s="35">
        <f>'IS (After Changes)'!Y144-'IS (Before Changes)'!Y144</f>
        <v>0</v>
      </c>
      <c r="Z144" s="35">
        <f>'IS (After Changes)'!Z144-'IS (Before Changes)'!Z144</f>
        <v>0</v>
      </c>
      <c r="AA144" s="35">
        <f>'IS (After Changes)'!AA144-'IS (Before Changes)'!AA144</f>
        <v>0</v>
      </c>
      <c r="AB144" s="137">
        <f>'IS (After Changes)'!AB144-'IS (Before Changes)'!AB144</f>
        <v>0</v>
      </c>
      <c r="AC144" s="35">
        <f>'IS (After Changes)'!AC144-'IS (Before Changes)'!AC144</f>
        <v>0</v>
      </c>
      <c r="AD144" s="35">
        <f>'IS (After Changes)'!AD144-'IS (Before Changes)'!AD144</f>
        <v>0</v>
      </c>
      <c r="AE144" s="35">
        <f>'IS (After Changes)'!AE144-'IS (Before Changes)'!AE144</f>
        <v>0</v>
      </c>
      <c r="AF144" s="35">
        <f>'IS (After Changes)'!AF144-'IS (Before Changes)'!AF144</f>
        <v>0</v>
      </c>
      <c r="AG144" s="29">
        <f>'IS (After Changes)'!AG144-'IS (Before Changes)'!AG144</f>
        <v>0</v>
      </c>
      <c r="AH144" s="35">
        <f>'IS (After Changes)'!AH144-'IS (Before Changes)'!AH144</f>
        <v>0</v>
      </c>
      <c r="AI144" s="35">
        <f>'IS (After Changes)'!AI144-'IS (Before Changes)'!AI144</f>
        <v>0</v>
      </c>
      <c r="AJ144" s="35">
        <f>'IS (After Changes)'!AJ144-'IS (Before Changes)'!AJ144</f>
        <v>0</v>
      </c>
      <c r="AK144" s="35">
        <f>'IS (After Changes)'!AK144-'IS (Before Changes)'!AK144</f>
        <v>0</v>
      </c>
      <c r="AL144" s="29">
        <f>'IS (After Changes)'!AL144-'IS (Before Changes)'!AL144</f>
        <v>0</v>
      </c>
      <c r="AM144" s="35">
        <f>'IS (After Changes)'!AM144-'IS (Before Changes)'!AM144</f>
        <v>0</v>
      </c>
      <c r="AN144" s="35">
        <f>'IS (After Changes)'!AN144-'IS (Before Changes)'!AN144</f>
        <v>0</v>
      </c>
      <c r="AO144" s="35">
        <f>'IS (After Changes)'!AO144-'IS (Before Changes)'!AO144</f>
        <v>0</v>
      </c>
      <c r="AP144" s="35">
        <f>'IS (After Changes)'!AP144-'IS (Before Changes)'!AP144</f>
        <v>0</v>
      </c>
      <c r="AQ144" s="29">
        <f>'IS (After Changes)'!AQ144-'IS (Before Changes)'!AQ144</f>
        <v>0</v>
      </c>
      <c r="AR144" s="35">
        <f>'IS (After Changes)'!AR144-'IS (Before Changes)'!AR144</f>
        <v>0</v>
      </c>
      <c r="AS144" s="35">
        <f>'IS (After Changes)'!AS144-'IS (Before Changes)'!AS144</f>
        <v>0</v>
      </c>
      <c r="AT144" s="35">
        <f>'IS (After Changes)'!AT144-'IS (Before Changes)'!AT144</f>
        <v>0</v>
      </c>
      <c r="AU144" s="35">
        <f>'IS (After Changes)'!AU144-'IS (Before Changes)'!AU144</f>
        <v>0</v>
      </c>
      <c r="AV144" s="29">
        <f>'IS (After Changes)'!AV144-'IS (Before Changes)'!AV144</f>
        <v>0</v>
      </c>
    </row>
    <row r="145" spans="2:48" s="23" customFormat="1" outlineLevel="1" x14ac:dyDescent="0.3">
      <c r="B145" s="486" t="s">
        <v>79</v>
      </c>
      <c r="C145" s="487"/>
      <c r="D145" s="27">
        <f>'IS (After Changes)'!D145-'IS (Before Changes)'!D145</f>
        <v>0</v>
      </c>
      <c r="E145" s="215">
        <f>'IS (After Changes)'!E145-'IS (Before Changes)'!E145</f>
        <v>0</v>
      </c>
      <c r="F145" s="215">
        <f>'IS (After Changes)'!F145-'IS (Before Changes)'!F145</f>
        <v>0</v>
      </c>
      <c r="G145" s="215">
        <f>'IS (After Changes)'!G145-'IS (Before Changes)'!G145</f>
        <v>0</v>
      </c>
      <c r="H145" s="29">
        <f>'IS (After Changes)'!H145-'IS (Before Changes)'!H145</f>
        <v>0</v>
      </c>
      <c r="I145" s="215">
        <f>'IS (After Changes)'!I145-'IS (Before Changes)'!I145</f>
        <v>0</v>
      </c>
      <c r="J145" s="215">
        <f>'IS (After Changes)'!J145-'IS (Before Changes)'!J145</f>
        <v>0</v>
      </c>
      <c r="K145" s="215">
        <f>'IS (After Changes)'!K145-'IS (Before Changes)'!K145</f>
        <v>0</v>
      </c>
      <c r="L145" s="215">
        <f>'IS (After Changes)'!L145-'IS (Before Changes)'!L145</f>
        <v>0</v>
      </c>
      <c r="M145" s="29">
        <f>'IS (After Changes)'!M145-'IS (Before Changes)'!M145</f>
        <v>0</v>
      </c>
      <c r="N145" s="215">
        <f>'IS (After Changes)'!N145-'IS (Before Changes)'!N145</f>
        <v>0</v>
      </c>
      <c r="O145" s="215">
        <f>'IS (After Changes)'!O145-'IS (Before Changes)'!O145</f>
        <v>0</v>
      </c>
      <c r="P145" s="215">
        <f>'IS (After Changes)'!P145-'IS (Before Changes)'!P145</f>
        <v>0</v>
      </c>
      <c r="Q145" s="215">
        <f>'IS (After Changes)'!Q145-'IS (Before Changes)'!Q145</f>
        <v>0</v>
      </c>
      <c r="R145" s="29">
        <f>'IS (After Changes)'!R145-'IS (Before Changes)'!R145</f>
        <v>0</v>
      </c>
      <c r="S145" s="215">
        <f>'IS (After Changes)'!S145-'IS (Before Changes)'!S145</f>
        <v>0</v>
      </c>
      <c r="T145" s="215">
        <f>'IS (After Changes)'!T145-'IS (Before Changes)'!T145</f>
        <v>0</v>
      </c>
      <c r="U145" s="215">
        <f>'IS (After Changes)'!U145-'IS (Before Changes)'!U145</f>
        <v>0</v>
      </c>
      <c r="V145" s="215">
        <f>'IS (After Changes)'!V145-'IS (Before Changes)'!V145</f>
        <v>0</v>
      </c>
      <c r="W145" s="137">
        <f>'IS (After Changes)'!W145-'IS (Before Changes)'!W145</f>
        <v>0</v>
      </c>
      <c r="X145" s="35">
        <f>'IS (After Changes)'!X145-'IS (Before Changes)'!X145</f>
        <v>0</v>
      </c>
      <c r="Y145" s="35">
        <f>'IS (After Changes)'!Y145-'IS (Before Changes)'!Y145</f>
        <v>0</v>
      </c>
      <c r="Z145" s="35">
        <f>'IS (After Changes)'!Z145-'IS (Before Changes)'!Z145</f>
        <v>0</v>
      </c>
      <c r="AA145" s="35">
        <f>'IS (After Changes)'!AA145-'IS (Before Changes)'!AA145</f>
        <v>0</v>
      </c>
      <c r="AB145" s="137">
        <f>'IS (After Changes)'!AB145-'IS (Before Changes)'!AB145</f>
        <v>0</v>
      </c>
      <c r="AC145" s="35">
        <f>'IS (After Changes)'!AC145-'IS (Before Changes)'!AC145</f>
        <v>0</v>
      </c>
      <c r="AD145" s="35">
        <f>'IS (After Changes)'!AD145-'IS (Before Changes)'!AD145</f>
        <v>0</v>
      </c>
      <c r="AE145" s="35">
        <f>'IS (After Changes)'!AE145-'IS (Before Changes)'!AE145</f>
        <v>0</v>
      </c>
      <c r="AF145" s="35">
        <f>'IS (After Changes)'!AF145-'IS (Before Changes)'!AF145</f>
        <v>0</v>
      </c>
      <c r="AG145" s="29">
        <f>'IS (After Changes)'!AG145-'IS (Before Changes)'!AG145</f>
        <v>0</v>
      </c>
      <c r="AH145" s="35">
        <f>'IS (After Changes)'!AH145-'IS (Before Changes)'!AH145</f>
        <v>0</v>
      </c>
      <c r="AI145" s="35">
        <f>'IS (After Changes)'!AI145-'IS (Before Changes)'!AI145</f>
        <v>0</v>
      </c>
      <c r="AJ145" s="35">
        <f>'IS (After Changes)'!AJ145-'IS (Before Changes)'!AJ145</f>
        <v>0</v>
      </c>
      <c r="AK145" s="35">
        <f>'IS (After Changes)'!AK145-'IS (Before Changes)'!AK145</f>
        <v>0</v>
      </c>
      <c r="AL145" s="29">
        <f>'IS (After Changes)'!AL145-'IS (Before Changes)'!AL145</f>
        <v>0</v>
      </c>
      <c r="AM145" s="35">
        <f>'IS (After Changes)'!AM145-'IS (Before Changes)'!AM145</f>
        <v>0</v>
      </c>
      <c r="AN145" s="35">
        <f>'IS (After Changes)'!AN145-'IS (Before Changes)'!AN145</f>
        <v>0</v>
      </c>
      <c r="AO145" s="35">
        <f>'IS (After Changes)'!AO145-'IS (Before Changes)'!AO145</f>
        <v>0</v>
      </c>
      <c r="AP145" s="35">
        <f>'IS (After Changes)'!AP145-'IS (Before Changes)'!AP145</f>
        <v>0</v>
      </c>
      <c r="AQ145" s="29">
        <f>'IS (After Changes)'!AQ145-'IS (Before Changes)'!AQ145</f>
        <v>0</v>
      </c>
      <c r="AR145" s="35">
        <f>'IS (After Changes)'!AR145-'IS (Before Changes)'!AR145</f>
        <v>0</v>
      </c>
      <c r="AS145" s="35">
        <f>'IS (After Changes)'!AS145-'IS (Before Changes)'!AS145</f>
        <v>0</v>
      </c>
      <c r="AT145" s="35">
        <f>'IS (After Changes)'!AT145-'IS (Before Changes)'!AT145</f>
        <v>0</v>
      </c>
      <c r="AU145" s="35">
        <f>'IS (After Changes)'!AU145-'IS (Before Changes)'!AU145</f>
        <v>0</v>
      </c>
      <c r="AV145" s="29">
        <f>'IS (After Changes)'!AV145-'IS (Before Changes)'!AV145</f>
        <v>0</v>
      </c>
    </row>
    <row r="146" spans="2:48" s="23" customFormat="1" outlineLevel="1" x14ac:dyDescent="0.3">
      <c r="B146" s="200" t="s">
        <v>186</v>
      </c>
      <c r="C146" s="201"/>
      <c r="D146" s="113">
        <f>'IS (After Changes)'!D146-'IS (Before Changes)'!D146</f>
        <v>0</v>
      </c>
      <c r="E146" s="113">
        <f>'IS (After Changes)'!E146-'IS (Before Changes)'!E146</f>
        <v>0</v>
      </c>
      <c r="F146" s="113">
        <f>'IS (After Changes)'!F146-'IS (Before Changes)'!F146</f>
        <v>0</v>
      </c>
      <c r="G146" s="113">
        <f>'IS (After Changes)'!G146-'IS (Before Changes)'!G146</f>
        <v>0</v>
      </c>
      <c r="H146" s="137">
        <f>'IS (After Changes)'!H146-'IS (Before Changes)'!H146</f>
        <v>0</v>
      </c>
      <c r="I146" s="113">
        <f>'IS (After Changes)'!I146-'IS (Before Changes)'!I146</f>
        <v>0</v>
      </c>
      <c r="J146" s="113">
        <f>'IS (After Changes)'!J146-'IS (Before Changes)'!J146</f>
        <v>0</v>
      </c>
      <c r="K146" s="113">
        <f>'IS (After Changes)'!K146-'IS (Before Changes)'!K146</f>
        <v>0</v>
      </c>
      <c r="L146" s="113">
        <f>'IS (After Changes)'!L146-'IS (Before Changes)'!L146</f>
        <v>0</v>
      </c>
      <c r="M146" s="137">
        <f>'IS (After Changes)'!M146-'IS (Before Changes)'!M146</f>
        <v>0</v>
      </c>
      <c r="N146" s="113">
        <f>'IS (After Changes)'!N146-'IS (Before Changes)'!N146</f>
        <v>0</v>
      </c>
      <c r="O146" s="113">
        <f>'IS (After Changes)'!O146-'IS (Before Changes)'!O146</f>
        <v>0</v>
      </c>
      <c r="P146" s="113">
        <f>'IS (After Changes)'!P146-'IS (Before Changes)'!P146</f>
        <v>0</v>
      </c>
      <c r="Q146" s="113">
        <f>'IS (After Changes)'!Q146-'IS (Before Changes)'!Q146</f>
        <v>0</v>
      </c>
      <c r="R146" s="137">
        <f>'IS (After Changes)'!R146-'IS (Before Changes)'!R146</f>
        <v>0</v>
      </c>
      <c r="S146" s="113">
        <f>'IS (After Changes)'!S146-'IS (Before Changes)'!S146</f>
        <v>0</v>
      </c>
      <c r="T146" s="113">
        <f>'IS (After Changes)'!T146-'IS (Before Changes)'!T146</f>
        <v>0</v>
      </c>
      <c r="U146" s="113">
        <f>'IS (After Changes)'!U146-'IS (Before Changes)'!U146</f>
        <v>0</v>
      </c>
      <c r="V146" s="113">
        <f>'IS (After Changes)'!V146-'IS (Before Changes)'!V146</f>
        <v>0</v>
      </c>
      <c r="W146" s="137">
        <f>'IS (After Changes)'!W146-'IS (Before Changes)'!W146</f>
        <v>0</v>
      </c>
      <c r="X146" s="113">
        <f>'IS (After Changes)'!X146-'IS (Before Changes)'!X146</f>
        <v>1.0148150203098893E-2</v>
      </c>
      <c r="Y146" s="113">
        <f>'IS (After Changes)'!Y146-'IS (Before Changes)'!Y146</f>
        <v>-3.8327868378020158E-2</v>
      </c>
      <c r="Z146" s="113">
        <f>'IS (After Changes)'!Z146-'IS (Before Changes)'!Z146</f>
        <v>2.6009699492397731E-2</v>
      </c>
      <c r="AA146" s="113">
        <f>'IS (After Changes)'!AA146-'IS (Before Changes)'!AA146</f>
        <v>-9.8956200603652844E-2</v>
      </c>
      <c r="AB146" s="137">
        <f>'IS (After Changes)'!AB146-'IS (Before Changes)'!AB146</f>
        <v>-2.4756213799498994E-2</v>
      </c>
      <c r="AC146" s="113">
        <f>'IS (After Changes)'!AC146-'IS (Before Changes)'!AC146</f>
        <v>6.3798463755952994E-3</v>
      </c>
      <c r="AD146" s="113">
        <f>'IS (After Changes)'!AD146-'IS (Before Changes)'!AD146</f>
        <v>0.11659200626008359</v>
      </c>
      <c r="AE146" s="113">
        <f>'IS (After Changes)'!AE146-'IS (Before Changes)'!AE146</f>
        <v>9.467294001541493E-2</v>
      </c>
      <c r="AF146" s="113">
        <f>'IS (After Changes)'!AF146-'IS (Before Changes)'!AF146</f>
        <v>0.19737767565459197</v>
      </c>
      <c r="AG146" s="137">
        <f>'IS (After Changes)'!AG146-'IS (Before Changes)'!AG146</f>
        <v>0.11207397447077572</v>
      </c>
      <c r="AH146" s="113">
        <f>'IS (After Changes)'!AH146-'IS (Before Changes)'!AH146</f>
        <v>9.0051327148419347E-3</v>
      </c>
      <c r="AI146" s="113">
        <f>'IS (After Changes)'!AI146-'IS (Before Changes)'!AI146</f>
        <v>5.2600128844031424E-3</v>
      </c>
      <c r="AJ146" s="113">
        <f>'IS (After Changes)'!AJ146-'IS (Before Changes)'!AJ146</f>
        <v>-1.044827465214615E-3</v>
      </c>
      <c r="AK146" s="113">
        <f>'IS (After Changes)'!AK146-'IS (Before Changes)'!AK146</f>
        <v>6.5819340917121494E-3</v>
      </c>
      <c r="AL146" s="137">
        <f>'IS (After Changes)'!AL146-'IS (Before Changes)'!AL146</f>
        <v>6.1119295181952804E-3</v>
      </c>
      <c r="AM146" s="113">
        <f>'IS (After Changes)'!AM146-'IS (Before Changes)'!AM146</f>
        <v>1.2730715771764878E-3</v>
      </c>
      <c r="AN146" s="113">
        <f>'IS (After Changes)'!AN146-'IS (Before Changes)'!AN146</f>
        <v>3.0269355508578677E-3</v>
      </c>
      <c r="AO146" s="113">
        <f>'IS (After Changes)'!AO146-'IS (Before Changes)'!AO146</f>
        <v>3.948243854217548E-3</v>
      </c>
      <c r="AP146" s="113">
        <f>'IS (After Changes)'!AP146-'IS (Before Changes)'!AP146</f>
        <v>1.7856523782808775E-3</v>
      </c>
      <c r="AQ146" s="137">
        <f>'IS (After Changes)'!AQ146-'IS (Before Changes)'!AQ146</f>
        <v>1.5393137282806446E-3</v>
      </c>
      <c r="AR146" s="113">
        <f>'IS (After Changes)'!AR146-'IS (Before Changes)'!AR146</f>
        <v>9.0165556480825693E-4</v>
      </c>
      <c r="AS146" s="113">
        <f>'IS (After Changes)'!AS146-'IS (Before Changes)'!AS146</f>
        <v>5.9689925066219729E-4</v>
      </c>
      <c r="AT146" s="113">
        <f>'IS (After Changes)'!AT146-'IS (Before Changes)'!AT146</f>
        <v>2.9989299642285694E-4</v>
      </c>
      <c r="AU146" s="113">
        <f>'IS (After Changes)'!AU146-'IS (Before Changes)'!AU146</f>
        <v>3.6768494062844326E-4</v>
      </c>
      <c r="AV146" s="137">
        <f>'IS (After Changes)'!AV146-'IS (Before Changes)'!AV146</f>
        <v>5.0689806472759003E-4</v>
      </c>
    </row>
    <row r="147" spans="2:48" s="23" customFormat="1" outlineLevel="1" x14ac:dyDescent="0.3">
      <c r="B147" s="200" t="s">
        <v>139</v>
      </c>
      <c r="C147" s="201"/>
      <c r="D147" s="27">
        <f>'IS (After Changes)'!D147-'IS (Before Changes)'!D147</f>
        <v>0</v>
      </c>
      <c r="E147" s="27">
        <f>'IS (After Changes)'!E147-'IS (Before Changes)'!E147</f>
        <v>0</v>
      </c>
      <c r="F147" s="27">
        <f>'IS (After Changes)'!F147-'IS (Before Changes)'!F147</f>
        <v>0</v>
      </c>
      <c r="G147" s="27">
        <f>'IS (After Changes)'!G147-'IS (Before Changes)'!G147</f>
        <v>0</v>
      </c>
      <c r="H147" s="29">
        <f>'IS (After Changes)'!H147-'IS (Before Changes)'!H147</f>
        <v>0</v>
      </c>
      <c r="I147" s="27">
        <f>'IS (After Changes)'!I147-'IS (Before Changes)'!I147</f>
        <v>0</v>
      </c>
      <c r="J147" s="27">
        <f>'IS (After Changes)'!J147-'IS (Before Changes)'!J147</f>
        <v>0</v>
      </c>
      <c r="K147" s="27">
        <f>'IS (After Changes)'!K147-'IS (Before Changes)'!K147</f>
        <v>0</v>
      </c>
      <c r="L147" s="113">
        <f>'IS (After Changes)'!L147-'IS (Before Changes)'!L147</f>
        <v>0</v>
      </c>
      <c r="M147" s="137">
        <f>'IS (After Changes)'!M147-'IS (Before Changes)'!M147</f>
        <v>0</v>
      </c>
      <c r="N147" s="113">
        <f>'IS (After Changes)'!N147-'IS (Before Changes)'!N147</f>
        <v>0</v>
      </c>
      <c r="O147" s="113">
        <f>'IS (After Changes)'!O147-'IS (Before Changes)'!O147</f>
        <v>0</v>
      </c>
      <c r="P147" s="113">
        <f>'IS (After Changes)'!P147-'IS (Before Changes)'!P147</f>
        <v>0</v>
      </c>
      <c r="Q147" s="113">
        <f>'IS (After Changes)'!Q147-'IS (Before Changes)'!Q147</f>
        <v>0</v>
      </c>
      <c r="R147" s="29">
        <f>'IS (After Changes)'!R147-'IS (Before Changes)'!R147</f>
        <v>0</v>
      </c>
      <c r="S147" s="113">
        <f>'IS (After Changes)'!S147-'IS (Before Changes)'!S147</f>
        <v>0</v>
      </c>
      <c r="T147" s="113">
        <f>'IS (After Changes)'!T147-'IS (Before Changes)'!T147</f>
        <v>0</v>
      </c>
      <c r="U147" s="113">
        <f>'IS (After Changes)'!U147-'IS (Before Changes)'!U147</f>
        <v>0</v>
      </c>
      <c r="V147" s="113">
        <f>'IS (After Changes)'!V147-'IS (Before Changes)'!V147</f>
        <v>0</v>
      </c>
      <c r="W147" s="137">
        <f>'IS (After Changes)'!W147-'IS (Before Changes)'!W147</f>
        <v>0</v>
      </c>
      <c r="X147" s="113">
        <f>'IS (After Changes)'!X147-'IS (Before Changes)'!X147</f>
        <v>9.7737782012063956E-3</v>
      </c>
      <c r="Y147" s="113">
        <f>'IS (After Changes)'!Y147-'IS (Before Changes)'!Y147</f>
        <v>-3.8251671185085767E-2</v>
      </c>
      <c r="Z147" s="113">
        <f>'IS (After Changes)'!Z147-'IS (Before Changes)'!Z147</f>
        <v>2.4544909618360311E-2</v>
      </c>
      <c r="AA147" s="113">
        <f>'IS (After Changes)'!AA147-'IS (Before Changes)'!AA147</f>
        <v>-9.3217685885958357E-2</v>
      </c>
      <c r="AB147" s="137">
        <f>'IS (After Changes)'!AB147-'IS (Before Changes)'!AB147</f>
        <v>-2.3734921134144438E-2</v>
      </c>
      <c r="AC147" s="113">
        <f>'IS (After Changes)'!AC147-'IS (Before Changes)'!AC147</f>
        <v>6.6153284579333338E-3</v>
      </c>
      <c r="AD147" s="113">
        <f>'IS (After Changes)'!AD147-'IS (Before Changes)'!AD147</f>
        <v>0.1163643307021589</v>
      </c>
      <c r="AE147" s="113">
        <f>'IS (After Changes)'!AE147-'IS (Before Changes)'!AE147</f>
        <v>9.3624009926034812E-2</v>
      </c>
      <c r="AF147" s="113">
        <f>'IS (After Changes)'!AF147-'IS (Before Changes)'!AF147</f>
        <v>0.19757838948185724</v>
      </c>
      <c r="AG147" s="137">
        <f>'IS (After Changes)'!AG147-'IS (Before Changes)'!AG147</f>
        <v>0.11034655308831964</v>
      </c>
      <c r="AH147" s="113">
        <f>'IS (After Changes)'!AH147-'IS (Before Changes)'!AH147</f>
        <v>8.6945951204173699E-3</v>
      </c>
      <c r="AI147" s="113">
        <f>'IS (After Changes)'!AI147-'IS (Before Changes)'!AI147</f>
        <v>5.436148563634724E-3</v>
      </c>
      <c r="AJ147" s="113">
        <f>'IS (After Changes)'!AJ147-'IS (Before Changes)'!AJ147</f>
        <v>-5.0302809903768342E-4</v>
      </c>
      <c r="AK147" s="113">
        <f>'IS (After Changes)'!AK147-'IS (Before Changes)'!AK147</f>
        <v>6.7765773791796935E-3</v>
      </c>
      <c r="AL147" s="137">
        <f>'IS (After Changes)'!AL147-'IS (Before Changes)'!AL147</f>
        <v>5.9368784997992918E-3</v>
      </c>
      <c r="AM147" s="113">
        <f>'IS (After Changes)'!AM147-'IS (Before Changes)'!AM147</f>
        <v>1.2815987837415665E-3</v>
      </c>
      <c r="AN147" s="113">
        <f>'IS (After Changes)'!AN147-'IS (Before Changes)'!AN147</f>
        <v>3.0595767557271003E-3</v>
      </c>
      <c r="AO147" s="113">
        <f>'IS (After Changes)'!AO147-'IS (Before Changes)'!AO147</f>
        <v>3.9871918684946106E-3</v>
      </c>
      <c r="AP147" s="113">
        <f>'IS (After Changes)'!AP147-'IS (Before Changes)'!AP147</f>
        <v>1.907804545851155E-3</v>
      </c>
      <c r="AQ147" s="29">
        <f>'IS (After Changes)'!AQ147-'IS (Before Changes)'!AQ147</f>
        <v>1.5974708556252271E-3</v>
      </c>
      <c r="AR147" s="113">
        <f>'IS (After Changes)'!AR147-'IS (Before Changes)'!AR147</f>
        <v>9.1657247602139336E-4</v>
      </c>
      <c r="AS147" s="113">
        <f>'IS (After Changes)'!AS147-'IS (Before Changes)'!AS147</f>
        <v>7.0152354670494077E-4</v>
      </c>
      <c r="AT147" s="113">
        <f>'IS (After Changes)'!AT147-'IS (Before Changes)'!AT147</f>
        <v>4.2788708824237354E-4</v>
      </c>
      <c r="AU147" s="113">
        <f>'IS (After Changes)'!AU147-'IS (Before Changes)'!AU147</f>
        <v>4.9687297067491087E-4</v>
      </c>
      <c r="AV147" s="29">
        <f>'IS (After Changes)'!AV147-'IS (Before Changes)'!AV147</f>
        <v>6.0518364781869671E-4</v>
      </c>
    </row>
    <row r="148" spans="2:48" s="23" customFormat="1" outlineLevel="1" x14ac:dyDescent="0.3">
      <c r="B148" s="200" t="s">
        <v>140</v>
      </c>
      <c r="C148" s="201"/>
      <c r="D148" s="27">
        <f>'IS (After Changes)'!D148-'IS (Before Changes)'!D148</f>
        <v>0</v>
      </c>
      <c r="E148" s="27">
        <f>'IS (After Changes)'!E148-'IS (Before Changes)'!E148</f>
        <v>0</v>
      </c>
      <c r="F148" s="27">
        <f>'IS (After Changes)'!F148-'IS (Before Changes)'!F148</f>
        <v>0</v>
      </c>
      <c r="G148" s="27">
        <f>'IS (After Changes)'!G148-'IS (Before Changes)'!G148</f>
        <v>0</v>
      </c>
      <c r="H148" s="29">
        <f>'IS (After Changes)'!H148-'IS (Before Changes)'!H148</f>
        <v>0</v>
      </c>
      <c r="I148" s="27">
        <f>'IS (After Changes)'!I148-'IS (Before Changes)'!I148</f>
        <v>0</v>
      </c>
      <c r="J148" s="27">
        <f>'IS (After Changes)'!J148-'IS (Before Changes)'!J148</f>
        <v>0</v>
      </c>
      <c r="K148" s="27">
        <f>'IS (After Changes)'!K148-'IS (Before Changes)'!K148</f>
        <v>0</v>
      </c>
      <c r="L148" s="113">
        <f>'IS (After Changes)'!L148-'IS (Before Changes)'!L148</f>
        <v>0</v>
      </c>
      <c r="M148" s="137">
        <f>'IS (After Changes)'!M148-'IS (Before Changes)'!M148</f>
        <v>0</v>
      </c>
      <c r="N148" s="113">
        <f>'IS (After Changes)'!N148-'IS (Before Changes)'!N148</f>
        <v>0</v>
      </c>
      <c r="O148" s="113">
        <f>'IS (After Changes)'!O148-'IS (Before Changes)'!O148</f>
        <v>0</v>
      </c>
      <c r="P148" s="113">
        <f>'IS (After Changes)'!P148-'IS (Before Changes)'!P148</f>
        <v>0</v>
      </c>
      <c r="Q148" s="113">
        <f>'IS (After Changes)'!Q148-'IS (Before Changes)'!Q148</f>
        <v>0</v>
      </c>
      <c r="R148" s="29">
        <f>'IS (After Changes)'!R148-'IS (Before Changes)'!R148</f>
        <v>0</v>
      </c>
      <c r="S148" s="113">
        <f>'IS (After Changes)'!S148-'IS (Before Changes)'!S148</f>
        <v>0</v>
      </c>
      <c r="T148" s="113">
        <f>'IS (After Changes)'!T148-'IS (Before Changes)'!T148</f>
        <v>0</v>
      </c>
      <c r="U148" s="113">
        <f>'IS (After Changes)'!U148-'IS (Before Changes)'!U148</f>
        <v>0</v>
      </c>
      <c r="V148" s="113">
        <f>'IS (After Changes)'!V148-'IS (Before Changes)'!V148</f>
        <v>0</v>
      </c>
      <c r="W148" s="137">
        <f>'IS (After Changes)'!W148-'IS (Before Changes)'!W148</f>
        <v>0</v>
      </c>
      <c r="X148" s="113">
        <f>'IS (After Changes)'!X148-'IS (Before Changes)'!X148</f>
        <v>2.0279484455565377E-3</v>
      </c>
      <c r="Y148" s="113">
        <f>'IS (After Changes)'!Y148-'IS (Before Changes)'!Y148</f>
        <v>-0.20573358387490259</v>
      </c>
      <c r="Z148" s="113">
        <f>'IS (After Changes)'!Z148-'IS (Before Changes)'!Z148</f>
        <v>-3.4482625002881795E-3</v>
      </c>
      <c r="AA148" s="113">
        <f>'IS (After Changes)'!AA148-'IS (Before Changes)'!AA148</f>
        <v>-8.921383464152477E-2</v>
      </c>
      <c r="AB148" s="137">
        <f>'IS (After Changes)'!AB148-'IS (Before Changes)'!AB148</f>
        <v>-3.001343433656456E-2</v>
      </c>
      <c r="AC148" s="113">
        <f>'IS (After Changes)'!AC148-'IS (Before Changes)'!AC148</f>
        <v>2.9178930883990484E-2</v>
      </c>
      <c r="AD148" s="113">
        <f>'IS (After Changes)'!AD148-'IS (Before Changes)'!AD148</f>
        <v>0.16114967231405242</v>
      </c>
      <c r="AE148" s="113">
        <f>'IS (After Changes)'!AE148-'IS (Before Changes)'!AE148</f>
        <v>0.10323603338385268</v>
      </c>
      <c r="AF148" s="113">
        <f>'IS (After Changes)'!AF148-'IS (Before Changes)'!AF148</f>
        <v>0.12329661146093707</v>
      </c>
      <c r="AG148" s="137">
        <f>'IS (After Changes)'!AG148-'IS (Before Changes)'!AG148</f>
        <v>9.1986497663940403E-2</v>
      </c>
      <c r="AH148" s="113">
        <f>'IS (After Changes)'!AH148-'IS (Before Changes)'!AH148</f>
        <v>-9.8102880832828809E-3</v>
      </c>
      <c r="AI148" s="113">
        <f>'IS (After Changes)'!AI148-'IS (Before Changes)'!AI148</f>
        <v>8.1776189037399138E-3</v>
      </c>
      <c r="AJ148" s="113">
        <f>'IS (After Changes)'!AJ148-'IS (Before Changes)'!AJ148</f>
        <v>6.8783622767008001E-3</v>
      </c>
      <c r="AK148" s="113">
        <f>'IS (After Changes)'!AK148-'IS (Before Changes)'!AK148</f>
        <v>6.7194497250064877E-3</v>
      </c>
      <c r="AL148" s="29">
        <f>'IS (After Changes)'!AL148-'IS (Before Changes)'!AL148</f>
        <v>1.611867094719166E-3</v>
      </c>
      <c r="AM148" s="113">
        <f>'IS (After Changes)'!AM148-'IS (Before Changes)'!AM148</f>
        <v>3.398116697670206E-3</v>
      </c>
      <c r="AN148" s="113">
        <f>'IS (After Changes)'!AN148-'IS (Before Changes)'!AN148</f>
        <v>2.280181495803113E-3</v>
      </c>
      <c r="AO148" s="113">
        <f>'IS (After Changes)'!AO148-'IS (Before Changes)'!AO148</f>
        <v>2.9653205170767638E-3</v>
      </c>
      <c r="AP148" s="113">
        <f>'IS (After Changes)'!AP148-'IS (Before Changes)'!AP148</f>
        <v>-1.2932495699025104E-3</v>
      </c>
      <c r="AQ148" s="29">
        <f>'IS (After Changes)'!AQ148-'IS (Before Changes)'!AQ148</f>
        <v>1.2596820080024163E-3</v>
      </c>
      <c r="AR148" s="113">
        <f>'IS (After Changes)'!AR148-'IS (Before Changes)'!AR148</f>
        <v>8.0667009188273298E-4</v>
      </c>
      <c r="AS148" s="113">
        <f>'IS (After Changes)'!AS148-'IS (Before Changes)'!AS148</f>
        <v>4.9600494400614537E-7</v>
      </c>
      <c r="AT148" s="113">
        <f>'IS (After Changes)'!AT148-'IS (Before Changes)'!AT148</f>
        <v>-1.2962129318894178E-3</v>
      </c>
      <c r="AU148" s="113">
        <f>'IS (After Changes)'!AU148-'IS (Before Changes)'!AU148</f>
        <v>1.8620914767457641E-3</v>
      </c>
      <c r="AV148" s="29">
        <f>'IS (After Changes)'!AV148-'IS (Before Changes)'!AV148</f>
        <v>6.4969474190679222E-4</v>
      </c>
    </row>
    <row r="149" spans="2:48" s="23" customFormat="1" outlineLevel="1" x14ac:dyDescent="0.3">
      <c r="B149" s="200" t="s">
        <v>334</v>
      </c>
      <c r="C149" s="201"/>
      <c r="D149" s="27">
        <f>'IS (After Changes)'!D149-'IS (Before Changes)'!D149</f>
        <v>0</v>
      </c>
      <c r="E149" s="27">
        <f>'IS (After Changes)'!E149-'IS (Before Changes)'!E149</f>
        <v>0</v>
      </c>
      <c r="F149" s="27">
        <f>'IS (After Changes)'!F149-'IS (Before Changes)'!F149</f>
        <v>0</v>
      </c>
      <c r="G149" s="27">
        <f>'IS (After Changes)'!G149-'IS (Before Changes)'!G149</f>
        <v>0</v>
      </c>
      <c r="H149" s="29">
        <f>'IS (After Changes)'!H149-'IS (Before Changes)'!H149</f>
        <v>0</v>
      </c>
      <c r="I149" s="27">
        <f>'IS (After Changes)'!I149-'IS (Before Changes)'!I149</f>
        <v>0</v>
      </c>
      <c r="J149" s="27">
        <f>'IS (After Changes)'!J149-'IS (Before Changes)'!J149</f>
        <v>0</v>
      </c>
      <c r="K149" s="27">
        <f>'IS (After Changes)'!K149-'IS (Before Changes)'!K149</f>
        <v>0</v>
      </c>
      <c r="L149" s="113">
        <f>'IS (After Changes)'!L149-'IS (Before Changes)'!L149</f>
        <v>0</v>
      </c>
      <c r="M149" s="137">
        <f>'IS (After Changes)'!M149-'IS (Before Changes)'!M149</f>
        <v>0</v>
      </c>
      <c r="N149" s="113">
        <f>'IS (After Changes)'!N149-'IS (Before Changes)'!N149</f>
        <v>0</v>
      </c>
      <c r="O149" s="113">
        <f>'IS (After Changes)'!O149-'IS (Before Changes)'!O149</f>
        <v>0</v>
      </c>
      <c r="P149" s="113">
        <f>'IS (After Changes)'!P149-'IS (Before Changes)'!P149</f>
        <v>0</v>
      </c>
      <c r="Q149" s="113">
        <f>'IS (After Changes)'!Q149-'IS (Before Changes)'!Q149</f>
        <v>0</v>
      </c>
      <c r="R149" s="29">
        <f>'IS (After Changes)'!R149-'IS (Before Changes)'!R149</f>
        <v>0</v>
      </c>
      <c r="S149" s="113">
        <f>'IS (After Changes)'!S149-'IS (Before Changes)'!S149</f>
        <v>0</v>
      </c>
      <c r="T149" s="113">
        <f>'IS (After Changes)'!T149-'IS (Before Changes)'!T149</f>
        <v>0</v>
      </c>
      <c r="U149" s="113">
        <f>'IS (After Changes)'!U149-'IS (Before Changes)'!U149</f>
        <v>0</v>
      </c>
      <c r="V149" s="113">
        <f>'IS (After Changes)'!V149-'IS (Before Changes)'!V149</f>
        <v>0</v>
      </c>
      <c r="W149" s="137">
        <f>'IS (After Changes)'!W149-'IS (Before Changes)'!W149</f>
        <v>0</v>
      </c>
      <c r="X149" s="113">
        <f>'IS (After Changes)'!X149-'IS (Before Changes)'!X149</f>
        <v>0</v>
      </c>
      <c r="Y149" s="113">
        <f>'IS (After Changes)'!Y149-'IS (Before Changes)'!Y149</f>
        <v>0</v>
      </c>
      <c r="Z149" s="113">
        <f>'IS (After Changes)'!Z149-'IS (Before Changes)'!Z149</f>
        <v>0</v>
      </c>
      <c r="AA149" s="113">
        <f>'IS (After Changes)'!AA149-'IS (Before Changes)'!AA149</f>
        <v>0</v>
      </c>
      <c r="AB149" s="137">
        <f>'IS (After Changes)'!AB149-'IS (Before Changes)'!AB149</f>
        <v>0</v>
      </c>
      <c r="AC149" s="113">
        <f>'IS (After Changes)'!AC149-'IS (Before Changes)'!AC149</f>
        <v>0</v>
      </c>
      <c r="AD149" s="113">
        <f>'IS (After Changes)'!AD149-'IS (Before Changes)'!AD149</f>
        <v>0</v>
      </c>
      <c r="AE149" s="113">
        <f>'IS (After Changes)'!AE149-'IS (Before Changes)'!AE149</f>
        <v>0</v>
      </c>
      <c r="AF149" s="113">
        <f>'IS (After Changes)'!AF149-'IS (Before Changes)'!AF149</f>
        <v>0</v>
      </c>
      <c r="AG149" s="137">
        <f>'IS (After Changes)'!AG149-'IS (Before Changes)'!AG149</f>
        <v>0</v>
      </c>
      <c r="AH149" s="113">
        <f>'IS (After Changes)'!AH149-'IS (Before Changes)'!AH149</f>
        <v>0</v>
      </c>
      <c r="AI149" s="113">
        <f>'IS (After Changes)'!AI149-'IS (Before Changes)'!AI149</f>
        <v>0</v>
      </c>
      <c r="AJ149" s="113">
        <f>'IS (After Changes)'!AJ149-'IS (Before Changes)'!AJ149</f>
        <v>0</v>
      </c>
      <c r="AK149" s="113">
        <f>'IS (After Changes)'!AK149-'IS (Before Changes)'!AK149</f>
        <v>0</v>
      </c>
      <c r="AL149" s="406">
        <f>'IS (After Changes)'!AL149-'IS (Before Changes)'!AL149</f>
        <v>2.9742655326836731E-2</v>
      </c>
      <c r="AM149" s="113">
        <f>'IS (After Changes)'!AM149-'IS (Before Changes)'!AM149</f>
        <v>0</v>
      </c>
      <c r="AN149" s="113">
        <f>'IS (After Changes)'!AN149-'IS (Before Changes)'!AN149</f>
        <v>0</v>
      </c>
      <c r="AO149" s="113">
        <f>'IS (After Changes)'!AO149-'IS (Before Changes)'!AO149</f>
        <v>0</v>
      </c>
      <c r="AP149" s="113">
        <f>'IS (After Changes)'!AP149-'IS (Before Changes)'!AP149</f>
        <v>0</v>
      </c>
      <c r="AQ149" s="29">
        <f>'IS (After Changes)'!AQ149-'IS (Before Changes)'!AQ149</f>
        <v>0</v>
      </c>
      <c r="AR149" s="113">
        <f>'IS (After Changes)'!AR149-'IS (Before Changes)'!AR149</f>
        <v>0</v>
      </c>
      <c r="AS149" s="113">
        <f>'IS (After Changes)'!AS149-'IS (Before Changes)'!AS149</f>
        <v>0</v>
      </c>
      <c r="AT149" s="113">
        <f>'IS (After Changes)'!AT149-'IS (Before Changes)'!AT149</f>
        <v>0</v>
      </c>
      <c r="AU149" s="113">
        <f>'IS (After Changes)'!AU149-'IS (Before Changes)'!AU149</f>
        <v>0</v>
      </c>
      <c r="AV149" s="29">
        <f>'IS (After Changes)'!AV149-'IS (Before Changes)'!AV149</f>
        <v>0</v>
      </c>
    </row>
    <row r="150" spans="2:48" ht="17.399999999999999" x14ac:dyDescent="0.45">
      <c r="B150" s="494" t="s">
        <v>130</v>
      </c>
      <c r="C150" s="495"/>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486" t="s">
        <v>208</v>
      </c>
      <c r="C151" s="487"/>
      <c r="D151" s="27">
        <f>'IS (After Changes)'!D151-'IS (Before Changes)'!D151</f>
        <v>0</v>
      </c>
      <c r="E151" s="27">
        <f>'IS (After Changes)'!E151-'IS (Before Changes)'!E151</f>
        <v>0</v>
      </c>
      <c r="F151" s="27">
        <f>'IS (After Changes)'!F151-'IS (Before Changes)'!F151</f>
        <v>0</v>
      </c>
      <c r="G151" s="27">
        <f>'IS (After Changes)'!G151-'IS (Before Changes)'!G151</f>
        <v>0</v>
      </c>
      <c r="H151" s="9">
        <f>'IS (After Changes)'!H151-'IS (Before Changes)'!H151</f>
        <v>0</v>
      </c>
      <c r="I151" s="27">
        <f>'IS (After Changes)'!I151-'IS (Before Changes)'!I151</f>
        <v>0</v>
      </c>
      <c r="J151" s="27">
        <f>'IS (After Changes)'!J151-'IS (Before Changes)'!J151</f>
        <v>0</v>
      </c>
      <c r="K151" s="27">
        <f>'IS (After Changes)'!K151-'IS (Before Changes)'!K151</f>
        <v>0</v>
      </c>
      <c r="L151" s="27">
        <f>'IS (After Changes)'!L151-'IS (Before Changes)'!L151</f>
        <v>0</v>
      </c>
      <c r="M151" s="9">
        <f>'IS (After Changes)'!M151-'IS (Before Changes)'!M151</f>
        <v>0</v>
      </c>
      <c r="N151" s="27">
        <f>'IS (After Changes)'!N151-'IS (Before Changes)'!N151</f>
        <v>0</v>
      </c>
      <c r="O151" s="27">
        <f>'IS (After Changes)'!O151-'IS (Before Changes)'!O151</f>
        <v>0</v>
      </c>
      <c r="P151" s="27">
        <f>'IS (After Changes)'!P151-'IS (Before Changes)'!P151</f>
        <v>0</v>
      </c>
      <c r="Q151" s="27">
        <f>'IS (After Changes)'!Q151-'IS (Before Changes)'!Q151</f>
        <v>0</v>
      </c>
      <c r="R151" s="9">
        <f>'IS (After Changes)'!R151-'IS (Before Changes)'!R151</f>
        <v>0</v>
      </c>
      <c r="S151" s="27">
        <f>'IS (After Changes)'!S151-'IS (Before Changes)'!S151</f>
        <v>0</v>
      </c>
      <c r="T151" s="27">
        <f>'IS (After Changes)'!T151-'IS (Before Changes)'!T151</f>
        <v>0</v>
      </c>
      <c r="U151" s="27">
        <f>'IS (After Changes)'!U151-'IS (Before Changes)'!U151</f>
        <v>0</v>
      </c>
      <c r="V151" s="27">
        <f>'IS (After Changes)'!V151-'IS (Before Changes)'!V151</f>
        <v>0</v>
      </c>
      <c r="W151" s="256">
        <f>'IS (After Changes)'!W151-'IS (Before Changes)'!W151</f>
        <v>0</v>
      </c>
      <c r="X151" s="35">
        <f>'IS (After Changes)'!X151-'IS (Before Changes)'!X151</f>
        <v>0</v>
      </c>
      <c r="Y151" s="35">
        <f>'IS (After Changes)'!Y151-'IS (Before Changes)'!Y151</f>
        <v>0</v>
      </c>
      <c r="Z151" s="35">
        <f>'IS (After Changes)'!Z151-'IS (Before Changes)'!Z151</f>
        <v>0</v>
      </c>
      <c r="AA151" s="35">
        <f>'IS (After Changes)'!AA151-'IS (Before Changes)'!AA151</f>
        <v>0</v>
      </c>
      <c r="AB151" s="9">
        <f>'IS (After Changes)'!AB151-'IS (Before Changes)'!AB151</f>
        <v>0</v>
      </c>
      <c r="AC151" s="35">
        <f>'IS (After Changes)'!AC151-'IS (Before Changes)'!AC151</f>
        <v>0</v>
      </c>
      <c r="AD151" s="35">
        <f>'IS (After Changes)'!AD151-'IS (Before Changes)'!AD151</f>
        <v>0</v>
      </c>
      <c r="AE151" s="35">
        <f>'IS (After Changes)'!AE151-'IS (Before Changes)'!AE151</f>
        <v>0</v>
      </c>
      <c r="AF151" s="35">
        <f>'IS (After Changes)'!AF151-'IS (Before Changes)'!AF151</f>
        <v>0</v>
      </c>
      <c r="AG151" s="9">
        <f>'IS (After Changes)'!AG151-'IS (Before Changes)'!AG151</f>
        <v>0</v>
      </c>
      <c r="AH151" s="35">
        <f>'IS (After Changes)'!AH151-'IS (Before Changes)'!AH151</f>
        <v>0</v>
      </c>
      <c r="AI151" s="35">
        <f>'IS (After Changes)'!AI151-'IS (Before Changes)'!AI151</f>
        <v>0</v>
      </c>
      <c r="AJ151" s="35">
        <f>'IS (After Changes)'!AJ151-'IS (Before Changes)'!AJ151</f>
        <v>0</v>
      </c>
      <c r="AK151" s="35">
        <f>'IS (After Changes)'!AK151-'IS (Before Changes)'!AK151</f>
        <v>0</v>
      </c>
      <c r="AL151" s="9">
        <f>'IS (After Changes)'!AL151-'IS (Before Changes)'!AL151</f>
        <v>0</v>
      </c>
      <c r="AM151" s="35">
        <f>'IS (After Changes)'!AM151-'IS (Before Changes)'!AM151</f>
        <v>0</v>
      </c>
      <c r="AN151" s="35">
        <f>'IS (After Changes)'!AN151-'IS (Before Changes)'!AN151</f>
        <v>0</v>
      </c>
      <c r="AO151" s="35">
        <f>'IS (After Changes)'!AO151-'IS (Before Changes)'!AO151</f>
        <v>0</v>
      </c>
      <c r="AP151" s="35">
        <f>'IS (After Changes)'!AP151-'IS (Before Changes)'!AP151</f>
        <v>0</v>
      </c>
      <c r="AQ151" s="9">
        <f>'IS (After Changes)'!AQ151-'IS (Before Changes)'!AQ151</f>
        <v>0</v>
      </c>
      <c r="AR151" s="35">
        <f>'IS (After Changes)'!AR151-'IS (Before Changes)'!AR151</f>
        <v>0</v>
      </c>
      <c r="AS151" s="35">
        <f>'IS (After Changes)'!AS151-'IS (Before Changes)'!AS151</f>
        <v>0</v>
      </c>
      <c r="AT151" s="35">
        <f>'IS (After Changes)'!AT151-'IS (Before Changes)'!AT151</f>
        <v>0</v>
      </c>
      <c r="AU151" s="35">
        <f>'IS (After Changes)'!AU151-'IS (Before Changes)'!AU151</f>
        <v>0</v>
      </c>
      <c r="AV151" s="9">
        <f>'IS (After Changes)'!AV151-'IS (Before Changes)'!AV151</f>
        <v>0</v>
      </c>
    </row>
    <row r="152" spans="2:48" outlineLevel="1" x14ac:dyDescent="0.3">
      <c r="B152" s="486" t="s">
        <v>209</v>
      </c>
      <c r="C152" s="487"/>
      <c r="D152" s="27">
        <f>'IS (After Changes)'!D152-'IS (Before Changes)'!D152</f>
        <v>0</v>
      </c>
      <c r="E152" s="27">
        <f>'IS (After Changes)'!E152-'IS (Before Changes)'!E152</f>
        <v>0</v>
      </c>
      <c r="F152" s="27">
        <f>'IS (After Changes)'!F152-'IS (Before Changes)'!F152</f>
        <v>0</v>
      </c>
      <c r="G152" s="27">
        <f>'IS (After Changes)'!G152-'IS (Before Changes)'!G152</f>
        <v>0</v>
      </c>
      <c r="H152" s="9">
        <f>'IS (After Changes)'!H152-'IS (Before Changes)'!H152</f>
        <v>0</v>
      </c>
      <c r="I152" s="27">
        <f>'IS (After Changes)'!I152-'IS (Before Changes)'!I152</f>
        <v>0</v>
      </c>
      <c r="J152" s="27">
        <f>'IS (After Changes)'!J152-'IS (Before Changes)'!J152</f>
        <v>0</v>
      </c>
      <c r="K152" s="27">
        <f>'IS (After Changes)'!K152-'IS (Before Changes)'!K152</f>
        <v>0</v>
      </c>
      <c r="L152" s="27">
        <f>'IS (After Changes)'!L152-'IS (Before Changes)'!L152</f>
        <v>0</v>
      </c>
      <c r="M152" s="9">
        <f>'IS (After Changes)'!M152-'IS (Before Changes)'!M152</f>
        <v>0</v>
      </c>
      <c r="N152" s="27">
        <f>'IS (After Changes)'!N152-'IS (Before Changes)'!N152</f>
        <v>0</v>
      </c>
      <c r="O152" s="27">
        <f>'IS (After Changes)'!O152-'IS (Before Changes)'!O152</f>
        <v>0</v>
      </c>
      <c r="P152" s="27">
        <f>'IS (After Changes)'!P152-'IS (Before Changes)'!P152</f>
        <v>0</v>
      </c>
      <c r="Q152" s="27">
        <f>'IS (After Changes)'!Q152-'IS (Before Changes)'!Q152</f>
        <v>0</v>
      </c>
      <c r="R152" s="9">
        <f>'IS (After Changes)'!R152-'IS (Before Changes)'!R152</f>
        <v>0</v>
      </c>
      <c r="S152" s="27">
        <f>'IS (After Changes)'!S152-'IS (Before Changes)'!S152</f>
        <v>0</v>
      </c>
      <c r="T152" s="27">
        <f>'IS (After Changes)'!T152-'IS (Before Changes)'!T152</f>
        <v>0</v>
      </c>
      <c r="U152" s="27">
        <f>'IS (After Changes)'!U152-'IS (Before Changes)'!U152</f>
        <v>0</v>
      </c>
      <c r="V152" s="27">
        <f>'IS (After Changes)'!V152-'IS (Before Changes)'!V152</f>
        <v>0</v>
      </c>
      <c r="W152" s="256">
        <f>'IS (After Changes)'!W152-'IS (Before Changes)'!W152</f>
        <v>0</v>
      </c>
      <c r="X152" s="35">
        <f>'IS (After Changes)'!X152-'IS (Before Changes)'!X152</f>
        <v>0</v>
      </c>
      <c r="Y152" s="35">
        <f>'IS (After Changes)'!Y152-'IS (Before Changes)'!Y152</f>
        <v>0</v>
      </c>
      <c r="Z152" s="35">
        <f>'IS (After Changes)'!Z152-'IS (Before Changes)'!Z152</f>
        <v>0</v>
      </c>
      <c r="AA152" s="35">
        <f>'IS (After Changes)'!AA152-'IS (Before Changes)'!AA152</f>
        <v>0</v>
      </c>
      <c r="AB152" s="9">
        <f>'IS (After Changes)'!AB152-'IS (Before Changes)'!AB152</f>
        <v>0</v>
      </c>
      <c r="AC152" s="35">
        <f>'IS (After Changes)'!AC152-'IS (Before Changes)'!AC152</f>
        <v>0</v>
      </c>
      <c r="AD152" s="35">
        <f>'IS (After Changes)'!AD152-'IS (Before Changes)'!AD152</f>
        <v>0</v>
      </c>
      <c r="AE152" s="35">
        <f>'IS (After Changes)'!AE152-'IS (Before Changes)'!AE152</f>
        <v>0</v>
      </c>
      <c r="AF152" s="35">
        <f>'IS (After Changes)'!AF152-'IS (Before Changes)'!AF152</f>
        <v>0</v>
      </c>
      <c r="AG152" s="9">
        <f>'IS (After Changes)'!AG152-'IS (Before Changes)'!AG152</f>
        <v>0</v>
      </c>
      <c r="AH152" s="35">
        <f>'IS (After Changes)'!AH152-'IS (Before Changes)'!AH152</f>
        <v>0</v>
      </c>
      <c r="AI152" s="35">
        <f>'IS (After Changes)'!AI152-'IS (Before Changes)'!AI152</f>
        <v>0</v>
      </c>
      <c r="AJ152" s="35">
        <f>'IS (After Changes)'!AJ152-'IS (Before Changes)'!AJ152</f>
        <v>0</v>
      </c>
      <c r="AK152" s="35">
        <f>'IS (After Changes)'!AK152-'IS (Before Changes)'!AK152</f>
        <v>0</v>
      </c>
      <c r="AL152" s="9">
        <f>'IS (After Changes)'!AL152-'IS (Before Changes)'!AL152</f>
        <v>0</v>
      </c>
      <c r="AM152" s="35">
        <f>'IS (After Changes)'!AM152-'IS (Before Changes)'!AM152</f>
        <v>0</v>
      </c>
      <c r="AN152" s="35">
        <f>'IS (After Changes)'!AN152-'IS (Before Changes)'!AN152</f>
        <v>0</v>
      </c>
      <c r="AO152" s="35">
        <f>'IS (After Changes)'!AO152-'IS (Before Changes)'!AO152</f>
        <v>0</v>
      </c>
      <c r="AP152" s="35">
        <f>'IS (After Changes)'!AP152-'IS (Before Changes)'!AP152</f>
        <v>0</v>
      </c>
      <c r="AQ152" s="9">
        <f>'IS (After Changes)'!AQ152-'IS (Before Changes)'!AQ152</f>
        <v>0</v>
      </c>
      <c r="AR152" s="35">
        <f>'IS (After Changes)'!AR152-'IS (Before Changes)'!AR152</f>
        <v>0</v>
      </c>
      <c r="AS152" s="35">
        <f>'IS (After Changes)'!AS152-'IS (Before Changes)'!AS152</f>
        <v>0</v>
      </c>
      <c r="AT152" s="35">
        <f>'IS (After Changes)'!AT152-'IS (Before Changes)'!AT152</f>
        <v>0</v>
      </c>
      <c r="AU152" s="35">
        <f>'IS (After Changes)'!AU152-'IS (Before Changes)'!AU152</f>
        <v>0</v>
      </c>
      <c r="AV152" s="9">
        <f>'IS (After Changes)'!AV152-'IS (Before Changes)'!AV152</f>
        <v>0</v>
      </c>
    </row>
    <row r="153" spans="2:48" outlineLevel="1" x14ac:dyDescent="0.3">
      <c r="B153" s="496" t="s">
        <v>137</v>
      </c>
      <c r="C153" s="497"/>
      <c r="D153" s="245">
        <f>'IS (After Changes)'!D153-'IS (Before Changes)'!D153</f>
        <v>0</v>
      </c>
      <c r="E153" s="144">
        <f>'IS (After Changes)'!E153-'IS (Before Changes)'!E153</f>
        <v>0</v>
      </c>
      <c r="F153" s="144">
        <f>'IS (After Changes)'!F153-'IS (Before Changes)'!F153</f>
        <v>0</v>
      </c>
      <c r="G153" s="144">
        <f>'IS (After Changes)'!G153-'IS (Before Changes)'!G153</f>
        <v>0</v>
      </c>
      <c r="H153" s="246">
        <f>'IS (After Changes)'!H153-'IS (Before Changes)'!H153</f>
        <v>0</v>
      </c>
      <c r="I153" s="144">
        <f>'IS (After Changes)'!I153-'IS (Before Changes)'!I153</f>
        <v>0</v>
      </c>
      <c r="J153" s="144">
        <f>'IS (After Changes)'!J153-'IS (Before Changes)'!J153</f>
        <v>0</v>
      </c>
      <c r="K153" s="144">
        <f>'IS (After Changes)'!K153-'IS (Before Changes)'!K153</f>
        <v>0</v>
      </c>
      <c r="L153" s="144">
        <f>'IS (After Changes)'!L153-'IS (Before Changes)'!L153</f>
        <v>0</v>
      </c>
      <c r="M153" s="246">
        <f>'IS (After Changes)'!M153-'IS (Before Changes)'!M153</f>
        <v>0</v>
      </c>
      <c r="N153" s="144">
        <f>'IS (After Changes)'!N153-'IS (Before Changes)'!N153</f>
        <v>0</v>
      </c>
      <c r="O153" s="144">
        <f>'IS (After Changes)'!O153-'IS (Before Changes)'!O153</f>
        <v>0</v>
      </c>
      <c r="P153" s="144">
        <f>'IS (After Changes)'!P153-'IS (Before Changes)'!P153</f>
        <v>0</v>
      </c>
      <c r="Q153" s="144">
        <f>'IS (After Changes)'!Q153-'IS (Before Changes)'!Q153</f>
        <v>0</v>
      </c>
      <c r="R153" s="246">
        <f>'IS (After Changes)'!R153-'IS (Before Changes)'!R153</f>
        <v>0</v>
      </c>
      <c r="S153" s="144">
        <f>'IS (After Changes)'!S153-'IS (Before Changes)'!S153</f>
        <v>0</v>
      </c>
      <c r="T153" s="144">
        <f>'IS (After Changes)'!T153-'IS (Before Changes)'!T153</f>
        <v>0</v>
      </c>
      <c r="U153" s="144">
        <f>'IS (After Changes)'!U153-'IS (Before Changes)'!U153</f>
        <v>0</v>
      </c>
      <c r="V153" s="144">
        <f>'IS (After Changes)'!V153-'IS (Before Changes)'!V153</f>
        <v>0</v>
      </c>
      <c r="W153" s="257">
        <f>'IS (After Changes)'!W153-'IS (Before Changes)'!W153</f>
        <v>0</v>
      </c>
      <c r="X153" s="247">
        <f>'IS (After Changes)'!X153-'IS (Before Changes)'!X153</f>
        <v>0</v>
      </c>
      <c r="Y153" s="247">
        <f>'IS (After Changes)'!Y153-'IS (Before Changes)'!Y153</f>
        <v>0</v>
      </c>
      <c r="Z153" s="247">
        <f>'IS (After Changes)'!Z153-'IS (Before Changes)'!Z153</f>
        <v>0</v>
      </c>
      <c r="AA153" s="247">
        <f>'IS (After Changes)'!AA153-'IS (Before Changes)'!AA153</f>
        <v>0</v>
      </c>
      <c r="AB153" s="246">
        <f>'IS (After Changes)'!AB153-'IS (Before Changes)'!AB153</f>
        <v>0</v>
      </c>
      <c r="AC153" s="393">
        <f>'IS (After Changes)'!AC153-'IS (Before Changes)'!AC153</f>
        <v>0</v>
      </c>
      <c r="AD153" s="247">
        <f>'IS (After Changes)'!AD153-'IS (Before Changes)'!AD153</f>
        <v>0</v>
      </c>
      <c r="AE153" s="247">
        <f>'IS (After Changes)'!AE153-'IS (Before Changes)'!AE153</f>
        <v>0</v>
      </c>
      <c r="AF153" s="247">
        <f>'IS (After Changes)'!AF153-'IS (Before Changes)'!AF153</f>
        <v>0</v>
      </c>
      <c r="AG153" s="390">
        <f>'IS (After Changes)'!AG153-'IS (Before Changes)'!AG153</f>
        <v>0</v>
      </c>
      <c r="AH153" s="393">
        <f>'IS (After Changes)'!AH153-'IS (Before Changes)'!AH153</f>
        <v>0</v>
      </c>
      <c r="AI153" s="247">
        <f>'IS (After Changes)'!AI153-'IS (Before Changes)'!AI153</f>
        <v>0</v>
      </c>
      <c r="AJ153" s="247">
        <f>'IS (After Changes)'!AJ153-'IS (Before Changes)'!AJ153</f>
        <v>0</v>
      </c>
      <c r="AK153" s="247">
        <f>'IS (After Changes)'!AK153-'IS (Before Changes)'!AK153</f>
        <v>0</v>
      </c>
      <c r="AL153" s="390">
        <f>'IS (After Changes)'!AL153-'IS (Before Changes)'!AL153</f>
        <v>0</v>
      </c>
      <c r="AM153" s="247">
        <f>'IS (After Changes)'!AM153-'IS (Before Changes)'!AM153</f>
        <v>0</v>
      </c>
      <c r="AN153" s="247">
        <f>'IS (After Changes)'!AN153-'IS (Before Changes)'!AN153</f>
        <v>0</v>
      </c>
      <c r="AO153" s="247">
        <f>'IS (After Changes)'!AO153-'IS (Before Changes)'!AO153</f>
        <v>0</v>
      </c>
      <c r="AP153" s="247">
        <f>'IS (After Changes)'!AP153-'IS (Before Changes)'!AP153</f>
        <v>0</v>
      </c>
      <c r="AQ153" s="246">
        <f>'IS (After Changes)'!AQ153-'IS (Before Changes)'!AQ153</f>
        <v>0</v>
      </c>
      <c r="AR153" s="247">
        <f>'IS (After Changes)'!AR153-'IS (Before Changes)'!AR153</f>
        <v>0</v>
      </c>
      <c r="AS153" s="247">
        <f>'IS (After Changes)'!AS153-'IS (Before Changes)'!AS153</f>
        <v>0</v>
      </c>
      <c r="AT153" s="247">
        <f>'IS (After Changes)'!AT153-'IS (Before Changes)'!AT153</f>
        <v>0</v>
      </c>
      <c r="AU153" s="247">
        <f>'IS (After Changes)'!AU153-'IS (Before Changes)'!AU153</f>
        <v>0</v>
      </c>
      <c r="AV153" s="246">
        <f>'IS (After Changes)'!AV153-'IS (Before Changes)'!AV153</f>
        <v>0</v>
      </c>
    </row>
    <row r="154" spans="2:48" outlineLevel="1" x14ac:dyDescent="0.3">
      <c r="B154" s="486" t="s">
        <v>138</v>
      </c>
      <c r="C154" s="487"/>
      <c r="D154" s="16">
        <f>'IS (After Changes)'!D154-'IS (Before Changes)'!D154</f>
        <v>0</v>
      </c>
      <c r="E154" s="105">
        <f>'IS (After Changes)'!E154-'IS (Before Changes)'!E154</f>
        <v>0</v>
      </c>
      <c r="F154" s="105">
        <f>'IS (After Changes)'!F154-'IS (Before Changes)'!F154</f>
        <v>0</v>
      </c>
      <c r="G154" s="101">
        <f>'IS (After Changes)'!G154-'IS (Before Changes)'!G154</f>
        <v>0</v>
      </c>
      <c r="H154" s="17">
        <f>'IS (After Changes)'!H154-'IS (Before Changes)'!H154</f>
        <v>0</v>
      </c>
      <c r="I154" s="101">
        <f>'IS (After Changes)'!I154-'IS (Before Changes)'!I154</f>
        <v>0</v>
      </c>
      <c r="J154" s="101">
        <f>'IS (After Changes)'!J154-'IS (Before Changes)'!J154</f>
        <v>0</v>
      </c>
      <c r="K154" s="101">
        <f>'IS (After Changes)'!K154-'IS (Before Changes)'!K154</f>
        <v>0</v>
      </c>
      <c r="L154" s="101">
        <f>'IS (After Changes)'!L154-'IS (Before Changes)'!L154</f>
        <v>0</v>
      </c>
      <c r="M154" s="17">
        <f>'IS (After Changes)'!M154-'IS (Before Changes)'!M154</f>
        <v>0</v>
      </c>
      <c r="N154" s="101">
        <f>'IS (After Changes)'!N154-'IS (Before Changes)'!N154</f>
        <v>0</v>
      </c>
      <c r="O154" s="101">
        <f>'IS (After Changes)'!O154-'IS (Before Changes)'!O154</f>
        <v>0</v>
      </c>
      <c r="P154" s="101">
        <f>'IS (After Changes)'!P154-'IS (Before Changes)'!P154</f>
        <v>0</v>
      </c>
      <c r="Q154" s="101">
        <f>'IS (After Changes)'!Q154-'IS (Before Changes)'!Q154</f>
        <v>0</v>
      </c>
      <c r="R154" s="17">
        <f>'IS (After Changes)'!R154-'IS (Before Changes)'!R154</f>
        <v>0</v>
      </c>
      <c r="S154" s="101">
        <f>'IS (After Changes)'!S154-'IS (Before Changes)'!S154</f>
        <v>0</v>
      </c>
      <c r="T154" s="101">
        <f>'IS (After Changes)'!T154-'IS (Before Changes)'!T154</f>
        <v>0</v>
      </c>
      <c r="U154" s="101">
        <f>'IS (After Changes)'!U154-'IS (Before Changes)'!U154</f>
        <v>0</v>
      </c>
      <c r="V154" s="101">
        <f>'IS (After Changes)'!V154-'IS (Before Changes)'!V154</f>
        <v>0</v>
      </c>
      <c r="W154" s="169">
        <f>'IS (After Changes)'!W154-'IS (Before Changes)'!W154</f>
        <v>0</v>
      </c>
      <c r="X154" s="33">
        <f>'IS (After Changes)'!X154-'IS (Before Changes)'!X154</f>
        <v>0</v>
      </c>
      <c r="Y154" s="33">
        <f>'IS (After Changes)'!Y154-'IS (Before Changes)'!Y154</f>
        <v>0</v>
      </c>
      <c r="Z154" s="33">
        <f>'IS (After Changes)'!Z154-'IS (Before Changes)'!Z154</f>
        <v>0</v>
      </c>
      <c r="AA154" s="33">
        <f>'IS (After Changes)'!AA154-'IS (Before Changes)'!AA154</f>
        <v>0</v>
      </c>
      <c r="AB154" s="17">
        <f>'IS (After Changes)'!AB154-'IS (Before Changes)'!AB154</f>
        <v>0</v>
      </c>
      <c r="AC154" s="33">
        <f>'IS (After Changes)'!AC154-'IS (Before Changes)'!AC154</f>
        <v>0</v>
      </c>
      <c r="AD154" s="33">
        <f>'IS (After Changes)'!AD154-'IS (Before Changes)'!AD154</f>
        <v>0</v>
      </c>
      <c r="AE154" s="33">
        <f>'IS (After Changes)'!AE154-'IS (Before Changes)'!AE154</f>
        <v>0</v>
      </c>
      <c r="AF154" s="33">
        <f>'IS (After Changes)'!AF154-'IS (Before Changes)'!AF154</f>
        <v>0</v>
      </c>
      <c r="AG154" s="17">
        <f>'IS (After Changes)'!AG154-'IS (Before Changes)'!AG154</f>
        <v>0</v>
      </c>
      <c r="AH154" s="33">
        <f>'IS (After Changes)'!AH154-'IS (Before Changes)'!AH154</f>
        <v>0</v>
      </c>
      <c r="AI154" s="33">
        <f>'IS (After Changes)'!AI154-'IS (Before Changes)'!AI154</f>
        <v>0</v>
      </c>
      <c r="AJ154" s="33">
        <f>'IS (After Changes)'!AJ154-'IS (Before Changes)'!AJ154</f>
        <v>0</v>
      </c>
      <c r="AK154" s="33">
        <f>'IS (After Changes)'!AK154-'IS (Before Changes)'!AK154</f>
        <v>0</v>
      </c>
      <c r="AL154" s="17">
        <f>'IS (After Changes)'!AL154-'IS (Before Changes)'!AL154</f>
        <v>0</v>
      </c>
      <c r="AM154" s="33">
        <f>'IS (After Changes)'!AM154-'IS (Before Changes)'!AM154</f>
        <v>0</v>
      </c>
      <c r="AN154" s="33">
        <f>'IS (After Changes)'!AN154-'IS (Before Changes)'!AN154</f>
        <v>0</v>
      </c>
      <c r="AO154" s="33">
        <f>'IS (After Changes)'!AO154-'IS (Before Changes)'!AO154</f>
        <v>0</v>
      </c>
      <c r="AP154" s="33">
        <f>'IS (After Changes)'!AP154-'IS (Before Changes)'!AP154</f>
        <v>0</v>
      </c>
      <c r="AQ154" s="17">
        <f>'IS (After Changes)'!AQ154-'IS (Before Changes)'!AQ154</f>
        <v>0</v>
      </c>
      <c r="AR154" s="33">
        <f>'IS (After Changes)'!AR154-'IS (Before Changes)'!AR154</f>
        <v>0</v>
      </c>
      <c r="AS154" s="33">
        <f>'IS (After Changes)'!AS154-'IS (Before Changes)'!AS154</f>
        <v>0</v>
      </c>
      <c r="AT154" s="33">
        <f>'IS (After Changes)'!AT154-'IS (Before Changes)'!AT154</f>
        <v>0</v>
      </c>
      <c r="AU154" s="33">
        <f>'IS (After Changes)'!AU154-'IS (Before Changes)'!AU154</f>
        <v>0</v>
      </c>
      <c r="AV154" s="17">
        <f>'IS (After Changes)'!AV154-'IS (Before Changes)'!AV154</f>
        <v>0</v>
      </c>
    </row>
    <row r="155" spans="2:48" outlineLevel="1" x14ac:dyDescent="0.3">
      <c r="B155" s="486" t="s">
        <v>207</v>
      </c>
      <c r="C155" s="487"/>
      <c r="D155" s="139">
        <f>'IS (After Changes)'!D155-'IS (Before Changes)'!D155</f>
        <v>0</v>
      </c>
      <c r="E155" s="139">
        <f>'IS (After Changes)'!E155-'IS (Before Changes)'!E155</f>
        <v>0</v>
      </c>
      <c r="F155" s="142">
        <f>'IS (After Changes)'!F155-'IS (Before Changes)'!F155</f>
        <v>0</v>
      </c>
      <c r="G155" s="142">
        <f>'IS (After Changes)'!G155-'IS (Before Changes)'!G155</f>
        <v>0</v>
      </c>
      <c r="H155" s="49">
        <f>'IS (After Changes)'!H155-'IS (Before Changes)'!H155</f>
        <v>0</v>
      </c>
      <c r="I155" s="139">
        <f>'IS (After Changes)'!I155-'IS (Before Changes)'!I155</f>
        <v>0</v>
      </c>
      <c r="J155" s="142">
        <f>'IS (After Changes)'!J155-'IS (Before Changes)'!J155</f>
        <v>0</v>
      </c>
      <c r="K155" s="139">
        <f>'IS (After Changes)'!K155-'IS (Before Changes)'!K155</f>
        <v>0</v>
      </c>
      <c r="L155" s="139">
        <f>'IS (After Changes)'!L155-'IS (Before Changes)'!L155</f>
        <v>0</v>
      </c>
      <c r="M155" s="49">
        <f>'IS (After Changes)'!M155-'IS (Before Changes)'!M155</f>
        <v>0</v>
      </c>
      <c r="N155" s="139">
        <f>'IS (After Changes)'!N155-'IS (Before Changes)'!N155</f>
        <v>0</v>
      </c>
      <c r="O155" s="139">
        <f>'IS (After Changes)'!O155-'IS (Before Changes)'!O155</f>
        <v>0</v>
      </c>
      <c r="P155" s="139">
        <f>'IS (After Changes)'!P155-'IS (Before Changes)'!P155</f>
        <v>0</v>
      </c>
      <c r="Q155" s="139">
        <f>'IS (After Changes)'!Q155-'IS (Before Changes)'!Q155</f>
        <v>0</v>
      </c>
      <c r="R155" s="49">
        <f>'IS (After Changes)'!R155-'IS (Before Changes)'!R155</f>
        <v>0</v>
      </c>
      <c r="S155" s="139">
        <f>'IS (After Changes)'!S155-'IS (Before Changes)'!S155</f>
        <v>0</v>
      </c>
      <c r="T155" s="142">
        <f>'IS (After Changes)'!T155-'IS (Before Changes)'!T155</f>
        <v>0</v>
      </c>
      <c r="U155" s="142">
        <f>'IS (After Changes)'!U155-'IS (Before Changes)'!U155</f>
        <v>0</v>
      </c>
      <c r="V155" s="139">
        <f>'IS (After Changes)'!V155-'IS (Before Changes)'!V155</f>
        <v>0</v>
      </c>
      <c r="W155" s="49">
        <f>'IS (After Changes)'!W155-'IS (Before Changes)'!W155</f>
        <v>0</v>
      </c>
      <c r="X155" s="139">
        <f>'IS (After Changes)'!X155-'IS (Before Changes)'!X155</f>
        <v>0</v>
      </c>
      <c r="Y155" s="139">
        <f>'IS (After Changes)'!Y155-'IS (Before Changes)'!Y155</f>
        <v>0</v>
      </c>
      <c r="Z155" s="139">
        <f>'IS (After Changes)'!Z155-'IS (Before Changes)'!Z155</f>
        <v>0</v>
      </c>
      <c r="AA155" s="139">
        <f>'IS (After Changes)'!AA155-'IS (Before Changes)'!AA155</f>
        <v>0</v>
      </c>
      <c r="AB155" s="49">
        <f>'IS (After Changes)'!AB155-'IS (Before Changes)'!AB155</f>
        <v>0</v>
      </c>
      <c r="AC155" s="139">
        <f>'IS (After Changes)'!AC155-'IS (Before Changes)'!AC155</f>
        <v>0</v>
      </c>
      <c r="AD155" s="139">
        <f>'IS (After Changes)'!AD155-'IS (Before Changes)'!AD155</f>
        <v>0</v>
      </c>
      <c r="AE155" s="139">
        <f>'IS (After Changes)'!AE155-'IS (Before Changes)'!AE155</f>
        <v>0</v>
      </c>
      <c r="AF155" s="139">
        <f>'IS (After Changes)'!AF155-'IS (Before Changes)'!AF155</f>
        <v>0</v>
      </c>
      <c r="AG155" s="49">
        <f>'IS (After Changes)'!AG155-'IS (Before Changes)'!AG155</f>
        <v>0</v>
      </c>
      <c r="AH155" s="139">
        <f>'IS (After Changes)'!AH155-'IS (Before Changes)'!AH155</f>
        <v>0</v>
      </c>
      <c r="AI155" s="139">
        <f>'IS (After Changes)'!AI155-'IS (Before Changes)'!AI155</f>
        <v>0</v>
      </c>
      <c r="AJ155" s="139">
        <f>'IS (After Changes)'!AJ155-'IS (Before Changes)'!AJ155</f>
        <v>0</v>
      </c>
      <c r="AK155" s="139">
        <f>'IS (After Changes)'!AK155-'IS (Before Changes)'!AK155</f>
        <v>0</v>
      </c>
      <c r="AL155" s="49">
        <f>'IS (After Changes)'!AL155-'IS (Before Changes)'!AL155</f>
        <v>0</v>
      </c>
      <c r="AM155" s="139">
        <f>'IS (After Changes)'!AM155-'IS (Before Changes)'!AM155</f>
        <v>0</v>
      </c>
      <c r="AN155" s="139">
        <f>'IS (After Changes)'!AN155-'IS (Before Changes)'!AN155</f>
        <v>0</v>
      </c>
      <c r="AO155" s="139">
        <f>'IS (After Changes)'!AO155-'IS (Before Changes)'!AO155</f>
        <v>0</v>
      </c>
      <c r="AP155" s="139">
        <f>'IS (After Changes)'!AP155-'IS (Before Changes)'!AP155</f>
        <v>0</v>
      </c>
      <c r="AQ155" s="49">
        <f>'IS (After Changes)'!AQ155-'IS (Before Changes)'!AQ155</f>
        <v>0</v>
      </c>
      <c r="AR155" s="139">
        <f>'IS (After Changes)'!AR155-'IS (Before Changes)'!AR155</f>
        <v>0</v>
      </c>
      <c r="AS155" s="139">
        <f>'IS (After Changes)'!AS155-'IS (Before Changes)'!AS155</f>
        <v>0</v>
      </c>
      <c r="AT155" s="139">
        <f>'IS (After Changes)'!AT155-'IS (Before Changes)'!AT155</f>
        <v>0</v>
      </c>
      <c r="AU155" s="139">
        <f>'IS (After Changes)'!AU155-'IS (Before Changes)'!AU155</f>
        <v>0</v>
      </c>
      <c r="AV155" s="49">
        <f>'IS (After Changes)'!AV155-'IS (Before Changes)'!AV155</f>
        <v>0</v>
      </c>
    </row>
    <row r="156" spans="2:48" outlineLevel="1" x14ac:dyDescent="0.3">
      <c r="B156" s="488" t="s">
        <v>131</v>
      </c>
      <c r="C156" s="489"/>
      <c r="D156" s="143">
        <f>'IS (After Changes)'!D156-'IS (Before Changes)'!D156</f>
        <v>0</v>
      </c>
      <c r="E156" s="144">
        <f>'IS (After Changes)'!E156-'IS (Before Changes)'!E156</f>
        <v>0</v>
      </c>
      <c r="F156" s="96">
        <f>'IS (After Changes)'!F156-'IS (Before Changes)'!F156</f>
        <v>0</v>
      </c>
      <c r="G156" s="96">
        <f>'IS (After Changes)'!G156-'IS (Before Changes)'!G156</f>
        <v>0</v>
      </c>
      <c r="H156" s="76">
        <f>'IS (After Changes)'!H156-'IS (Before Changes)'!H156</f>
        <v>0</v>
      </c>
      <c r="I156" s="96">
        <f>'IS (After Changes)'!I156-'IS (Before Changes)'!I156</f>
        <v>0</v>
      </c>
      <c r="J156" s="96">
        <f>'IS (After Changes)'!J156-'IS (Before Changes)'!J156</f>
        <v>0</v>
      </c>
      <c r="K156" s="96">
        <f>'IS (After Changes)'!K156-'IS (Before Changes)'!K156</f>
        <v>0</v>
      </c>
      <c r="L156" s="96">
        <f>'IS (After Changes)'!L156-'IS (Before Changes)'!L156</f>
        <v>0</v>
      </c>
      <c r="M156" s="76">
        <f>'IS (After Changes)'!M156-'IS (Before Changes)'!M156</f>
        <v>0</v>
      </c>
      <c r="N156" s="96">
        <f>'IS (After Changes)'!N156-'IS (Before Changes)'!N156</f>
        <v>0</v>
      </c>
      <c r="O156" s="96">
        <f>'IS (After Changes)'!O156-'IS (Before Changes)'!O156</f>
        <v>0</v>
      </c>
      <c r="P156" s="96">
        <f>'IS (After Changes)'!P156-'IS (Before Changes)'!P156</f>
        <v>0</v>
      </c>
      <c r="Q156" s="96">
        <f>'IS (After Changes)'!Q156-'IS (Before Changes)'!Q156</f>
        <v>0</v>
      </c>
      <c r="R156" s="76">
        <f>'IS (After Changes)'!R156-'IS (Before Changes)'!R156</f>
        <v>0</v>
      </c>
      <c r="S156" s="96">
        <f>'IS (After Changes)'!S156-'IS (Before Changes)'!S156</f>
        <v>0</v>
      </c>
      <c r="T156" s="96">
        <f>'IS (After Changes)'!T156-'IS (Before Changes)'!T156</f>
        <v>0</v>
      </c>
      <c r="U156" s="96">
        <f>'IS (After Changes)'!U156-'IS (Before Changes)'!U156</f>
        <v>0</v>
      </c>
      <c r="V156" s="96">
        <f>'IS (After Changes)'!V156-'IS (Before Changes)'!V156</f>
        <v>0</v>
      </c>
      <c r="W156" s="76">
        <f>'IS (After Changes)'!W156-'IS (Before Changes)'!W156</f>
        <v>0</v>
      </c>
      <c r="X156" s="96">
        <f>'IS (After Changes)'!X156-'IS (Before Changes)'!X156</f>
        <v>0</v>
      </c>
      <c r="Y156" s="96">
        <f>'IS (After Changes)'!Y156-'IS (Before Changes)'!Y156</f>
        <v>0</v>
      </c>
      <c r="Z156" s="96">
        <f>'IS (After Changes)'!Z156-'IS (Before Changes)'!Z156</f>
        <v>0</v>
      </c>
      <c r="AA156" s="96">
        <f>'IS (After Changes)'!AA156-'IS (Before Changes)'!AA156</f>
        <v>0</v>
      </c>
      <c r="AB156" s="76">
        <f>'IS (After Changes)'!AB156-'IS (Before Changes)'!AB156</f>
        <v>0</v>
      </c>
      <c r="AC156" s="96">
        <f>'IS (After Changes)'!AC156-'IS (Before Changes)'!AC156</f>
        <v>0</v>
      </c>
      <c r="AD156" s="96">
        <f>'IS (After Changes)'!AD156-'IS (Before Changes)'!AD156</f>
        <v>0</v>
      </c>
      <c r="AE156" s="96">
        <f>'IS (After Changes)'!AE156-'IS (Before Changes)'!AE156</f>
        <v>0</v>
      </c>
      <c r="AF156" s="96">
        <f>'IS (After Changes)'!AF156-'IS (Before Changes)'!AF156</f>
        <v>0</v>
      </c>
      <c r="AG156" s="76">
        <f>'IS (After Changes)'!AG156-'IS (Before Changes)'!AG156</f>
        <v>0</v>
      </c>
      <c r="AH156" s="96">
        <f>'IS (After Changes)'!AH156-'IS (Before Changes)'!AH156</f>
        <v>0</v>
      </c>
      <c r="AI156" s="96">
        <f>'IS (After Changes)'!AI156-'IS (Before Changes)'!AI156</f>
        <v>0</v>
      </c>
      <c r="AJ156" s="96">
        <f>'IS (After Changes)'!AJ156-'IS (Before Changes)'!AJ156</f>
        <v>0</v>
      </c>
      <c r="AK156" s="96">
        <f>'IS (After Changes)'!AK156-'IS (Before Changes)'!AK156</f>
        <v>0</v>
      </c>
      <c r="AL156" s="76">
        <f>'IS (After Changes)'!AL156-'IS (Before Changes)'!AL156</f>
        <v>0</v>
      </c>
      <c r="AM156" s="96">
        <f>'IS (After Changes)'!AM156-'IS (Before Changes)'!AM156</f>
        <v>0</v>
      </c>
      <c r="AN156" s="96">
        <f>'IS (After Changes)'!AN156-'IS (Before Changes)'!AN156</f>
        <v>0</v>
      </c>
      <c r="AO156" s="96">
        <f>'IS (After Changes)'!AO156-'IS (Before Changes)'!AO156</f>
        <v>0</v>
      </c>
      <c r="AP156" s="96">
        <f>'IS (After Changes)'!AP156-'IS (Before Changes)'!AP156</f>
        <v>0</v>
      </c>
      <c r="AQ156" s="76">
        <f>'IS (After Changes)'!AQ156-'IS (Before Changes)'!AQ156</f>
        <v>0</v>
      </c>
      <c r="AR156" s="96">
        <f>'IS (After Changes)'!AR156-'IS (Before Changes)'!AR156</f>
        <v>0</v>
      </c>
      <c r="AS156" s="96">
        <f>'IS (After Changes)'!AS156-'IS (Before Changes)'!AS156</f>
        <v>0</v>
      </c>
      <c r="AT156" s="96">
        <f>'IS (After Changes)'!AT156-'IS (Before Changes)'!AT156</f>
        <v>0</v>
      </c>
      <c r="AU156" s="96">
        <f>'IS (After Changes)'!AU156-'IS (Before Changes)'!AU156</f>
        <v>0</v>
      </c>
      <c r="AV156" s="76">
        <f>'IS (After Changes)'!AV156-'IS (Before Changes)'!AV156</f>
        <v>0</v>
      </c>
    </row>
    <row r="157" spans="2:48" outlineLevel="1" x14ac:dyDescent="0.3">
      <c r="B157" s="490" t="s">
        <v>132</v>
      </c>
      <c r="C157" s="491"/>
      <c r="D157" s="145">
        <f>'IS (After Changes)'!D157-'IS (Before Changes)'!D157</f>
        <v>0</v>
      </c>
      <c r="E157" s="146">
        <f>'IS (After Changes)'!E157-'IS (Before Changes)'!E157</f>
        <v>0</v>
      </c>
      <c r="F157" s="139">
        <f>'IS (After Changes)'!F157-'IS (Before Changes)'!F157</f>
        <v>0</v>
      </c>
      <c r="G157" s="139">
        <f>'IS (After Changes)'!G157-'IS (Before Changes)'!G157</f>
        <v>0</v>
      </c>
      <c r="H157" s="49">
        <f>'IS (After Changes)'!H157-'IS (Before Changes)'!H157</f>
        <v>0</v>
      </c>
      <c r="I157" s="139">
        <f>'IS (After Changes)'!I157-'IS (Before Changes)'!I157</f>
        <v>0</v>
      </c>
      <c r="J157" s="139">
        <f>'IS (After Changes)'!J157-'IS (Before Changes)'!J157</f>
        <v>0</v>
      </c>
      <c r="K157" s="139">
        <f>'IS (After Changes)'!K157-'IS (Before Changes)'!K157</f>
        <v>0</v>
      </c>
      <c r="L157" s="139">
        <f>'IS (After Changes)'!L157-'IS (Before Changes)'!L157</f>
        <v>0</v>
      </c>
      <c r="M157" s="49">
        <f>'IS (After Changes)'!M157-'IS (Before Changes)'!M157</f>
        <v>0</v>
      </c>
      <c r="N157" s="139">
        <f>'IS (After Changes)'!N157-'IS (Before Changes)'!N157</f>
        <v>0</v>
      </c>
      <c r="O157" s="139">
        <f>'IS (After Changes)'!O157-'IS (Before Changes)'!O157</f>
        <v>0</v>
      </c>
      <c r="P157" s="139">
        <f>'IS (After Changes)'!P157-'IS (Before Changes)'!P157</f>
        <v>0</v>
      </c>
      <c r="Q157" s="139">
        <f>'IS (After Changes)'!Q157-'IS (Before Changes)'!Q157</f>
        <v>0</v>
      </c>
      <c r="R157" s="49">
        <f>'IS (After Changes)'!R157-'IS (Before Changes)'!R157</f>
        <v>0</v>
      </c>
      <c r="S157" s="139">
        <f>'IS (After Changes)'!S157-'IS (Before Changes)'!S157</f>
        <v>0</v>
      </c>
      <c r="T157" s="139">
        <f>'IS (After Changes)'!T157-'IS (Before Changes)'!T157</f>
        <v>0</v>
      </c>
      <c r="U157" s="142">
        <f>'IS (After Changes)'!U157-'IS (Before Changes)'!U157</f>
        <v>0</v>
      </c>
      <c r="V157" s="139">
        <f>'IS (After Changes)'!V157-'IS (Before Changes)'!V157</f>
        <v>0</v>
      </c>
      <c r="W157" s="137">
        <f>'IS (After Changes)'!W157-'IS (Before Changes)'!W157</f>
        <v>0</v>
      </c>
      <c r="X157" s="139">
        <f>'IS (After Changes)'!X157-'IS (Before Changes)'!X157</f>
        <v>0</v>
      </c>
      <c r="Y157" s="139">
        <f>'IS (After Changes)'!Y157-'IS (Before Changes)'!Y157</f>
        <v>0</v>
      </c>
      <c r="Z157" s="139">
        <f>'IS (After Changes)'!Z157-'IS (Before Changes)'!Z157</f>
        <v>0</v>
      </c>
      <c r="AA157" s="139">
        <f>'IS (After Changes)'!AA157-'IS (Before Changes)'!AA157</f>
        <v>0</v>
      </c>
      <c r="AB157" s="49">
        <f>'IS (After Changes)'!AB157-'IS (Before Changes)'!AB157</f>
        <v>0</v>
      </c>
      <c r="AC157" s="139">
        <f>'IS (After Changes)'!AC157-'IS (Before Changes)'!AC157</f>
        <v>0</v>
      </c>
      <c r="AD157" s="139">
        <f>'IS (After Changes)'!AD157-'IS (Before Changes)'!AD157</f>
        <v>0</v>
      </c>
      <c r="AE157" s="139">
        <f>'IS (After Changes)'!AE157-'IS (Before Changes)'!AE157</f>
        <v>0</v>
      </c>
      <c r="AF157" s="139">
        <f>'IS (After Changes)'!AF157-'IS (Before Changes)'!AF157</f>
        <v>0</v>
      </c>
      <c r="AG157" s="49">
        <f>'IS (After Changes)'!AG157-'IS (Before Changes)'!AG157</f>
        <v>0</v>
      </c>
      <c r="AH157" s="139">
        <f>'IS (After Changes)'!AH157-'IS (Before Changes)'!AH157</f>
        <v>0</v>
      </c>
      <c r="AI157" s="139">
        <f>'IS (After Changes)'!AI157-'IS (Before Changes)'!AI157</f>
        <v>0</v>
      </c>
      <c r="AJ157" s="139">
        <f>'IS (After Changes)'!AJ157-'IS (Before Changes)'!AJ157</f>
        <v>0</v>
      </c>
      <c r="AK157" s="139">
        <f>'IS (After Changes)'!AK157-'IS (Before Changes)'!AK157</f>
        <v>0</v>
      </c>
      <c r="AL157" s="49">
        <f>'IS (After Changes)'!AL157-'IS (Before Changes)'!AL157</f>
        <v>0</v>
      </c>
      <c r="AM157" s="139">
        <f>'IS (After Changes)'!AM157-'IS (Before Changes)'!AM157</f>
        <v>0</v>
      </c>
      <c r="AN157" s="139">
        <f>'IS (After Changes)'!AN157-'IS (Before Changes)'!AN157</f>
        <v>0</v>
      </c>
      <c r="AO157" s="139">
        <f>'IS (After Changes)'!AO157-'IS (Before Changes)'!AO157</f>
        <v>0</v>
      </c>
      <c r="AP157" s="139">
        <f>'IS (After Changes)'!AP157-'IS (Before Changes)'!AP157</f>
        <v>0</v>
      </c>
      <c r="AQ157" s="49">
        <f>'IS (After Changes)'!AQ157-'IS (Before Changes)'!AQ157</f>
        <v>0</v>
      </c>
      <c r="AR157" s="139">
        <f>'IS (After Changes)'!AR157-'IS (Before Changes)'!AR157</f>
        <v>0</v>
      </c>
      <c r="AS157" s="139">
        <f>'IS (After Changes)'!AS157-'IS (Before Changes)'!AS157</f>
        <v>0</v>
      </c>
      <c r="AT157" s="139">
        <f>'IS (After Changes)'!AT157-'IS (Before Changes)'!AT157</f>
        <v>0</v>
      </c>
      <c r="AU157" s="139">
        <f>'IS (After Changes)'!AU157-'IS (Before Changes)'!AU157</f>
        <v>0</v>
      </c>
      <c r="AV157" s="49">
        <f>'IS (After Changes)'!AV157-'IS (Before Changes)'!AV157</f>
        <v>0</v>
      </c>
    </row>
    <row r="158" spans="2:48" outlineLevel="1" x14ac:dyDescent="0.3">
      <c r="B158" s="492" t="s">
        <v>133</v>
      </c>
      <c r="C158" s="493"/>
      <c r="D158" s="147">
        <f>'IS (After Changes)'!D158-'IS (Before Changes)'!D158</f>
        <v>0</v>
      </c>
      <c r="E158" s="140">
        <f>'IS (After Changes)'!E158-'IS (Before Changes)'!E158</f>
        <v>0</v>
      </c>
      <c r="F158" s="140">
        <f>'IS (After Changes)'!F158-'IS (Before Changes)'!F158</f>
        <v>0</v>
      </c>
      <c r="G158" s="140">
        <f>'IS (After Changes)'!G158-'IS (Before Changes)'!G158</f>
        <v>0</v>
      </c>
      <c r="H158" s="141">
        <f>'IS (After Changes)'!H158-'IS (Before Changes)'!H158</f>
        <v>0</v>
      </c>
      <c r="I158" s="140">
        <f>'IS (After Changes)'!I158-'IS (Before Changes)'!I158</f>
        <v>0</v>
      </c>
      <c r="J158" s="140">
        <f>'IS (After Changes)'!J158-'IS (Before Changes)'!J158</f>
        <v>0</v>
      </c>
      <c r="K158" s="140">
        <f>'IS (After Changes)'!K158-'IS (Before Changes)'!K158</f>
        <v>0</v>
      </c>
      <c r="L158" s="140">
        <f>'IS (After Changes)'!L158-'IS (Before Changes)'!L158</f>
        <v>0</v>
      </c>
      <c r="M158" s="141">
        <f>'IS (After Changes)'!M158-'IS (Before Changes)'!M158</f>
        <v>0</v>
      </c>
      <c r="N158" s="140">
        <f>'IS (After Changes)'!N158-'IS (Before Changes)'!N158</f>
        <v>0</v>
      </c>
      <c r="O158" s="140">
        <f>'IS (After Changes)'!O158-'IS (Before Changes)'!O158</f>
        <v>0</v>
      </c>
      <c r="P158" s="140">
        <f>'IS (After Changes)'!P158-'IS (Before Changes)'!P158</f>
        <v>0</v>
      </c>
      <c r="Q158" s="140">
        <f>'IS (After Changes)'!Q158-'IS (Before Changes)'!Q158</f>
        <v>0</v>
      </c>
      <c r="R158" s="141">
        <f>'IS (After Changes)'!R158-'IS (Before Changes)'!R158</f>
        <v>0</v>
      </c>
      <c r="S158" s="140">
        <f>'IS (After Changes)'!S158-'IS (Before Changes)'!S158</f>
        <v>0</v>
      </c>
      <c r="T158" s="140">
        <f>'IS (After Changes)'!T158-'IS (Before Changes)'!T158</f>
        <v>0</v>
      </c>
      <c r="U158" s="140">
        <f>'IS (After Changes)'!U158-'IS (Before Changes)'!U158</f>
        <v>0</v>
      </c>
      <c r="V158" s="140">
        <f>'IS (After Changes)'!V158-'IS (Before Changes)'!V158</f>
        <v>0</v>
      </c>
      <c r="W158" s="199">
        <f>'IS (After Changes)'!W158-'IS (Before Changes)'!W158</f>
        <v>0</v>
      </c>
      <c r="X158" s="140">
        <f>'IS (After Changes)'!X158-'IS (Before Changes)'!X158</f>
        <v>0</v>
      </c>
      <c r="Y158" s="140">
        <f>'IS (After Changes)'!Y158-'IS (Before Changes)'!Y158</f>
        <v>0</v>
      </c>
      <c r="Z158" s="140">
        <f>'IS (After Changes)'!Z158-'IS (Before Changes)'!Z158</f>
        <v>0</v>
      </c>
      <c r="AA158" s="140">
        <f>'IS (After Changes)'!AA158-'IS (Before Changes)'!AA158</f>
        <v>0</v>
      </c>
      <c r="AB158" s="141">
        <f>'IS (After Changes)'!AB158-'IS (Before Changes)'!AB158</f>
        <v>0</v>
      </c>
      <c r="AC158" s="140">
        <f>'IS (After Changes)'!AC158-'IS (Before Changes)'!AC158</f>
        <v>0</v>
      </c>
      <c r="AD158" s="140">
        <f>'IS (After Changes)'!AD158-'IS (Before Changes)'!AD158</f>
        <v>0</v>
      </c>
      <c r="AE158" s="140">
        <f>'IS (After Changes)'!AE158-'IS (Before Changes)'!AE158</f>
        <v>0</v>
      </c>
      <c r="AF158" s="140">
        <f>'IS (After Changes)'!AF158-'IS (Before Changes)'!AF158</f>
        <v>0</v>
      </c>
      <c r="AG158" s="141">
        <f>'IS (After Changes)'!AG158-'IS (Before Changes)'!AG158</f>
        <v>0</v>
      </c>
      <c r="AH158" s="140">
        <f>'IS (After Changes)'!AH158-'IS (Before Changes)'!AH158</f>
        <v>0</v>
      </c>
      <c r="AI158" s="140">
        <f>'IS (After Changes)'!AI158-'IS (Before Changes)'!AI158</f>
        <v>0</v>
      </c>
      <c r="AJ158" s="140">
        <f>'IS (After Changes)'!AJ158-'IS (Before Changes)'!AJ158</f>
        <v>0</v>
      </c>
      <c r="AK158" s="140">
        <f>'IS (After Changes)'!AK158-'IS (Before Changes)'!AK158</f>
        <v>0</v>
      </c>
      <c r="AL158" s="141">
        <f>'IS (After Changes)'!AL158-'IS (Before Changes)'!AL158</f>
        <v>0</v>
      </c>
      <c r="AM158" s="140">
        <f>'IS (After Changes)'!AM158-'IS (Before Changes)'!AM158</f>
        <v>0</v>
      </c>
      <c r="AN158" s="140">
        <f>'IS (After Changes)'!AN158-'IS (Before Changes)'!AN158</f>
        <v>0</v>
      </c>
      <c r="AO158" s="140">
        <f>'IS (After Changes)'!AO158-'IS (Before Changes)'!AO158</f>
        <v>0</v>
      </c>
      <c r="AP158" s="140">
        <f>'IS (After Changes)'!AP158-'IS (Before Changes)'!AP158</f>
        <v>0</v>
      </c>
      <c r="AQ158" s="141">
        <f>'IS (After Changes)'!AQ158-'IS (Before Changes)'!AQ158</f>
        <v>0</v>
      </c>
      <c r="AR158" s="140">
        <f>'IS (After Changes)'!AR158-'IS (Before Changes)'!AR158</f>
        <v>0</v>
      </c>
      <c r="AS158" s="140">
        <f>'IS (After Changes)'!AS158-'IS (Before Changes)'!AS158</f>
        <v>0</v>
      </c>
      <c r="AT158" s="140">
        <f>'IS (After Changes)'!AT158-'IS (Before Changes)'!AT158</f>
        <v>0</v>
      </c>
      <c r="AU158" s="140">
        <f>'IS (After Changes)'!AU158-'IS (Before Changes)'!AU158</f>
        <v>0</v>
      </c>
      <c r="AV158" s="141">
        <f>'IS (After Changes)'!AV158-'IS (Before Changes)'!AV158</f>
        <v>0</v>
      </c>
    </row>
    <row r="159" spans="2:48" outlineLevel="1" x14ac:dyDescent="0.3">
      <c r="B159" s="200" t="s">
        <v>134</v>
      </c>
      <c r="C159" s="201"/>
      <c r="D159" s="139">
        <f>'IS (After Changes)'!D159-'IS (Before Changes)'!D159</f>
        <v>0</v>
      </c>
      <c r="E159" s="36">
        <f>'IS (After Changes)'!E159-'IS (Before Changes)'!E159</f>
        <v>0</v>
      </c>
      <c r="F159" s="36">
        <f>'IS (After Changes)'!F159-'IS (Before Changes)'!F159</f>
        <v>0</v>
      </c>
      <c r="G159" s="139">
        <f>'IS (After Changes)'!G159-'IS (Before Changes)'!G159</f>
        <v>0</v>
      </c>
      <c r="H159" s="49">
        <f>'IS (After Changes)'!H159-'IS (Before Changes)'!H159</f>
        <v>0</v>
      </c>
      <c r="I159" s="139">
        <f>'IS (After Changes)'!I159-'IS (Before Changes)'!I159</f>
        <v>0</v>
      </c>
      <c r="J159" s="139">
        <f>'IS (After Changes)'!J159-'IS (Before Changes)'!J159</f>
        <v>0</v>
      </c>
      <c r="K159" s="139">
        <f>'IS (After Changes)'!K159-'IS (Before Changes)'!K159</f>
        <v>0</v>
      </c>
      <c r="L159" s="139">
        <f>'IS (After Changes)'!L159-'IS (Before Changes)'!L159</f>
        <v>0</v>
      </c>
      <c r="M159" s="49">
        <f>'IS (After Changes)'!M159-'IS (Before Changes)'!M159</f>
        <v>0</v>
      </c>
      <c r="N159" s="139">
        <f>'IS (After Changes)'!N159-'IS (Before Changes)'!N159</f>
        <v>0</v>
      </c>
      <c r="O159" s="139">
        <f>'IS (After Changes)'!O159-'IS (Before Changes)'!O159</f>
        <v>0</v>
      </c>
      <c r="P159" s="139">
        <f>'IS (After Changes)'!P159-'IS (Before Changes)'!P159</f>
        <v>0</v>
      </c>
      <c r="Q159" s="139">
        <f>'IS (After Changes)'!Q159-'IS (Before Changes)'!Q159</f>
        <v>0</v>
      </c>
      <c r="R159" s="49">
        <f>'IS (After Changes)'!R159-'IS (Before Changes)'!R159</f>
        <v>0</v>
      </c>
      <c r="S159" s="139">
        <f>'IS (After Changes)'!S159-'IS (Before Changes)'!S159</f>
        <v>0</v>
      </c>
      <c r="T159" s="139">
        <f>'IS (After Changes)'!T159-'IS (Before Changes)'!T159</f>
        <v>0</v>
      </c>
      <c r="U159" s="139">
        <f>'IS (After Changes)'!U159-'IS (Before Changes)'!U159</f>
        <v>0</v>
      </c>
      <c r="V159" s="139">
        <f>'IS (After Changes)'!V159-'IS (Before Changes)'!V159</f>
        <v>0</v>
      </c>
      <c r="W159" s="49">
        <f>'IS (After Changes)'!W159-'IS (Before Changes)'!W159</f>
        <v>0</v>
      </c>
      <c r="X159" s="139">
        <f>'IS (After Changes)'!X159-'IS (Before Changes)'!X159</f>
        <v>0</v>
      </c>
      <c r="Y159" s="139">
        <f>'IS (After Changes)'!Y159-'IS (Before Changes)'!Y159</f>
        <v>0</v>
      </c>
      <c r="Z159" s="139">
        <f>'IS (After Changes)'!Z159-'IS (Before Changes)'!Z159</f>
        <v>0</v>
      </c>
      <c r="AA159" s="139">
        <f>'IS (After Changes)'!AA159-'IS (Before Changes)'!AA159</f>
        <v>0</v>
      </c>
      <c r="AB159" s="49">
        <f>'IS (After Changes)'!AB159-'IS (Before Changes)'!AB159</f>
        <v>0</v>
      </c>
      <c r="AC159" s="139">
        <f>'IS (After Changes)'!AC159-'IS (Before Changes)'!AC159</f>
        <v>0</v>
      </c>
      <c r="AD159" s="139">
        <f>'IS (After Changes)'!AD159-'IS (Before Changes)'!AD159</f>
        <v>0</v>
      </c>
      <c r="AE159" s="139">
        <f>'IS (After Changes)'!AE159-'IS (Before Changes)'!AE159</f>
        <v>0</v>
      </c>
      <c r="AF159" s="139">
        <f>'IS (After Changes)'!AF159-'IS (Before Changes)'!AF159</f>
        <v>0</v>
      </c>
      <c r="AG159" s="49">
        <f>'IS (After Changes)'!AG159-'IS (Before Changes)'!AG159</f>
        <v>0</v>
      </c>
      <c r="AH159" s="139">
        <f>'IS (After Changes)'!AH159-'IS (Before Changes)'!AH159</f>
        <v>0</v>
      </c>
      <c r="AI159" s="139">
        <f>'IS (After Changes)'!AI159-'IS (Before Changes)'!AI159</f>
        <v>0</v>
      </c>
      <c r="AJ159" s="139">
        <f>'IS (After Changes)'!AJ159-'IS (Before Changes)'!AJ159</f>
        <v>0</v>
      </c>
      <c r="AK159" s="139">
        <f>'IS (After Changes)'!AK159-'IS (Before Changes)'!AK159</f>
        <v>0</v>
      </c>
      <c r="AL159" s="49">
        <f>'IS (After Changes)'!AL159-'IS (Before Changes)'!AL159</f>
        <v>0</v>
      </c>
      <c r="AM159" s="139">
        <f>'IS (After Changes)'!AM159-'IS (Before Changes)'!AM159</f>
        <v>0</v>
      </c>
      <c r="AN159" s="139">
        <f>'IS (After Changes)'!AN159-'IS (Before Changes)'!AN159</f>
        <v>0</v>
      </c>
      <c r="AO159" s="139">
        <f>'IS (After Changes)'!AO159-'IS (Before Changes)'!AO159</f>
        <v>0</v>
      </c>
      <c r="AP159" s="139">
        <f>'IS (After Changes)'!AP159-'IS (Before Changes)'!AP159</f>
        <v>0</v>
      </c>
      <c r="AQ159" s="49">
        <f>'IS (After Changes)'!AQ159-'IS (Before Changes)'!AQ159</f>
        <v>0</v>
      </c>
      <c r="AR159" s="139">
        <f>'IS (After Changes)'!AR159-'IS (Before Changes)'!AR159</f>
        <v>0</v>
      </c>
      <c r="AS159" s="139">
        <f>'IS (After Changes)'!AS159-'IS (Before Changes)'!AS159</f>
        <v>0</v>
      </c>
      <c r="AT159" s="139">
        <f>'IS (After Changes)'!AT159-'IS (Before Changes)'!AT159</f>
        <v>0</v>
      </c>
      <c r="AU159" s="139">
        <f>'IS (After Changes)'!AU159-'IS (Before Changes)'!AU159</f>
        <v>0</v>
      </c>
      <c r="AV159" s="49">
        <f>'IS (After Changes)'!AV159-'IS (Before Changes)'!AV159</f>
        <v>0</v>
      </c>
    </row>
    <row r="160" spans="2:48" outlineLevel="1" x14ac:dyDescent="0.3">
      <c r="B160" s="200" t="s">
        <v>135</v>
      </c>
      <c r="C160" s="201"/>
      <c r="D160" s="139">
        <f>'IS (After Changes)'!D160-'IS (Before Changes)'!D160</f>
        <v>0</v>
      </c>
      <c r="E160" s="16">
        <f>'IS (After Changes)'!E160-'IS (Before Changes)'!E160</f>
        <v>0</v>
      </c>
      <c r="F160" s="16">
        <f>'IS (After Changes)'!F160-'IS (Before Changes)'!F160</f>
        <v>0</v>
      </c>
      <c r="G160" s="139">
        <f>'IS (After Changes)'!G160-'IS (Before Changes)'!G160</f>
        <v>0</v>
      </c>
      <c r="H160" s="49">
        <f>'IS (After Changes)'!H160-'IS (Before Changes)'!H160</f>
        <v>0</v>
      </c>
      <c r="I160" s="139">
        <f>'IS (After Changes)'!I160-'IS (Before Changes)'!I160</f>
        <v>0</v>
      </c>
      <c r="J160" s="139">
        <f>'IS (After Changes)'!J160-'IS (Before Changes)'!J160</f>
        <v>0</v>
      </c>
      <c r="K160" s="139">
        <f>'IS (After Changes)'!K160-'IS (Before Changes)'!K160</f>
        <v>0</v>
      </c>
      <c r="L160" s="139">
        <f>'IS (After Changes)'!L160-'IS (Before Changes)'!L160</f>
        <v>0</v>
      </c>
      <c r="M160" s="49">
        <f>'IS (After Changes)'!M160-'IS (Before Changes)'!M160</f>
        <v>0</v>
      </c>
      <c r="N160" s="179">
        <f>'IS (After Changes)'!N160-'IS (Before Changes)'!N160</f>
        <v>0</v>
      </c>
      <c r="O160" s="139">
        <f>'IS (After Changes)'!O160-'IS (Before Changes)'!O160</f>
        <v>0</v>
      </c>
      <c r="P160" s="139">
        <f>'IS (After Changes)'!P160-'IS (Before Changes)'!P160</f>
        <v>0</v>
      </c>
      <c r="Q160" s="139">
        <f>'IS (After Changes)'!Q160-'IS (Before Changes)'!Q160</f>
        <v>0</v>
      </c>
      <c r="R160" s="49">
        <f>'IS (After Changes)'!R160-'IS (Before Changes)'!R160</f>
        <v>0</v>
      </c>
      <c r="S160" s="139">
        <f>'IS (After Changes)'!S160-'IS (Before Changes)'!S160</f>
        <v>0</v>
      </c>
      <c r="T160" s="139">
        <f>'IS (After Changes)'!T160-'IS (Before Changes)'!T160</f>
        <v>0</v>
      </c>
      <c r="U160" s="139">
        <f>'IS (After Changes)'!U160-'IS (Before Changes)'!U160</f>
        <v>0</v>
      </c>
      <c r="V160" s="139">
        <f>'IS (After Changes)'!V160-'IS (Before Changes)'!V160</f>
        <v>0</v>
      </c>
      <c r="W160" s="49">
        <f>'IS (After Changes)'!W160-'IS (Before Changes)'!W160</f>
        <v>0</v>
      </c>
      <c r="X160" s="139">
        <f>'IS (After Changes)'!X160-'IS (Before Changes)'!X160</f>
        <v>0</v>
      </c>
      <c r="Y160" s="139">
        <f>'IS (After Changes)'!Y160-'IS (Before Changes)'!Y160</f>
        <v>0</v>
      </c>
      <c r="Z160" s="139">
        <f>'IS (After Changes)'!Z160-'IS (Before Changes)'!Z160</f>
        <v>0</v>
      </c>
      <c r="AA160" s="139">
        <f>'IS (After Changes)'!AA160-'IS (Before Changes)'!AA160</f>
        <v>0</v>
      </c>
      <c r="AB160" s="49">
        <f>'IS (After Changes)'!AB160-'IS (Before Changes)'!AB160</f>
        <v>0</v>
      </c>
      <c r="AC160" s="139">
        <f>'IS (After Changes)'!AC160-'IS (Before Changes)'!AC160</f>
        <v>0</v>
      </c>
      <c r="AD160" s="139">
        <f>'IS (After Changes)'!AD160-'IS (Before Changes)'!AD160</f>
        <v>0</v>
      </c>
      <c r="AE160" s="139">
        <f>'IS (After Changes)'!AE160-'IS (Before Changes)'!AE160</f>
        <v>0</v>
      </c>
      <c r="AF160" s="139">
        <f>'IS (After Changes)'!AF160-'IS (Before Changes)'!AF160</f>
        <v>0</v>
      </c>
      <c r="AG160" s="49">
        <f>'IS (After Changes)'!AG160-'IS (Before Changes)'!AG160</f>
        <v>0</v>
      </c>
      <c r="AH160" s="139">
        <f>'IS (After Changes)'!AH160-'IS (Before Changes)'!AH160</f>
        <v>0</v>
      </c>
      <c r="AI160" s="139">
        <f>'IS (After Changes)'!AI160-'IS (Before Changes)'!AI160</f>
        <v>0</v>
      </c>
      <c r="AJ160" s="139">
        <f>'IS (After Changes)'!AJ160-'IS (Before Changes)'!AJ160</f>
        <v>0</v>
      </c>
      <c r="AK160" s="139">
        <f>'IS (After Changes)'!AK160-'IS (Before Changes)'!AK160</f>
        <v>0</v>
      </c>
      <c r="AL160" s="49">
        <f>'IS (After Changes)'!AL160-'IS (Before Changes)'!AL160</f>
        <v>0</v>
      </c>
      <c r="AM160" s="139">
        <f>'IS (After Changes)'!AM160-'IS (Before Changes)'!AM160</f>
        <v>0</v>
      </c>
      <c r="AN160" s="139">
        <f>'IS (After Changes)'!AN160-'IS (Before Changes)'!AN160</f>
        <v>0</v>
      </c>
      <c r="AO160" s="139">
        <f>'IS (After Changes)'!AO160-'IS (Before Changes)'!AO160</f>
        <v>0</v>
      </c>
      <c r="AP160" s="139">
        <f>'IS (After Changes)'!AP160-'IS (Before Changes)'!AP160</f>
        <v>0</v>
      </c>
      <c r="AQ160" s="49">
        <f>'IS (After Changes)'!AQ160-'IS (Before Changes)'!AQ160</f>
        <v>0</v>
      </c>
      <c r="AR160" s="139">
        <f>'IS (After Changes)'!AR160-'IS (Before Changes)'!AR160</f>
        <v>0</v>
      </c>
      <c r="AS160" s="139">
        <f>'IS (After Changes)'!AS160-'IS (Before Changes)'!AS160</f>
        <v>0</v>
      </c>
      <c r="AT160" s="139">
        <f>'IS (After Changes)'!AT160-'IS (Before Changes)'!AT160</f>
        <v>0</v>
      </c>
      <c r="AU160" s="139">
        <f>'IS (After Changes)'!AU160-'IS (Before Changes)'!AU160</f>
        <v>0</v>
      </c>
      <c r="AV160" s="49">
        <f>'IS (After Changes)'!AV160-'IS (Before Changes)'!AV160</f>
        <v>0</v>
      </c>
    </row>
    <row r="161" spans="2:48" outlineLevel="1" x14ac:dyDescent="0.3">
      <c r="B161" s="200" t="s">
        <v>136</v>
      </c>
      <c r="C161" s="201"/>
      <c r="D161" s="139">
        <f>'IS (After Changes)'!D161-'IS (Before Changes)'!D161</f>
        <v>0</v>
      </c>
      <c r="E161" s="139">
        <f>'IS (After Changes)'!E161-'IS (Before Changes)'!E161</f>
        <v>0</v>
      </c>
      <c r="F161" s="139">
        <f>'IS (After Changes)'!F161-'IS (Before Changes)'!F161</f>
        <v>0</v>
      </c>
      <c r="G161" s="139">
        <f>'IS (After Changes)'!G161-'IS (Before Changes)'!G161</f>
        <v>0</v>
      </c>
      <c r="H161" s="49">
        <f>'IS (After Changes)'!H161-'IS (Before Changes)'!H161</f>
        <v>0</v>
      </c>
      <c r="I161" s="139">
        <f>'IS (After Changes)'!I161-'IS (Before Changes)'!I161</f>
        <v>0</v>
      </c>
      <c r="J161" s="139">
        <f>'IS (After Changes)'!J161-'IS (Before Changes)'!J161</f>
        <v>0</v>
      </c>
      <c r="K161" s="139">
        <f>'IS (After Changes)'!K161-'IS (Before Changes)'!K161</f>
        <v>0</v>
      </c>
      <c r="L161" s="139">
        <f>'IS (After Changes)'!L161-'IS (Before Changes)'!L161</f>
        <v>0</v>
      </c>
      <c r="M161" s="49">
        <f>'IS (After Changes)'!M161-'IS (Before Changes)'!M161</f>
        <v>0</v>
      </c>
      <c r="N161" s="139">
        <f>'IS (After Changes)'!N161-'IS (Before Changes)'!N161</f>
        <v>0</v>
      </c>
      <c r="O161" s="139">
        <f>'IS (After Changes)'!O161-'IS (Before Changes)'!O161</f>
        <v>0</v>
      </c>
      <c r="P161" s="139">
        <f>'IS (After Changes)'!P161-'IS (Before Changes)'!P161</f>
        <v>0</v>
      </c>
      <c r="Q161" s="139">
        <f>'IS (After Changes)'!Q161-'IS (Before Changes)'!Q161</f>
        <v>0</v>
      </c>
      <c r="R161" s="49">
        <f>'IS (After Changes)'!R161-'IS (Before Changes)'!R161</f>
        <v>0</v>
      </c>
      <c r="S161" s="139">
        <f>'IS (After Changes)'!S161-'IS (Before Changes)'!S161</f>
        <v>0</v>
      </c>
      <c r="T161" s="139">
        <f>'IS (After Changes)'!T161-'IS (Before Changes)'!T161</f>
        <v>0</v>
      </c>
      <c r="U161" s="139">
        <f>'IS (After Changes)'!U161-'IS (Before Changes)'!U161</f>
        <v>0</v>
      </c>
      <c r="V161" s="139">
        <f>'IS (After Changes)'!V161-'IS (Before Changes)'!V161</f>
        <v>0</v>
      </c>
      <c r="W161" s="49">
        <f>'IS (After Changes)'!W161-'IS (Before Changes)'!W161</f>
        <v>0</v>
      </c>
      <c r="X161" s="139">
        <f>'IS (After Changes)'!X161-'IS (Before Changes)'!X161</f>
        <v>0</v>
      </c>
      <c r="Y161" s="139">
        <f>'IS (After Changes)'!Y161-'IS (Before Changes)'!Y161</f>
        <v>0</v>
      </c>
      <c r="Z161" s="139">
        <f>'IS (After Changes)'!Z161-'IS (Before Changes)'!Z161</f>
        <v>0</v>
      </c>
      <c r="AA161" s="139">
        <f>'IS (After Changes)'!AA161-'IS (Before Changes)'!AA161</f>
        <v>0</v>
      </c>
      <c r="AB161" s="49">
        <f>'IS (After Changes)'!AB161-'IS (Before Changes)'!AB161</f>
        <v>0</v>
      </c>
      <c r="AC161" s="139">
        <f>'IS (After Changes)'!AC161-'IS (Before Changes)'!AC161</f>
        <v>0</v>
      </c>
      <c r="AD161" s="139">
        <f>'IS (After Changes)'!AD161-'IS (Before Changes)'!AD161</f>
        <v>0</v>
      </c>
      <c r="AE161" s="139">
        <f>'IS (After Changes)'!AE161-'IS (Before Changes)'!AE161</f>
        <v>0</v>
      </c>
      <c r="AF161" s="139">
        <f>'IS (After Changes)'!AF161-'IS (Before Changes)'!AF161</f>
        <v>0</v>
      </c>
      <c r="AG161" s="49">
        <f>'IS (After Changes)'!AG161-'IS (Before Changes)'!AG161</f>
        <v>0</v>
      </c>
      <c r="AH161" s="139">
        <f>'IS (After Changes)'!AH161-'IS (Before Changes)'!AH161</f>
        <v>0</v>
      </c>
      <c r="AI161" s="139">
        <f>'IS (After Changes)'!AI161-'IS (Before Changes)'!AI161</f>
        <v>0</v>
      </c>
      <c r="AJ161" s="139">
        <f>'IS (After Changes)'!AJ161-'IS (Before Changes)'!AJ161</f>
        <v>0</v>
      </c>
      <c r="AK161" s="139">
        <f>'IS (After Changes)'!AK161-'IS (Before Changes)'!AK161</f>
        <v>0</v>
      </c>
      <c r="AL161" s="49">
        <f>'IS (After Changes)'!AL161-'IS (Before Changes)'!AL161</f>
        <v>0</v>
      </c>
      <c r="AM161" s="139">
        <f>'IS (After Changes)'!AM161-'IS (Before Changes)'!AM161</f>
        <v>0</v>
      </c>
      <c r="AN161" s="139">
        <f>'IS (After Changes)'!AN161-'IS (Before Changes)'!AN161</f>
        <v>0</v>
      </c>
      <c r="AO161" s="139">
        <f>'IS (After Changes)'!AO161-'IS (Before Changes)'!AO161</f>
        <v>0</v>
      </c>
      <c r="AP161" s="139">
        <f>'IS (After Changes)'!AP161-'IS (Before Changes)'!AP161</f>
        <v>0</v>
      </c>
      <c r="AQ161" s="49">
        <f>'IS (After Changes)'!AQ161-'IS (Before Changes)'!AQ161</f>
        <v>0</v>
      </c>
      <c r="AR161" s="139">
        <f>'IS (After Changes)'!AR161-'IS (Before Changes)'!AR161</f>
        <v>0</v>
      </c>
      <c r="AS161" s="139">
        <f>'IS (After Changes)'!AS161-'IS (Before Changes)'!AS161</f>
        <v>0</v>
      </c>
      <c r="AT161" s="139">
        <f>'IS (After Changes)'!AT161-'IS (Before Changes)'!AT161</f>
        <v>0</v>
      </c>
      <c r="AU161" s="139">
        <f>'IS (After Changes)'!AU161-'IS (Before Changes)'!AU161</f>
        <v>0</v>
      </c>
      <c r="AV161" s="49">
        <f>'IS (After Changes)'!AV161-'IS (Before Changes)'!AV161</f>
        <v>0</v>
      </c>
    </row>
    <row r="162" spans="2:48" ht="17.399999999999999" x14ac:dyDescent="0.45">
      <c r="B162" s="494" t="s">
        <v>12</v>
      </c>
      <c r="C162" s="495"/>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486" t="s">
        <v>65</v>
      </c>
      <c r="C163" s="487"/>
      <c r="D163" s="102">
        <f>'IS (After Changes)'!D163-'IS (Before Changes)'!D163</f>
        <v>0</v>
      </c>
      <c r="E163" s="102">
        <f>'IS (After Changes)'!E163-'IS (Before Changes)'!E163</f>
        <v>0</v>
      </c>
      <c r="F163" s="102">
        <f>'IS (After Changes)'!F163-'IS (Before Changes)'!F163</f>
        <v>0</v>
      </c>
      <c r="G163" s="102">
        <f>'IS (After Changes)'!G163-'IS (Before Changes)'!G163</f>
        <v>0</v>
      </c>
      <c r="H163" s="159">
        <f>'IS (After Changes)'!H163-'IS (Before Changes)'!H163</f>
        <v>0</v>
      </c>
      <c r="I163" s="102">
        <f>'IS (After Changes)'!I163-'IS (Before Changes)'!I163</f>
        <v>0</v>
      </c>
      <c r="J163" s="102">
        <f>'IS (After Changes)'!J163-'IS (Before Changes)'!J163</f>
        <v>0</v>
      </c>
      <c r="K163" s="105">
        <f>'IS (After Changes)'!K163-'IS (Before Changes)'!K163</f>
        <v>0</v>
      </c>
      <c r="L163" s="101">
        <f>'IS (After Changes)'!L163-'IS (Before Changes)'!L163</f>
        <v>0</v>
      </c>
      <c r="M163" s="169">
        <f>'IS (After Changes)'!M163-'IS (Before Changes)'!M163</f>
        <v>0</v>
      </c>
      <c r="N163" s="101">
        <f>'IS (After Changes)'!N163-'IS (Before Changes)'!N163</f>
        <v>0</v>
      </c>
      <c r="O163" s="101">
        <f>'IS (After Changes)'!O163-'IS (Before Changes)'!O163</f>
        <v>0</v>
      </c>
      <c r="P163" s="101">
        <f>'IS (After Changes)'!P163-'IS (Before Changes)'!P163</f>
        <v>0</v>
      </c>
      <c r="Q163" s="101">
        <f>'IS (After Changes)'!Q163-'IS (Before Changes)'!Q163</f>
        <v>0</v>
      </c>
      <c r="R163" s="17">
        <f>'IS (After Changes)'!R163-'IS (Before Changes)'!R163</f>
        <v>0</v>
      </c>
      <c r="S163" s="16">
        <f>'IS (After Changes)'!S163-'IS (Before Changes)'!S163</f>
        <v>0</v>
      </c>
      <c r="T163" s="16">
        <f>'IS (After Changes)'!T163-'IS (Before Changes)'!T163</f>
        <v>0</v>
      </c>
      <c r="U163" s="16">
        <f>'IS (After Changes)'!U163-'IS (Before Changes)'!U163</f>
        <v>0</v>
      </c>
      <c r="V163" s="101">
        <f>'IS (After Changes)'!V163-'IS (Before Changes)'!V163</f>
        <v>0</v>
      </c>
      <c r="W163" s="17">
        <f>'IS (After Changes)'!W163-'IS (Before Changes)'!W163</f>
        <v>0</v>
      </c>
      <c r="X163" s="33">
        <f>'IS (After Changes)'!X163-'IS (Before Changes)'!X163</f>
        <v>0</v>
      </c>
      <c r="Y163" s="33">
        <f>'IS (After Changes)'!Y163-'IS (Before Changes)'!Y163</f>
        <v>0</v>
      </c>
      <c r="Z163" s="33">
        <f>'IS (After Changes)'!Z163-'IS (Before Changes)'!Z163</f>
        <v>0</v>
      </c>
      <c r="AA163" s="33">
        <f>'IS (After Changes)'!AA163-'IS (Before Changes)'!AA163</f>
        <v>0</v>
      </c>
      <c r="AB163" s="17">
        <f>'IS (After Changes)'!AB163-'IS (Before Changes)'!AB163</f>
        <v>0</v>
      </c>
      <c r="AC163" s="33">
        <f>'IS (After Changes)'!AC163-'IS (Before Changes)'!AC163</f>
        <v>0</v>
      </c>
      <c r="AD163" s="33">
        <f>'IS (After Changes)'!AD163-'IS (Before Changes)'!AD163</f>
        <v>0</v>
      </c>
      <c r="AE163" s="33">
        <f>'IS (After Changes)'!AE163-'IS (Before Changes)'!AE163</f>
        <v>0</v>
      </c>
      <c r="AF163" s="33">
        <f>'IS (After Changes)'!AF163-'IS (Before Changes)'!AF163</f>
        <v>0</v>
      </c>
      <c r="AG163" s="17">
        <f>'IS (After Changes)'!AG163-'IS (Before Changes)'!AG163</f>
        <v>0</v>
      </c>
      <c r="AH163" s="33">
        <f>'IS (After Changes)'!AH163-'IS (Before Changes)'!AH163</f>
        <v>0</v>
      </c>
      <c r="AI163" s="33">
        <f>'IS (After Changes)'!AI163-'IS (Before Changes)'!AI163</f>
        <v>0</v>
      </c>
      <c r="AJ163" s="33">
        <f>'IS (After Changes)'!AJ163-'IS (Before Changes)'!AJ163</f>
        <v>0</v>
      </c>
      <c r="AK163" s="33">
        <f>'IS (After Changes)'!AK163-'IS (Before Changes)'!AK163</f>
        <v>0</v>
      </c>
      <c r="AL163" s="17">
        <f>'IS (After Changes)'!AL163-'IS (Before Changes)'!AL163</f>
        <v>0</v>
      </c>
      <c r="AM163" s="33">
        <f>'IS (After Changes)'!AM163-'IS (Before Changes)'!AM163</f>
        <v>0</v>
      </c>
      <c r="AN163" s="33">
        <f>'IS (After Changes)'!AN163-'IS (Before Changes)'!AN163</f>
        <v>0</v>
      </c>
      <c r="AO163" s="33">
        <f>'IS (After Changes)'!AO163-'IS (Before Changes)'!AO163</f>
        <v>0</v>
      </c>
      <c r="AP163" s="33">
        <f>'IS (After Changes)'!AP163-'IS (Before Changes)'!AP163</f>
        <v>0</v>
      </c>
      <c r="AQ163" s="17">
        <f>'IS (After Changes)'!AQ163-'IS (Before Changes)'!AQ163</f>
        <v>0</v>
      </c>
      <c r="AR163" s="33">
        <f>'IS (After Changes)'!AR163-'IS (Before Changes)'!AR163</f>
        <v>0</v>
      </c>
      <c r="AS163" s="33">
        <f>'IS (After Changes)'!AS163-'IS (Before Changes)'!AS163</f>
        <v>0</v>
      </c>
      <c r="AT163" s="33">
        <f>'IS (After Changes)'!AT163-'IS (Before Changes)'!AT163</f>
        <v>0</v>
      </c>
      <c r="AU163" s="33">
        <f>'IS (After Changes)'!AU163-'IS (Before Changes)'!AU163</f>
        <v>0</v>
      </c>
      <c r="AV163" s="17">
        <f>'IS (After Changes)'!AV163-'IS (Before Changes)'!AV163</f>
        <v>0</v>
      </c>
    </row>
    <row r="164" spans="2:48" outlineLevel="1" x14ac:dyDescent="0.3">
      <c r="B164" s="200" t="s">
        <v>64</v>
      </c>
      <c r="C164" s="201"/>
      <c r="D164" s="102">
        <f>'IS (After Changes)'!D164-'IS (Before Changes)'!D164</f>
        <v>0</v>
      </c>
      <c r="E164" s="102">
        <f>'IS (After Changes)'!E164-'IS (Before Changes)'!E164</f>
        <v>0</v>
      </c>
      <c r="F164" s="102">
        <f>'IS (After Changes)'!F164-'IS (Before Changes)'!F164</f>
        <v>0</v>
      </c>
      <c r="G164" s="102">
        <f>'IS (After Changes)'!G164-'IS (Before Changes)'!G164</f>
        <v>0</v>
      </c>
      <c r="H164" s="159">
        <f>'IS (After Changes)'!H164-'IS (Before Changes)'!H164</f>
        <v>0</v>
      </c>
      <c r="I164" s="102">
        <f>'IS (After Changes)'!I164-'IS (Before Changes)'!I164</f>
        <v>0</v>
      </c>
      <c r="J164" s="102">
        <f>'IS (After Changes)'!J164-'IS (Before Changes)'!J164</f>
        <v>0</v>
      </c>
      <c r="K164" s="105">
        <f>'IS (After Changes)'!K164-'IS (Before Changes)'!K164</f>
        <v>0</v>
      </c>
      <c r="L164" s="101">
        <f>'IS (After Changes)'!L164-'IS (Before Changes)'!L164</f>
        <v>0</v>
      </c>
      <c r="M164" s="169">
        <f>'IS (After Changes)'!M164-'IS (Before Changes)'!M164</f>
        <v>0</v>
      </c>
      <c r="N164" s="101">
        <f>'IS (After Changes)'!N164-'IS (Before Changes)'!N164</f>
        <v>0</v>
      </c>
      <c r="O164" s="101">
        <f>'IS (After Changes)'!O164-'IS (Before Changes)'!O164</f>
        <v>0</v>
      </c>
      <c r="P164" s="101">
        <f>'IS (After Changes)'!P164-'IS (Before Changes)'!P164</f>
        <v>0</v>
      </c>
      <c r="Q164" s="101">
        <f>'IS (After Changes)'!Q164-'IS (Before Changes)'!Q164</f>
        <v>0</v>
      </c>
      <c r="R164" s="17">
        <f>'IS (After Changes)'!R164-'IS (Before Changes)'!R164</f>
        <v>0</v>
      </c>
      <c r="S164" s="16">
        <f>'IS (After Changes)'!S164-'IS (Before Changes)'!S164</f>
        <v>0</v>
      </c>
      <c r="T164" s="16">
        <f>'IS (After Changes)'!T164-'IS (Before Changes)'!T164</f>
        <v>0</v>
      </c>
      <c r="U164" s="16">
        <f>'IS (After Changes)'!U164-'IS (Before Changes)'!U164</f>
        <v>0</v>
      </c>
      <c r="V164" s="101">
        <f>'IS (After Changes)'!V164-'IS (Before Changes)'!V164</f>
        <v>0</v>
      </c>
      <c r="W164" s="17">
        <f>'IS (After Changes)'!W164-'IS (Before Changes)'!W164</f>
        <v>0</v>
      </c>
      <c r="X164" s="33">
        <f>'IS (After Changes)'!X164-'IS (Before Changes)'!X164</f>
        <v>0</v>
      </c>
      <c r="Y164" s="33">
        <f>'IS (After Changes)'!Y164-'IS (Before Changes)'!Y164</f>
        <v>0</v>
      </c>
      <c r="Z164" s="33">
        <f>'IS (After Changes)'!Z164-'IS (Before Changes)'!Z164</f>
        <v>0</v>
      </c>
      <c r="AA164" s="33">
        <f>'IS (After Changes)'!AA164-'IS (Before Changes)'!AA164</f>
        <v>0</v>
      </c>
      <c r="AB164" s="17">
        <f>'IS (After Changes)'!AB164-'IS (Before Changes)'!AB164</f>
        <v>0</v>
      </c>
      <c r="AC164" s="33">
        <f>'IS (After Changes)'!AC164-'IS (Before Changes)'!AC164</f>
        <v>0</v>
      </c>
      <c r="AD164" s="33">
        <f>'IS (After Changes)'!AD164-'IS (Before Changes)'!AD164</f>
        <v>0</v>
      </c>
      <c r="AE164" s="33">
        <f>'IS (After Changes)'!AE164-'IS (Before Changes)'!AE164</f>
        <v>0</v>
      </c>
      <c r="AF164" s="33">
        <f>'IS (After Changes)'!AF164-'IS (Before Changes)'!AF164</f>
        <v>0</v>
      </c>
      <c r="AG164" s="17">
        <f>'IS (After Changes)'!AG164-'IS (Before Changes)'!AG164</f>
        <v>0</v>
      </c>
      <c r="AH164" s="33">
        <f>'IS (After Changes)'!AH164-'IS (Before Changes)'!AH164</f>
        <v>0</v>
      </c>
      <c r="AI164" s="33">
        <f>'IS (After Changes)'!AI164-'IS (Before Changes)'!AI164</f>
        <v>0</v>
      </c>
      <c r="AJ164" s="33">
        <f>'IS (After Changes)'!AJ164-'IS (Before Changes)'!AJ164</f>
        <v>0</v>
      </c>
      <c r="AK164" s="33">
        <f>'IS (After Changes)'!AK164-'IS (Before Changes)'!AK164</f>
        <v>0</v>
      </c>
      <c r="AL164" s="17">
        <f>'IS (After Changes)'!AL164-'IS (Before Changes)'!AL164</f>
        <v>0</v>
      </c>
      <c r="AM164" s="33">
        <f>'IS (After Changes)'!AM164-'IS (Before Changes)'!AM164</f>
        <v>0</v>
      </c>
      <c r="AN164" s="33">
        <f>'IS (After Changes)'!AN164-'IS (Before Changes)'!AN164</f>
        <v>0</v>
      </c>
      <c r="AO164" s="33">
        <f>'IS (After Changes)'!AO164-'IS (Before Changes)'!AO164</f>
        <v>0</v>
      </c>
      <c r="AP164" s="33">
        <f>'IS (After Changes)'!AP164-'IS (Before Changes)'!AP164</f>
        <v>0</v>
      </c>
      <c r="AQ164" s="17">
        <f>'IS (After Changes)'!AQ164-'IS (Before Changes)'!AQ164</f>
        <v>0</v>
      </c>
      <c r="AR164" s="33">
        <f>'IS (After Changes)'!AR164-'IS (Before Changes)'!AR164</f>
        <v>0</v>
      </c>
      <c r="AS164" s="33">
        <f>'IS (After Changes)'!AS164-'IS (Before Changes)'!AS164</f>
        <v>0</v>
      </c>
      <c r="AT164" s="33">
        <f>'IS (After Changes)'!AT164-'IS (Before Changes)'!AT164</f>
        <v>0</v>
      </c>
      <c r="AU164" s="33">
        <f>'IS (After Changes)'!AU164-'IS (Before Changes)'!AU164</f>
        <v>0</v>
      </c>
      <c r="AV164" s="17">
        <f>'IS (After Changes)'!AV164-'IS (Before Changes)'!AV164</f>
        <v>0</v>
      </c>
    </row>
    <row r="165" spans="2:48" outlineLevel="1" x14ac:dyDescent="0.3">
      <c r="B165" s="486" t="s">
        <v>129</v>
      </c>
      <c r="C165" s="487"/>
      <c r="D165" s="102">
        <f>'IS (After Changes)'!D165-'IS (Before Changes)'!D165</f>
        <v>0</v>
      </c>
      <c r="E165" s="102">
        <f>'IS (After Changes)'!E165-'IS (Before Changes)'!E165</f>
        <v>0</v>
      </c>
      <c r="F165" s="102">
        <f>'IS (After Changes)'!F165-'IS (Before Changes)'!F165</f>
        <v>0</v>
      </c>
      <c r="G165" s="102">
        <f>'IS (After Changes)'!G165-'IS (Before Changes)'!G165</f>
        <v>0</v>
      </c>
      <c r="H165" s="159">
        <f>'IS (After Changes)'!H165-'IS (Before Changes)'!H165</f>
        <v>0</v>
      </c>
      <c r="I165" s="102">
        <f>'IS (After Changes)'!I165-'IS (Before Changes)'!I165</f>
        <v>0</v>
      </c>
      <c r="J165" s="102">
        <f>'IS (After Changes)'!J165-'IS (Before Changes)'!J165</f>
        <v>0</v>
      </c>
      <c r="K165" s="105">
        <f>'IS (After Changes)'!K165-'IS (Before Changes)'!K165</f>
        <v>0</v>
      </c>
      <c r="L165" s="101">
        <f>'IS (After Changes)'!L165-'IS (Before Changes)'!L165</f>
        <v>0</v>
      </c>
      <c r="M165" s="169">
        <f>'IS (After Changes)'!M165-'IS (Before Changes)'!M165</f>
        <v>0</v>
      </c>
      <c r="N165" s="101">
        <f>'IS (After Changes)'!N165-'IS (Before Changes)'!N165</f>
        <v>0</v>
      </c>
      <c r="O165" s="101">
        <f>'IS (After Changes)'!O165-'IS (Before Changes)'!O165</f>
        <v>0</v>
      </c>
      <c r="P165" s="101">
        <f>'IS (After Changes)'!P165-'IS (Before Changes)'!P165</f>
        <v>0</v>
      </c>
      <c r="Q165" s="101">
        <f>'IS (After Changes)'!Q165-'IS (Before Changes)'!Q165</f>
        <v>0</v>
      </c>
      <c r="R165" s="17">
        <f>'IS (After Changes)'!R165-'IS (Before Changes)'!R165</f>
        <v>0</v>
      </c>
      <c r="S165" s="16">
        <f>'IS (After Changes)'!S165-'IS (Before Changes)'!S165</f>
        <v>0</v>
      </c>
      <c r="T165" s="16">
        <f>'IS (After Changes)'!T165-'IS (Before Changes)'!T165</f>
        <v>0</v>
      </c>
      <c r="U165" s="16">
        <f>'IS (After Changes)'!U165-'IS (Before Changes)'!U165</f>
        <v>0</v>
      </c>
      <c r="V165" s="101">
        <f>'IS (After Changes)'!V165-'IS (Before Changes)'!V165</f>
        <v>0</v>
      </c>
      <c r="W165" s="17">
        <f>'IS (After Changes)'!W165-'IS (Before Changes)'!W165</f>
        <v>0</v>
      </c>
      <c r="X165" s="33">
        <f>'IS (After Changes)'!X165-'IS (Before Changes)'!X165</f>
        <v>0</v>
      </c>
      <c r="Y165" s="33">
        <f>'IS (After Changes)'!Y165-'IS (Before Changes)'!Y165</f>
        <v>0</v>
      </c>
      <c r="Z165" s="33">
        <f>'IS (After Changes)'!Z165-'IS (Before Changes)'!Z165</f>
        <v>0</v>
      </c>
      <c r="AA165" s="33">
        <f>'IS (After Changes)'!AA165-'IS (Before Changes)'!AA165</f>
        <v>0</v>
      </c>
      <c r="AB165" s="17">
        <f>'IS (After Changes)'!AB165-'IS (Before Changes)'!AB165</f>
        <v>0</v>
      </c>
      <c r="AC165" s="33">
        <f>'IS (After Changes)'!AC165-'IS (Before Changes)'!AC165</f>
        <v>0</v>
      </c>
      <c r="AD165" s="33">
        <f>'IS (After Changes)'!AD165-'IS (Before Changes)'!AD165</f>
        <v>0</v>
      </c>
      <c r="AE165" s="33">
        <f>'IS (After Changes)'!AE165-'IS (Before Changes)'!AE165</f>
        <v>0</v>
      </c>
      <c r="AF165" s="33">
        <f>'IS (After Changes)'!AF165-'IS (Before Changes)'!AF165</f>
        <v>0</v>
      </c>
      <c r="AG165" s="17">
        <f>'IS (After Changes)'!AG165-'IS (Before Changes)'!AG165</f>
        <v>0</v>
      </c>
      <c r="AH165" s="33">
        <f>'IS (After Changes)'!AH165-'IS (Before Changes)'!AH165</f>
        <v>0</v>
      </c>
      <c r="AI165" s="33">
        <f>'IS (After Changes)'!AI165-'IS (Before Changes)'!AI165</f>
        <v>0</v>
      </c>
      <c r="AJ165" s="33">
        <f>'IS (After Changes)'!AJ165-'IS (Before Changes)'!AJ165</f>
        <v>0</v>
      </c>
      <c r="AK165" s="33">
        <f>'IS (After Changes)'!AK165-'IS (Before Changes)'!AK165</f>
        <v>0</v>
      </c>
      <c r="AL165" s="17">
        <f>'IS (After Changes)'!AL165-'IS (Before Changes)'!AL165</f>
        <v>0</v>
      </c>
      <c r="AM165" s="33">
        <f>'IS (After Changes)'!AM165-'IS (Before Changes)'!AM165</f>
        <v>0</v>
      </c>
      <c r="AN165" s="33">
        <f>'IS (After Changes)'!AN165-'IS (Before Changes)'!AN165</f>
        <v>0</v>
      </c>
      <c r="AO165" s="33">
        <f>'IS (After Changes)'!AO165-'IS (Before Changes)'!AO165</f>
        <v>0</v>
      </c>
      <c r="AP165" s="33">
        <f>'IS (After Changes)'!AP165-'IS (Before Changes)'!AP165</f>
        <v>0</v>
      </c>
      <c r="AQ165" s="17">
        <f>'IS (After Changes)'!AQ165-'IS (Before Changes)'!AQ165</f>
        <v>0</v>
      </c>
      <c r="AR165" s="33">
        <f>'IS (After Changes)'!AR165-'IS (Before Changes)'!AR165</f>
        <v>0</v>
      </c>
      <c r="AS165" s="33">
        <f>'IS (After Changes)'!AS165-'IS (Before Changes)'!AS165</f>
        <v>0</v>
      </c>
      <c r="AT165" s="33">
        <f>'IS (After Changes)'!AT165-'IS (Before Changes)'!AT165</f>
        <v>0</v>
      </c>
      <c r="AU165" s="33">
        <f>'IS (After Changes)'!AU165-'IS (Before Changes)'!AU165</f>
        <v>0</v>
      </c>
      <c r="AV165" s="17">
        <f>'IS (After Changes)'!AV165-'IS (Before Changes)'!AV165</f>
        <v>0</v>
      </c>
    </row>
    <row r="166" spans="2:48" outlineLevel="1" x14ac:dyDescent="0.3">
      <c r="B166" s="200" t="s">
        <v>66</v>
      </c>
      <c r="C166" s="201"/>
      <c r="D166" s="102">
        <f>'IS (After Changes)'!D166-'IS (Before Changes)'!D166</f>
        <v>0</v>
      </c>
      <c r="E166" s="102">
        <f>'IS (After Changes)'!E166-'IS (Before Changes)'!E166</f>
        <v>0</v>
      </c>
      <c r="F166" s="102">
        <f>'IS (After Changes)'!F166-'IS (Before Changes)'!F166</f>
        <v>0</v>
      </c>
      <c r="G166" s="102">
        <f>'IS (After Changes)'!G166-'IS (Before Changes)'!G166</f>
        <v>0</v>
      </c>
      <c r="H166" s="159">
        <f>'IS (After Changes)'!H166-'IS (Before Changes)'!H166</f>
        <v>0</v>
      </c>
      <c r="I166" s="102">
        <f>'IS (After Changes)'!I166-'IS (Before Changes)'!I166</f>
        <v>0</v>
      </c>
      <c r="J166" s="102">
        <f>'IS (After Changes)'!J166-'IS (Before Changes)'!J166</f>
        <v>0</v>
      </c>
      <c r="K166" s="101">
        <f>'IS (After Changes)'!K166-'IS (Before Changes)'!K166</f>
        <v>0</v>
      </c>
      <c r="L166" s="101">
        <f>'IS (After Changes)'!L166-'IS (Before Changes)'!L166</f>
        <v>0</v>
      </c>
      <c r="M166" s="169">
        <f>'IS (After Changes)'!M166-'IS (Before Changes)'!M166</f>
        <v>0</v>
      </c>
      <c r="N166" s="101">
        <f>'IS (After Changes)'!N166-'IS (Before Changes)'!N166</f>
        <v>0</v>
      </c>
      <c r="O166" s="101">
        <f>'IS (After Changes)'!O166-'IS (Before Changes)'!O166</f>
        <v>0</v>
      </c>
      <c r="P166" s="101">
        <f>'IS (After Changes)'!P166-'IS (Before Changes)'!P166</f>
        <v>0</v>
      </c>
      <c r="Q166" s="101">
        <f>'IS (After Changes)'!Q166-'IS (Before Changes)'!Q166</f>
        <v>0</v>
      </c>
      <c r="R166" s="17">
        <f>'IS (After Changes)'!R166-'IS (Before Changes)'!R166</f>
        <v>0</v>
      </c>
      <c r="S166" s="16">
        <f>'IS (After Changes)'!S166-'IS (Before Changes)'!S166</f>
        <v>0</v>
      </c>
      <c r="T166" s="16">
        <f>'IS (After Changes)'!T166-'IS (Before Changes)'!T166</f>
        <v>0</v>
      </c>
      <c r="U166" s="16">
        <f>'IS (After Changes)'!U166-'IS (Before Changes)'!U166</f>
        <v>0</v>
      </c>
      <c r="V166" s="101">
        <f>'IS (After Changes)'!V166-'IS (Before Changes)'!V166</f>
        <v>0</v>
      </c>
      <c r="W166" s="17">
        <f>'IS (After Changes)'!W166-'IS (Before Changes)'!W166</f>
        <v>0</v>
      </c>
      <c r="X166" s="33">
        <f>'IS (After Changes)'!X166-'IS (Before Changes)'!X166</f>
        <v>0</v>
      </c>
      <c r="Y166" s="33">
        <f>'IS (After Changes)'!Y166-'IS (Before Changes)'!Y166</f>
        <v>0</v>
      </c>
      <c r="Z166" s="33">
        <f>'IS (After Changes)'!Z166-'IS (Before Changes)'!Z166</f>
        <v>0</v>
      </c>
      <c r="AA166" s="33">
        <f>'IS (After Changes)'!AA166-'IS (Before Changes)'!AA166</f>
        <v>0</v>
      </c>
      <c r="AB166" s="17">
        <f>'IS (After Changes)'!AB166-'IS (Before Changes)'!AB166</f>
        <v>0</v>
      </c>
      <c r="AC166" s="33">
        <f>'IS (After Changes)'!AC166-'IS (Before Changes)'!AC166</f>
        <v>0</v>
      </c>
      <c r="AD166" s="33">
        <f>'IS (After Changes)'!AD166-'IS (Before Changes)'!AD166</f>
        <v>0</v>
      </c>
      <c r="AE166" s="33">
        <f>'IS (After Changes)'!AE166-'IS (Before Changes)'!AE166</f>
        <v>0</v>
      </c>
      <c r="AF166" s="33">
        <f>'IS (After Changes)'!AF166-'IS (Before Changes)'!AF166</f>
        <v>0</v>
      </c>
      <c r="AG166" s="17">
        <f>'IS (After Changes)'!AG166-'IS (Before Changes)'!AG166</f>
        <v>0</v>
      </c>
      <c r="AH166" s="33">
        <f>'IS (After Changes)'!AH166-'IS (Before Changes)'!AH166</f>
        <v>0</v>
      </c>
      <c r="AI166" s="33">
        <f>'IS (After Changes)'!AI166-'IS (Before Changes)'!AI166</f>
        <v>0</v>
      </c>
      <c r="AJ166" s="33">
        <f>'IS (After Changes)'!AJ166-'IS (Before Changes)'!AJ166</f>
        <v>0</v>
      </c>
      <c r="AK166" s="33">
        <f>'IS (After Changes)'!AK166-'IS (Before Changes)'!AK166</f>
        <v>0</v>
      </c>
      <c r="AL166" s="17">
        <f>'IS (After Changes)'!AL166-'IS (Before Changes)'!AL166</f>
        <v>0</v>
      </c>
      <c r="AM166" s="33">
        <f>'IS (After Changes)'!AM166-'IS (Before Changes)'!AM166</f>
        <v>0</v>
      </c>
      <c r="AN166" s="33">
        <f>'IS (After Changes)'!AN166-'IS (Before Changes)'!AN166</f>
        <v>0</v>
      </c>
      <c r="AO166" s="33">
        <f>'IS (After Changes)'!AO166-'IS (Before Changes)'!AO166</f>
        <v>0</v>
      </c>
      <c r="AP166" s="33">
        <f>'IS (After Changes)'!AP166-'IS (Before Changes)'!AP166</f>
        <v>0</v>
      </c>
      <c r="AQ166" s="17">
        <f>'IS (After Changes)'!AQ166-'IS (Before Changes)'!AQ166</f>
        <v>0</v>
      </c>
      <c r="AR166" s="33">
        <f>'IS (After Changes)'!AR166-'IS (Before Changes)'!AR166</f>
        <v>0</v>
      </c>
      <c r="AS166" s="33">
        <f>'IS (After Changes)'!AS166-'IS (Before Changes)'!AS166</f>
        <v>0</v>
      </c>
      <c r="AT166" s="33">
        <f>'IS (After Changes)'!AT166-'IS (Before Changes)'!AT166</f>
        <v>0</v>
      </c>
      <c r="AU166" s="33">
        <f>'IS (After Changes)'!AU166-'IS (Before Changes)'!AU166</f>
        <v>0</v>
      </c>
      <c r="AV166" s="17">
        <f>'IS (After Changes)'!AV166-'IS (Before Changes)'!AV166</f>
        <v>0</v>
      </c>
    </row>
    <row r="167" spans="2:48" ht="16.2" outlineLevel="1" x14ac:dyDescent="0.45">
      <c r="B167" s="200" t="s">
        <v>80</v>
      </c>
      <c r="C167" s="201"/>
      <c r="D167" s="138">
        <f>'IS (After Changes)'!D167-'IS (Before Changes)'!D167</f>
        <v>0</v>
      </c>
      <c r="E167" s="138">
        <f>'IS (After Changes)'!E167-'IS (Before Changes)'!E167</f>
        <v>0</v>
      </c>
      <c r="F167" s="138">
        <f>'IS (After Changes)'!F167-'IS (Before Changes)'!F167</f>
        <v>0</v>
      </c>
      <c r="G167" s="138">
        <f>'IS (After Changes)'!G167-'IS (Before Changes)'!G167</f>
        <v>0</v>
      </c>
      <c r="H167" s="160">
        <f>'IS (After Changes)'!H167-'IS (Before Changes)'!H167</f>
        <v>0</v>
      </c>
      <c r="I167" s="138">
        <f>'IS (After Changes)'!I167-'IS (Before Changes)'!I167</f>
        <v>0</v>
      </c>
      <c r="J167" s="138">
        <f>'IS (After Changes)'!J167-'IS (Before Changes)'!J167</f>
        <v>0</v>
      </c>
      <c r="K167" s="112">
        <f>'IS (After Changes)'!K167-'IS (Before Changes)'!K167</f>
        <v>0</v>
      </c>
      <c r="L167" s="112">
        <f>'IS (After Changes)'!L167-'IS (Before Changes)'!L167</f>
        <v>0</v>
      </c>
      <c r="M167" s="169">
        <f>'IS (After Changes)'!M167-'IS (Before Changes)'!M167</f>
        <v>0</v>
      </c>
      <c r="N167" s="112">
        <f>'IS (After Changes)'!N167-'IS (Before Changes)'!N167</f>
        <v>0</v>
      </c>
      <c r="O167" s="112">
        <f>'IS (After Changes)'!O167-'IS (Before Changes)'!O167</f>
        <v>0</v>
      </c>
      <c r="P167" s="112">
        <f>'IS (After Changes)'!P167-'IS (Before Changes)'!P167</f>
        <v>0</v>
      </c>
      <c r="Q167" s="112">
        <f>'IS (After Changes)'!Q167-'IS (Before Changes)'!Q167</f>
        <v>0</v>
      </c>
      <c r="R167" s="17">
        <f>'IS (After Changes)'!R167-'IS (Before Changes)'!R167</f>
        <v>0</v>
      </c>
      <c r="S167" s="112">
        <f>'IS (After Changes)'!S167-'IS (Before Changes)'!S167</f>
        <v>0</v>
      </c>
      <c r="T167" s="112">
        <f>'IS (After Changes)'!T167-'IS (Before Changes)'!T167</f>
        <v>0</v>
      </c>
      <c r="U167" s="112">
        <f>'IS (After Changes)'!U167-'IS (Before Changes)'!U167</f>
        <v>0</v>
      </c>
      <c r="V167" s="112">
        <f>'IS (After Changes)'!V167-'IS (Before Changes)'!V167</f>
        <v>0</v>
      </c>
      <c r="W167" s="17">
        <f>'IS (After Changes)'!W167-'IS (Before Changes)'!W167</f>
        <v>0</v>
      </c>
      <c r="X167" s="32">
        <f>'IS (After Changes)'!X167-'IS (Before Changes)'!X167</f>
        <v>0</v>
      </c>
      <c r="Y167" s="32">
        <f>'IS (After Changes)'!Y167-'IS (Before Changes)'!Y167</f>
        <v>0</v>
      </c>
      <c r="Z167" s="32">
        <f>'IS (After Changes)'!Z167-'IS (Before Changes)'!Z167</f>
        <v>0</v>
      </c>
      <c r="AA167" s="32">
        <f>'IS (After Changes)'!AA167-'IS (Before Changes)'!AA167</f>
        <v>0</v>
      </c>
      <c r="AB167" s="17">
        <f>'IS (After Changes)'!AB167-'IS (Before Changes)'!AB167</f>
        <v>0</v>
      </c>
      <c r="AC167" s="32">
        <f>'IS (After Changes)'!AC167-'IS (Before Changes)'!AC167</f>
        <v>0</v>
      </c>
      <c r="AD167" s="32">
        <f>'IS (After Changes)'!AD167-'IS (Before Changes)'!AD167</f>
        <v>0</v>
      </c>
      <c r="AE167" s="32">
        <f>'IS (After Changes)'!AE167-'IS (Before Changes)'!AE167</f>
        <v>0</v>
      </c>
      <c r="AF167" s="32">
        <f>'IS (After Changes)'!AF167-'IS (Before Changes)'!AF167</f>
        <v>0</v>
      </c>
      <c r="AG167" s="17">
        <f>'IS (After Changes)'!AG167-'IS (Before Changes)'!AG167</f>
        <v>0</v>
      </c>
      <c r="AH167" s="32">
        <f>'IS (After Changes)'!AH167-'IS (Before Changes)'!AH167</f>
        <v>0</v>
      </c>
      <c r="AI167" s="32">
        <f>'IS (After Changes)'!AI167-'IS (Before Changes)'!AI167</f>
        <v>0</v>
      </c>
      <c r="AJ167" s="32">
        <f>'IS (After Changes)'!AJ167-'IS (Before Changes)'!AJ167</f>
        <v>0</v>
      </c>
      <c r="AK167" s="32">
        <f>'IS (After Changes)'!AK167-'IS (Before Changes)'!AK167</f>
        <v>0</v>
      </c>
      <c r="AL167" s="17">
        <f>'IS (After Changes)'!AL167-'IS (Before Changes)'!AL167</f>
        <v>0</v>
      </c>
      <c r="AM167" s="32">
        <f>'IS (After Changes)'!AM167-'IS (Before Changes)'!AM167</f>
        <v>0</v>
      </c>
      <c r="AN167" s="32">
        <f>'IS (After Changes)'!AN167-'IS (Before Changes)'!AN167</f>
        <v>0</v>
      </c>
      <c r="AO167" s="32">
        <f>'IS (After Changes)'!AO167-'IS (Before Changes)'!AO167</f>
        <v>0</v>
      </c>
      <c r="AP167" s="32">
        <f>'IS (After Changes)'!AP167-'IS (Before Changes)'!AP167</f>
        <v>0</v>
      </c>
      <c r="AQ167" s="17">
        <f>'IS (After Changes)'!AQ167-'IS (Before Changes)'!AQ167</f>
        <v>0</v>
      </c>
      <c r="AR167" s="32">
        <f>'IS (After Changes)'!AR167-'IS (Before Changes)'!AR167</f>
        <v>0</v>
      </c>
      <c r="AS167" s="32">
        <f>'IS (After Changes)'!AS167-'IS (Before Changes)'!AS167</f>
        <v>0</v>
      </c>
      <c r="AT167" s="32">
        <f>'IS (After Changes)'!AT167-'IS (Before Changes)'!AT167</f>
        <v>0</v>
      </c>
      <c r="AU167" s="32">
        <f>'IS (After Changes)'!AU167-'IS (Before Changes)'!AU167</f>
        <v>0</v>
      </c>
      <c r="AV167" s="17">
        <f>'IS (After Changes)'!AV167-'IS (Before Changes)'!AV167</f>
        <v>0</v>
      </c>
    </row>
    <row r="168" spans="2:48" s="8" customFormat="1" outlineLevel="1" x14ac:dyDescent="0.3">
      <c r="B168" s="205" t="s">
        <v>67</v>
      </c>
      <c r="C168" s="202"/>
      <c r="D168" s="103">
        <f>'IS (After Changes)'!D168-'IS (Before Changes)'!D168</f>
        <v>0</v>
      </c>
      <c r="E168" s="103">
        <f>'IS (After Changes)'!E168-'IS (Before Changes)'!E168</f>
        <v>0</v>
      </c>
      <c r="F168" s="103">
        <f>'IS (After Changes)'!F168-'IS (Before Changes)'!F168</f>
        <v>0</v>
      </c>
      <c r="G168" s="103">
        <f>'IS (After Changes)'!G168-'IS (Before Changes)'!G168</f>
        <v>0</v>
      </c>
      <c r="H168" s="171">
        <f>'IS (After Changes)'!H168-'IS (Before Changes)'!H168</f>
        <v>0</v>
      </c>
      <c r="I168" s="103">
        <f>'IS (After Changes)'!I168-'IS (Before Changes)'!I168</f>
        <v>0</v>
      </c>
      <c r="J168" s="103">
        <f>'IS (After Changes)'!J168-'IS (Before Changes)'!J168</f>
        <v>0</v>
      </c>
      <c r="K168" s="103">
        <f>'IS (After Changes)'!K168-'IS (Before Changes)'!K168</f>
        <v>0</v>
      </c>
      <c r="L168" s="103">
        <f>'IS (After Changes)'!L168-'IS (Before Changes)'!L168</f>
        <v>0</v>
      </c>
      <c r="M168" s="150">
        <f>'IS (After Changes)'!M168-'IS (Before Changes)'!M168</f>
        <v>0</v>
      </c>
      <c r="N168" s="103">
        <f>'IS (After Changes)'!N168-'IS (Before Changes)'!N168</f>
        <v>0</v>
      </c>
      <c r="O168" s="103">
        <f>'IS (After Changes)'!O168-'IS (Before Changes)'!O168</f>
        <v>0</v>
      </c>
      <c r="P168" s="103">
        <f>'IS (After Changes)'!P168-'IS (Before Changes)'!P168</f>
        <v>0</v>
      </c>
      <c r="Q168" s="103">
        <f>'IS (After Changes)'!Q168-'IS (Before Changes)'!Q168</f>
        <v>0</v>
      </c>
      <c r="R168" s="22">
        <f>'IS (After Changes)'!R168-'IS (Before Changes)'!R168</f>
        <v>0</v>
      </c>
      <c r="S168" s="103">
        <f>'IS (After Changes)'!S168-'IS (Before Changes)'!S168</f>
        <v>0</v>
      </c>
      <c r="T168" s="50">
        <f>'IS (After Changes)'!T168-'IS (Before Changes)'!T168</f>
        <v>0</v>
      </c>
      <c r="U168" s="50">
        <f>'IS (After Changes)'!U168-'IS (Before Changes)'!U168</f>
        <v>0</v>
      </c>
      <c r="V168" s="50">
        <f>'IS (After Changes)'!V168-'IS (Before Changes)'!V168</f>
        <v>0</v>
      </c>
      <c r="W168" s="22">
        <f>'IS (After Changes)'!W168-'IS (Before Changes)'!W168</f>
        <v>0</v>
      </c>
      <c r="X168" s="50">
        <f>'IS (After Changes)'!X168-'IS (Before Changes)'!X168</f>
        <v>0</v>
      </c>
      <c r="Y168" s="50">
        <f>'IS (After Changes)'!Y168-'IS (Before Changes)'!Y168</f>
        <v>0</v>
      </c>
      <c r="Z168" s="50">
        <f>'IS (After Changes)'!Z168-'IS (Before Changes)'!Z168</f>
        <v>0</v>
      </c>
      <c r="AA168" s="50">
        <f>'IS (After Changes)'!AA168-'IS (Before Changes)'!AA168</f>
        <v>0</v>
      </c>
      <c r="AB168" s="22">
        <f>'IS (After Changes)'!AB168-'IS (Before Changes)'!AB168</f>
        <v>0</v>
      </c>
      <c r="AC168" s="50">
        <f>'IS (After Changes)'!AC168-'IS (Before Changes)'!AC168</f>
        <v>0</v>
      </c>
      <c r="AD168" s="50">
        <f>'IS (After Changes)'!AD168-'IS (Before Changes)'!AD168</f>
        <v>0</v>
      </c>
      <c r="AE168" s="50">
        <f>'IS (After Changes)'!AE168-'IS (Before Changes)'!AE168</f>
        <v>0</v>
      </c>
      <c r="AF168" s="50">
        <f>'IS (After Changes)'!AF168-'IS (Before Changes)'!AF168</f>
        <v>0</v>
      </c>
      <c r="AG168" s="22">
        <f>'IS (After Changes)'!AG168-'IS (Before Changes)'!AG168</f>
        <v>0</v>
      </c>
      <c r="AH168" s="50">
        <f>'IS (After Changes)'!AH168-'IS (Before Changes)'!AH168</f>
        <v>0</v>
      </c>
      <c r="AI168" s="50">
        <f>'IS (After Changes)'!AI168-'IS (Before Changes)'!AI168</f>
        <v>0</v>
      </c>
      <c r="AJ168" s="50">
        <f>'IS (After Changes)'!AJ168-'IS (Before Changes)'!AJ168</f>
        <v>0</v>
      </c>
      <c r="AK168" s="50">
        <f>'IS (After Changes)'!AK168-'IS (Before Changes)'!AK168</f>
        <v>0</v>
      </c>
      <c r="AL168" s="22">
        <f>'IS (After Changes)'!AL168-'IS (Before Changes)'!AL168</f>
        <v>0</v>
      </c>
      <c r="AM168" s="50">
        <f>'IS (After Changes)'!AM168-'IS (Before Changes)'!AM168</f>
        <v>0</v>
      </c>
      <c r="AN168" s="50">
        <f>'IS (After Changes)'!AN168-'IS (Before Changes)'!AN168</f>
        <v>0</v>
      </c>
      <c r="AO168" s="50">
        <f>'IS (After Changes)'!AO168-'IS (Before Changes)'!AO168</f>
        <v>0</v>
      </c>
      <c r="AP168" s="50">
        <f>'IS (After Changes)'!AP168-'IS (Before Changes)'!AP168</f>
        <v>0</v>
      </c>
      <c r="AQ168" s="22">
        <f>'IS (After Changes)'!AQ168-'IS (Before Changes)'!AQ168</f>
        <v>0</v>
      </c>
      <c r="AR168" s="50">
        <f>'IS (After Changes)'!AR168-'IS (Before Changes)'!AR168</f>
        <v>0</v>
      </c>
      <c r="AS168" s="50">
        <f>'IS (After Changes)'!AS168-'IS (Before Changes)'!AS168</f>
        <v>0</v>
      </c>
      <c r="AT168" s="50">
        <f>'IS (After Changes)'!AT168-'IS (Before Changes)'!AT168</f>
        <v>0</v>
      </c>
      <c r="AU168" s="50">
        <f>'IS (After Changes)'!AU168-'IS (Before Changes)'!AU168</f>
        <v>0</v>
      </c>
      <c r="AV168" s="22">
        <f>'IS (After Changes)'!AV168-'IS (Before Changes)'!AV168</f>
        <v>0</v>
      </c>
    </row>
    <row r="169" spans="2:48" ht="16.2" outlineLevel="1" x14ac:dyDescent="0.45">
      <c r="B169" s="200" t="s">
        <v>155</v>
      </c>
      <c r="C169" s="201"/>
      <c r="D169" s="104">
        <f>'IS (After Changes)'!D169-'IS (Before Changes)'!D169</f>
        <v>0</v>
      </c>
      <c r="E169" s="104">
        <f>'IS (After Changes)'!E169-'IS (Before Changes)'!E169</f>
        <v>0</v>
      </c>
      <c r="F169" s="104">
        <f>'IS (After Changes)'!F169-'IS (Before Changes)'!F169</f>
        <v>0</v>
      </c>
      <c r="G169" s="104">
        <f>'IS (After Changes)'!G169-'IS (Before Changes)'!G169</f>
        <v>0</v>
      </c>
      <c r="H169" s="169">
        <f>'IS (After Changes)'!H169-'IS (Before Changes)'!H169</f>
        <v>0</v>
      </c>
      <c r="I169" s="104">
        <f>'IS (After Changes)'!I169-'IS (Before Changes)'!I169</f>
        <v>0</v>
      </c>
      <c r="J169" s="104">
        <f>'IS (After Changes)'!J169-'IS (Before Changes)'!J169</f>
        <v>0</v>
      </c>
      <c r="K169" s="104">
        <f>'IS (After Changes)'!K169-'IS (Before Changes)'!K169</f>
        <v>0</v>
      </c>
      <c r="L169" s="104">
        <f>'IS (After Changes)'!L169-'IS (Before Changes)'!L169</f>
        <v>0</v>
      </c>
      <c r="M169" s="169">
        <f>'IS (After Changes)'!M169-'IS (Before Changes)'!M169</f>
        <v>0</v>
      </c>
      <c r="N169" s="104">
        <f>'IS (After Changes)'!N169-'IS (Before Changes)'!N169</f>
        <v>0</v>
      </c>
      <c r="O169" s="104">
        <f>'IS (After Changes)'!O169-'IS (Before Changes)'!O169</f>
        <v>0</v>
      </c>
      <c r="P169" s="104">
        <f>'IS (After Changes)'!P169-'IS (Before Changes)'!P169</f>
        <v>0</v>
      </c>
      <c r="Q169" s="104">
        <f>'IS (After Changes)'!Q169-'IS (Before Changes)'!Q169</f>
        <v>0</v>
      </c>
      <c r="R169" s="17">
        <f>'IS (After Changes)'!R169-'IS (Before Changes)'!R169</f>
        <v>0</v>
      </c>
      <c r="S169" s="104">
        <f>'IS (After Changes)'!S169-'IS (Before Changes)'!S169</f>
        <v>0</v>
      </c>
      <c r="T169" s="52">
        <f>'IS (After Changes)'!T169-'IS (Before Changes)'!T169</f>
        <v>0</v>
      </c>
      <c r="U169" s="52">
        <f>'IS (After Changes)'!U169-'IS (Before Changes)'!U169</f>
        <v>0</v>
      </c>
      <c r="V169" s="52">
        <f>'IS (After Changes)'!V169-'IS (Before Changes)'!V169</f>
        <v>0</v>
      </c>
      <c r="W169" s="17">
        <f>'IS (After Changes)'!W169-'IS (Before Changes)'!W169</f>
        <v>0</v>
      </c>
      <c r="X169" s="52">
        <f>'IS (After Changes)'!X169-'IS (Before Changes)'!X169</f>
        <v>0</v>
      </c>
      <c r="Y169" s="52">
        <f>'IS (After Changes)'!Y169-'IS (Before Changes)'!Y169</f>
        <v>0</v>
      </c>
      <c r="Z169" s="52">
        <f>'IS (After Changes)'!Z169-'IS (Before Changes)'!Z169</f>
        <v>0</v>
      </c>
      <c r="AA169" s="52">
        <f>'IS (After Changes)'!AA169-'IS (Before Changes)'!AA169</f>
        <v>0</v>
      </c>
      <c r="AB169" s="17">
        <f>'IS (After Changes)'!AB169-'IS (Before Changes)'!AB169</f>
        <v>0</v>
      </c>
      <c r="AC169" s="52">
        <f>'IS (After Changes)'!AC169-'IS (Before Changes)'!AC169</f>
        <v>0</v>
      </c>
      <c r="AD169" s="52">
        <f>'IS (After Changes)'!AD169-'IS (Before Changes)'!AD169</f>
        <v>0</v>
      </c>
      <c r="AE169" s="52">
        <f>'IS (After Changes)'!AE169-'IS (Before Changes)'!AE169</f>
        <v>0</v>
      </c>
      <c r="AF169" s="52">
        <f>'IS (After Changes)'!AF169-'IS (Before Changes)'!AF169</f>
        <v>0</v>
      </c>
      <c r="AG169" s="17">
        <f>'IS (After Changes)'!AG169-'IS (Before Changes)'!AG169</f>
        <v>0</v>
      </c>
      <c r="AH169" s="52">
        <f>'IS (After Changes)'!AH169-'IS (Before Changes)'!AH169</f>
        <v>0</v>
      </c>
      <c r="AI169" s="52">
        <f>'IS (After Changes)'!AI169-'IS (Before Changes)'!AI169</f>
        <v>0</v>
      </c>
      <c r="AJ169" s="52">
        <f>'IS (After Changes)'!AJ169-'IS (Before Changes)'!AJ169</f>
        <v>0</v>
      </c>
      <c r="AK169" s="52">
        <f>'IS (After Changes)'!AK169-'IS (Before Changes)'!AK169</f>
        <v>0</v>
      </c>
      <c r="AL169" s="17">
        <f>'IS (After Changes)'!AL169-'IS (Before Changes)'!AL169</f>
        <v>0</v>
      </c>
      <c r="AM169" s="52">
        <f>'IS (After Changes)'!AM169-'IS (Before Changes)'!AM169</f>
        <v>0</v>
      </c>
      <c r="AN169" s="52">
        <f>'IS (After Changes)'!AN169-'IS (Before Changes)'!AN169</f>
        <v>0</v>
      </c>
      <c r="AO169" s="52">
        <f>'IS (After Changes)'!AO169-'IS (Before Changes)'!AO169</f>
        <v>0</v>
      </c>
      <c r="AP169" s="52">
        <f>'IS (After Changes)'!AP169-'IS (Before Changes)'!AP169</f>
        <v>0</v>
      </c>
      <c r="AQ169" s="17">
        <f>'IS (After Changes)'!AQ169-'IS (Before Changes)'!AQ169</f>
        <v>0</v>
      </c>
      <c r="AR169" s="52">
        <f>'IS (After Changes)'!AR169-'IS (Before Changes)'!AR169</f>
        <v>0</v>
      </c>
      <c r="AS169" s="52">
        <f>'IS (After Changes)'!AS169-'IS (Before Changes)'!AS169</f>
        <v>0</v>
      </c>
      <c r="AT169" s="52">
        <f>'IS (After Changes)'!AT169-'IS (Before Changes)'!AT169</f>
        <v>0</v>
      </c>
      <c r="AU169" s="52">
        <f>'IS (After Changes)'!AU169-'IS (Before Changes)'!AU169</f>
        <v>0</v>
      </c>
      <c r="AV169" s="17">
        <f>'IS (After Changes)'!AV169-'IS (Before Changes)'!AV169</f>
        <v>0</v>
      </c>
    </row>
    <row r="170" spans="2:48" s="8" customFormat="1" outlineLevel="1" x14ac:dyDescent="0.3">
      <c r="B170" s="205" t="s">
        <v>68</v>
      </c>
      <c r="C170" s="202"/>
      <c r="D170" s="103">
        <f>'IS (After Changes)'!D170-'IS (Before Changes)'!D170</f>
        <v>0</v>
      </c>
      <c r="E170" s="103">
        <f>'IS (After Changes)'!E170-'IS (Before Changes)'!E170</f>
        <v>0</v>
      </c>
      <c r="F170" s="103">
        <f>'IS (After Changes)'!F170-'IS (Before Changes)'!F170</f>
        <v>0</v>
      </c>
      <c r="G170" s="103">
        <f>'IS (After Changes)'!G170-'IS (Before Changes)'!G170</f>
        <v>0</v>
      </c>
      <c r="H170" s="150">
        <f>'IS (After Changes)'!H170-'IS (Before Changes)'!H170</f>
        <v>0</v>
      </c>
      <c r="I170" s="103">
        <f>'IS (After Changes)'!I170-'IS (Before Changes)'!I170</f>
        <v>0</v>
      </c>
      <c r="J170" s="103">
        <f>'IS (After Changes)'!J170-'IS (Before Changes)'!J170</f>
        <v>0</v>
      </c>
      <c r="K170" s="103">
        <f>'IS (After Changes)'!K170-'IS (Before Changes)'!K170</f>
        <v>0</v>
      </c>
      <c r="L170" s="103">
        <f>'IS (After Changes)'!L170-'IS (Before Changes)'!L170</f>
        <v>0</v>
      </c>
      <c r="M170" s="150">
        <f>'IS (After Changes)'!M170-'IS (Before Changes)'!M170</f>
        <v>0</v>
      </c>
      <c r="N170" s="103">
        <f>'IS (After Changes)'!N170-'IS (Before Changes)'!N170</f>
        <v>0</v>
      </c>
      <c r="O170" s="103">
        <f>'IS (After Changes)'!O170-'IS (Before Changes)'!O170</f>
        <v>0</v>
      </c>
      <c r="P170" s="103">
        <f>'IS (After Changes)'!P170-'IS (Before Changes)'!P170</f>
        <v>0</v>
      </c>
      <c r="Q170" s="103">
        <f>'IS (After Changes)'!Q170-'IS (Before Changes)'!Q170</f>
        <v>0</v>
      </c>
      <c r="R170" s="22">
        <f>'IS (After Changes)'!R170-'IS (Before Changes)'!R170</f>
        <v>0</v>
      </c>
      <c r="S170" s="103">
        <f>'IS (After Changes)'!S170-'IS (Before Changes)'!S170</f>
        <v>0</v>
      </c>
      <c r="T170" s="50">
        <f>'IS (After Changes)'!T170-'IS (Before Changes)'!T170</f>
        <v>0</v>
      </c>
      <c r="U170" s="50">
        <f>'IS (After Changes)'!U170-'IS (Before Changes)'!U170</f>
        <v>0</v>
      </c>
      <c r="V170" s="50">
        <f>'IS (After Changes)'!V170-'IS (Before Changes)'!V170</f>
        <v>0</v>
      </c>
      <c r="W170" s="22">
        <f>'IS (After Changes)'!W170-'IS (Before Changes)'!W170</f>
        <v>0</v>
      </c>
      <c r="X170" s="50">
        <f>'IS (After Changes)'!X170-'IS (Before Changes)'!X170</f>
        <v>0</v>
      </c>
      <c r="Y170" s="50">
        <f>'IS (After Changes)'!Y170-'IS (Before Changes)'!Y170</f>
        <v>0</v>
      </c>
      <c r="Z170" s="50">
        <f>'IS (After Changes)'!Z170-'IS (Before Changes)'!Z170</f>
        <v>0</v>
      </c>
      <c r="AA170" s="50">
        <f>'IS (After Changes)'!AA170-'IS (Before Changes)'!AA170</f>
        <v>0</v>
      </c>
      <c r="AB170" s="22">
        <f>'IS (After Changes)'!AB170-'IS (Before Changes)'!AB170</f>
        <v>0</v>
      </c>
      <c r="AC170" s="50">
        <f>'IS (After Changes)'!AC170-'IS (Before Changes)'!AC170</f>
        <v>0</v>
      </c>
      <c r="AD170" s="50">
        <f>'IS (After Changes)'!AD170-'IS (Before Changes)'!AD170</f>
        <v>0</v>
      </c>
      <c r="AE170" s="50">
        <f>'IS (After Changes)'!AE170-'IS (Before Changes)'!AE170</f>
        <v>0</v>
      </c>
      <c r="AF170" s="50">
        <f>'IS (After Changes)'!AF170-'IS (Before Changes)'!AF170</f>
        <v>0</v>
      </c>
      <c r="AG170" s="22">
        <f>'IS (After Changes)'!AG170-'IS (Before Changes)'!AG170</f>
        <v>0</v>
      </c>
      <c r="AH170" s="50">
        <f>'IS (After Changes)'!AH170-'IS (Before Changes)'!AH170</f>
        <v>0</v>
      </c>
      <c r="AI170" s="50">
        <f>'IS (After Changes)'!AI170-'IS (Before Changes)'!AI170</f>
        <v>0</v>
      </c>
      <c r="AJ170" s="50">
        <f>'IS (After Changes)'!AJ170-'IS (Before Changes)'!AJ170</f>
        <v>0</v>
      </c>
      <c r="AK170" s="50">
        <f>'IS (After Changes)'!AK170-'IS (Before Changes)'!AK170</f>
        <v>0</v>
      </c>
      <c r="AL170" s="22">
        <f>'IS (After Changes)'!AL170-'IS (Before Changes)'!AL170</f>
        <v>0</v>
      </c>
      <c r="AM170" s="50">
        <f>'IS (After Changes)'!AM170-'IS (Before Changes)'!AM170</f>
        <v>0</v>
      </c>
      <c r="AN170" s="50">
        <f>'IS (After Changes)'!AN170-'IS (Before Changes)'!AN170</f>
        <v>0</v>
      </c>
      <c r="AO170" s="50">
        <f>'IS (After Changes)'!AO170-'IS (Before Changes)'!AO170</f>
        <v>0</v>
      </c>
      <c r="AP170" s="50">
        <f>'IS (After Changes)'!AP170-'IS (Before Changes)'!AP170</f>
        <v>0</v>
      </c>
      <c r="AQ170" s="22">
        <f>'IS (After Changes)'!AQ170-'IS (Before Changes)'!AQ170</f>
        <v>0</v>
      </c>
      <c r="AR170" s="50">
        <f>'IS (After Changes)'!AR170-'IS (Before Changes)'!AR170</f>
        <v>0</v>
      </c>
      <c r="AS170" s="50">
        <f>'IS (After Changes)'!AS170-'IS (Before Changes)'!AS170</f>
        <v>0</v>
      </c>
      <c r="AT170" s="50">
        <f>'IS (After Changes)'!AT170-'IS (Before Changes)'!AT170</f>
        <v>0</v>
      </c>
      <c r="AU170" s="50">
        <f>'IS (After Changes)'!AU170-'IS (Before Changes)'!AU170</f>
        <v>0</v>
      </c>
      <c r="AV170" s="22">
        <f>'IS (After Changes)'!AV170-'IS (Before Changes)'!AV170</f>
        <v>0</v>
      </c>
    </row>
    <row r="171" spans="2:48" outlineLevel="1" x14ac:dyDescent="0.3">
      <c r="B171" s="200" t="s">
        <v>69</v>
      </c>
      <c r="C171" s="201"/>
      <c r="D171" s="105">
        <f>'IS (After Changes)'!D171-'IS (Before Changes)'!D171</f>
        <v>0</v>
      </c>
      <c r="E171" s="101">
        <f>'IS (After Changes)'!E171-'IS (Before Changes)'!E171</f>
        <v>0</v>
      </c>
      <c r="F171" s="101">
        <f>'IS (After Changes)'!F171-'IS (Before Changes)'!F171</f>
        <v>0</v>
      </c>
      <c r="G171" s="101">
        <f>'IS (After Changes)'!G171-'IS (Before Changes)'!G171</f>
        <v>0</v>
      </c>
      <c r="H171" s="169">
        <f>'IS (After Changes)'!H171-'IS (Before Changes)'!H171</f>
        <v>0</v>
      </c>
      <c r="I171" s="101">
        <f>'IS (After Changes)'!I171-'IS (Before Changes)'!I171</f>
        <v>0</v>
      </c>
      <c r="J171" s="101">
        <f>'IS (After Changes)'!J171-'IS (Before Changes)'!J171</f>
        <v>0</v>
      </c>
      <c r="K171" s="101">
        <f>'IS (After Changes)'!K171-'IS (Before Changes)'!K171</f>
        <v>0</v>
      </c>
      <c r="L171" s="101">
        <f>'IS (After Changes)'!L171-'IS (Before Changes)'!L171</f>
        <v>0</v>
      </c>
      <c r="M171" s="169">
        <f>'IS (After Changes)'!M171-'IS (Before Changes)'!M171</f>
        <v>0</v>
      </c>
      <c r="N171" s="101">
        <f>'IS (After Changes)'!N171-'IS (Before Changes)'!N171</f>
        <v>0</v>
      </c>
      <c r="O171" s="101">
        <f>'IS (After Changes)'!O171-'IS (Before Changes)'!O171</f>
        <v>0</v>
      </c>
      <c r="P171" s="101">
        <f>'IS (After Changes)'!P171-'IS (Before Changes)'!P171</f>
        <v>0</v>
      </c>
      <c r="Q171" s="101">
        <f>'IS (After Changes)'!Q171-'IS (Before Changes)'!Q171</f>
        <v>0</v>
      </c>
      <c r="R171" s="17">
        <f>'IS (After Changes)'!R171-'IS (Before Changes)'!R171</f>
        <v>0</v>
      </c>
      <c r="S171" s="101">
        <f>'IS (After Changes)'!S171-'IS (Before Changes)'!S171</f>
        <v>0</v>
      </c>
      <c r="T171" s="101">
        <f>'IS (After Changes)'!T171-'IS (Before Changes)'!T171</f>
        <v>0</v>
      </c>
      <c r="U171" s="101">
        <f>'IS (After Changes)'!U171-'IS (Before Changes)'!U171</f>
        <v>0</v>
      </c>
      <c r="V171" s="101">
        <f>'IS (After Changes)'!V171-'IS (Before Changes)'!V171</f>
        <v>0</v>
      </c>
      <c r="W171" s="17">
        <f>'IS (After Changes)'!W171-'IS (Before Changes)'!W171</f>
        <v>0</v>
      </c>
      <c r="X171" s="33">
        <f>'IS (After Changes)'!X171-'IS (Before Changes)'!X171</f>
        <v>0</v>
      </c>
      <c r="Y171" s="33">
        <f>'IS (After Changes)'!Y171-'IS (Before Changes)'!Y171</f>
        <v>0</v>
      </c>
      <c r="Z171" s="33">
        <f>'IS (After Changes)'!Z171-'IS (Before Changes)'!Z171</f>
        <v>0</v>
      </c>
      <c r="AA171" s="33">
        <f>'IS (After Changes)'!AA171-'IS (Before Changes)'!AA171</f>
        <v>0</v>
      </c>
      <c r="AB171" s="17">
        <f>'IS (After Changes)'!AB171-'IS (Before Changes)'!AB171</f>
        <v>0</v>
      </c>
      <c r="AC171" s="33">
        <f>'IS (After Changes)'!AC171-'IS (Before Changes)'!AC171</f>
        <v>0</v>
      </c>
      <c r="AD171" s="33">
        <f>'IS (After Changes)'!AD171-'IS (Before Changes)'!AD171</f>
        <v>0</v>
      </c>
      <c r="AE171" s="33">
        <f>'IS (After Changes)'!AE171-'IS (Before Changes)'!AE171</f>
        <v>0</v>
      </c>
      <c r="AF171" s="33">
        <f>'IS (After Changes)'!AF171-'IS (Before Changes)'!AF171</f>
        <v>0</v>
      </c>
      <c r="AG171" s="17">
        <f>'IS (After Changes)'!AG171-'IS (Before Changes)'!AG171</f>
        <v>0</v>
      </c>
      <c r="AH171" s="33">
        <f>'IS (After Changes)'!AH171-'IS (Before Changes)'!AH171</f>
        <v>0</v>
      </c>
      <c r="AI171" s="33">
        <f>'IS (After Changes)'!AI171-'IS (Before Changes)'!AI171</f>
        <v>0</v>
      </c>
      <c r="AJ171" s="33">
        <f>'IS (After Changes)'!AJ171-'IS (Before Changes)'!AJ171</f>
        <v>0</v>
      </c>
      <c r="AK171" s="33">
        <f>'IS (After Changes)'!AK171-'IS (Before Changes)'!AK171</f>
        <v>0</v>
      </c>
      <c r="AL171" s="17">
        <f>'IS (After Changes)'!AL171-'IS (Before Changes)'!AL171</f>
        <v>0</v>
      </c>
      <c r="AM171" s="33">
        <f>'IS (After Changes)'!AM171-'IS (Before Changes)'!AM171</f>
        <v>0</v>
      </c>
      <c r="AN171" s="33">
        <f>'IS (After Changes)'!AN171-'IS (Before Changes)'!AN171</f>
        <v>0</v>
      </c>
      <c r="AO171" s="33">
        <f>'IS (After Changes)'!AO171-'IS (Before Changes)'!AO171</f>
        <v>0</v>
      </c>
      <c r="AP171" s="33">
        <f>'IS (After Changes)'!AP171-'IS (Before Changes)'!AP171</f>
        <v>0</v>
      </c>
      <c r="AQ171" s="17">
        <f>'IS (After Changes)'!AQ171-'IS (Before Changes)'!AQ171</f>
        <v>0</v>
      </c>
      <c r="AR171" s="33">
        <f>'IS (After Changes)'!AR171-'IS (Before Changes)'!AR171</f>
        <v>0</v>
      </c>
      <c r="AS171" s="33">
        <f>'IS (After Changes)'!AS171-'IS (Before Changes)'!AS171</f>
        <v>0</v>
      </c>
      <c r="AT171" s="33">
        <f>'IS (After Changes)'!AT171-'IS (Before Changes)'!AT171</f>
        <v>0</v>
      </c>
      <c r="AU171" s="33">
        <f>'IS (After Changes)'!AU171-'IS (Before Changes)'!AU171</f>
        <v>0</v>
      </c>
      <c r="AV171" s="17">
        <f>'IS (After Changes)'!AV171-'IS (Before Changes)'!AV171</f>
        <v>0</v>
      </c>
    </row>
    <row r="172" spans="2:48" outlineLevel="1" x14ac:dyDescent="0.3">
      <c r="B172" s="486" t="s">
        <v>75</v>
      </c>
      <c r="C172" s="487"/>
      <c r="D172" s="105">
        <f>'IS (After Changes)'!D172-'IS (Before Changes)'!D172</f>
        <v>0</v>
      </c>
      <c r="E172" s="101">
        <f>'IS (After Changes)'!E172-'IS (Before Changes)'!E172</f>
        <v>0</v>
      </c>
      <c r="F172" s="101">
        <f>'IS (After Changes)'!F172-'IS (Before Changes)'!F172</f>
        <v>0</v>
      </c>
      <c r="G172" s="101">
        <f>'IS (After Changes)'!G172-'IS (Before Changes)'!G172</f>
        <v>0</v>
      </c>
      <c r="H172" s="169">
        <f>'IS (After Changes)'!H172-'IS (Before Changes)'!H172</f>
        <v>0</v>
      </c>
      <c r="I172" s="101">
        <f>'IS (After Changes)'!I172-'IS (Before Changes)'!I172</f>
        <v>0</v>
      </c>
      <c r="J172" s="101">
        <f>'IS (After Changes)'!J172-'IS (Before Changes)'!J172</f>
        <v>0</v>
      </c>
      <c r="K172" s="101">
        <f>'IS (After Changes)'!K172-'IS (Before Changes)'!K172</f>
        <v>0</v>
      </c>
      <c r="L172" s="101">
        <f>'IS (After Changes)'!L172-'IS (Before Changes)'!L172</f>
        <v>0</v>
      </c>
      <c r="M172" s="169">
        <f>'IS (After Changes)'!M172-'IS (Before Changes)'!M172</f>
        <v>0</v>
      </c>
      <c r="N172" s="101">
        <f>'IS (After Changes)'!N172-'IS (Before Changes)'!N172</f>
        <v>0</v>
      </c>
      <c r="O172" s="101">
        <f>'IS (After Changes)'!O172-'IS (Before Changes)'!O172</f>
        <v>0</v>
      </c>
      <c r="P172" s="101">
        <f>'IS (After Changes)'!P172-'IS (Before Changes)'!P172</f>
        <v>0</v>
      </c>
      <c r="Q172" s="101">
        <f>'IS (After Changes)'!Q172-'IS (Before Changes)'!Q172</f>
        <v>0</v>
      </c>
      <c r="R172" s="17">
        <f>'IS (After Changes)'!R172-'IS (Before Changes)'!R172</f>
        <v>0</v>
      </c>
      <c r="S172" s="101">
        <f>'IS (After Changes)'!S172-'IS (Before Changes)'!S172</f>
        <v>0</v>
      </c>
      <c r="T172" s="16">
        <f>'IS (After Changes)'!T172-'IS (Before Changes)'!T172</f>
        <v>0</v>
      </c>
      <c r="U172" s="16">
        <f>'IS (After Changes)'!U172-'IS (Before Changes)'!U172</f>
        <v>0</v>
      </c>
      <c r="V172" s="16">
        <f>'IS (After Changes)'!V172-'IS (Before Changes)'!V172</f>
        <v>0</v>
      </c>
      <c r="W172" s="17">
        <f>'IS (After Changes)'!W172-'IS (Before Changes)'!W172</f>
        <v>0</v>
      </c>
      <c r="X172" s="16">
        <f>'IS (After Changes)'!X172-'IS (Before Changes)'!X172</f>
        <v>0</v>
      </c>
      <c r="Y172" s="16">
        <f>'IS (After Changes)'!Y172-'IS (Before Changes)'!Y172</f>
        <v>0</v>
      </c>
      <c r="Z172" s="16">
        <f>'IS (After Changes)'!Z172-'IS (Before Changes)'!Z172</f>
        <v>0</v>
      </c>
      <c r="AA172" s="16">
        <f>'IS (After Changes)'!AA172-'IS (Before Changes)'!AA172</f>
        <v>0</v>
      </c>
      <c r="AB172" s="17">
        <f>'IS (After Changes)'!AB172-'IS (Before Changes)'!AB172</f>
        <v>0</v>
      </c>
      <c r="AC172" s="16">
        <f>'IS (After Changes)'!AC172-'IS (Before Changes)'!AC172</f>
        <v>0</v>
      </c>
      <c r="AD172" s="16">
        <f>'IS (After Changes)'!AD172-'IS (Before Changes)'!AD172</f>
        <v>0</v>
      </c>
      <c r="AE172" s="16">
        <f>'IS (After Changes)'!AE172-'IS (Before Changes)'!AE172</f>
        <v>0</v>
      </c>
      <c r="AF172" s="16">
        <f>'IS (After Changes)'!AF172-'IS (Before Changes)'!AF172</f>
        <v>0</v>
      </c>
      <c r="AG172" s="17">
        <f>'IS (After Changes)'!AG172-'IS (Before Changes)'!AG172</f>
        <v>0</v>
      </c>
      <c r="AH172" s="16">
        <f>'IS (After Changes)'!AH172-'IS (Before Changes)'!AH172</f>
        <v>0</v>
      </c>
      <c r="AI172" s="16">
        <f>'IS (After Changes)'!AI172-'IS (Before Changes)'!AI172</f>
        <v>0</v>
      </c>
      <c r="AJ172" s="16">
        <f>'IS (After Changes)'!AJ172-'IS (Before Changes)'!AJ172</f>
        <v>0</v>
      </c>
      <c r="AK172" s="16">
        <f>'IS (After Changes)'!AK172-'IS (Before Changes)'!AK172</f>
        <v>0</v>
      </c>
      <c r="AL172" s="17">
        <f>'IS (After Changes)'!AL172-'IS (Before Changes)'!AL172</f>
        <v>0</v>
      </c>
      <c r="AM172" s="16">
        <f>'IS (After Changes)'!AM172-'IS (Before Changes)'!AM172</f>
        <v>0</v>
      </c>
      <c r="AN172" s="16">
        <f>'IS (After Changes)'!AN172-'IS (Before Changes)'!AN172</f>
        <v>0</v>
      </c>
      <c r="AO172" s="16">
        <f>'IS (After Changes)'!AO172-'IS (Before Changes)'!AO172</f>
        <v>0</v>
      </c>
      <c r="AP172" s="16">
        <f>'IS (After Changes)'!AP172-'IS (Before Changes)'!AP172</f>
        <v>0</v>
      </c>
      <c r="AQ172" s="17">
        <f>'IS (After Changes)'!AQ172-'IS (Before Changes)'!AQ172</f>
        <v>0</v>
      </c>
      <c r="AR172" s="16">
        <f>'IS (After Changes)'!AR172-'IS (Before Changes)'!AR172</f>
        <v>0</v>
      </c>
      <c r="AS172" s="16">
        <f>'IS (After Changes)'!AS172-'IS (Before Changes)'!AS172</f>
        <v>0</v>
      </c>
      <c r="AT172" s="16">
        <f>'IS (After Changes)'!AT172-'IS (Before Changes)'!AT172</f>
        <v>0</v>
      </c>
      <c r="AU172" s="16">
        <f>'IS (After Changes)'!AU172-'IS (Before Changes)'!AU172</f>
        <v>0</v>
      </c>
      <c r="AV172" s="17">
        <f>'IS (After Changes)'!AV172-'IS (Before Changes)'!AV172</f>
        <v>0</v>
      </c>
    </row>
    <row r="173" spans="2:48" outlineLevel="1" x14ac:dyDescent="0.3">
      <c r="B173" s="203" t="s">
        <v>76</v>
      </c>
      <c r="C173" s="204"/>
      <c r="D173" s="211">
        <f>'IS (After Changes)'!D173-'IS (Before Changes)'!D173</f>
        <v>0</v>
      </c>
      <c r="E173" s="211">
        <f>'IS (After Changes)'!E173-'IS (Before Changes)'!E173</f>
        <v>0</v>
      </c>
      <c r="F173" s="211">
        <f>'IS (After Changes)'!F173-'IS (Before Changes)'!F173</f>
        <v>0</v>
      </c>
      <c r="G173" s="211">
        <f>'IS (After Changes)'!G173-'IS (Before Changes)'!G173</f>
        <v>0</v>
      </c>
      <c r="H173" s="212">
        <f>'IS (After Changes)'!H173-'IS (Before Changes)'!H173</f>
        <v>0</v>
      </c>
      <c r="I173" s="211">
        <f>'IS (After Changes)'!I173-'IS (Before Changes)'!I173</f>
        <v>0</v>
      </c>
      <c r="J173" s="211">
        <f>'IS (After Changes)'!J173-'IS (Before Changes)'!J173</f>
        <v>0</v>
      </c>
      <c r="K173" s="211">
        <f>'IS (After Changes)'!K173-'IS (Before Changes)'!K173</f>
        <v>0</v>
      </c>
      <c r="L173" s="211">
        <f>'IS (After Changes)'!L173-'IS (Before Changes)'!L173</f>
        <v>0</v>
      </c>
      <c r="M173" s="212">
        <f>'IS (After Changes)'!M173-'IS (Before Changes)'!M173</f>
        <v>0</v>
      </c>
      <c r="N173" s="211">
        <f>'IS (After Changes)'!N173-'IS (Before Changes)'!N173</f>
        <v>0</v>
      </c>
      <c r="O173" s="211">
        <f>'IS (After Changes)'!O173-'IS (Before Changes)'!O173</f>
        <v>0</v>
      </c>
      <c r="P173" s="211">
        <f>'IS (After Changes)'!P173-'IS (Before Changes)'!P173</f>
        <v>0</v>
      </c>
      <c r="Q173" s="211">
        <f>'IS (After Changes)'!Q173-'IS (Before Changes)'!Q173</f>
        <v>0</v>
      </c>
      <c r="R173" s="37">
        <f>'IS (After Changes)'!R173-'IS (Before Changes)'!R173</f>
        <v>0</v>
      </c>
      <c r="S173" s="211">
        <f>'IS (After Changes)'!S173-'IS (Before Changes)'!S173</f>
        <v>0</v>
      </c>
      <c r="T173" s="211">
        <f>'IS (After Changes)'!T173-'IS (Before Changes)'!T173</f>
        <v>0</v>
      </c>
      <c r="U173" s="211">
        <f>'IS (After Changes)'!U173-'IS (Before Changes)'!U173</f>
        <v>0</v>
      </c>
      <c r="V173" s="211">
        <f>'IS (After Changes)'!V173-'IS (Before Changes)'!V173</f>
        <v>0</v>
      </c>
      <c r="W173" s="37">
        <f>'IS (After Changes)'!W173-'IS (Before Changes)'!W173</f>
        <v>0</v>
      </c>
      <c r="X173" s="94">
        <f>'IS (After Changes)'!X173-'IS (Before Changes)'!X173</f>
        <v>0</v>
      </c>
      <c r="Y173" s="94">
        <f>'IS (After Changes)'!Y173-'IS (Before Changes)'!Y173</f>
        <v>0</v>
      </c>
      <c r="Z173" s="94">
        <f>'IS (After Changes)'!Z173-'IS (Before Changes)'!Z173</f>
        <v>0</v>
      </c>
      <c r="AA173" s="94">
        <f>'IS (After Changes)'!AA173-'IS (Before Changes)'!AA173</f>
        <v>0</v>
      </c>
      <c r="AB173" s="37">
        <f>'IS (After Changes)'!AB173-'IS (Before Changes)'!AB173</f>
        <v>0</v>
      </c>
      <c r="AC173" s="94">
        <f>'IS (After Changes)'!AC173-'IS (Before Changes)'!AC173</f>
        <v>0</v>
      </c>
      <c r="AD173" s="94">
        <f>'IS (After Changes)'!AD173-'IS (Before Changes)'!AD173</f>
        <v>0</v>
      </c>
      <c r="AE173" s="94">
        <f>'IS (After Changes)'!AE173-'IS (Before Changes)'!AE173</f>
        <v>0</v>
      </c>
      <c r="AF173" s="94">
        <f>'IS (After Changes)'!AF173-'IS (Before Changes)'!AF173</f>
        <v>0</v>
      </c>
      <c r="AG173" s="37">
        <f>'IS (After Changes)'!AG173-'IS (Before Changes)'!AG173</f>
        <v>0</v>
      </c>
      <c r="AH173" s="94">
        <f>'IS (After Changes)'!AH173-'IS (Before Changes)'!AH173</f>
        <v>0</v>
      </c>
      <c r="AI173" s="94">
        <f>'IS (After Changes)'!AI173-'IS (Before Changes)'!AI173</f>
        <v>0</v>
      </c>
      <c r="AJ173" s="94">
        <f>'IS (After Changes)'!AJ173-'IS (Before Changes)'!AJ173</f>
        <v>0</v>
      </c>
      <c r="AK173" s="94">
        <f>'IS (After Changes)'!AK173-'IS (Before Changes)'!AK173</f>
        <v>0</v>
      </c>
      <c r="AL173" s="37">
        <f>'IS (After Changes)'!AL173-'IS (Before Changes)'!AL173</f>
        <v>0</v>
      </c>
      <c r="AM173" s="94">
        <f>'IS (After Changes)'!AM173-'IS (Before Changes)'!AM173</f>
        <v>0</v>
      </c>
      <c r="AN173" s="94">
        <f>'IS (After Changes)'!AN173-'IS (Before Changes)'!AN173</f>
        <v>0</v>
      </c>
      <c r="AO173" s="94">
        <f>'IS (After Changes)'!AO173-'IS (Before Changes)'!AO173</f>
        <v>0</v>
      </c>
      <c r="AP173" s="94">
        <f>'IS (After Changes)'!AP173-'IS (Before Changes)'!AP173</f>
        <v>0</v>
      </c>
      <c r="AQ173" s="37">
        <f>'IS (After Changes)'!AQ173-'IS (Before Changes)'!AQ173</f>
        <v>0</v>
      </c>
      <c r="AR173" s="94">
        <f>'IS (After Changes)'!AR173-'IS (Before Changes)'!AR173</f>
        <v>0</v>
      </c>
      <c r="AS173" s="94">
        <f>'IS (After Changes)'!AS173-'IS (Before Changes)'!AS173</f>
        <v>0</v>
      </c>
      <c r="AT173" s="94">
        <f>'IS (After Changes)'!AT173-'IS (Before Changes)'!AT173</f>
        <v>0</v>
      </c>
      <c r="AU173" s="94">
        <f>'IS (After Changes)'!AU173-'IS (Before Changes)'!AU173</f>
        <v>0</v>
      </c>
      <c r="AV173" s="37">
        <f>'IS (After Changes)'!AV173-'IS (Before Changes)'!AV173</f>
        <v>0</v>
      </c>
    </row>
    <row r="175" spans="2:48" x14ac:dyDescent="0.3">
      <c r="B175" s="382"/>
      <c r="Q175" s="383"/>
      <c r="R175" s="383"/>
      <c r="S175" s="383"/>
      <c r="T175" s="383"/>
      <c r="U175" s="383"/>
      <c r="V175" s="383"/>
      <c r="W175" s="383"/>
      <c r="X175" s="383"/>
      <c r="Y175" s="383"/>
      <c r="Z175" s="383"/>
      <c r="AA175" s="383"/>
      <c r="AB175" s="383"/>
      <c r="AC175" s="383"/>
      <c r="AD175" s="383"/>
      <c r="AE175" s="383"/>
      <c r="AF175" s="383"/>
      <c r="AH175" s="383"/>
      <c r="AI175" s="383"/>
      <c r="AJ175" s="383"/>
      <c r="AK175" s="383"/>
    </row>
    <row r="176" spans="2:48" ht="14.55" customHeight="1" x14ac:dyDescent="0.3">
      <c r="B176" s="382"/>
      <c r="Q176" s="383"/>
      <c r="R176" s="383"/>
      <c r="S176" s="383"/>
      <c r="T176" s="383"/>
      <c r="U176" s="383"/>
      <c r="V176" s="383"/>
      <c r="W176" s="383"/>
      <c r="X176" s="383"/>
      <c r="Y176" s="383"/>
      <c r="Z176" s="383"/>
      <c r="AA176" s="383"/>
      <c r="AB176" s="383"/>
      <c r="AC176" s="383"/>
      <c r="AD176" s="383"/>
      <c r="AE176" s="383"/>
      <c r="AF176" s="383"/>
      <c r="AH176" s="383"/>
      <c r="AI176" s="383"/>
      <c r="AJ176" s="383"/>
      <c r="AK176" s="383"/>
    </row>
    <row r="177" spans="1:48" ht="14.55" customHeight="1" x14ac:dyDescent="0.3">
      <c r="B177" s="382"/>
      <c r="Q177" s="383"/>
      <c r="R177" s="383"/>
      <c r="S177" s="383"/>
      <c r="T177" s="383"/>
      <c r="U177" s="383"/>
      <c r="V177" s="383"/>
      <c r="W177" s="383"/>
      <c r="X177" s="383"/>
      <c r="Y177" s="383"/>
      <c r="Z177" s="383"/>
      <c r="AA177" s="383"/>
      <c r="AB177" s="383"/>
      <c r="AC177" s="383"/>
      <c r="AD177" s="383"/>
      <c r="AE177" s="383"/>
      <c r="AF177" s="383"/>
      <c r="AH177" s="383"/>
      <c r="AI177" s="383"/>
      <c r="AJ177" s="383"/>
      <c r="AK177" s="383"/>
    </row>
    <row r="178" spans="1:48" ht="14.55" customHeight="1" x14ac:dyDescent="0.3">
      <c r="A178" s="161"/>
      <c r="B178" s="382"/>
      <c r="Q178" s="383"/>
      <c r="R178" s="383"/>
      <c r="S178" s="383"/>
      <c r="T178" s="383"/>
      <c r="U178" s="383"/>
      <c r="V178" s="383"/>
      <c r="W178" s="383"/>
      <c r="X178" s="383"/>
      <c r="Y178" s="383"/>
      <c r="Z178" s="383"/>
      <c r="AA178" s="383"/>
      <c r="AB178" s="383"/>
      <c r="AC178" s="383"/>
      <c r="AD178" s="383"/>
      <c r="AE178" s="383"/>
      <c r="AF178" s="383"/>
      <c r="AH178" s="383"/>
      <c r="AI178" s="383"/>
      <c r="AJ178" s="383"/>
      <c r="AK178" s="383"/>
    </row>
    <row r="179" spans="1:48" s="23" customFormat="1" ht="14.55" customHeight="1" x14ac:dyDescent="0.3">
      <c r="A179" s="161"/>
    </row>
    <row r="180" spans="1:48" s="23" customFormat="1" ht="14.55" customHeight="1" x14ac:dyDescent="0.3">
      <c r="A180" s="161"/>
      <c r="B180" s="382"/>
      <c r="Q180" s="384"/>
      <c r="R180" s="384"/>
      <c r="S180" s="384"/>
      <c r="T180" s="384"/>
      <c r="U180" s="384"/>
      <c r="V180" s="384"/>
      <c r="W180" s="384"/>
      <c r="X180" s="384"/>
      <c r="Y180" s="384"/>
      <c r="Z180" s="384"/>
      <c r="AA180" s="384"/>
      <c r="AB180" s="384"/>
      <c r="AC180" s="384"/>
      <c r="AD180" s="384"/>
      <c r="AE180" s="384"/>
      <c r="AF180" s="384"/>
      <c r="AG180" s="384"/>
      <c r="AH180" s="384"/>
      <c r="AI180" s="384"/>
      <c r="AJ180" s="384"/>
      <c r="AK180" s="384"/>
      <c r="AL180" s="384"/>
      <c r="AM180" s="384"/>
      <c r="AN180" s="384"/>
      <c r="AO180" s="384"/>
      <c r="AP180" s="384"/>
      <c r="AQ180" s="384"/>
      <c r="AR180" s="384"/>
      <c r="AS180" s="384"/>
      <c r="AT180" s="384"/>
      <c r="AU180" s="384"/>
    </row>
    <row r="181" spans="1:48" ht="16.2" customHeight="1" x14ac:dyDescent="0.3">
      <c r="A181" s="161"/>
      <c r="B181" s="382"/>
      <c r="Q181" s="384"/>
      <c r="R181" s="384"/>
      <c r="S181" s="384"/>
      <c r="T181" s="384"/>
      <c r="U181" s="384"/>
      <c r="V181" s="384"/>
      <c r="W181" s="384"/>
      <c r="X181" s="384"/>
      <c r="Y181" s="384"/>
      <c r="Z181" s="384"/>
      <c r="AA181" s="384"/>
      <c r="AB181" s="384"/>
      <c r="AC181" s="384"/>
      <c r="AD181" s="384"/>
      <c r="AE181" s="384"/>
      <c r="AF181" s="384"/>
      <c r="AG181" s="384"/>
      <c r="AH181" s="384"/>
      <c r="AI181" s="384"/>
      <c r="AJ181" s="384"/>
      <c r="AK181" s="384"/>
      <c r="AL181" s="384"/>
      <c r="AM181" s="384"/>
      <c r="AN181" s="384"/>
      <c r="AO181" s="384"/>
      <c r="AP181" s="384"/>
      <c r="AQ181" s="384"/>
      <c r="AR181" s="384"/>
      <c r="AS181" s="384"/>
      <c r="AT181" s="384"/>
      <c r="AU181" s="384"/>
    </row>
    <row r="182" spans="1:48" ht="14.55" customHeight="1" x14ac:dyDescent="0.3">
      <c r="A182" s="161"/>
      <c r="B182" s="382"/>
      <c r="Q182" s="384"/>
      <c r="R182" s="384"/>
      <c r="S182" s="384"/>
      <c r="T182" s="384"/>
      <c r="U182" s="384"/>
      <c r="V182" s="384"/>
      <c r="W182" s="384"/>
      <c r="X182" s="384"/>
      <c r="Y182" s="384"/>
      <c r="Z182" s="384"/>
      <c r="AA182" s="384"/>
      <c r="AB182" s="384"/>
      <c r="AC182" s="384"/>
      <c r="AD182" s="384"/>
      <c r="AE182" s="384"/>
      <c r="AF182" s="384"/>
      <c r="AG182" s="384"/>
      <c r="AH182" s="384"/>
      <c r="AI182" s="384"/>
      <c r="AJ182" s="384"/>
      <c r="AK182" s="384"/>
      <c r="AL182" s="384"/>
      <c r="AM182" s="384"/>
      <c r="AN182" s="384"/>
      <c r="AO182" s="384"/>
      <c r="AP182" s="384"/>
      <c r="AQ182" s="384"/>
      <c r="AR182" s="384"/>
      <c r="AS182" s="384"/>
      <c r="AT182" s="384"/>
      <c r="AU182" s="384"/>
    </row>
    <row r="183" spans="1:48" ht="14.55" customHeight="1" x14ac:dyDescent="0.3">
      <c r="A183" s="161"/>
      <c r="B183" s="382"/>
      <c r="Q183" s="384"/>
      <c r="R183" s="384"/>
      <c r="S183" s="384"/>
      <c r="T183" s="384"/>
      <c r="U183" s="384"/>
      <c r="V183" s="384"/>
      <c r="W183" s="384"/>
      <c r="X183" s="384"/>
      <c r="Y183" s="384"/>
      <c r="Z183" s="384"/>
      <c r="AA183" s="384"/>
      <c r="AB183" s="384"/>
      <c r="AC183" s="384"/>
      <c r="AD183" s="384"/>
      <c r="AE183" s="384"/>
      <c r="AF183" s="384"/>
      <c r="AG183" s="384"/>
      <c r="AH183" s="384"/>
      <c r="AI183" s="384"/>
      <c r="AJ183" s="384"/>
      <c r="AK183" s="384"/>
      <c r="AL183" s="384"/>
      <c r="AM183" s="384"/>
      <c r="AN183" s="384"/>
      <c r="AO183" s="384"/>
      <c r="AP183" s="384"/>
      <c r="AQ183" s="384"/>
      <c r="AR183" s="384"/>
      <c r="AS183" s="384"/>
      <c r="AT183" s="384"/>
      <c r="AU183" s="384"/>
    </row>
    <row r="184" spans="1:48" ht="14.55" customHeight="1" x14ac:dyDescent="0.3">
      <c r="A184" s="161"/>
    </row>
    <row r="185" spans="1:48" s="8" customFormat="1" x14ac:dyDescent="0.3">
      <c r="A185" s="161"/>
      <c r="B185" s="382"/>
      <c r="Q185" s="384"/>
      <c r="R185" s="384"/>
      <c r="S185" s="384"/>
      <c r="T185" s="384"/>
      <c r="U185" s="384"/>
      <c r="V185" s="384"/>
      <c r="W185" s="384"/>
      <c r="X185" s="384"/>
      <c r="Y185" s="384"/>
      <c r="Z185" s="384"/>
      <c r="AA185" s="384"/>
      <c r="AB185" s="384"/>
      <c r="AC185" s="384"/>
      <c r="AD185" s="384"/>
      <c r="AE185" s="384"/>
      <c r="AF185" s="384"/>
      <c r="AG185" s="384"/>
      <c r="AH185" s="384"/>
      <c r="AI185" s="384"/>
      <c r="AJ185" s="384"/>
      <c r="AK185" s="384"/>
      <c r="AL185" s="384"/>
      <c r="AM185" s="384"/>
      <c r="AN185" s="384"/>
      <c r="AO185" s="384"/>
      <c r="AP185" s="384"/>
      <c r="AQ185" s="384"/>
      <c r="AR185" s="384"/>
      <c r="AS185" s="384"/>
      <c r="AT185" s="384"/>
      <c r="AU185" s="384"/>
    </row>
    <row r="186" spans="1:48" s="8" customFormat="1" x14ac:dyDescent="0.3">
      <c r="A186" s="161"/>
      <c r="B186" s="382"/>
      <c r="Q186" s="384"/>
      <c r="R186" s="384"/>
      <c r="S186" s="384"/>
      <c r="T186" s="384"/>
      <c r="U186" s="384"/>
      <c r="V186" s="384"/>
      <c r="W186" s="384"/>
      <c r="X186" s="384"/>
      <c r="Y186" s="384"/>
      <c r="Z186" s="384"/>
      <c r="AA186" s="384"/>
      <c r="AB186" s="384"/>
      <c r="AC186" s="384"/>
      <c r="AD186" s="384"/>
      <c r="AE186" s="384"/>
      <c r="AF186" s="384"/>
      <c r="AG186" s="384"/>
      <c r="AH186" s="384"/>
      <c r="AI186" s="384"/>
      <c r="AJ186" s="384"/>
      <c r="AK186" s="384"/>
      <c r="AL186" s="384"/>
      <c r="AM186" s="384"/>
      <c r="AN186" s="384"/>
      <c r="AO186" s="384"/>
      <c r="AP186" s="384"/>
      <c r="AQ186" s="384"/>
      <c r="AR186" s="384"/>
      <c r="AS186" s="384"/>
      <c r="AT186" s="384"/>
      <c r="AU186" s="384"/>
    </row>
    <row r="187" spans="1:48" s="8" customFormat="1" x14ac:dyDescent="0.3">
      <c r="A187" s="161"/>
      <c r="B187" s="382"/>
      <c r="Q187" s="384"/>
      <c r="R187" s="384"/>
      <c r="S187" s="384"/>
      <c r="T187" s="384"/>
      <c r="U187" s="384"/>
      <c r="V187" s="384"/>
      <c r="W187" s="384"/>
      <c r="X187" s="384"/>
      <c r="Y187" s="384"/>
      <c r="Z187" s="384"/>
      <c r="AA187" s="384"/>
      <c r="AB187" s="384"/>
      <c r="AC187" s="384"/>
      <c r="AD187" s="384"/>
      <c r="AE187" s="384"/>
      <c r="AF187" s="384"/>
      <c r="AG187" s="384"/>
      <c r="AH187" s="384"/>
      <c r="AI187" s="384"/>
      <c r="AJ187" s="384"/>
      <c r="AK187" s="384"/>
      <c r="AL187" s="384"/>
      <c r="AM187" s="384"/>
      <c r="AN187" s="384"/>
      <c r="AO187" s="384"/>
      <c r="AP187" s="384"/>
      <c r="AQ187" s="384"/>
      <c r="AR187" s="384"/>
      <c r="AS187" s="384"/>
      <c r="AT187" s="384"/>
      <c r="AU187" s="384"/>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B28F1-5CBA-476C-A073-A2CAF90A056E}">
  <sheetPr>
    <tabColor theme="8" tint="0.39997558519241921"/>
    <pageSetUpPr fitToPage="1"/>
  </sheetPr>
  <dimension ref="A1:AV67"/>
  <sheetViews>
    <sheetView showGridLines="0" zoomScaleNormal="100" workbookViewId="0">
      <pane xSplit="3" ySplit="5" topLeftCell="L47" activePane="bottomRight" state="frozen"/>
      <selection activeCell="T193" sqref="T193"/>
      <selection pane="topRight" activeCell="T193" sqref="T193"/>
      <selection pane="bottomLeft" activeCell="T193" sqref="T193"/>
      <selection pane="bottomRight" activeCell="B1" sqref="B1"/>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494" t="s">
        <v>249</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494" t="s">
        <v>211</v>
      </c>
      <c r="C5" s="495"/>
      <c r="D5" s="13"/>
      <c r="E5" s="13"/>
      <c r="F5" s="13"/>
      <c r="G5" s="258"/>
      <c r="H5" s="259"/>
      <c r="I5" s="258"/>
      <c r="J5" s="13"/>
      <c r="K5" s="13"/>
      <c r="L5" s="258"/>
      <c r="M5" s="259"/>
      <c r="N5" s="258"/>
      <c r="O5" s="13"/>
      <c r="P5" s="13"/>
      <c r="Q5" s="258"/>
      <c r="R5" s="259"/>
      <c r="S5" s="258"/>
      <c r="T5" s="13"/>
      <c r="U5" s="13"/>
      <c r="V5" s="258"/>
      <c r="W5" s="259"/>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486" t="s">
        <v>212</v>
      </c>
      <c r="C6" s="487"/>
      <c r="D6" s="16">
        <f>'BS (After Changes)'!D6-'BS (Before Changes)'!D6</f>
        <v>0</v>
      </c>
      <c r="E6" s="16">
        <f>'BS (After Changes)'!E6-'BS (Before Changes)'!E6</f>
        <v>0</v>
      </c>
      <c r="F6" s="16">
        <f>'BS (After Changes)'!F6-'BS (Before Changes)'!F6</f>
        <v>0</v>
      </c>
      <c r="G6" s="101">
        <f>'BS (After Changes)'!G6-'BS (Before Changes)'!G6</f>
        <v>0</v>
      </c>
      <c r="H6" s="17">
        <f>'BS (After Changes)'!H6-'BS (Before Changes)'!H6</f>
        <v>0</v>
      </c>
      <c r="I6" s="16">
        <f>'BS (After Changes)'!I6-'BS (Before Changes)'!I6</f>
        <v>0</v>
      </c>
      <c r="J6" s="16">
        <f>'BS (After Changes)'!J6-'BS (Before Changes)'!J6</f>
        <v>0</v>
      </c>
      <c r="K6" s="16">
        <f>'BS (After Changes)'!K6-'BS (Before Changes)'!K6</f>
        <v>0</v>
      </c>
      <c r="L6" s="101">
        <f>'BS (After Changes)'!L6-'BS (Before Changes)'!L6</f>
        <v>0</v>
      </c>
      <c r="M6" s="17">
        <f>'BS (After Changes)'!M6-'BS (Before Changes)'!M6</f>
        <v>0</v>
      </c>
      <c r="N6" s="16">
        <f>'BS (After Changes)'!N6-'BS (Before Changes)'!N6</f>
        <v>0</v>
      </c>
      <c r="O6" s="16">
        <f>'BS (After Changes)'!O6-'BS (Before Changes)'!O6</f>
        <v>0</v>
      </c>
      <c r="P6" s="16">
        <f>'BS (After Changes)'!P6-'BS (Before Changes)'!P6</f>
        <v>0</v>
      </c>
      <c r="Q6" s="16">
        <f>'BS (After Changes)'!Q6-'BS (Before Changes)'!Q6</f>
        <v>0</v>
      </c>
      <c r="R6" s="17">
        <f>'BS (After Changes)'!R6-'BS (Before Changes)'!R6</f>
        <v>0</v>
      </c>
      <c r="S6" s="16">
        <f>'BS (After Changes)'!S6-'BS (Before Changes)'!S6</f>
        <v>0</v>
      </c>
      <c r="T6" s="16">
        <f>'BS (After Changes)'!T6-'BS (Before Changes)'!T6</f>
        <v>0</v>
      </c>
      <c r="U6" s="16">
        <f>'BS (After Changes)'!U6-'BS (Before Changes)'!U6</f>
        <v>0</v>
      </c>
      <c r="V6" s="16">
        <f>'BS (After Changes)'!V6-'BS (Before Changes)'!V6</f>
        <v>0</v>
      </c>
      <c r="W6" s="17">
        <f>'BS (After Changes)'!W6-'BS (Before Changes)'!W6</f>
        <v>0</v>
      </c>
      <c r="X6" s="16">
        <f>'BS (After Changes)'!X6-'BS (Before Changes)'!X6</f>
        <v>1.3829254286392825</v>
      </c>
      <c r="Y6" s="16">
        <f>'BS (After Changes)'!Y6-'BS (Before Changes)'!Y6</f>
        <v>-33.489657142686156</v>
      </c>
      <c r="Z6" s="16">
        <f>'BS (After Changes)'!Z6-'BS (Before Changes)'!Z6</f>
        <v>-49.670627662322204</v>
      </c>
      <c r="AA6" s="16">
        <f>'BS (After Changes)'!AA6-'BS (Before Changes)'!AA6</f>
        <v>-156.17671345215149</v>
      </c>
      <c r="AB6" s="17">
        <f>'BS (After Changes)'!AB6-'BS (Before Changes)'!AB6</f>
        <v>-156.17671345215149</v>
      </c>
      <c r="AC6" s="16">
        <f>'BS (After Changes)'!AC6-'BS (Before Changes)'!AC6</f>
        <v>-95.149477854266479</v>
      </c>
      <c r="AD6" s="16">
        <f>'BS (After Changes)'!AD6-'BS (Before Changes)'!AD6</f>
        <v>-29.573410023176621</v>
      </c>
      <c r="AE6" s="16">
        <f>'BS (After Changes)'!AE6-'BS (Before Changes)'!AE6</f>
        <v>59.618250002234163</v>
      </c>
      <c r="AF6" s="16">
        <f>'BS (After Changes)'!AF6-'BS (Before Changes)'!AF6</f>
        <v>168.83975169059977</v>
      </c>
      <c r="AG6" s="17">
        <f>'BS (After Changes)'!AG6-'BS (Before Changes)'!AG6</f>
        <v>168.83975169059977</v>
      </c>
      <c r="AH6" s="16">
        <f>'BS (After Changes)'!AH6-'BS (Before Changes)'!AH6</f>
        <v>209.69005785308946</v>
      </c>
      <c r="AI6" s="16">
        <f>'BS (After Changes)'!AI6-'BS (Before Changes)'!AI6</f>
        <v>291.65088040900446</v>
      </c>
      <c r="AJ6" s="16">
        <f>'BS (After Changes)'!AJ6-'BS (Before Changes)'!AJ6</f>
        <v>401.60626444650097</v>
      </c>
      <c r="AK6" s="16">
        <f>'BS (After Changes)'!AK6-'BS (Before Changes)'!AK6</f>
        <v>535.84129125329582</v>
      </c>
      <c r="AL6" s="17">
        <f>'BS (After Changes)'!AL6-'BS (Before Changes)'!AL6</f>
        <v>535.84129125329582</v>
      </c>
      <c r="AM6" s="16">
        <f>'BS (After Changes)'!AM6-'BS (Before Changes)'!AM6</f>
        <v>591.3716327794732</v>
      </c>
      <c r="AN6" s="16">
        <f>'BS (After Changes)'!AN6-'BS (Before Changes)'!AN6</f>
        <v>682.99547127598635</v>
      </c>
      <c r="AO6" s="16">
        <f>'BS (After Changes)'!AO6-'BS (Before Changes)'!AO6</f>
        <v>804.95804708342803</v>
      </c>
      <c r="AP6" s="16">
        <f>'BS (After Changes)'!AP6-'BS (Before Changes)'!AP6</f>
        <v>954.51120425021372</v>
      </c>
      <c r="AQ6" s="17">
        <f>'BS (After Changes)'!AQ6-'BS (Before Changes)'!AQ6</f>
        <v>954.51120425021372</v>
      </c>
      <c r="AR6" s="16">
        <f>'BS (After Changes)'!AR6-'BS (Before Changes)'!AR6</f>
        <v>1016.2989601189292</v>
      </c>
      <c r="AS6" s="16">
        <f>'BS (After Changes)'!AS6-'BS (Before Changes)'!AS6</f>
        <v>1116.7184367257496</v>
      </c>
      <c r="AT6" s="16">
        <f>'BS (After Changes)'!AT6-'BS (Before Changes)'!AT6</f>
        <v>1250.0477630839614</v>
      </c>
      <c r="AU6" s="16">
        <f>'BS (After Changes)'!AU6-'BS (Before Changes)'!AU6</f>
        <v>1411.2554448008032</v>
      </c>
      <c r="AV6" s="17">
        <f>'BS (After Changes)'!AV6-'BS (Before Changes)'!AV6</f>
        <v>1411.2554448008032</v>
      </c>
    </row>
    <row r="7" spans="1:48" ht="14.55" customHeight="1" outlineLevel="1" x14ac:dyDescent="0.3">
      <c r="A7" s="161"/>
      <c r="B7" s="200" t="s">
        <v>213</v>
      </c>
      <c r="C7" s="201"/>
      <c r="D7" s="16">
        <f>'BS (After Changes)'!D7-'BS (Before Changes)'!D7</f>
        <v>0</v>
      </c>
      <c r="E7" s="16">
        <f>'BS (After Changes)'!E7-'BS (Before Changes)'!E7</f>
        <v>0</v>
      </c>
      <c r="F7" s="16">
        <f>'BS (After Changes)'!F7-'BS (Before Changes)'!F7</f>
        <v>0</v>
      </c>
      <c r="G7" s="16">
        <f>'BS (After Changes)'!G7-'BS (Before Changes)'!G7</f>
        <v>0</v>
      </c>
      <c r="H7" s="17">
        <f>'BS (After Changes)'!H7-'BS (Before Changes)'!H7</f>
        <v>0</v>
      </c>
      <c r="I7" s="16">
        <f>'BS (After Changes)'!I7-'BS (Before Changes)'!I7</f>
        <v>0</v>
      </c>
      <c r="J7" s="16">
        <f>'BS (After Changes)'!J7-'BS (Before Changes)'!J7</f>
        <v>0</v>
      </c>
      <c r="K7" s="16">
        <f>'BS (After Changes)'!K7-'BS (Before Changes)'!K7</f>
        <v>0</v>
      </c>
      <c r="L7" s="16">
        <f>'BS (After Changes)'!L7-'BS (Before Changes)'!L7</f>
        <v>0</v>
      </c>
      <c r="M7" s="17">
        <f>'BS (After Changes)'!M7-'BS (Before Changes)'!M7</f>
        <v>0</v>
      </c>
      <c r="N7" s="16">
        <f>'BS (After Changes)'!N7-'BS (Before Changes)'!N7</f>
        <v>0</v>
      </c>
      <c r="O7" s="16">
        <f>'BS (After Changes)'!O7-'BS (Before Changes)'!O7</f>
        <v>0</v>
      </c>
      <c r="P7" s="16">
        <f>'BS (After Changes)'!P7-'BS (Before Changes)'!P7</f>
        <v>0</v>
      </c>
      <c r="Q7" s="101">
        <f>'BS (After Changes)'!Q7-'BS (Before Changes)'!Q7</f>
        <v>0</v>
      </c>
      <c r="R7" s="17">
        <f>'BS (After Changes)'!R7-'BS (Before Changes)'!R7</f>
        <v>0</v>
      </c>
      <c r="S7" s="16">
        <f>'BS (After Changes)'!S7-'BS (Before Changes)'!S7</f>
        <v>0</v>
      </c>
      <c r="T7" s="16">
        <f>'BS (After Changes)'!T7-'BS (Before Changes)'!T7</f>
        <v>0</v>
      </c>
      <c r="U7" s="16">
        <f>'BS (After Changes)'!U7-'BS (Before Changes)'!U7</f>
        <v>0</v>
      </c>
      <c r="V7" s="16">
        <f>'BS (After Changes)'!V7-'BS (Before Changes)'!V7</f>
        <v>0</v>
      </c>
      <c r="W7" s="17">
        <f>'BS (After Changes)'!W7-'BS (Before Changes)'!W7</f>
        <v>0</v>
      </c>
      <c r="X7" s="16">
        <f>'BS (After Changes)'!X7-'BS (Before Changes)'!X7</f>
        <v>5.208004023612034E-2</v>
      </c>
      <c r="Y7" s="16">
        <f>'BS (After Changes)'!Y7-'BS (Before Changes)'!Y7</f>
        <v>4.9942268647669152E-3</v>
      </c>
      <c r="Z7" s="16">
        <f>'BS (After Changes)'!Z7-'BS (Before Changes)'!Z7</f>
        <v>0.27938313125457626</v>
      </c>
      <c r="AA7" s="16">
        <f>'BS (After Changes)'!AA7-'BS (Before Changes)'!AA7</f>
        <v>6.4437881280809961E-4</v>
      </c>
      <c r="AB7" s="17">
        <f>'BS (After Changes)'!AB7-'BS (Before Changes)'!AB7</f>
        <v>6.4437881280809961E-4</v>
      </c>
      <c r="AC7" s="16">
        <f>'BS (After Changes)'!AC7-'BS (Before Changes)'!AC7</f>
        <v>-0.31979390156689647</v>
      </c>
      <c r="AD7" s="16">
        <f>'BS (After Changes)'!AD7-'BS (Before Changes)'!AD7</f>
        <v>-3.3510975994857972E-2</v>
      </c>
      <c r="AE7" s="16">
        <f>'BS (After Changes)'!AE7-'BS (Before Changes)'!AE7</f>
        <v>0.87959386934335271</v>
      </c>
      <c r="AF7" s="16">
        <f>'BS (After Changes)'!AF7-'BS (Before Changes)'!AF7</f>
        <v>1.6917067349145896</v>
      </c>
      <c r="AG7" s="17">
        <f>'BS (After Changes)'!AG7-'BS (Before Changes)'!AG7</f>
        <v>1.6917067349145896</v>
      </c>
      <c r="AH7" s="16">
        <f>'BS (After Changes)'!AH7-'BS (Before Changes)'!AH7</f>
        <v>1.7911141351987396</v>
      </c>
      <c r="AI7" s="16">
        <f>'BS (After Changes)'!AI7-'BS (Before Changes)'!AI7</f>
        <v>2.2149844582812648</v>
      </c>
      <c r="AJ7" s="16">
        <f>'BS (After Changes)'!AJ7-'BS (Before Changes)'!AJ7</f>
        <v>3.3140186518998007</v>
      </c>
      <c r="AK7" s="16">
        <f>'BS (After Changes)'!AK7-'BS (Before Changes)'!AK7</f>
        <v>4.264345615389999</v>
      </c>
      <c r="AL7" s="17">
        <f>'BS (After Changes)'!AL7-'BS (Before Changes)'!AL7</f>
        <v>4.264345615389999</v>
      </c>
      <c r="AM7" s="16">
        <f>'BS (After Changes)'!AM7-'BS (Before Changes)'!AM7</f>
        <v>4.3976564503870179</v>
      </c>
      <c r="AN7" s="16">
        <f>'BS (After Changes)'!AN7-'BS (Before Changes)'!AN7</f>
        <v>4.8553169532831646</v>
      </c>
      <c r="AO7" s="16">
        <f>'BS (After Changes)'!AO7-'BS (Before Changes)'!AO7</f>
        <v>6.0435206006762314</v>
      </c>
      <c r="AP7" s="16">
        <f>'BS (After Changes)'!AP7-'BS (Before Changes)'!AP7</f>
        <v>7.0849349683481933</v>
      </c>
      <c r="AQ7" s="17">
        <f>'BS (After Changes)'!AQ7-'BS (Before Changes)'!AQ7</f>
        <v>7.0849349683481933</v>
      </c>
      <c r="AR7" s="16">
        <f>'BS (After Changes)'!AR7-'BS (Before Changes)'!AR7</f>
        <v>7.2509996335665505</v>
      </c>
      <c r="AS7" s="16">
        <f>'BS (After Changes)'!AS7-'BS (Before Changes)'!AS7</f>
        <v>7.7390144822158504</v>
      </c>
      <c r="AT7" s="16">
        <f>'BS (After Changes)'!AT7-'BS (Before Changes)'!AT7</f>
        <v>9.011476091217645</v>
      </c>
      <c r="AU7" s="16">
        <f>'BS (After Changes)'!AU7-'BS (Before Changes)'!AU7</f>
        <v>10.133935460406462</v>
      </c>
      <c r="AV7" s="17">
        <f>'BS (After Changes)'!AV7-'BS (Before Changes)'!AV7</f>
        <v>10.133935460406462</v>
      </c>
    </row>
    <row r="8" spans="1:48" s="23" customFormat="1" ht="14.55" customHeight="1" outlineLevel="1" x14ac:dyDescent="0.3">
      <c r="A8" s="161"/>
      <c r="B8" s="486" t="s">
        <v>214</v>
      </c>
      <c r="C8" s="487"/>
      <c r="D8" s="16">
        <f>'BS (After Changes)'!D8-'BS (Before Changes)'!D8</f>
        <v>0</v>
      </c>
      <c r="E8" s="16">
        <f>'BS (After Changes)'!E8-'BS (Before Changes)'!E8</f>
        <v>0</v>
      </c>
      <c r="F8" s="16">
        <f>'BS (After Changes)'!F8-'BS (Before Changes)'!F8</f>
        <v>0</v>
      </c>
      <c r="G8" s="16">
        <f>'BS (After Changes)'!G8-'BS (Before Changes)'!G8</f>
        <v>0</v>
      </c>
      <c r="H8" s="17">
        <f>'BS (After Changes)'!H8-'BS (Before Changes)'!H8</f>
        <v>0</v>
      </c>
      <c r="I8" s="16">
        <f>'BS (After Changes)'!I8-'BS (Before Changes)'!I8</f>
        <v>0</v>
      </c>
      <c r="J8" s="16">
        <f>'BS (After Changes)'!J8-'BS (Before Changes)'!J8</f>
        <v>0</v>
      </c>
      <c r="K8" s="16">
        <f>'BS (After Changes)'!K8-'BS (Before Changes)'!K8</f>
        <v>0</v>
      </c>
      <c r="L8" s="16">
        <f>'BS (After Changes)'!L8-'BS (Before Changes)'!L8</f>
        <v>0</v>
      </c>
      <c r="M8" s="17">
        <f>'BS (After Changes)'!M8-'BS (Before Changes)'!M8</f>
        <v>0</v>
      </c>
      <c r="N8" s="16">
        <f>'BS (After Changes)'!N8-'BS (Before Changes)'!N8</f>
        <v>0</v>
      </c>
      <c r="O8" s="16">
        <f>'BS (After Changes)'!O8-'BS (Before Changes)'!O8</f>
        <v>0</v>
      </c>
      <c r="P8" s="16">
        <f>'BS (After Changes)'!P8-'BS (Before Changes)'!P8</f>
        <v>0</v>
      </c>
      <c r="Q8" s="101">
        <f>'BS (After Changes)'!Q8-'BS (Before Changes)'!Q8</f>
        <v>0</v>
      </c>
      <c r="R8" s="17">
        <f>'BS (After Changes)'!R8-'BS (Before Changes)'!R8</f>
        <v>0</v>
      </c>
      <c r="S8" s="16">
        <f>'BS (After Changes)'!S8-'BS (Before Changes)'!S8</f>
        <v>0</v>
      </c>
      <c r="T8" s="16">
        <f>'BS (After Changes)'!T8-'BS (Before Changes)'!T8</f>
        <v>0</v>
      </c>
      <c r="U8" s="16">
        <f>'BS (After Changes)'!U8-'BS (Before Changes)'!U8</f>
        <v>0</v>
      </c>
      <c r="V8" s="16">
        <f>'BS (After Changes)'!V8-'BS (Before Changes)'!V8</f>
        <v>0</v>
      </c>
      <c r="W8" s="17">
        <f>'BS (After Changes)'!W8-'BS (Before Changes)'!W8</f>
        <v>0</v>
      </c>
      <c r="X8" s="16">
        <f>'BS (After Changes)'!X8-'BS (Before Changes)'!X8</f>
        <v>3.7368966815076874</v>
      </c>
      <c r="Y8" s="16">
        <f>'BS (After Changes)'!Y8-'BS (Before Changes)'!Y8</f>
        <v>3.8138574030324435</v>
      </c>
      <c r="Z8" s="16">
        <f>'BS (After Changes)'!Z8-'BS (Before Changes)'!Z8</f>
        <v>21.589089063786105</v>
      </c>
      <c r="AA8" s="16">
        <f>'BS (After Changes)'!AA8-'BS (Before Changes)'!AA8</f>
        <v>19.013573309079447</v>
      </c>
      <c r="AB8" s="17">
        <f>'BS (After Changes)'!AB8-'BS (Before Changes)'!AB8</f>
        <v>19.013573309079447</v>
      </c>
      <c r="AC8" s="16">
        <f>'BS (After Changes)'!AC8-'BS (Before Changes)'!AC8</f>
        <v>8.0831272692066705</v>
      </c>
      <c r="AD8" s="16">
        <f>'BS (After Changes)'!AD8-'BS (Before Changes)'!AD8</f>
        <v>7.9303862896972532</v>
      </c>
      <c r="AE8" s="16">
        <f>'BS (After Changes)'!AE8-'BS (Before Changes)'!AE8</f>
        <v>25.742481061421131</v>
      </c>
      <c r="AF8" s="16">
        <f>'BS (After Changes)'!AF8-'BS (Before Changes)'!AF8</f>
        <v>24.227605218709186</v>
      </c>
      <c r="AG8" s="17">
        <f>'BS (After Changes)'!AG8-'BS (Before Changes)'!AG8</f>
        <v>24.227605218709186</v>
      </c>
      <c r="AH8" s="16">
        <f>'BS (After Changes)'!AH8-'BS (Before Changes)'!AH8</f>
        <v>13.307397869360329</v>
      </c>
      <c r="AI8" s="16">
        <f>'BS (After Changes)'!AI8-'BS (Before Changes)'!AI8</f>
        <v>13.202647515994158</v>
      </c>
      <c r="AJ8" s="16">
        <f>'BS (After Changes)'!AJ8-'BS (Before Changes)'!AJ8</f>
        <v>34.760022593214217</v>
      </c>
      <c r="AK8" s="16">
        <f>'BS (After Changes)'!AK8-'BS (Before Changes)'!AK8</f>
        <v>32.630799969573445</v>
      </c>
      <c r="AL8" s="17">
        <f>'BS (After Changes)'!AL8-'BS (Before Changes)'!AL8</f>
        <v>32.630799969573445</v>
      </c>
      <c r="AM8" s="16">
        <f>'BS (After Changes)'!AM8-'BS (Before Changes)'!AM8</f>
        <v>14.457293091197698</v>
      </c>
      <c r="AN8" s="16">
        <f>'BS (After Changes)'!AN8-'BS (Before Changes)'!AN8</f>
        <v>14.44807027349475</v>
      </c>
      <c r="AO8" s="16">
        <f>'BS (After Changes)'!AO8-'BS (Before Changes)'!AO8</f>
        <v>37.823498642147115</v>
      </c>
      <c r="AP8" s="16">
        <f>'BS (After Changes)'!AP8-'BS (Before Changes)'!AP8</f>
        <v>34.864949300573471</v>
      </c>
      <c r="AQ8" s="17">
        <f>'BS (After Changes)'!AQ8-'BS (Before Changes)'!AQ8</f>
        <v>34.864949300573471</v>
      </c>
      <c r="AR8" s="16">
        <f>'BS (After Changes)'!AR8-'BS (Before Changes)'!AR8</f>
        <v>15.406704145084632</v>
      </c>
      <c r="AS8" s="16">
        <f>'BS (After Changes)'!AS8-'BS (Before Changes)'!AS8</f>
        <v>15.273093649844441</v>
      </c>
      <c r="AT8" s="16">
        <f>'BS (After Changes)'!AT8-'BS (Before Changes)'!AT8</f>
        <v>39.660902804894022</v>
      </c>
      <c r="AU8" s="16">
        <f>'BS (After Changes)'!AU8-'BS (Before Changes)'!AU8</f>
        <v>37.05765834785484</v>
      </c>
      <c r="AV8" s="17">
        <f>'BS (After Changes)'!AV8-'BS (Before Changes)'!AV8</f>
        <v>37.05765834785484</v>
      </c>
    </row>
    <row r="9" spans="1:48" s="23" customFormat="1" ht="14.55" customHeight="1" outlineLevel="1" x14ac:dyDescent="0.3">
      <c r="A9" s="161"/>
      <c r="B9" s="200" t="s">
        <v>215</v>
      </c>
      <c r="C9" s="201"/>
      <c r="D9" s="16">
        <f>'BS (After Changes)'!D9-'BS (Before Changes)'!D9</f>
        <v>0</v>
      </c>
      <c r="E9" s="16">
        <f>'BS (After Changes)'!E9-'BS (Before Changes)'!E9</f>
        <v>0</v>
      </c>
      <c r="F9" s="16">
        <f>'BS (After Changes)'!F9-'BS (Before Changes)'!F9</f>
        <v>0</v>
      </c>
      <c r="G9" s="16">
        <f>'BS (After Changes)'!G9-'BS (Before Changes)'!G9</f>
        <v>0</v>
      </c>
      <c r="H9" s="17">
        <f>'BS (After Changes)'!H9-'BS (Before Changes)'!H9</f>
        <v>0</v>
      </c>
      <c r="I9" s="16">
        <f>'BS (After Changes)'!I9-'BS (Before Changes)'!I9</f>
        <v>0</v>
      </c>
      <c r="J9" s="16">
        <f>'BS (After Changes)'!J9-'BS (Before Changes)'!J9</f>
        <v>0</v>
      </c>
      <c r="K9" s="16">
        <f>'BS (After Changes)'!K9-'BS (Before Changes)'!K9</f>
        <v>0</v>
      </c>
      <c r="L9" s="16">
        <f>'BS (After Changes)'!L9-'BS (Before Changes)'!L9</f>
        <v>0</v>
      </c>
      <c r="M9" s="17">
        <f>'BS (After Changes)'!M9-'BS (Before Changes)'!M9</f>
        <v>0</v>
      </c>
      <c r="N9" s="16">
        <f>'BS (After Changes)'!N9-'BS (Before Changes)'!N9</f>
        <v>0</v>
      </c>
      <c r="O9" s="16">
        <f>'BS (After Changes)'!O9-'BS (Before Changes)'!O9</f>
        <v>0</v>
      </c>
      <c r="P9" s="16">
        <f>'BS (After Changes)'!P9-'BS (Before Changes)'!P9</f>
        <v>0</v>
      </c>
      <c r="Q9" s="101">
        <f>'BS (After Changes)'!Q9-'BS (Before Changes)'!Q9</f>
        <v>0</v>
      </c>
      <c r="R9" s="17">
        <f>'BS (After Changes)'!R9-'BS (Before Changes)'!R9</f>
        <v>0</v>
      </c>
      <c r="S9" s="16">
        <f>'BS (After Changes)'!S9-'BS (Before Changes)'!S9</f>
        <v>0</v>
      </c>
      <c r="T9" s="16">
        <f>'BS (After Changes)'!T9-'BS (Before Changes)'!T9</f>
        <v>0</v>
      </c>
      <c r="U9" s="16">
        <f>'BS (After Changes)'!U9-'BS (Before Changes)'!U9</f>
        <v>0</v>
      </c>
      <c r="V9" s="16">
        <f>'BS (After Changes)'!V9-'BS (Before Changes)'!V9</f>
        <v>0</v>
      </c>
      <c r="W9" s="17">
        <f>'BS (After Changes)'!W9-'BS (Before Changes)'!W9</f>
        <v>0</v>
      </c>
      <c r="X9" s="16">
        <f>'BS (After Changes)'!X9-'BS (Before Changes)'!X9</f>
        <v>3.4285873333349173</v>
      </c>
      <c r="Y9" s="16">
        <f>'BS (After Changes)'!Y9-'BS (Before Changes)'!Y9</f>
        <v>26.797469647691742</v>
      </c>
      <c r="Z9" s="16">
        <f>'BS (After Changes)'!Z9-'BS (Before Changes)'!Z9</f>
        <v>59.623428177476399</v>
      </c>
      <c r="AA9" s="16">
        <f>'BS (After Changes)'!AA9-'BS (Before Changes)'!AA9</f>
        <v>114.34459341872434</v>
      </c>
      <c r="AB9" s="17">
        <f>'BS (After Changes)'!AB9-'BS (Before Changes)'!AB9</f>
        <v>114.34459341872434</v>
      </c>
      <c r="AC9" s="16">
        <f>'BS (After Changes)'!AC9-'BS (Before Changes)'!AC9</f>
        <v>7.0884362603719637</v>
      </c>
      <c r="AD9" s="16">
        <f>'BS (After Changes)'!AD9-'BS (Before Changes)'!AD9</f>
        <v>-12.243011438744816</v>
      </c>
      <c r="AE9" s="16">
        <f>'BS (After Changes)'!AE9-'BS (Before Changes)'!AE9</f>
        <v>13.092346841855033</v>
      </c>
      <c r="AF9" s="16">
        <f>'BS (After Changes)'!AF9-'BS (Before Changes)'!AF9</f>
        <v>20.511359356695721</v>
      </c>
      <c r="AG9" s="17">
        <f>'BS (After Changes)'!AG9-'BS (Before Changes)'!AG9</f>
        <v>20.511359356695721</v>
      </c>
      <c r="AH9" s="16">
        <f>'BS (After Changes)'!AH9-'BS (Before Changes)'!AH9</f>
        <v>11.403411645979759</v>
      </c>
      <c r="AI9" s="16">
        <f>'BS (After Changes)'!AI9-'BS (Before Changes)'!AI9</f>
        <v>-9.3791262646741416</v>
      </c>
      <c r="AJ9" s="16">
        <f>'BS (After Changes)'!AJ9-'BS (Before Changes)'!AJ9</f>
        <v>19.688037718100986</v>
      </c>
      <c r="AK9" s="16">
        <f>'BS (After Changes)'!AK9-'BS (Before Changes)'!AK9</f>
        <v>28.108305243444192</v>
      </c>
      <c r="AL9" s="17">
        <f>'BS (After Changes)'!AL9-'BS (Before Changes)'!AL9</f>
        <v>28.108305243444192</v>
      </c>
      <c r="AM9" s="16">
        <f>'BS (After Changes)'!AM9-'BS (Before Changes)'!AM9</f>
        <v>12.440669031167545</v>
      </c>
      <c r="AN9" s="16">
        <f>'BS (After Changes)'!AN9-'BS (Before Changes)'!AN9</f>
        <v>-10.134470636417973</v>
      </c>
      <c r="AO9" s="16">
        <f>'BS (After Changes)'!AO9-'BS (Before Changes)'!AO9</f>
        <v>21.339136013109965</v>
      </c>
      <c r="AP9" s="16">
        <f>'BS (After Changes)'!AP9-'BS (Before Changes)'!AP9</f>
        <v>29.935457775441137</v>
      </c>
      <c r="AQ9" s="17">
        <f>'BS (After Changes)'!AQ9-'BS (Before Changes)'!AQ9</f>
        <v>29.935457775441137</v>
      </c>
      <c r="AR9" s="16">
        <f>'BS (After Changes)'!AR9-'BS (Before Changes)'!AR9</f>
        <v>13.295363082364474</v>
      </c>
      <c r="AS9" s="16">
        <f>'BS (After Changes)'!AS9-'BS (Before Changes)'!AS9</f>
        <v>-10.746199508069822</v>
      </c>
      <c r="AT9" s="16">
        <f>'BS (After Changes)'!AT9-'BS (Before Changes)'!AT9</f>
        <v>22.54422605338641</v>
      </c>
      <c r="AU9" s="16">
        <f>'BS (After Changes)'!AU9-'BS (Before Changes)'!AU9</f>
        <v>31.921041077038353</v>
      </c>
      <c r="AV9" s="17">
        <f>'BS (After Changes)'!AV9-'BS (Before Changes)'!AV9</f>
        <v>31.921041077038353</v>
      </c>
    </row>
    <row r="10" spans="1:48" ht="16.2" customHeight="1" outlineLevel="1" x14ac:dyDescent="0.45">
      <c r="A10" s="161"/>
      <c r="B10" s="486" t="s">
        <v>216</v>
      </c>
      <c r="C10" s="487"/>
      <c r="D10" s="260">
        <f>'BS (After Changes)'!D10-'BS (Before Changes)'!D10</f>
        <v>0</v>
      </c>
      <c r="E10" s="112">
        <f>'BS (After Changes)'!E10-'BS (Before Changes)'!E10</f>
        <v>0</v>
      </c>
      <c r="F10" s="112">
        <f>'BS (After Changes)'!F10-'BS (Before Changes)'!F10</f>
        <v>0</v>
      </c>
      <c r="G10" s="112">
        <f>'BS (After Changes)'!G10-'BS (Before Changes)'!G10</f>
        <v>0</v>
      </c>
      <c r="H10" s="261">
        <f>'BS (After Changes)'!H10-'BS (Before Changes)'!H10</f>
        <v>0</v>
      </c>
      <c r="I10" s="112">
        <f>'BS (After Changes)'!I10-'BS (Before Changes)'!I10</f>
        <v>0</v>
      </c>
      <c r="J10" s="112">
        <f>'BS (After Changes)'!J10-'BS (Before Changes)'!J10</f>
        <v>0</v>
      </c>
      <c r="K10" s="112">
        <f>'BS (After Changes)'!K10-'BS (Before Changes)'!K10</f>
        <v>0</v>
      </c>
      <c r="L10" s="112">
        <f>'BS (After Changes)'!L10-'BS (Before Changes)'!L10</f>
        <v>0</v>
      </c>
      <c r="M10" s="261">
        <f>'BS (After Changes)'!M10-'BS (Before Changes)'!M10</f>
        <v>0</v>
      </c>
      <c r="N10" s="112">
        <f>'BS (After Changes)'!N10-'BS (Before Changes)'!N10</f>
        <v>0</v>
      </c>
      <c r="O10" s="112">
        <f>'BS (After Changes)'!O10-'BS (Before Changes)'!O10</f>
        <v>0</v>
      </c>
      <c r="P10" s="112">
        <f>'BS (After Changes)'!P10-'BS (Before Changes)'!P10</f>
        <v>0</v>
      </c>
      <c r="Q10" s="112">
        <f>'BS (After Changes)'!Q10-'BS (Before Changes)'!Q10</f>
        <v>0</v>
      </c>
      <c r="R10" s="261">
        <f>'BS (After Changes)'!R10-'BS (Before Changes)'!R10</f>
        <v>0</v>
      </c>
      <c r="S10" s="112">
        <f>'BS (After Changes)'!S10-'BS (Before Changes)'!S10</f>
        <v>0</v>
      </c>
      <c r="T10" s="112">
        <f>'BS (After Changes)'!T10-'BS (Before Changes)'!T10</f>
        <v>0</v>
      </c>
      <c r="U10" s="112">
        <f>'BS (After Changes)'!U10-'BS (Before Changes)'!U10</f>
        <v>0</v>
      </c>
      <c r="V10" s="112">
        <f>'BS (After Changes)'!V10-'BS (Before Changes)'!V10</f>
        <v>0</v>
      </c>
      <c r="W10" s="261">
        <f>'BS (After Changes)'!W10-'BS (Before Changes)'!W10</f>
        <v>0</v>
      </c>
      <c r="X10" s="32">
        <f>'BS (After Changes)'!X10-'BS (Before Changes)'!X10</f>
        <v>0</v>
      </c>
      <c r="Y10" s="32">
        <f>'BS (After Changes)'!Y10-'BS (Before Changes)'!Y10</f>
        <v>0</v>
      </c>
      <c r="Z10" s="32">
        <f>'BS (After Changes)'!Z10-'BS (Before Changes)'!Z10</f>
        <v>0</v>
      </c>
      <c r="AA10" s="32">
        <f>'BS (After Changes)'!AA10-'BS (Before Changes)'!AA10</f>
        <v>0</v>
      </c>
      <c r="AB10" s="261">
        <f>'BS (After Changes)'!AB10-'BS (Before Changes)'!AB10</f>
        <v>0</v>
      </c>
      <c r="AC10" s="32">
        <f>'BS (After Changes)'!AC10-'BS (Before Changes)'!AC10</f>
        <v>0</v>
      </c>
      <c r="AD10" s="32">
        <f>'BS (After Changes)'!AD10-'BS (Before Changes)'!AD10</f>
        <v>0</v>
      </c>
      <c r="AE10" s="32">
        <f>'BS (After Changes)'!AE10-'BS (Before Changes)'!AE10</f>
        <v>0</v>
      </c>
      <c r="AF10" s="32">
        <f>'BS (After Changes)'!AF10-'BS (Before Changes)'!AF10</f>
        <v>0</v>
      </c>
      <c r="AG10" s="261">
        <f>'BS (After Changes)'!AG10-'BS (Before Changes)'!AG10</f>
        <v>0</v>
      </c>
      <c r="AH10" s="32">
        <f>'BS (After Changes)'!AH10-'BS (Before Changes)'!AH10</f>
        <v>0</v>
      </c>
      <c r="AI10" s="32">
        <f>'BS (After Changes)'!AI10-'BS (Before Changes)'!AI10</f>
        <v>0</v>
      </c>
      <c r="AJ10" s="32">
        <f>'BS (After Changes)'!AJ10-'BS (Before Changes)'!AJ10</f>
        <v>0</v>
      </c>
      <c r="AK10" s="32">
        <f>'BS (After Changes)'!AK10-'BS (Before Changes)'!AK10</f>
        <v>0</v>
      </c>
      <c r="AL10" s="261">
        <f>'BS (After Changes)'!AL10-'BS (Before Changes)'!AL10</f>
        <v>0</v>
      </c>
      <c r="AM10" s="32">
        <f>'BS (After Changes)'!AM10-'BS (Before Changes)'!AM10</f>
        <v>0</v>
      </c>
      <c r="AN10" s="32">
        <f>'BS (After Changes)'!AN10-'BS (Before Changes)'!AN10</f>
        <v>0</v>
      </c>
      <c r="AO10" s="32">
        <f>'BS (After Changes)'!AO10-'BS (Before Changes)'!AO10</f>
        <v>0</v>
      </c>
      <c r="AP10" s="32">
        <f>'BS (After Changes)'!AP10-'BS (Before Changes)'!AP10</f>
        <v>0</v>
      </c>
      <c r="AQ10" s="261">
        <f>'BS (After Changes)'!AQ10-'BS (Before Changes)'!AQ10</f>
        <v>0</v>
      </c>
      <c r="AR10" s="32">
        <f>'BS (After Changes)'!AR10-'BS (Before Changes)'!AR10</f>
        <v>0</v>
      </c>
      <c r="AS10" s="32">
        <f>'BS (After Changes)'!AS10-'BS (Before Changes)'!AS10</f>
        <v>0</v>
      </c>
      <c r="AT10" s="32">
        <f>'BS (After Changes)'!AT10-'BS (Before Changes)'!AT10</f>
        <v>0</v>
      </c>
      <c r="AU10" s="32">
        <f>'BS (After Changes)'!AU10-'BS (Before Changes)'!AU10</f>
        <v>0</v>
      </c>
      <c r="AV10" s="261">
        <f>'BS (After Changes)'!AV10-'BS (Before Changes)'!AV10</f>
        <v>0</v>
      </c>
    </row>
    <row r="11" spans="1:48" ht="14.55" customHeight="1" outlineLevel="1" x14ac:dyDescent="0.3">
      <c r="A11" s="161"/>
      <c r="B11" s="205" t="s">
        <v>217</v>
      </c>
      <c r="C11" s="206"/>
      <c r="D11" s="21">
        <f>'BS (After Changes)'!D11-'BS (Before Changes)'!D11</f>
        <v>0</v>
      </c>
      <c r="E11" s="21">
        <f>'BS (After Changes)'!E11-'BS (Before Changes)'!E11</f>
        <v>0</v>
      </c>
      <c r="F11" s="21">
        <f>'BS (After Changes)'!F11-'BS (Before Changes)'!F11</f>
        <v>0</v>
      </c>
      <c r="G11" s="21">
        <f>'BS (After Changes)'!G11-'BS (Before Changes)'!G11</f>
        <v>0</v>
      </c>
      <c r="H11" s="22">
        <f>'BS (After Changes)'!H11-'BS (Before Changes)'!H11</f>
        <v>0</v>
      </c>
      <c r="I11" s="21">
        <f>'BS (After Changes)'!I11-'BS (Before Changes)'!I11</f>
        <v>0</v>
      </c>
      <c r="J11" s="21">
        <f>'BS (After Changes)'!J11-'BS (Before Changes)'!J11</f>
        <v>0</v>
      </c>
      <c r="K11" s="21">
        <f>'BS (After Changes)'!K11-'BS (Before Changes)'!K11</f>
        <v>0</v>
      </c>
      <c r="L11" s="116">
        <f>'BS (After Changes)'!L11-'BS (Before Changes)'!L11</f>
        <v>0</v>
      </c>
      <c r="M11" s="22">
        <f>'BS (After Changes)'!M11-'BS (Before Changes)'!M11</f>
        <v>0</v>
      </c>
      <c r="N11" s="21">
        <f>'BS (After Changes)'!N11-'BS (Before Changes)'!N11</f>
        <v>0</v>
      </c>
      <c r="O11" s="21">
        <f>'BS (After Changes)'!O11-'BS (Before Changes)'!O11</f>
        <v>0</v>
      </c>
      <c r="P11" s="21">
        <f>'BS (After Changes)'!P11-'BS (Before Changes)'!P11</f>
        <v>0</v>
      </c>
      <c r="Q11" s="116">
        <f>'BS (After Changes)'!Q11-'BS (Before Changes)'!Q11</f>
        <v>0</v>
      </c>
      <c r="R11" s="22">
        <f>'BS (After Changes)'!R11-'BS (Before Changes)'!R11</f>
        <v>0</v>
      </c>
      <c r="S11" s="21">
        <f>'BS (After Changes)'!S11-'BS (Before Changes)'!S11</f>
        <v>0</v>
      </c>
      <c r="T11" s="21">
        <f>'BS (After Changes)'!T11-'BS (Before Changes)'!T11</f>
        <v>0</v>
      </c>
      <c r="U11" s="21">
        <f>'BS (After Changes)'!U11-'BS (Before Changes)'!U11</f>
        <v>0</v>
      </c>
      <c r="V11" s="116">
        <f>'BS (After Changes)'!V11-'BS (Before Changes)'!V11</f>
        <v>0</v>
      </c>
      <c r="W11" s="22">
        <f>'BS (After Changes)'!W11-'BS (Before Changes)'!W11</f>
        <v>0</v>
      </c>
      <c r="X11" s="21">
        <f>'BS (After Changes)'!X11-'BS (Before Changes)'!X11</f>
        <v>8.6004894837178654</v>
      </c>
      <c r="Y11" s="21">
        <f>'BS (After Changes)'!Y11-'BS (Before Changes)'!Y11</f>
        <v>-2.8733358650979426</v>
      </c>
      <c r="Z11" s="21">
        <f>'BS (After Changes)'!Z11-'BS (Before Changes)'!Z11</f>
        <v>31.821272710195444</v>
      </c>
      <c r="AA11" s="21">
        <f>'BS (After Changes)'!AA11-'BS (Before Changes)'!AA11</f>
        <v>-22.817902345535913</v>
      </c>
      <c r="AB11" s="22">
        <f>'BS (After Changes)'!AB11-'BS (Before Changes)'!AB11</f>
        <v>-22.817902345535913</v>
      </c>
      <c r="AC11" s="21">
        <f>'BS (After Changes)'!AC11-'BS (Before Changes)'!AC11</f>
        <v>-80.297708226255054</v>
      </c>
      <c r="AD11" s="21">
        <f>'BS (After Changes)'!AD11-'BS (Before Changes)'!AD11</f>
        <v>-33.919546148221343</v>
      </c>
      <c r="AE11" s="21">
        <f>'BS (After Changes)'!AE11-'BS (Before Changes)'!AE11</f>
        <v>99.332671774853225</v>
      </c>
      <c r="AF11" s="21">
        <f>'BS (After Changes)'!AF11-'BS (Before Changes)'!AF11</f>
        <v>215.27042300091853</v>
      </c>
      <c r="AG11" s="22">
        <f>'BS (After Changes)'!AG11-'BS (Before Changes)'!AG11</f>
        <v>215.27042300091853</v>
      </c>
      <c r="AH11" s="21">
        <f>'BS (After Changes)'!AH11-'BS (Before Changes)'!AH11</f>
        <v>236.19198150362899</v>
      </c>
      <c r="AI11" s="21">
        <f>'BS (After Changes)'!AI11-'BS (Before Changes)'!AI11</f>
        <v>297.6893861186054</v>
      </c>
      <c r="AJ11" s="21">
        <f>'BS (After Changes)'!AJ11-'BS (Before Changes)'!AJ11</f>
        <v>459.36834340971473</v>
      </c>
      <c r="AK11" s="21">
        <f>'BS (After Changes)'!AK11-'BS (Before Changes)'!AK11</f>
        <v>600.84474208170377</v>
      </c>
      <c r="AL11" s="22">
        <f>'BS (After Changes)'!AL11-'BS (Before Changes)'!AL11</f>
        <v>600.84474208170377</v>
      </c>
      <c r="AM11" s="21">
        <f>'BS (After Changes)'!AM11-'BS (Before Changes)'!AM11</f>
        <v>622.66725135222441</v>
      </c>
      <c r="AN11" s="21">
        <f>'BS (After Changes)'!AN11-'BS (Before Changes)'!AN11</f>
        <v>692.16438786634717</v>
      </c>
      <c r="AO11" s="21">
        <f>'BS (After Changes)'!AO11-'BS (Before Changes)'!AO11</f>
        <v>870.16420233936151</v>
      </c>
      <c r="AP11" s="21">
        <f>'BS (After Changes)'!AP11-'BS (Before Changes)'!AP11</f>
        <v>1026.396546294578</v>
      </c>
      <c r="AQ11" s="22">
        <f>'BS (After Changes)'!AQ11-'BS (Before Changes)'!AQ11</f>
        <v>1026.396546294578</v>
      </c>
      <c r="AR11" s="21">
        <f>'BS (After Changes)'!AR11-'BS (Before Changes)'!AR11</f>
        <v>1052.2520269799461</v>
      </c>
      <c r="AS11" s="21">
        <f>'BS (After Changes)'!AS11-'BS (Before Changes)'!AS11</f>
        <v>1128.9843453497379</v>
      </c>
      <c r="AT11" s="21">
        <f>'BS (After Changes)'!AT11-'BS (Before Changes)'!AT11</f>
        <v>1321.2643680334604</v>
      </c>
      <c r="AU11" s="21">
        <f>'BS (After Changes)'!AU11-'BS (Before Changes)'!AU11</f>
        <v>1490.3680796861008</v>
      </c>
      <c r="AV11" s="22">
        <f>'BS (After Changes)'!AV11-'BS (Before Changes)'!AV11</f>
        <v>1490.3680796861008</v>
      </c>
    </row>
    <row r="12" spans="1:48" ht="14.55" customHeight="1" outlineLevel="1" x14ac:dyDescent="0.3">
      <c r="A12" s="161"/>
      <c r="B12" s="200" t="s">
        <v>218</v>
      </c>
      <c r="C12" s="207"/>
      <c r="D12" s="16">
        <f>'BS (After Changes)'!D12-'BS (Before Changes)'!D12</f>
        <v>0</v>
      </c>
      <c r="E12" s="16">
        <f>'BS (After Changes)'!E12-'BS (Before Changes)'!E12</f>
        <v>0</v>
      </c>
      <c r="F12" s="16">
        <f>'BS (After Changes)'!F12-'BS (Before Changes)'!F12</f>
        <v>0</v>
      </c>
      <c r="G12" s="16">
        <f>'BS (After Changes)'!G12-'BS (Before Changes)'!G12</f>
        <v>0</v>
      </c>
      <c r="H12" s="17">
        <f>'BS (After Changes)'!H12-'BS (Before Changes)'!H12</f>
        <v>0</v>
      </c>
      <c r="I12" s="16">
        <f>'BS (After Changes)'!I12-'BS (Before Changes)'!I12</f>
        <v>0</v>
      </c>
      <c r="J12" s="16">
        <f>'BS (After Changes)'!J12-'BS (Before Changes)'!J12</f>
        <v>0</v>
      </c>
      <c r="K12" s="16">
        <f>'BS (After Changes)'!K12-'BS (Before Changes)'!K12</f>
        <v>0</v>
      </c>
      <c r="L12" s="101">
        <f>'BS (After Changes)'!L12-'BS (Before Changes)'!L12</f>
        <v>0</v>
      </c>
      <c r="M12" s="17">
        <f>'BS (After Changes)'!M12-'BS (Before Changes)'!M12</f>
        <v>0</v>
      </c>
      <c r="N12" s="16">
        <f>'BS (After Changes)'!N12-'BS (Before Changes)'!N12</f>
        <v>0</v>
      </c>
      <c r="O12" s="16">
        <f>'BS (After Changes)'!O12-'BS (Before Changes)'!O12</f>
        <v>0</v>
      </c>
      <c r="P12" s="16">
        <f>'BS (After Changes)'!P12-'BS (Before Changes)'!P12</f>
        <v>0</v>
      </c>
      <c r="Q12" s="101">
        <f>'BS (After Changes)'!Q12-'BS (Before Changes)'!Q12</f>
        <v>0</v>
      </c>
      <c r="R12" s="17">
        <f>'BS (After Changes)'!R12-'BS (Before Changes)'!R12</f>
        <v>0</v>
      </c>
      <c r="S12" s="16">
        <f>'BS (After Changes)'!S12-'BS (Before Changes)'!S12</f>
        <v>0</v>
      </c>
      <c r="T12" s="16">
        <f>'BS (After Changes)'!T12-'BS (Before Changes)'!T12</f>
        <v>0</v>
      </c>
      <c r="U12" s="16">
        <f>'BS (After Changes)'!U12-'BS (Before Changes)'!U12</f>
        <v>0</v>
      </c>
      <c r="V12" s="101">
        <f>'BS (After Changes)'!V12-'BS (Before Changes)'!V12</f>
        <v>0</v>
      </c>
      <c r="W12" s="17">
        <f>'BS (After Changes)'!W12-'BS (Before Changes)'!W12</f>
        <v>0</v>
      </c>
      <c r="X12" s="16">
        <f>'BS (After Changes)'!X12-'BS (Before Changes)'!X12</f>
        <v>0.11816615630181104</v>
      </c>
      <c r="Y12" s="16">
        <f>'BS (After Changes)'!Y12-'BS (Before Changes)'!Y12</f>
        <v>1.0328883701845371E-2</v>
      </c>
      <c r="Z12" s="16">
        <f>'BS (After Changes)'!Z12-'BS (Before Changes)'!Z12</f>
        <v>0.51524514271460475</v>
      </c>
      <c r="AA12" s="16">
        <f>'BS (After Changes)'!AA12-'BS (Before Changes)'!AA12</f>
        <v>1.0187776382508673E-3</v>
      </c>
      <c r="AB12" s="17">
        <f>'BS (After Changes)'!AB12-'BS (Before Changes)'!AB12</f>
        <v>1.0187776382508673E-3</v>
      </c>
      <c r="AC12" s="16">
        <f>'BS (After Changes)'!AC12-'BS (Before Changes)'!AC12</f>
        <v>-0.61331774033334341</v>
      </c>
      <c r="AD12" s="16">
        <f>'BS (After Changes)'!AD12-'BS (Before Changes)'!AD12</f>
        <v>-6.1712404552054068E-2</v>
      </c>
      <c r="AE12" s="16">
        <f>'BS (After Changes)'!AE12-'BS (Before Changes)'!AE12</f>
        <v>1.5745096497407758</v>
      </c>
      <c r="AF12" s="16">
        <f>'BS (After Changes)'!AF12-'BS (Before Changes)'!AF12</f>
        <v>3.005853309392819</v>
      </c>
      <c r="AG12" s="17">
        <f>'BS (After Changes)'!AG12-'BS (Before Changes)'!AG12</f>
        <v>3.005853309392819</v>
      </c>
      <c r="AH12" s="16">
        <f>'BS (After Changes)'!AH12-'BS (Before Changes)'!AH12</f>
        <v>3.2786286373319626</v>
      </c>
      <c r="AI12" s="16">
        <f>'BS (After Changes)'!AI12-'BS (Before Changes)'!AI12</f>
        <v>4.0079454740592837</v>
      </c>
      <c r="AJ12" s="16">
        <f>'BS (After Changes)'!AJ12-'BS (Before Changes)'!AJ12</f>
        <v>5.9704019473079484</v>
      </c>
      <c r="AK12" s="16">
        <f>'BS (After Changes)'!AK12-'BS (Before Changes)'!AK12</f>
        <v>7.6948150810974312</v>
      </c>
      <c r="AL12" s="17">
        <f>'BS (After Changes)'!AL12-'BS (Before Changes)'!AL12</f>
        <v>7.6948150810974312</v>
      </c>
      <c r="AM12" s="16">
        <f>'BS (After Changes)'!AM12-'BS (Before Changes)'!AM12</f>
        <v>7.966131672985739</v>
      </c>
      <c r="AN12" s="16">
        <f>'BS (After Changes)'!AN12-'BS (Before Changes)'!AN12</f>
        <v>8.7722342415947878</v>
      </c>
      <c r="AO12" s="16">
        <f>'BS (After Changes)'!AO12-'BS (Before Changes)'!AO12</f>
        <v>10.914857349854799</v>
      </c>
      <c r="AP12" s="16">
        <f>'BS (After Changes)'!AP12-'BS (Before Changes)'!AP12</f>
        <v>12.803653272023098</v>
      </c>
      <c r="AQ12" s="17">
        <f>'BS (After Changes)'!AQ12-'BS (Before Changes)'!AQ12</f>
        <v>12.803653272023098</v>
      </c>
      <c r="AR12" s="16">
        <f>'BS (After Changes)'!AR12-'BS (Before Changes)'!AR12</f>
        <v>13.108681902272394</v>
      </c>
      <c r="AS12" s="16">
        <f>'BS (After Changes)'!AS12-'BS (Before Changes)'!AS12</f>
        <v>13.983974346541402</v>
      </c>
      <c r="AT12" s="16">
        <f>'BS (After Changes)'!AT12-'BS (Before Changes)'!AT12</f>
        <v>16.283733104538499</v>
      </c>
      <c r="AU12" s="16">
        <f>'BS (After Changes)'!AU12-'BS (Before Changes)'!AU12</f>
        <v>18.314441365361688</v>
      </c>
      <c r="AV12" s="17">
        <f>'BS (After Changes)'!AV12-'BS (Before Changes)'!AV12</f>
        <v>18.314441365361688</v>
      </c>
    </row>
    <row r="13" spans="1:48" ht="14.55" customHeight="1" outlineLevel="1" x14ac:dyDescent="0.3">
      <c r="A13" s="161"/>
      <c r="B13" s="200" t="s">
        <v>219</v>
      </c>
      <c r="C13" s="207"/>
      <c r="D13" s="16">
        <f>'BS (After Changes)'!D13-'BS (Before Changes)'!D13</f>
        <v>0</v>
      </c>
      <c r="E13" s="16">
        <f>'BS (After Changes)'!E13-'BS (Before Changes)'!E13</f>
        <v>0</v>
      </c>
      <c r="F13" s="16">
        <f>'BS (After Changes)'!F13-'BS (Before Changes)'!F13</f>
        <v>0</v>
      </c>
      <c r="G13" s="16">
        <f>'BS (After Changes)'!G13-'BS (Before Changes)'!G13</f>
        <v>0</v>
      </c>
      <c r="H13" s="17">
        <f>'BS (After Changes)'!H13-'BS (Before Changes)'!H13</f>
        <v>0</v>
      </c>
      <c r="I13" s="16">
        <f>'BS (After Changes)'!I13-'BS (Before Changes)'!I13</f>
        <v>0</v>
      </c>
      <c r="J13" s="16">
        <f>'BS (After Changes)'!J13-'BS (Before Changes)'!J13</f>
        <v>0</v>
      </c>
      <c r="K13" s="16">
        <f>'BS (After Changes)'!K13-'BS (Before Changes)'!K13</f>
        <v>0</v>
      </c>
      <c r="L13" s="101">
        <f>'BS (After Changes)'!L13-'BS (Before Changes)'!L13</f>
        <v>0</v>
      </c>
      <c r="M13" s="17">
        <f>'BS (After Changes)'!M13-'BS (Before Changes)'!M13</f>
        <v>0</v>
      </c>
      <c r="N13" s="16">
        <f>'BS (After Changes)'!N13-'BS (Before Changes)'!N13</f>
        <v>0</v>
      </c>
      <c r="O13" s="16">
        <f>'BS (After Changes)'!O13-'BS (Before Changes)'!O13</f>
        <v>0</v>
      </c>
      <c r="P13" s="16">
        <f>'BS (After Changes)'!P13-'BS (Before Changes)'!P13</f>
        <v>0</v>
      </c>
      <c r="Q13" s="101">
        <f>'BS (After Changes)'!Q13-'BS (Before Changes)'!Q13</f>
        <v>0</v>
      </c>
      <c r="R13" s="17">
        <f>'BS (After Changes)'!R13-'BS (Before Changes)'!R13</f>
        <v>0</v>
      </c>
      <c r="S13" s="16">
        <f>'BS (After Changes)'!S13-'BS (Before Changes)'!S13</f>
        <v>0</v>
      </c>
      <c r="T13" s="16">
        <f>'BS (After Changes)'!T13-'BS (Before Changes)'!T13</f>
        <v>0</v>
      </c>
      <c r="U13" s="16">
        <f>'BS (After Changes)'!U13-'BS (Before Changes)'!U13</f>
        <v>0</v>
      </c>
      <c r="V13" s="101">
        <f>'BS (After Changes)'!V13-'BS (Before Changes)'!V13</f>
        <v>0</v>
      </c>
      <c r="W13" s="17">
        <f>'BS (After Changes)'!W13-'BS (Before Changes)'!W13</f>
        <v>0</v>
      </c>
      <c r="X13" s="33">
        <f>'BS (After Changes)'!X13-'BS (Before Changes)'!X13</f>
        <v>0</v>
      </c>
      <c r="Y13" s="33">
        <f>'BS (After Changes)'!Y13-'BS (Before Changes)'!Y13</f>
        <v>0</v>
      </c>
      <c r="Z13" s="33">
        <f>'BS (After Changes)'!Z13-'BS (Before Changes)'!Z13</f>
        <v>0</v>
      </c>
      <c r="AA13" s="33">
        <f>'BS (After Changes)'!AA13-'BS (Before Changes)'!AA13</f>
        <v>0</v>
      </c>
      <c r="AB13" s="17">
        <f>'BS (After Changes)'!AB13-'BS (Before Changes)'!AB13</f>
        <v>0</v>
      </c>
      <c r="AC13" s="33">
        <f>'BS (After Changes)'!AC13-'BS (Before Changes)'!AC13</f>
        <v>0</v>
      </c>
      <c r="AD13" s="33">
        <f>'BS (After Changes)'!AD13-'BS (Before Changes)'!AD13</f>
        <v>0</v>
      </c>
      <c r="AE13" s="33">
        <f>'BS (After Changes)'!AE13-'BS (Before Changes)'!AE13</f>
        <v>0</v>
      </c>
      <c r="AF13" s="33">
        <f>'BS (After Changes)'!AF13-'BS (Before Changes)'!AF13</f>
        <v>0</v>
      </c>
      <c r="AG13" s="17">
        <f>'BS (After Changes)'!AG13-'BS (Before Changes)'!AG13</f>
        <v>0</v>
      </c>
      <c r="AH13" s="33">
        <f>'BS (After Changes)'!AH13-'BS (Before Changes)'!AH13</f>
        <v>0</v>
      </c>
      <c r="AI13" s="33">
        <f>'BS (After Changes)'!AI13-'BS (Before Changes)'!AI13</f>
        <v>0</v>
      </c>
      <c r="AJ13" s="33">
        <f>'BS (After Changes)'!AJ13-'BS (Before Changes)'!AJ13</f>
        <v>0</v>
      </c>
      <c r="AK13" s="33">
        <f>'BS (After Changes)'!AK13-'BS (Before Changes)'!AK13</f>
        <v>0</v>
      </c>
      <c r="AL13" s="17">
        <f>'BS (After Changes)'!AL13-'BS (Before Changes)'!AL13</f>
        <v>0</v>
      </c>
      <c r="AM13" s="33">
        <f>'BS (After Changes)'!AM13-'BS (Before Changes)'!AM13</f>
        <v>0</v>
      </c>
      <c r="AN13" s="33">
        <f>'BS (After Changes)'!AN13-'BS (Before Changes)'!AN13</f>
        <v>0</v>
      </c>
      <c r="AO13" s="33">
        <f>'BS (After Changes)'!AO13-'BS (Before Changes)'!AO13</f>
        <v>0</v>
      </c>
      <c r="AP13" s="33">
        <f>'BS (After Changes)'!AP13-'BS (Before Changes)'!AP13</f>
        <v>0</v>
      </c>
      <c r="AQ13" s="17">
        <f>'BS (After Changes)'!AQ13-'BS (Before Changes)'!AQ13</f>
        <v>0</v>
      </c>
      <c r="AR13" s="33">
        <f>'BS (After Changes)'!AR13-'BS (Before Changes)'!AR13</f>
        <v>0</v>
      </c>
      <c r="AS13" s="33">
        <f>'BS (After Changes)'!AS13-'BS (Before Changes)'!AS13</f>
        <v>0</v>
      </c>
      <c r="AT13" s="33">
        <f>'BS (After Changes)'!AT13-'BS (Before Changes)'!AT13</f>
        <v>0</v>
      </c>
      <c r="AU13" s="33">
        <f>'BS (After Changes)'!AU13-'BS (Before Changes)'!AU13</f>
        <v>0</v>
      </c>
      <c r="AV13" s="17">
        <f>'BS (After Changes)'!AV13-'BS (Before Changes)'!AV13</f>
        <v>0</v>
      </c>
    </row>
    <row r="14" spans="1:48" s="8" customFormat="1" outlineLevel="1" x14ac:dyDescent="0.3">
      <c r="A14" s="161"/>
      <c r="B14" s="200" t="s">
        <v>220</v>
      </c>
      <c r="C14" s="206"/>
      <c r="D14" s="16">
        <f>'BS (After Changes)'!D14-'BS (Before Changes)'!D14</f>
        <v>0</v>
      </c>
      <c r="E14" s="16">
        <f>'BS (After Changes)'!E14-'BS (Before Changes)'!E14</f>
        <v>0</v>
      </c>
      <c r="F14" s="16">
        <f>'BS (After Changes)'!F14-'BS (Before Changes)'!F14</f>
        <v>0</v>
      </c>
      <c r="G14" s="16">
        <f>'BS (After Changes)'!G14-'BS (Before Changes)'!G14</f>
        <v>0</v>
      </c>
      <c r="H14" s="17">
        <f>'BS (After Changes)'!H14-'BS (Before Changes)'!H14</f>
        <v>0</v>
      </c>
      <c r="I14" s="16">
        <f>'BS (After Changes)'!I14-'BS (Before Changes)'!I14</f>
        <v>0</v>
      </c>
      <c r="J14" s="16">
        <f>'BS (After Changes)'!J14-'BS (Before Changes)'!J14</f>
        <v>0</v>
      </c>
      <c r="K14" s="16">
        <f>'BS (After Changes)'!K14-'BS (Before Changes)'!K14</f>
        <v>0</v>
      </c>
      <c r="L14" s="101">
        <f>'BS (After Changes)'!L14-'BS (Before Changes)'!L14</f>
        <v>0</v>
      </c>
      <c r="M14" s="17">
        <f>'BS (After Changes)'!M14-'BS (Before Changes)'!M14</f>
        <v>0</v>
      </c>
      <c r="N14" s="16">
        <f>'BS (After Changes)'!N14-'BS (Before Changes)'!N14</f>
        <v>0</v>
      </c>
      <c r="O14" s="16">
        <f>'BS (After Changes)'!O14-'BS (Before Changes)'!O14</f>
        <v>0</v>
      </c>
      <c r="P14" s="16">
        <f>'BS (After Changes)'!P14-'BS (Before Changes)'!P14</f>
        <v>0</v>
      </c>
      <c r="Q14" s="101">
        <f>'BS (After Changes)'!Q14-'BS (Before Changes)'!Q14</f>
        <v>0</v>
      </c>
      <c r="R14" s="17">
        <f>'BS (After Changes)'!R14-'BS (Before Changes)'!R14</f>
        <v>0</v>
      </c>
      <c r="S14" s="16">
        <f>'BS (After Changes)'!S14-'BS (Before Changes)'!S14</f>
        <v>0</v>
      </c>
      <c r="T14" s="16">
        <f>'BS (After Changes)'!T14-'BS (Before Changes)'!T14</f>
        <v>0</v>
      </c>
      <c r="U14" s="101">
        <f>'BS (After Changes)'!U14-'BS (Before Changes)'!U14</f>
        <v>0</v>
      </c>
      <c r="V14" s="101">
        <f>'BS (After Changes)'!V14-'BS (Before Changes)'!V14</f>
        <v>0</v>
      </c>
      <c r="W14" s="17">
        <f>'BS (After Changes)'!W14-'BS (Before Changes)'!W14</f>
        <v>0</v>
      </c>
      <c r="X14" s="16">
        <f>'BS (After Changes)'!X14-'BS (Before Changes)'!X14</f>
        <v>2.0102293896306946</v>
      </c>
      <c r="Y14" s="16">
        <f>'BS (After Changes)'!Y14-'BS (Before Changes)'!Y14</f>
        <v>3.7966714512876933</v>
      </c>
      <c r="Z14" s="16">
        <f>'BS (After Changes)'!Z14-'BS (Before Changes)'!Z14</f>
        <v>13.640252495699315</v>
      </c>
      <c r="AA14" s="16">
        <f>'BS (After Changes)'!AA14-'BS (Before Changes)'!AA14</f>
        <v>22.90797614359326</v>
      </c>
      <c r="AB14" s="17">
        <f>'BS (After Changes)'!AB14-'BS (Before Changes)'!AB14</f>
        <v>22.90797614359326</v>
      </c>
      <c r="AC14" s="16">
        <f>'BS (After Changes)'!AC14-'BS (Before Changes)'!AC14</f>
        <v>25.877192908663346</v>
      </c>
      <c r="AD14" s="16">
        <f>'BS (After Changes)'!AD14-'BS (Before Changes)'!AD14</f>
        <v>28.45370517414176</v>
      </c>
      <c r="AE14" s="16">
        <f>'BS (After Changes)'!AE14-'BS (Before Changes)'!AE14</f>
        <v>39.883626372705294</v>
      </c>
      <c r="AF14" s="16">
        <f>'BS (After Changes)'!AF14-'BS (Before Changes)'!AF14</f>
        <v>50.651333793992308</v>
      </c>
      <c r="AG14" s="17">
        <f>'BS (After Changes)'!AG14-'BS (Before Changes)'!AG14</f>
        <v>50.651333793992308</v>
      </c>
      <c r="AH14" s="16">
        <f>'BS (After Changes)'!AH14-'BS (Before Changes)'!AH14</f>
        <v>54.083444516063537</v>
      </c>
      <c r="AI14" s="16">
        <f>'BS (After Changes)'!AI14-'BS (Before Changes)'!AI14</f>
        <v>56.994388990990046</v>
      </c>
      <c r="AJ14" s="16">
        <f>'BS (After Changes)'!AJ14-'BS (Before Changes)'!AJ14</f>
        <v>68.879705926323368</v>
      </c>
      <c r="AK14" s="16">
        <f>'BS (After Changes)'!AK14-'BS (Before Changes)'!AK14</f>
        <v>80.090596483249101</v>
      </c>
      <c r="AL14" s="17">
        <f>'BS (After Changes)'!AL14-'BS (Before Changes)'!AL14</f>
        <v>80.090596483249101</v>
      </c>
      <c r="AM14" s="16">
        <f>'BS (After Changes)'!AM14-'BS (Before Changes)'!AM14</f>
        <v>82.334150806920661</v>
      </c>
      <c r="AN14" s="16">
        <f>'BS (After Changes)'!AN14-'BS (Before Changes)'!AN14</f>
        <v>84.102274073271474</v>
      </c>
      <c r="AO14" s="16">
        <f>'BS (After Changes)'!AO14-'BS (Before Changes)'!AO14</f>
        <v>95.695667057272658</v>
      </c>
      <c r="AP14" s="16">
        <f>'BS (After Changes)'!AP14-'BS (Before Changes)'!AP14</f>
        <v>106.64417951666837</v>
      </c>
      <c r="AQ14" s="17">
        <f>'BS (After Changes)'!AQ14-'BS (Before Changes)'!AQ14</f>
        <v>106.64417951666837</v>
      </c>
      <c r="AR14" s="16">
        <f>'BS (After Changes)'!AR14-'BS (Before Changes)'!AR14</f>
        <v>107.78449598380394</v>
      </c>
      <c r="AS14" s="16">
        <f>'BS (After Changes)'!AS14-'BS (Before Changes)'!AS14</f>
        <v>108.48903919361328</v>
      </c>
      <c r="AT14" s="16">
        <f>'BS (After Changes)'!AT14-'BS (Before Changes)'!AT14</f>
        <v>119.72360989727895</v>
      </c>
      <c r="AU14" s="16">
        <f>'BS (After Changes)'!AU14-'BS (Before Changes)'!AU14</f>
        <v>130.33196747507645</v>
      </c>
      <c r="AV14" s="17">
        <f>'BS (After Changes)'!AV14-'BS (Before Changes)'!AV14</f>
        <v>130.33196747507645</v>
      </c>
    </row>
    <row r="15" spans="1:48" s="8" customFormat="1" outlineLevel="1" x14ac:dyDescent="0.3">
      <c r="A15" s="161"/>
      <c r="B15" s="200" t="s">
        <v>221</v>
      </c>
      <c r="C15" s="206"/>
      <c r="D15" s="16">
        <f>'BS (After Changes)'!D15-'BS (Before Changes)'!D15</f>
        <v>0</v>
      </c>
      <c r="E15" s="16">
        <f>'BS (After Changes)'!E15-'BS (Before Changes)'!E15</f>
        <v>0</v>
      </c>
      <c r="F15" s="16">
        <f>'BS (After Changes)'!F15-'BS (Before Changes)'!F15</f>
        <v>0</v>
      </c>
      <c r="G15" s="16">
        <f>'BS (After Changes)'!G15-'BS (Before Changes)'!G15</f>
        <v>0</v>
      </c>
      <c r="H15" s="17">
        <f>'BS (After Changes)'!H15-'BS (Before Changes)'!H15</f>
        <v>0</v>
      </c>
      <c r="I15" s="16">
        <f>'BS (After Changes)'!I15-'BS (Before Changes)'!I15</f>
        <v>0</v>
      </c>
      <c r="J15" s="16">
        <f>'BS (After Changes)'!J15-'BS (Before Changes)'!J15</f>
        <v>0</v>
      </c>
      <c r="K15" s="16">
        <f>'BS (After Changes)'!K15-'BS (Before Changes)'!K15</f>
        <v>0</v>
      </c>
      <c r="L15" s="101">
        <f>'BS (After Changes)'!L15-'BS (Before Changes)'!L15</f>
        <v>0</v>
      </c>
      <c r="M15" s="17">
        <f>'BS (After Changes)'!M15-'BS (Before Changes)'!M15</f>
        <v>0</v>
      </c>
      <c r="N15" s="16">
        <f>'BS (After Changes)'!N15-'BS (Before Changes)'!N15</f>
        <v>0</v>
      </c>
      <c r="O15" s="16">
        <f>'BS (After Changes)'!O15-'BS (Before Changes)'!O15</f>
        <v>0</v>
      </c>
      <c r="P15" s="16">
        <f>'BS (After Changes)'!P15-'BS (Before Changes)'!P15</f>
        <v>0</v>
      </c>
      <c r="Q15" s="101">
        <f>'BS (After Changes)'!Q15-'BS (Before Changes)'!Q15</f>
        <v>0</v>
      </c>
      <c r="R15" s="17">
        <f>'BS (After Changes)'!R15-'BS (Before Changes)'!R15</f>
        <v>0</v>
      </c>
      <c r="S15" s="16">
        <f>'BS (After Changes)'!S15-'BS (Before Changes)'!S15</f>
        <v>0</v>
      </c>
      <c r="T15" s="16">
        <f>'BS (After Changes)'!T15-'BS (Before Changes)'!T15</f>
        <v>0</v>
      </c>
      <c r="U15" s="101">
        <f>'BS (After Changes)'!U15-'BS (Before Changes)'!U15</f>
        <v>0</v>
      </c>
      <c r="V15" s="101">
        <f>'BS (After Changes)'!V15-'BS (Before Changes)'!V15</f>
        <v>0</v>
      </c>
      <c r="W15" s="17">
        <f>'BS (After Changes)'!W15-'BS (Before Changes)'!W15</f>
        <v>0</v>
      </c>
      <c r="X15" s="33">
        <f>'BS (After Changes)'!X15-'BS (Before Changes)'!X15</f>
        <v>0</v>
      </c>
      <c r="Y15" s="33">
        <f>'BS (After Changes)'!Y15-'BS (Before Changes)'!Y15</f>
        <v>0</v>
      </c>
      <c r="Z15" s="33">
        <f>'BS (After Changes)'!Z15-'BS (Before Changes)'!Z15</f>
        <v>0</v>
      </c>
      <c r="AA15" s="33">
        <f>'BS (After Changes)'!AA15-'BS (Before Changes)'!AA15</f>
        <v>0</v>
      </c>
      <c r="AB15" s="17">
        <f>'BS (After Changes)'!AB15-'BS (Before Changes)'!AB15</f>
        <v>0</v>
      </c>
      <c r="AC15" s="33">
        <f>'BS (After Changes)'!AC15-'BS (Before Changes)'!AC15</f>
        <v>0</v>
      </c>
      <c r="AD15" s="33">
        <f>'BS (After Changes)'!AD15-'BS (Before Changes)'!AD15</f>
        <v>0</v>
      </c>
      <c r="AE15" s="33">
        <f>'BS (After Changes)'!AE15-'BS (Before Changes)'!AE15</f>
        <v>0</v>
      </c>
      <c r="AF15" s="33">
        <f>'BS (After Changes)'!AF15-'BS (Before Changes)'!AF15</f>
        <v>0</v>
      </c>
      <c r="AG15" s="17">
        <f>'BS (After Changes)'!AG15-'BS (Before Changes)'!AG15</f>
        <v>0</v>
      </c>
      <c r="AH15" s="33">
        <f>'BS (After Changes)'!AH15-'BS (Before Changes)'!AH15</f>
        <v>0</v>
      </c>
      <c r="AI15" s="33">
        <f>'BS (After Changes)'!AI15-'BS (Before Changes)'!AI15</f>
        <v>0</v>
      </c>
      <c r="AJ15" s="33">
        <f>'BS (After Changes)'!AJ15-'BS (Before Changes)'!AJ15</f>
        <v>0</v>
      </c>
      <c r="AK15" s="33">
        <f>'BS (After Changes)'!AK15-'BS (Before Changes)'!AK15</f>
        <v>0</v>
      </c>
      <c r="AL15" s="17">
        <f>'BS (After Changes)'!AL15-'BS (Before Changes)'!AL15</f>
        <v>0</v>
      </c>
      <c r="AM15" s="33">
        <f>'BS (After Changes)'!AM15-'BS (Before Changes)'!AM15</f>
        <v>0</v>
      </c>
      <c r="AN15" s="33">
        <f>'BS (After Changes)'!AN15-'BS (Before Changes)'!AN15</f>
        <v>0</v>
      </c>
      <c r="AO15" s="33">
        <f>'BS (After Changes)'!AO15-'BS (Before Changes)'!AO15</f>
        <v>0</v>
      </c>
      <c r="AP15" s="33">
        <f>'BS (After Changes)'!AP15-'BS (Before Changes)'!AP15</f>
        <v>0</v>
      </c>
      <c r="AQ15" s="17">
        <f>'BS (After Changes)'!AQ15-'BS (Before Changes)'!AQ15</f>
        <v>0</v>
      </c>
      <c r="AR15" s="33">
        <f>'BS (After Changes)'!AR15-'BS (Before Changes)'!AR15</f>
        <v>0</v>
      </c>
      <c r="AS15" s="33">
        <f>'BS (After Changes)'!AS15-'BS (Before Changes)'!AS15</f>
        <v>0</v>
      </c>
      <c r="AT15" s="33">
        <f>'BS (After Changes)'!AT15-'BS (Before Changes)'!AT15</f>
        <v>0</v>
      </c>
      <c r="AU15" s="33">
        <f>'BS (After Changes)'!AU15-'BS (Before Changes)'!AU15</f>
        <v>0</v>
      </c>
      <c r="AV15" s="17">
        <f>'BS (After Changes)'!AV15-'BS (Before Changes)'!AV15</f>
        <v>0</v>
      </c>
    </row>
    <row r="16" spans="1:48" s="8" customFormat="1" outlineLevel="1" x14ac:dyDescent="0.3">
      <c r="A16" s="161"/>
      <c r="B16" s="200" t="s">
        <v>222</v>
      </c>
      <c r="C16" s="206"/>
      <c r="D16" s="16">
        <f>'BS (After Changes)'!D16-'BS (Before Changes)'!D16</f>
        <v>0</v>
      </c>
      <c r="E16" s="16">
        <f>'BS (After Changes)'!E16-'BS (Before Changes)'!E16</f>
        <v>0</v>
      </c>
      <c r="F16" s="16">
        <f>'BS (After Changes)'!F16-'BS (Before Changes)'!F16</f>
        <v>0</v>
      </c>
      <c r="G16" s="16">
        <f>'BS (After Changes)'!G16-'BS (Before Changes)'!G16</f>
        <v>0</v>
      </c>
      <c r="H16" s="17">
        <f>'BS (After Changes)'!H16-'BS (Before Changes)'!H16</f>
        <v>0</v>
      </c>
      <c r="I16" s="16">
        <f>'BS (After Changes)'!I16-'BS (Before Changes)'!I16</f>
        <v>0</v>
      </c>
      <c r="J16" s="16">
        <f>'BS (After Changes)'!J16-'BS (Before Changes)'!J16</f>
        <v>0</v>
      </c>
      <c r="K16" s="16">
        <f>'BS (After Changes)'!K16-'BS (Before Changes)'!K16</f>
        <v>0</v>
      </c>
      <c r="L16" s="101">
        <f>'BS (After Changes)'!L16-'BS (Before Changes)'!L16</f>
        <v>0</v>
      </c>
      <c r="M16" s="17">
        <f>'BS (After Changes)'!M16-'BS (Before Changes)'!M16</f>
        <v>0</v>
      </c>
      <c r="N16" s="16">
        <f>'BS (After Changes)'!N16-'BS (Before Changes)'!N16</f>
        <v>0</v>
      </c>
      <c r="O16" s="16">
        <f>'BS (After Changes)'!O16-'BS (Before Changes)'!O16</f>
        <v>0</v>
      </c>
      <c r="P16" s="16">
        <f>'BS (After Changes)'!P16-'BS (Before Changes)'!P16</f>
        <v>0</v>
      </c>
      <c r="Q16" s="101">
        <f>'BS (After Changes)'!Q16-'BS (Before Changes)'!Q16</f>
        <v>0</v>
      </c>
      <c r="R16" s="17">
        <f>'BS (After Changes)'!R16-'BS (Before Changes)'!R16</f>
        <v>0</v>
      </c>
      <c r="S16" s="16">
        <f>'BS (After Changes)'!S16-'BS (Before Changes)'!S16</f>
        <v>0</v>
      </c>
      <c r="T16" s="16">
        <f>'BS (After Changes)'!T16-'BS (Before Changes)'!T16</f>
        <v>0</v>
      </c>
      <c r="U16" s="101">
        <f>'BS (After Changes)'!U16-'BS (Before Changes)'!U16</f>
        <v>0</v>
      </c>
      <c r="V16" s="101">
        <f>'BS (After Changes)'!V16-'BS (Before Changes)'!V16</f>
        <v>0</v>
      </c>
      <c r="W16" s="169">
        <f>'BS (After Changes)'!W16-'BS (Before Changes)'!W16</f>
        <v>0</v>
      </c>
      <c r="X16" s="101">
        <f>'BS (After Changes)'!X16-'BS (Before Changes)'!X16</f>
        <v>0</v>
      </c>
      <c r="Y16" s="101">
        <f>'BS (After Changes)'!Y16-'BS (Before Changes)'!Y16</f>
        <v>0</v>
      </c>
      <c r="Z16" s="101">
        <f>'BS (After Changes)'!Z16-'BS (Before Changes)'!Z16</f>
        <v>0</v>
      </c>
      <c r="AA16" s="101">
        <f>'BS (After Changes)'!AA16-'BS (Before Changes)'!AA16</f>
        <v>0</v>
      </c>
      <c r="AB16" s="169">
        <f>'BS (After Changes)'!AB16-'BS (Before Changes)'!AB16</f>
        <v>0</v>
      </c>
      <c r="AC16" s="101">
        <f>'BS (After Changes)'!AC16-'BS (Before Changes)'!AC16</f>
        <v>0</v>
      </c>
      <c r="AD16" s="101">
        <f>'BS (After Changes)'!AD16-'BS (Before Changes)'!AD16</f>
        <v>0</v>
      </c>
      <c r="AE16" s="101">
        <f>'BS (After Changes)'!AE16-'BS (Before Changes)'!AE16</f>
        <v>0</v>
      </c>
      <c r="AF16" s="101">
        <f>'BS (After Changes)'!AF16-'BS (Before Changes)'!AF16</f>
        <v>0</v>
      </c>
      <c r="AG16" s="169">
        <f>'BS (After Changes)'!AG16-'BS (Before Changes)'!AG16</f>
        <v>0</v>
      </c>
      <c r="AH16" s="101">
        <f>'BS (After Changes)'!AH16-'BS (Before Changes)'!AH16</f>
        <v>0</v>
      </c>
      <c r="AI16" s="101">
        <f>'BS (After Changes)'!AI16-'BS (Before Changes)'!AI16</f>
        <v>0</v>
      </c>
      <c r="AJ16" s="101">
        <f>'BS (After Changes)'!AJ16-'BS (Before Changes)'!AJ16</f>
        <v>0</v>
      </c>
      <c r="AK16" s="101">
        <f>'BS (After Changes)'!AK16-'BS (Before Changes)'!AK16</f>
        <v>0</v>
      </c>
      <c r="AL16" s="169">
        <f>'BS (After Changes)'!AL16-'BS (Before Changes)'!AL16</f>
        <v>0</v>
      </c>
      <c r="AM16" s="101">
        <f>'BS (After Changes)'!AM16-'BS (Before Changes)'!AM16</f>
        <v>0</v>
      </c>
      <c r="AN16" s="101">
        <f>'BS (After Changes)'!AN16-'BS (Before Changes)'!AN16</f>
        <v>0</v>
      </c>
      <c r="AO16" s="101">
        <f>'BS (After Changes)'!AO16-'BS (Before Changes)'!AO16</f>
        <v>0</v>
      </c>
      <c r="AP16" s="101">
        <f>'BS (After Changes)'!AP16-'BS (Before Changes)'!AP16</f>
        <v>0</v>
      </c>
      <c r="AQ16" s="169">
        <f>'BS (After Changes)'!AQ16-'BS (Before Changes)'!AQ16</f>
        <v>0</v>
      </c>
      <c r="AR16" s="101">
        <f>'BS (After Changes)'!AR16-'BS (Before Changes)'!AR16</f>
        <v>0</v>
      </c>
      <c r="AS16" s="101">
        <f>'BS (After Changes)'!AS16-'BS (Before Changes)'!AS16</f>
        <v>0</v>
      </c>
      <c r="AT16" s="101">
        <f>'BS (After Changes)'!AT16-'BS (Before Changes)'!AT16</f>
        <v>0</v>
      </c>
      <c r="AU16" s="101">
        <f>'BS (After Changes)'!AU16-'BS (Before Changes)'!AU16</f>
        <v>0</v>
      </c>
      <c r="AV16" s="17">
        <f>'BS (After Changes)'!AV16-'BS (Before Changes)'!AV16</f>
        <v>0</v>
      </c>
    </row>
    <row r="17" spans="1:48" s="8" customFormat="1" outlineLevel="1" x14ac:dyDescent="0.3">
      <c r="A17" s="161"/>
      <c r="B17" s="200" t="s">
        <v>223</v>
      </c>
      <c r="C17" s="206"/>
      <c r="D17" s="16">
        <f>'BS (After Changes)'!D17-'BS (Before Changes)'!D17</f>
        <v>0</v>
      </c>
      <c r="E17" s="16">
        <f>'BS (After Changes)'!E17-'BS (Before Changes)'!E17</f>
        <v>0</v>
      </c>
      <c r="F17" s="16">
        <f>'BS (After Changes)'!F17-'BS (Before Changes)'!F17</f>
        <v>0</v>
      </c>
      <c r="G17" s="16">
        <f>'BS (After Changes)'!G17-'BS (Before Changes)'!G17</f>
        <v>0</v>
      </c>
      <c r="H17" s="17">
        <f>'BS (After Changes)'!H17-'BS (Before Changes)'!H17</f>
        <v>0</v>
      </c>
      <c r="I17" s="16">
        <f>'BS (After Changes)'!I17-'BS (Before Changes)'!I17</f>
        <v>0</v>
      </c>
      <c r="J17" s="16">
        <f>'BS (After Changes)'!J17-'BS (Before Changes)'!J17</f>
        <v>0</v>
      </c>
      <c r="K17" s="16">
        <f>'BS (After Changes)'!K17-'BS (Before Changes)'!K17</f>
        <v>0</v>
      </c>
      <c r="L17" s="101">
        <f>'BS (After Changes)'!L17-'BS (Before Changes)'!L17</f>
        <v>0</v>
      </c>
      <c r="M17" s="17">
        <f>'BS (After Changes)'!M17-'BS (Before Changes)'!M17</f>
        <v>0</v>
      </c>
      <c r="N17" s="16">
        <f>'BS (After Changes)'!N17-'BS (Before Changes)'!N17</f>
        <v>0</v>
      </c>
      <c r="O17" s="16">
        <f>'BS (After Changes)'!O17-'BS (Before Changes)'!O17</f>
        <v>0</v>
      </c>
      <c r="P17" s="16">
        <f>'BS (After Changes)'!P17-'BS (Before Changes)'!P17</f>
        <v>0</v>
      </c>
      <c r="Q17" s="101">
        <f>'BS (After Changes)'!Q17-'BS (Before Changes)'!Q17</f>
        <v>0</v>
      </c>
      <c r="R17" s="17">
        <f>'BS (After Changes)'!R17-'BS (Before Changes)'!R17</f>
        <v>0</v>
      </c>
      <c r="S17" s="16">
        <f>'BS (After Changes)'!S17-'BS (Before Changes)'!S17</f>
        <v>0</v>
      </c>
      <c r="T17" s="16">
        <f>'BS (After Changes)'!T17-'BS (Before Changes)'!T17</f>
        <v>0</v>
      </c>
      <c r="U17" s="101">
        <f>'BS (After Changes)'!U17-'BS (Before Changes)'!U17</f>
        <v>0</v>
      </c>
      <c r="V17" s="101">
        <f>'BS (After Changes)'!V17-'BS (Before Changes)'!V17</f>
        <v>0</v>
      </c>
      <c r="W17" s="17">
        <f>'BS (After Changes)'!W17-'BS (Before Changes)'!W17</f>
        <v>0</v>
      </c>
      <c r="X17" s="33">
        <f>'BS (After Changes)'!X17-'BS (Before Changes)'!X17</f>
        <v>0.21681391192566934</v>
      </c>
      <c r="Y17" s="33">
        <f>'BS (After Changes)'!Y17-'BS (Before Changes)'!Y17</f>
        <v>1.8867892197931724E-2</v>
      </c>
      <c r="Z17" s="33">
        <f>'BS (After Changes)'!Z17-'BS (Before Changes)'!Z17</f>
        <v>0.92911830161676789</v>
      </c>
      <c r="AA17" s="33">
        <f>'BS (After Changes)'!AA17-'BS (Before Changes)'!AA17</f>
        <v>1.840837853251287E-3</v>
      </c>
      <c r="AB17" s="17">
        <f>'BS (After Changes)'!AB17-'BS (Before Changes)'!AB17</f>
        <v>1.840837853251287E-3</v>
      </c>
      <c r="AC17" s="33">
        <f>'BS (After Changes)'!AC17-'BS (Before Changes)'!AC17</f>
        <v>-1.1121473107948532</v>
      </c>
      <c r="AD17" s="33">
        <f>'BS (After Changes)'!AD17-'BS (Before Changes)'!AD17</f>
        <v>-0.11170317028143018</v>
      </c>
      <c r="AE17" s="33">
        <f>'BS (After Changes)'!AE17-'BS (Before Changes)'!AE17</f>
        <v>2.8451610505054532</v>
      </c>
      <c r="AF17" s="33">
        <f>'BS (After Changes)'!AF17-'BS (Before Changes)'!AF17</f>
        <v>5.4346045288399409</v>
      </c>
      <c r="AG17" s="17">
        <f>'BS (After Changes)'!AG17-'BS (Before Changes)'!AG17</f>
        <v>5.4346045288399409</v>
      </c>
      <c r="AH17" s="33">
        <f>'BS (After Changes)'!AH17-'BS (Before Changes)'!AH17</f>
        <v>5.9322662863795586</v>
      </c>
      <c r="AI17" s="33">
        <f>'BS (After Changes)'!AI17-'BS (Before Changes)'!AI17</f>
        <v>7.248596186852069</v>
      </c>
      <c r="AJ17" s="33">
        <f>'BS (After Changes)'!AJ17-'BS (Before Changes)'!AJ17</f>
        <v>10.795715670876007</v>
      </c>
      <c r="AK17" s="33">
        <f>'BS (After Changes)'!AK17-'BS (Before Changes)'!AK17</f>
        <v>13.916133602827017</v>
      </c>
      <c r="AL17" s="17">
        <f>'BS (After Changes)'!AL17-'BS (Before Changes)'!AL17</f>
        <v>13.916133602827017</v>
      </c>
      <c r="AM17" s="33">
        <f>'BS (After Changes)'!AM17-'BS (Before Changes)'!AM17</f>
        <v>14.407953823621938</v>
      </c>
      <c r="AN17" s="33">
        <f>'BS (After Changes)'!AN17-'BS (Before Changes)'!AN17</f>
        <v>15.864402836313502</v>
      </c>
      <c r="AO17" s="33">
        <f>'BS (After Changes)'!AO17-'BS (Before Changes)'!AO17</f>
        <v>19.739082764963428</v>
      </c>
      <c r="AP17" s="33">
        <f>'BS (After Changes)'!AP17-'BS (Before Changes)'!AP17</f>
        <v>23.155714839009079</v>
      </c>
      <c r="AQ17" s="17">
        <f>'BS (After Changes)'!AQ17-'BS (Before Changes)'!AQ17</f>
        <v>23.155714839009079</v>
      </c>
      <c r="AR17" s="33">
        <f>'BS (After Changes)'!AR17-'BS (Before Changes)'!AR17</f>
        <v>23.707421639892914</v>
      </c>
      <c r="AS17" s="33">
        <f>'BS (After Changes)'!AS17-'BS (Before Changes)'!AS17</f>
        <v>25.289987248371403</v>
      </c>
      <c r="AT17" s="33">
        <f>'BS (After Changes)'!AT17-'BS (Before Changes)'!AT17</f>
        <v>29.449171981525751</v>
      </c>
      <c r="AU17" s="33">
        <f>'BS (After Changes)'!AU17-'BS (Before Changes)'!AU17</f>
        <v>33.121908006119384</v>
      </c>
      <c r="AV17" s="17">
        <f>'BS (After Changes)'!AV17-'BS (Before Changes)'!AV17</f>
        <v>33.121908006119384</v>
      </c>
    </row>
    <row r="18" spans="1:48" s="8" customFormat="1" outlineLevel="1" x14ac:dyDescent="0.3">
      <c r="A18" s="161"/>
      <c r="B18" s="200" t="s">
        <v>224</v>
      </c>
      <c r="C18" s="206"/>
      <c r="D18" s="16">
        <f>'BS (After Changes)'!D18-'BS (Before Changes)'!D18</f>
        <v>0</v>
      </c>
      <c r="E18" s="16">
        <f>'BS (After Changes)'!E18-'BS (Before Changes)'!E18</f>
        <v>0</v>
      </c>
      <c r="F18" s="16">
        <f>'BS (After Changes)'!F18-'BS (Before Changes)'!F18</f>
        <v>0</v>
      </c>
      <c r="G18" s="16">
        <f>'BS (After Changes)'!G18-'BS (Before Changes)'!G18</f>
        <v>0</v>
      </c>
      <c r="H18" s="17">
        <f>'BS (After Changes)'!H18-'BS (Before Changes)'!H18</f>
        <v>0</v>
      </c>
      <c r="I18" s="16">
        <f>'BS (After Changes)'!I18-'BS (Before Changes)'!I18</f>
        <v>0</v>
      </c>
      <c r="J18" s="16">
        <f>'BS (After Changes)'!J18-'BS (Before Changes)'!J18</f>
        <v>0</v>
      </c>
      <c r="K18" s="16">
        <f>'BS (After Changes)'!K18-'BS (Before Changes)'!K18</f>
        <v>0</v>
      </c>
      <c r="L18" s="101">
        <f>'BS (After Changes)'!L18-'BS (Before Changes)'!L18</f>
        <v>0</v>
      </c>
      <c r="M18" s="17">
        <f>'BS (After Changes)'!M18-'BS (Before Changes)'!M18</f>
        <v>0</v>
      </c>
      <c r="N18" s="16">
        <f>'BS (After Changes)'!N18-'BS (Before Changes)'!N18</f>
        <v>0</v>
      </c>
      <c r="O18" s="16">
        <f>'BS (After Changes)'!O18-'BS (Before Changes)'!O18</f>
        <v>0</v>
      </c>
      <c r="P18" s="16">
        <f>'BS (After Changes)'!P18-'BS (Before Changes)'!P18</f>
        <v>0</v>
      </c>
      <c r="Q18" s="101">
        <f>'BS (After Changes)'!Q18-'BS (Before Changes)'!Q18</f>
        <v>0</v>
      </c>
      <c r="R18" s="17">
        <f>'BS (After Changes)'!R18-'BS (Before Changes)'!R18</f>
        <v>0</v>
      </c>
      <c r="S18" s="16">
        <f>'BS (After Changes)'!S18-'BS (Before Changes)'!S18</f>
        <v>0</v>
      </c>
      <c r="T18" s="16">
        <f>'BS (After Changes)'!T18-'BS (Before Changes)'!T18</f>
        <v>0</v>
      </c>
      <c r="U18" s="101">
        <f>'BS (After Changes)'!U18-'BS (Before Changes)'!U18</f>
        <v>0</v>
      </c>
      <c r="V18" s="101">
        <f>'BS (After Changes)'!V18-'BS (Before Changes)'!V18</f>
        <v>0</v>
      </c>
      <c r="W18" s="17">
        <f>'BS (After Changes)'!W18-'BS (Before Changes)'!W18</f>
        <v>0</v>
      </c>
      <c r="X18" s="33">
        <f>'BS (After Changes)'!X18-'BS (Before Changes)'!X18</f>
        <v>0</v>
      </c>
      <c r="Y18" s="33">
        <f>'BS (After Changes)'!Y18-'BS (Before Changes)'!Y18</f>
        <v>0</v>
      </c>
      <c r="Z18" s="33">
        <f>'BS (After Changes)'!Z18-'BS (Before Changes)'!Z18</f>
        <v>0</v>
      </c>
      <c r="AA18" s="33">
        <f>'BS (After Changes)'!AA18-'BS (Before Changes)'!AA18</f>
        <v>0</v>
      </c>
      <c r="AB18" s="17">
        <f>'BS (After Changes)'!AB18-'BS (Before Changes)'!AB18</f>
        <v>0</v>
      </c>
      <c r="AC18" s="33">
        <f>'BS (After Changes)'!AC18-'BS (Before Changes)'!AC18</f>
        <v>0</v>
      </c>
      <c r="AD18" s="33">
        <f>'BS (After Changes)'!AD18-'BS (Before Changes)'!AD18</f>
        <v>0</v>
      </c>
      <c r="AE18" s="33">
        <f>'BS (After Changes)'!AE18-'BS (Before Changes)'!AE18</f>
        <v>0</v>
      </c>
      <c r="AF18" s="33">
        <f>'BS (After Changes)'!AF18-'BS (Before Changes)'!AF18</f>
        <v>0</v>
      </c>
      <c r="AG18" s="17">
        <f>'BS (After Changes)'!AG18-'BS (Before Changes)'!AG18</f>
        <v>0</v>
      </c>
      <c r="AH18" s="33">
        <f>'BS (After Changes)'!AH18-'BS (Before Changes)'!AH18</f>
        <v>0</v>
      </c>
      <c r="AI18" s="33">
        <f>'BS (After Changes)'!AI18-'BS (Before Changes)'!AI18</f>
        <v>0</v>
      </c>
      <c r="AJ18" s="33">
        <f>'BS (After Changes)'!AJ18-'BS (Before Changes)'!AJ18</f>
        <v>0</v>
      </c>
      <c r="AK18" s="33">
        <f>'BS (After Changes)'!AK18-'BS (Before Changes)'!AK18</f>
        <v>0</v>
      </c>
      <c r="AL18" s="17">
        <f>'BS (After Changes)'!AL18-'BS (Before Changes)'!AL18</f>
        <v>0</v>
      </c>
      <c r="AM18" s="33">
        <f>'BS (After Changes)'!AM18-'BS (Before Changes)'!AM18</f>
        <v>0</v>
      </c>
      <c r="AN18" s="33">
        <f>'BS (After Changes)'!AN18-'BS (Before Changes)'!AN18</f>
        <v>0</v>
      </c>
      <c r="AO18" s="33">
        <f>'BS (After Changes)'!AO18-'BS (Before Changes)'!AO18</f>
        <v>0</v>
      </c>
      <c r="AP18" s="33">
        <f>'BS (After Changes)'!AP18-'BS (Before Changes)'!AP18</f>
        <v>0</v>
      </c>
      <c r="AQ18" s="17">
        <f>'BS (After Changes)'!AQ18-'BS (Before Changes)'!AQ18</f>
        <v>0</v>
      </c>
      <c r="AR18" s="33">
        <f>'BS (After Changes)'!AR18-'BS (Before Changes)'!AR18</f>
        <v>0</v>
      </c>
      <c r="AS18" s="33">
        <f>'BS (After Changes)'!AS18-'BS (Before Changes)'!AS18</f>
        <v>0</v>
      </c>
      <c r="AT18" s="33">
        <f>'BS (After Changes)'!AT18-'BS (Before Changes)'!AT18</f>
        <v>0</v>
      </c>
      <c r="AU18" s="33">
        <f>'BS (After Changes)'!AU18-'BS (Before Changes)'!AU18</f>
        <v>0</v>
      </c>
      <c r="AV18" s="17">
        <f>'BS (After Changes)'!AV18-'BS (Before Changes)'!AV18</f>
        <v>0</v>
      </c>
    </row>
    <row r="19" spans="1:48" ht="16.2" outlineLevel="1" x14ac:dyDescent="0.45">
      <c r="A19" s="161"/>
      <c r="B19" s="486" t="s">
        <v>225</v>
      </c>
      <c r="C19" s="487"/>
      <c r="D19" s="260">
        <f>'BS (After Changes)'!D19-'BS (Before Changes)'!D19</f>
        <v>0</v>
      </c>
      <c r="E19" s="260">
        <f>'BS (After Changes)'!E19-'BS (Before Changes)'!E19</f>
        <v>0</v>
      </c>
      <c r="F19" s="260">
        <f>'BS (After Changes)'!F19-'BS (Before Changes)'!F19</f>
        <v>0</v>
      </c>
      <c r="G19" s="260">
        <f>'BS (After Changes)'!G19-'BS (Before Changes)'!G19</f>
        <v>0</v>
      </c>
      <c r="H19" s="261">
        <f>'BS (After Changes)'!H19-'BS (Before Changes)'!H19</f>
        <v>0</v>
      </c>
      <c r="I19" s="260">
        <f>'BS (After Changes)'!I19-'BS (Before Changes)'!I19</f>
        <v>0</v>
      </c>
      <c r="J19" s="260">
        <f>'BS (After Changes)'!J19-'BS (Before Changes)'!J19</f>
        <v>0</v>
      </c>
      <c r="K19" s="260">
        <f>'BS (After Changes)'!K19-'BS (Before Changes)'!K19</f>
        <v>0</v>
      </c>
      <c r="L19" s="112">
        <f>'BS (After Changes)'!L19-'BS (Before Changes)'!L19</f>
        <v>0</v>
      </c>
      <c r="M19" s="261">
        <f>'BS (After Changes)'!M19-'BS (Before Changes)'!M19</f>
        <v>0</v>
      </c>
      <c r="N19" s="260">
        <f>'BS (After Changes)'!N19-'BS (Before Changes)'!N19</f>
        <v>0</v>
      </c>
      <c r="O19" s="260">
        <f>'BS (After Changes)'!O19-'BS (Before Changes)'!O19</f>
        <v>0</v>
      </c>
      <c r="P19" s="260">
        <f>'BS (After Changes)'!P19-'BS (Before Changes)'!P19</f>
        <v>0</v>
      </c>
      <c r="Q19" s="112">
        <f>'BS (After Changes)'!Q19-'BS (Before Changes)'!Q19</f>
        <v>0</v>
      </c>
      <c r="R19" s="261">
        <f>'BS (After Changes)'!R19-'BS (Before Changes)'!R19</f>
        <v>0</v>
      </c>
      <c r="S19" s="260">
        <f>'BS (After Changes)'!S19-'BS (Before Changes)'!S19</f>
        <v>0</v>
      </c>
      <c r="T19" s="260">
        <f>'BS (After Changes)'!T19-'BS (Before Changes)'!T19</f>
        <v>0</v>
      </c>
      <c r="U19" s="112">
        <f>'BS (After Changes)'!U19-'BS (Before Changes)'!U19</f>
        <v>0</v>
      </c>
      <c r="V19" s="112">
        <f>'BS (After Changes)'!V19-'BS (Before Changes)'!V19</f>
        <v>0</v>
      </c>
      <c r="W19" s="261">
        <f>'BS (After Changes)'!W19-'BS (Before Changes)'!W19</f>
        <v>0</v>
      </c>
      <c r="X19" s="32">
        <f>'BS (After Changes)'!X19-'BS (Before Changes)'!X19</f>
        <v>0</v>
      </c>
      <c r="Y19" s="32">
        <f>'BS (After Changes)'!Y19-'BS (Before Changes)'!Y19</f>
        <v>0</v>
      </c>
      <c r="Z19" s="32">
        <f>'BS (After Changes)'!Z19-'BS (Before Changes)'!Z19</f>
        <v>0</v>
      </c>
      <c r="AA19" s="32">
        <f>'BS (After Changes)'!AA19-'BS (Before Changes)'!AA19</f>
        <v>0</v>
      </c>
      <c r="AB19" s="261">
        <f>'BS (After Changes)'!AB19-'BS (Before Changes)'!AB19</f>
        <v>0</v>
      </c>
      <c r="AC19" s="32">
        <f>'BS (After Changes)'!AC19-'BS (Before Changes)'!AC19</f>
        <v>0</v>
      </c>
      <c r="AD19" s="32">
        <f>'BS (After Changes)'!AD19-'BS (Before Changes)'!AD19</f>
        <v>0</v>
      </c>
      <c r="AE19" s="32">
        <f>'BS (After Changes)'!AE19-'BS (Before Changes)'!AE19</f>
        <v>0</v>
      </c>
      <c r="AF19" s="32">
        <f>'BS (After Changes)'!AF19-'BS (Before Changes)'!AF19</f>
        <v>0</v>
      </c>
      <c r="AG19" s="261">
        <f>'BS (After Changes)'!AG19-'BS (Before Changes)'!AG19</f>
        <v>0</v>
      </c>
      <c r="AH19" s="32">
        <f>'BS (After Changes)'!AH19-'BS (Before Changes)'!AH19</f>
        <v>0</v>
      </c>
      <c r="AI19" s="32">
        <f>'BS (After Changes)'!AI19-'BS (Before Changes)'!AI19</f>
        <v>0</v>
      </c>
      <c r="AJ19" s="32">
        <f>'BS (After Changes)'!AJ19-'BS (Before Changes)'!AJ19</f>
        <v>0</v>
      </c>
      <c r="AK19" s="32">
        <f>'BS (After Changes)'!AK19-'BS (Before Changes)'!AK19</f>
        <v>0</v>
      </c>
      <c r="AL19" s="261">
        <f>'BS (After Changes)'!AL19-'BS (Before Changes)'!AL19</f>
        <v>0</v>
      </c>
      <c r="AM19" s="32">
        <f>'BS (After Changes)'!AM19-'BS (Before Changes)'!AM19</f>
        <v>0</v>
      </c>
      <c r="AN19" s="32">
        <f>'BS (After Changes)'!AN19-'BS (Before Changes)'!AN19</f>
        <v>0</v>
      </c>
      <c r="AO19" s="32">
        <f>'BS (After Changes)'!AO19-'BS (Before Changes)'!AO19</f>
        <v>0</v>
      </c>
      <c r="AP19" s="32">
        <f>'BS (After Changes)'!AP19-'BS (Before Changes)'!AP19</f>
        <v>0</v>
      </c>
      <c r="AQ19" s="261">
        <f>'BS (After Changes)'!AQ19-'BS (Before Changes)'!AQ19</f>
        <v>0</v>
      </c>
      <c r="AR19" s="32">
        <f>'BS (After Changes)'!AR19-'BS (Before Changes)'!AR19</f>
        <v>0</v>
      </c>
      <c r="AS19" s="32">
        <f>'BS (After Changes)'!AS19-'BS (Before Changes)'!AS19</f>
        <v>0</v>
      </c>
      <c r="AT19" s="32">
        <f>'BS (After Changes)'!AT19-'BS (Before Changes)'!AT19</f>
        <v>0</v>
      </c>
      <c r="AU19" s="32">
        <f>'BS (After Changes)'!AU19-'BS (Before Changes)'!AU19</f>
        <v>0</v>
      </c>
      <c r="AV19" s="261">
        <f>'BS (After Changes)'!AV19-'BS (Before Changes)'!AV19</f>
        <v>0</v>
      </c>
    </row>
    <row r="20" spans="1:48" outlineLevel="1" x14ac:dyDescent="0.3">
      <c r="A20" s="161"/>
      <c r="B20" s="525" t="s">
        <v>226</v>
      </c>
      <c r="C20" s="526"/>
      <c r="D20" s="21">
        <f>'BS (After Changes)'!D20-'BS (Before Changes)'!D20</f>
        <v>0</v>
      </c>
      <c r="E20" s="21">
        <f>'BS (After Changes)'!E20-'BS (Before Changes)'!E20</f>
        <v>0</v>
      </c>
      <c r="F20" s="21">
        <f>'BS (After Changes)'!F20-'BS (Before Changes)'!F20</f>
        <v>0</v>
      </c>
      <c r="G20" s="21">
        <f>'BS (After Changes)'!G20-'BS (Before Changes)'!G20</f>
        <v>0</v>
      </c>
      <c r="H20" s="22">
        <f>'BS (After Changes)'!H20-'BS (Before Changes)'!H20</f>
        <v>0</v>
      </c>
      <c r="I20" s="21">
        <f>'BS (After Changes)'!I20-'BS (Before Changes)'!I20</f>
        <v>0</v>
      </c>
      <c r="J20" s="21">
        <f>'BS (After Changes)'!J20-'BS (Before Changes)'!J20</f>
        <v>0</v>
      </c>
      <c r="K20" s="21">
        <f>'BS (After Changes)'!K20-'BS (Before Changes)'!K20</f>
        <v>0</v>
      </c>
      <c r="L20" s="21">
        <f>'BS (After Changes)'!L20-'BS (Before Changes)'!L20</f>
        <v>0</v>
      </c>
      <c r="M20" s="22">
        <f>'BS (After Changes)'!M20-'BS (Before Changes)'!M20</f>
        <v>0</v>
      </c>
      <c r="N20" s="21">
        <f>'BS (After Changes)'!N20-'BS (Before Changes)'!N20</f>
        <v>0</v>
      </c>
      <c r="O20" s="21">
        <f>'BS (After Changes)'!O20-'BS (Before Changes)'!O20</f>
        <v>0</v>
      </c>
      <c r="P20" s="21">
        <f>'BS (After Changes)'!P20-'BS (Before Changes)'!P20</f>
        <v>0</v>
      </c>
      <c r="Q20" s="21">
        <f>'BS (After Changes)'!Q20-'BS (Before Changes)'!Q20</f>
        <v>0</v>
      </c>
      <c r="R20" s="22">
        <f>'BS (After Changes)'!R20-'BS (Before Changes)'!R20</f>
        <v>0</v>
      </c>
      <c r="S20" s="21">
        <f>'BS (After Changes)'!S20-'BS (Before Changes)'!S20</f>
        <v>0</v>
      </c>
      <c r="T20" s="21">
        <f>'BS (After Changes)'!T20-'BS (Before Changes)'!T20</f>
        <v>0</v>
      </c>
      <c r="U20" s="21">
        <f>'BS (After Changes)'!U20-'BS (Before Changes)'!U20</f>
        <v>0</v>
      </c>
      <c r="V20" s="21">
        <f>'BS (After Changes)'!V20-'BS (Before Changes)'!V20</f>
        <v>0</v>
      </c>
      <c r="W20" s="22">
        <f>'BS (After Changes)'!W20-'BS (Before Changes)'!W20</f>
        <v>0</v>
      </c>
      <c r="X20" s="21">
        <f>'BS (After Changes)'!X20-'BS (Before Changes)'!X20</f>
        <v>10.945698941577575</v>
      </c>
      <c r="Y20" s="21">
        <f>'BS (After Changes)'!Y20-'BS (Before Changes)'!Y20</f>
        <v>0.95253236208372982</v>
      </c>
      <c r="Z20" s="21">
        <f>'BS (After Changes)'!Z20-'BS (Before Changes)'!Z20</f>
        <v>46.905888650224369</v>
      </c>
      <c r="AA20" s="21">
        <f>'BS (After Changes)'!AA20-'BS (Before Changes)'!AA20</f>
        <v>9.2933413550781552E-2</v>
      </c>
      <c r="AB20" s="22">
        <f>'BS (After Changes)'!AB20-'BS (Before Changes)'!AB20</f>
        <v>9.2933413550781552E-2</v>
      </c>
      <c r="AC20" s="21">
        <f>'BS (After Changes)'!AC20-'BS (Before Changes)'!AC20</f>
        <v>-56.145980368721212</v>
      </c>
      <c r="AD20" s="21">
        <f>'BS (After Changes)'!AD20-'BS (Before Changes)'!AD20</f>
        <v>-5.6392565489150002</v>
      </c>
      <c r="AE20" s="21">
        <f>'BS (After Changes)'!AE20-'BS (Before Changes)'!AE20</f>
        <v>143.63596884780418</v>
      </c>
      <c r="AF20" s="21">
        <f>'BS (After Changes)'!AF20-'BS (Before Changes)'!AF20</f>
        <v>274.36221463314723</v>
      </c>
      <c r="AG20" s="22">
        <f>'BS (After Changes)'!AG20-'BS (Before Changes)'!AG20</f>
        <v>274.36221463314723</v>
      </c>
      <c r="AH20" s="21">
        <f>'BS (After Changes)'!AH20-'BS (Before Changes)'!AH20</f>
        <v>299.48632094340428</v>
      </c>
      <c r="AI20" s="21">
        <f>'BS (After Changes)'!AI20-'BS (Before Changes)'!AI20</f>
        <v>365.94031677050225</v>
      </c>
      <c r="AJ20" s="21">
        <f>'BS (After Changes)'!AJ20-'BS (Before Changes)'!AJ20</f>
        <v>545.01416695422085</v>
      </c>
      <c r="AK20" s="21">
        <f>'BS (After Changes)'!AK20-'BS (Before Changes)'!AK20</f>
        <v>702.5462872488788</v>
      </c>
      <c r="AL20" s="22">
        <f>'BS (After Changes)'!AL20-'BS (Before Changes)'!AL20</f>
        <v>702.5462872488788</v>
      </c>
      <c r="AM20" s="21">
        <f>'BS (After Changes)'!AM20-'BS (Before Changes)'!AM20</f>
        <v>727.37548765575048</v>
      </c>
      <c r="AN20" s="21">
        <f>'BS (After Changes)'!AN20-'BS (Before Changes)'!AN20</f>
        <v>800.90329901752921</v>
      </c>
      <c r="AO20" s="21">
        <f>'BS (After Changes)'!AO20-'BS (Before Changes)'!AO20</f>
        <v>996.5138095114562</v>
      </c>
      <c r="AP20" s="21">
        <f>'BS (After Changes)'!AP20-'BS (Before Changes)'!AP20</f>
        <v>1169.0000939222846</v>
      </c>
      <c r="AQ20" s="22">
        <f>'BS (After Changes)'!AQ20-'BS (Before Changes)'!AQ20</f>
        <v>1169.0000939222846</v>
      </c>
      <c r="AR20" s="21">
        <f>'BS (After Changes)'!AR20-'BS (Before Changes)'!AR20</f>
        <v>1196.852626505919</v>
      </c>
      <c r="AS20" s="21">
        <f>'BS (After Changes)'!AS20-'BS (Before Changes)'!AS20</f>
        <v>1276.7473461382469</v>
      </c>
      <c r="AT20" s="21">
        <f>'BS (After Changes)'!AT20-'BS (Before Changes)'!AT20</f>
        <v>1486.720883016802</v>
      </c>
      <c r="AU20" s="21">
        <f>'BS (After Changes)'!AU20-'BS (Before Changes)'!AU20</f>
        <v>1672.13639653266</v>
      </c>
      <c r="AV20" s="22">
        <f>'BS (After Changes)'!AV20-'BS (Before Changes)'!AV20</f>
        <v>1672.13639653266</v>
      </c>
    </row>
    <row r="21" spans="1:48" ht="17.399999999999999" x14ac:dyDescent="0.45">
      <c r="A21" s="161"/>
      <c r="B21" s="494" t="s">
        <v>227</v>
      </c>
      <c r="C21" s="495"/>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486" t="s">
        <v>228</v>
      </c>
      <c r="C22" s="487"/>
      <c r="D22" s="101">
        <f>'BS (After Changes)'!D22-'BS (Before Changes)'!D22</f>
        <v>0</v>
      </c>
      <c r="E22" s="101">
        <f>'BS (After Changes)'!E22-'BS (Before Changes)'!E22</f>
        <v>0</v>
      </c>
      <c r="F22" s="101">
        <f>'BS (After Changes)'!F22-'BS (Before Changes)'!F22</f>
        <v>0</v>
      </c>
      <c r="G22" s="101">
        <f>'BS (After Changes)'!G22-'BS (Before Changes)'!G22</f>
        <v>0</v>
      </c>
      <c r="H22" s="169">
        <f>'BS (After Changes)'!H22-'BS (Before Changes)'!H22</f>
        <v>0</v>
      </c>
      <c r="I22" s="101">
        <f>'BS (After Changes)'!I22-'BS (Before Changes)'!I22</f>
        <v>0</v>
      </c>
      <c r="J22" s="101">
        <f>'BS (After Changes)'!J22-'BS (Before Changes)'!J22</f>
        <v>0</v>
      </c>
      <c r="K22" s="101">
        <f>'BS (After Changes)'!K22-'BS (Before Changes)'!K22</f>
        <v>0</v>
      </c>
      <c r="L22" s="101">
        <f>'BS (After Changes)'!L22-'BS (Before Changes)'!L22</f>
        <v>0</v>
      </c>
      <c r="M22" s="169">
        <f>'BS (After Changes)'!M22-'BS (Before Changes)'!M22</f>
        <v>0</v>
      </c>
      <c r="N22" s="101">
        <f>'BS (After Changes)'!N22-'BS (Before Changes)'!N22</f>
        <v>0</v>
      </c>
      <c r="O22" s="101">
        <f>'BS (After Changes)'!O22-'BS (Before Changes)'!O22</f>
        <v>0</v>
      </c>
      <c r="P22" s="101">
        <f>'BS (After Changes)'!P22-'BS (Before Changes)'!P22</f>
        <v>0</v>
      </c>
      <c r="Q22" s="101">
        <f>'BS (After Changes)'!Q22-'BS (Before Changes)'!Q22</f>
        <v>0</v>
      </c>
      <c r="R22" s="169">
        <f>'BS (After Changes)'!R22-'BS (Before Changes)'!R22</f>
        <v>0</v>
      </c>
      <c r="S22" s="101">
        <f>'BS (After Changes)'!S22-'BS (Before Changes)'!S22</f>
        <v>0</v>
      </c>
      <c r="T22" s="101">
        <f>'BS (After Changes)'!T22-'BS (Before Changes)'!T22</f>
        <v>0</v>
      </c>
      <c r="U22" s="101">
        <f>'BS (After Changes)'!U22-'BS (Before Changes)'!U22</f>
        <v>0</v>
      </c>
      <c r="V22" s="101">
        <f>'BS (After Changes)'!V22-'BS (Before Changes)'!V22</f>
        <v>0</v>
      </c>
      <c r="W22" s="169">
        <f>'BS (After Changes)'!W22-'BS (Before Changes)'!W22</f>
        <v>0</v>
      </c>
      <c r="X22" s="101">
        <f>'BS (After Changes)'!X22-'BS (Before Changes)'!X22</f>
        <v>2.5978270259452074</v>
      </c>
      <c r="Y22" s="101">
        <f>'BS (After Changes)'!Y22-'BS (Before Changes)'!Y22</f>
        <v>18.289811900576979</v>
      </c>
      <c r="Z22" s="101">
        <f>'BS (After Changes)'!Z22-'BS (Before Changes)'!Z22</f>
        <v>39.347828855863554</v>
      </c>
      <c r="AA22" s="101">
        <f>'BS (After Changes)'!AA22-'BS (Before Changes)'!AA22</f>
        <v>78.69654783276178</v>
      </c>
      <c r="AB22" s="169">
        <f>'BS (After Changes)'!AB22-'BS (Before Changes)'!AB22</f>
        <v>78.69654783276178</v>
      </c>
      <c r="AC22" s="101">
        <f>'BS (After Changes)'!AC22-'BS (Before Changes)'!AC22</f>
        <v>5.3388457660403219</v>
      </c>
      <c r="AD22" s="101">
        <f>'BS (After Changes)'!AD22-'BS (Before Changes)'!AD22</f>
        <v>-8.4158146668189602</v>
      </c>
      <c r="AE22" s="101">
        <f>'BS (After Changes)'!AE22-'BS (Before Changes)'!AE22</f>
        <v>9.1159363674976248</v>
      </c>
      <c r="AF22" s="101">
        <f>'BS (After Changes)'!AF22-'BS (Before Changes)'!AF22</f>
        <v>14.426254384796266</v>
      </c>
      <c r="AG22" s="169">
        <f>'BS (After Changes)'!AG22-'BS (Before Changes)'!AG22</f>
        <v>14.426254384796266</v>
      </c>
      <c r="AH22" s="101">
        <f>'BS (After Changes)'!AH22-'BS (Before Changes)'!AH22</f>
        <v>8.7361873449985978</v>
      </c>
      <c r="AI22" s="101">
        <f>'BS (After Changes)'!AI22-'BS (Before Changes)'!AI22</f>
        <v>-6.4471255640971776</v>
      </c>
      <c r="AJ22" s="101">
        <f>'BS (After Changes)'!AJ22-'BS (Before Changes)'!AJ22</f>
        <v>13.482732905111106</v>
      </c>
      <c r="AK22" s="101">
        <f>'BS (After Changes)'!AK22-'BS (Before Changes)'!AK22</f>
        <v>19.252566797470081</v>
      </c>
      <c r="AL22" s="169">
        <f>'BS (After Changes)'!AL22-'BS (Before Changes)'!AL22</f>
        <v>19.252566797470081</v>
      </c>
      <c r="AM22" s="101">
        <f>'BS (After Changes)'!AM22-'BS (Before Changes)'!AM22</f>
        <v>9.4423852115232876</v>
      </c>
      <c r="AN22" s="101">
        <f>'BS (After Changes)'!AN22-'BS (Before Changes)'!AN22</f>
        <v>-6.9497454085353638</v>
      </c>
      <c r="AO22" s="101">
        <f>'BS (After Changes)'!AO22-'BS (Before Changes)'!AO22</f>
        <v>14.519653099464449</v>
      </c>
      <c r="AP22" s="101">
        <f>'BS (After Changes)'!AP22-'BS (Before Changes)'!AP22</f>
        <v>20.721452138086079</v>
      </c>
      <c r="AQ22" s="169">
        <f>'BS (After Changes)'!AQ22-'BS (Before Changes)'!AQ22</f>
        <v>20.721452138086079</v>
      </c>
      <c r="AR22" s="101">
        <f>'BS (After Changes)'!AR22-'BS (Before Changes)'!AR22</f>
        <v>10.096895213348944</v>
      </c>
      <c r="AS22" s="101">
        <f>'BS (After Changes)'!AS22-'BS (Before Changes)'!AS22</f>
        <v>-7.3809768690387045</v>
      </c>
      <c r="AT22" s="101">
        <f>'BS (After Changes)'!AT22-'BS (Before Changes)'!AT22</f>
        <v>15.492814152380106</v>
      </c>
      <c r="AU22" s="101">
        <f>'BS (After Changes)'!AU22-'BS (Before Changes)'!AU22</f>
        <v>22.138389074003953</v>
      </c>
      <c r="AV22" s="169">
        <f>'BS (After Changes)'!AV22-'BS (Before Changes)'!AV22</f>
        <v>22.138389074003953</v>
      </c>
    </row>
    <row r="23" spans="1:48" outlineLevel="1" x14ac:dyDescent="0.3">
      <c r="A23" s="161"/>
      <c r="B23" s="486" t="s">
        <v>229</v>
      </c>
      <c r="C23" s="487"/>
      <c r="D23" s="101">
        <f>'BS (After Changes)'!D23-'BS (Before Changes)'!D23</f>
        <v>0</v>
      </c>
      <c r="E23" s="101">
        <f>'BS (After Changes)'!E23-'BS (Before Changes)'!E23</f>
        <v>0</v>
      </c>
      <c r="F23" s="101">
        <f>'BS (After Changes)'!F23-'BS (Before Changes)'!F23</f>
        <v>0</v>
      </c>
      <c r="G23" s="101">
        <f>'BS (After Changes)'!G23-'BS (Before Changes)'!G23</f>
        <v>0</v>
      </c>
      <c r="H23" s="169">
        <f>'BS (After Changes)'!H23-'BS (Before Changes)'!H23</f>
        <v>0</v>
      </c>
      <c r="I23" s="101">
        <f>'BS (After Changes)'!I23-'BS (Before Changes)'!I23</f>
        <v>0</v>
      </c>
      <c r="J23" s="101">
        <f>'BS (After Changes)'!J23-'BS (Before Changes)'!J23</f>
        <v>0</v>
      </c>
      <c r="K23" s="101">
        <f>'BS (After Changes)'!K23-'BS (Before Changes)'!K23</f>
        <v>0</v>
      </c>
      <c r="L23" s="101">
        <f>'BS (After Changes)'!L23-'BS (Before Changes)'!L23</f>
        <v>0</v>
      </c>
      <c r="M23" s="169">
        <f>'BS (After Changes)'!M23-'BS (Before Changes)'!M23</f>
        <v>0</v>
      </c>
      <c r="N23" s="101">
        <f>'BS (After Changes)'!N23-'BS (Before Changes)'!N23</f>
        <v>0</v>
      </c>
      <c r="O23" s="101">
        <f>'BS (After Changes)'!O23-'BS (Before Changes)'!O23</f>
        <v>0</v>
      </c>
      <c r="P23" s="101">
        <f>'BS (After Changes)'!P23-'BS (Before Changes)'!P23</f>
        <v>0</v>
      </c>
      <c r="Q23" s="101">
        <f>'BS (After Changes)'!Q23-'BS (Before Changes)'!Q23</f>
        <v>0</v>
      </c>
      <c r="R23" s="169">
        <f>'BS (After Changes)'!R23-'BS (Before Changes)'!R23</f>
        <v>0</v>
      </c>
      <c r="S23" s="101">
        <f>'BS (After Changes)'!S23-'BS (Before Changes)'!S23</f>
        <v>0</v>
      </c>
      <c r="T23" s="101">
        <f>'BS (After Changes)'!T23-'BS (Before Changes)'!T23</f>
        <v>0</v>
      </c>
      <c r="U23" s="101">
        <f>'BS (After Changes)'!U23-'BS (Before Changes)'!U23</f>
        <v>0</v>
      </c>
      <c r="V23" s="101">
        <f>'BS (After Changes)'!V23-'BS (Before Changes)'!V23</f>
        <v>0</v>
      </c>
      <c r="W23" s="169">
        <f>'BS (After Changes)'!W23-'BS (Before Changes)'!W23</f>
        <v>0</v>
      </c>
      <c r="X23" s="33">
        <f>'BS (After Changes)'!X23-'BS (Before Changes)'!X23</f>
        <v>0</v>
      </c>
      <c r="Y23" s="33">
        <f>'BS (After Changes)'!Y23-'BS (Before Changes)'!Y23</f>
        <v>0</v>
      </c>
      <c r="Z23" s="33">
        <f>'BS (After Changes)'!Z23-'BS (Before Changes)'!Z23</f>
        <v>0</v>
      </c>
      <c r="AA23" s="33">
        <f>'BS (After Changes)'!AA23-'BS (Before Changes)'!AA23</f>
        <v>0</v>
      </c>
      <c r="AB23" s="169">
        <f>'BS (After Changes)'!AB23-'BS (Before Changes)'!AB23</f>
        <v>0</v>
      </c>
      <c r="AC23" s="33">
        <f>'BS (After Changes)'!AC23-'BS (Before Changes)'!AC23</f>
        <v>0</v>
      </c>
      <c r="AD23" s="33">
        <f>'BS (After Changes)'!AD23-'BS (Before Changes)'!AD23</f>
        <v>0</v>
      </c>
      <c r="AE23" s="33">
        <f>'BS (After Changes)'!AE23-'BS (Before Changes)'!AE23</f>
        <v>0</v>
      </c>
      <c r="AF23" s="33">
        <f>'BS (After Changes)'!AF23-'BS (Before Changes)'!AF23</f>
        <v>0</v>
      </c>
      <c r="AG23" s="169">
        <f>'BS (After Changes)'!AG23-'BS (Before Changes)'!AG23</f>
        <v>0</v>
      </c>
      <c r="AH23" s="33">
        <f>'BS (After Changes)'!AH23-'BS (Before Changes)'!AH23</f>
        <v>0</v>
      </c>
      <c r="AI23" s="33">
        <f>'BS (After Changes)'!AI23-'BS (Before Changes)'!AI23</f>
        <v>0</v>
      </c>
      <c r="AJ23" s="33">
        <f>'BS (After Changes)'!AJ23-'BS (Before Changes)'!AJ23</f>
        <v>0</v>
      </c>
      <c r="AK23" s="33">
        <f>'BS (After Changes)'!AK23-'BS (Before Changes)'!AK23</f>
        <v>0</v>
      </c>
      <c r="AL23" s="169">
        <f>'BS (After Changes)'!AL23-'BS (Before Changes)'!AL23</f>
        <v>0</v>
      </c>
      <c r="AM23" s="33">
        <f>'BS (After Changes)'!AM23-'BS (Before Changes)'!AM23</f>
        <v>0</v>
      </c>
      <c r="AN23" s="33">
        <f>'BS (After Changes)'!AN23-'BS (Before Changes)'!AN23</f>
        <v>0</v>
      </c>
      <c r="AO23" s="33">
        <f>'BS (After Changes)'!AO23-'BS (Before Changes)'!AO23</f>
        <v>0</v>
      </c>
      <c r="AP23" s="33">
        <f>'BS (After Changes)'!AP23-'BS (Before Changes)'!AP23</f>
        <v>0</v>
      </c>
      <c r="AQ23" s="169">
        <f>'BS (After Changes)'!AQ23-'BS (Before Changes)'!AQ23</f>
        <v>0</v>
      </c>
      <c r="AR23" s="33">
        <f>'BS (After Changes)'!AR23-'BS (Before Changes)'!AR23</f>
        <v>0</v>
      </c>
      <c r="AS23" s="33">
        <f>'BS (After Changes)'!AS23-'BS (Before Changes)'!AS23</f>
        <v>0</v>
      </c>
      <c r="AT23" s="33">
        <f>'BS (After Changes)'!AT23-'BS (Before Changes)'!AT23</f>
        <v>0</v>
      </c>
      <c r="AU23" s="33">
        <f>'BS (After Changes)'!AU23-'BS (Before Changes)'!AU23</f>
        <v>0</v>
      </c>
      <c r="AV23" s="169">
        <f>'BS (After Changes)'!AV23-'BS (Before Changes)'!AV23</f>
        <v>0</v>
      </c>
    </row>
    <row r="24" spans="1:48" outlineLevel="1" x14ac:dyDescent="0.3">
      <c r="A24" s="161"/>
      <c r="B24" s="200" t="s">
        <v>230</v>
      </c>
      <c r="C24" s="201"/>
      <c r="D24" s="101">
        <f>'BS (After Changes)'!D24-'BS (Before Changes)'!D24</f>
        <v>0</v>
      </c>
      <c r="E24" s="101">
        <f>'BS (After Changes)'!E24-'BS (Before Changes)'!E24</f>
        <v>0</v>
      </c>
      <c r="F24" s="101">
        <f>'BS (After Changes)'!F24-'BS (Before Changes)'!F24</f>
        <v>0</v>
      </c>
      <c r="G24" s="101">
        <f>'BS (After Changes)'!G24-'BS (Before Changes)'!G24</f>
        <v>0</v>
      </c>
      <c r="H24" s="169">
        <f>'BS (After Changes)'!H24-'BS (Before Changes)'!H24</f>
        <v>0</v>
      </c>
      <c r="I24" s="101">
        <f>'BS (After Changes)'!I24-'BS (Before Changes)'!I24</f>
        <v>0</v>
      </c>
      <c r="J24" s="101">
        <f>'BS (After Changes)'!J24-'BS (Before Changes)'!J24</f>
        <v>0</v>
      </c>
      <c r="K24" s="101">
        <f>'BS (After Changes)'!K24-'BS (Before Changes)'!K24</f>
        <v>0</v>
      </c>
      <c r="L24" s="101">
        <f>'BS (After Changes)'!L24-'BS (Before Changes)'!L24</f>
        <v>0</v>
      </c>
      <c r="M24" s="169">
        <f>'BS (After Changes)'!M24-'BS (Before Changes)'!M24</f>
        <v>0</v>
      </c>
      <c r="N24" s="101">
        <f>'BS (After Changes)'!N24-'BS (Before Changes)'!N24</f>
        <v>0</v>
      </c>
      <c r="O24" s="101">
        <f>'BS (After Changes)'!O24-'BS (Before Changes)'!O24</f>
        <v>0</v>
      </c>
      <c r="P24" s="101">
        <f>'BS (After Changes)'!P24-'BS (Before Changes)'!P24</f>
        <v>0</v>
      </c>
      <c r="Q24" s="101">
        <f>'BS (After Changes)'!Q24-'BS (Before Changes)'!Q24</f>
        <v>0</v>
      </c>
      <c r="R24" s="169">
        <f>'BS (After Changes)'!R24-'BS (Before Changes)'!R24</f>
        <v>0</v>
      </c>
      <c r="S24" s="101">
        <f>'BS (After Changes)'!S24-'BS (Before Changes)'!S24</f>
        <v>0</v>
      </c>
      <c r="T24" s="101">
        <f>'BS (After Changes)'!T24-'BS (Before Changes)'!T24</f>
        <v>0</v>
      </c>
      <c r="U24" s="101">
        <f>'BS (After Changes)'!U24-'BS (Before Changes)'!U24</f>
        <v>0</v>
      </c>
      <c r="V24" s="101">
        <f>'BS (After Changes)'!V24-'BS (Before Changes)'!V24</f>
        <v>0</v>
      </c>
      <c r="W24" s="169">
        <f>'BS (After Changes)'!W24-'BS (Before Changes)'!W24</f>
        <v>0</v>
      </c>
      <c r="X24" s="33">
        <f>'BS (After Changes)'!X24-'BS (Before Changes)'!X24</f>
        <v>0</v>
      </c>
      <c r="Y24" s="33">
        <f>'BS (After Changes)'!Y24-'BS (Before Changes)'!Y24</f>
        <v>0</v>
      </c>
      <c r="Z24" s="33">
        <f>'BS (After Changes)'!Z24-'BS (Before Changes)'!Z24</f>
        <v>0</v>
      </c>
      <c r="AA24" s="33">
        <f>'BS (After Changes)'!AA24-'BS (Before Changes)'!AA24</f>
        <v>0</v>
      </c>
      <c r="AB24" s="169">
        <f>'BS (After Changes)'!AB24-'BS (Before Changes)'!AB24</f>
        <v>0</v>
      </c>
      <c r="AC24" s="33">
        <f>'BS (After Changes)'!AC24-'BS (Before Changes)'!AC24</f>
        <v>0</v>
      </c>
      <c r="AD24" s="33">
        <f>'BS (After Changes)'!AD24-'BS (Before Changes)'!AD24</f>
        <v>0</v>
      </c>
      <c r="AE24" s="33">
        <f>'BS (After Changes)'!AE24-'BS (Before Changes)'!AE24</f>
        <v>0</v>
      </c>
      <c r="AF24" s="33">
        <f>'BS (After Changes)'!AF24-'BS (Before Changes)'!AF24</f>
        <v>0</v>
      </c>
      <c r="AG24" s="169">
        <f>'BS (After Changes)'!AG24-'BS (Before Changes)'!AG24</f>
        <v>0</v>
      </c>
      <c r="AH24" s="33">
        <f>'BS (After Changes)'!AH24-'BS (Before Changes)'!AH24</f>
        <v>0</v>
      </c>
      <c r="AI24" s="33">
        <f>'BS (After Changes)'!AI24-'BS (Before Changes)'!AI24</f>
        <v>0</v>
      </c>
      <c r="AJ24" s="33">
        <f>'BS (After Changes)'!AJ24-'BS (Before Changes)'!AJ24</f>
        <v>0</v>
      </c>
      <c r="AK24" s="33">
        <f>'BS (After Changes)'!AK24-'BS (Before Changes)'!AK24</f>
        <v>0</v>
      </c>
      <c r="AL24" s="169">
        <f>'BS (After Changes)'!AL24-'BS (Before Changes)'!AL24</f>
        <v>0</v>
      </c>
      <c r="AM24" s="33">
        <f>'BS (After Changes)'!AM24-'BS (Before Changes)'!AM24</f>
        <v>0</v>
      </c>
      <c r="AN24" s="33">
        <f>'BS (After Changes)'!AN24-'BS (Before Changes)'!AN24</f>
        <v>0</v>
      </c>
      <c r="AO24" s="33">
        <f>'BS (After Changes)'!AO24-'BS (Before Changes)'!AO24</f>
        <v>0</v>
      </c>
      <c r="AP24" s="33">
        <f>'BS (After Changes)'!AP24-'BS (Before Changes)'!AP24</f>
        <v>0</v>
      </c>
      <c r="AQ24" s="169">
        <f>'BS (After Changes)'!AQ24-'BS (Before Changes)'!AQ24</f>
        <v>0</v>
      </c>
      <c r="AR24" s="33">
        <f>'BS (After Changes)'!AR24-'BS (Before Changes)'!AR24</f>
        <v>0</v>
      </c>
      <c r="AS24" s="33">
        <f>'BS (After Changes)'!AS24-'BS (Before Changes)'!AS24</f>
        <v>0</v>
      </c>
      <c r="AT24" s="33">
        <f>'BS (After Changes)'!AT24-'BS (Before Changes)'!AT24</f>
        <v>0</v>
      </c>
      <c r="AU24" s="33">
        <f>'BS (After Changes)'!AU24-'BS (Before Changes)'!AU24</f>
        <v>0</v>
      </c>
      <c r="AV24" s="169">
        <f>'BS (After Changes)'!AV24-'BS (Before Changes)'!AV24</f>
        <v>0</v>
      </c>
    </row>
    <row r="25" spans="1:48" outlineLevel="1" x14ac:dyDescent="0.3">
      <c r="A25" s="161"/>
      <c r="B25" s="200" t="s">
        <v>231</v>
      </c>
      <c r="C25" s="201"/>
      <c r="D25" s="101">
        <f>'BS (After Changes)'!D25-'BS (Before Changes)'!D25</f>
        <v>0</v>
      </c>
      <c r="E25" s="101">
        <f>'BS (After Changes)'!E25-'BS (Before Changes)'!E25</f>
        <v>0</v>
      </c>
      <c r="F25" s="101">
        <f>'BS (After Changes)'!F25-'BS (Before Changes)'!F25</f>
        <v>0</v>
      </c>
      <c r="G25" s="101">
        <f>'BS (After Changes)'!G25-'BS (Before Changes)'!G25</f>
        <v>0</v>
      </c>
      <c r="H25" s="169">
        <f>'BS (After Changes)'!H25-'BS (Before Changes)'!H25</f>
        <v>0</v>
      </c>
      <c r="I25" s="101">
        <f>'BS (After Changes)'!I25-'BS (Before Changes)'!I25</f>
        <v>0</v>
      </c>
      <c r="J25" s="101">
        <f>'BS (After Changes)'!J25-'BS (Before Changes)'!J25</f>
        <v>0</v>
      </c>
      <c r="K25" s="101">
        <f>'BS (After Changes)'!K25-'BS (Before Changes)'!K25</f>
        <v>0</v>
      </c>
      <c r="L25" s="101">
        <f>'BS (After Changes)'!L25-'BS (Before Changes)'!L25</f>
        <v>0</v>
      </c>
      <c r="M25" s="169">
        <f>'BS (After Changes)'!M25-'BS (Before Changes)'!M25</f>
        <v>0</v>
      </c>
      <c r="N25" s="101">
        <f>'BS (After Changes)'!N25-'BS (Before Changes)'!N25</f>
        <v>0</v>
      </c>
      <c r="O25" s="101">
        <f>'BS (After Changes)'!O25-'BS (Before Changes)'!O25</f>
        <v>0</v>
      </c>
      <c r="P25" s="101">
        <f>'BS (After Changes)'!P25-'BS (Before Changes)'!P25</f>
        <v>0</v>
      </c>
      <c r="Q25" s="101">
        <f>'BS (After Changes)'!Q25-'BS (Before Changes)'!Q25</f>
        <v>0</v>
      </c>
      <c r="R25" s="169">
        <f>'BS (After Changes)'!R25-'BS (Before Changes)'!R25</f>
        <v>0</v>
      </c>
      <c r="S25" s="101">
        <f>'BS (After Changes)'!S25-'BS (Before Changes)'!S25</f>
        <v>0</v>
      </c>
      <c r="T25" s="101">
        <f>'BS (After Changes)'!T25-'BS (Before Changes)'!T25</f>
        <v>0</v>
      </c>
      <c r="U25" s="101">
        <f>'BS (After Changes)'!U25-'BS (Before Changes)'!U25</f>
        <v>0</v>
      </c>
      <c r="V25" s="101">
        <f>'BS (After Changes)'!V25-'BS (Before Changes)'!V25</f>
        <v>0</v>
      </c>
      <c r="W25" s="169">
        <f>'BS (After Changes)'!W25-'BS (Before Changes)'!W25</f>
        <v>0</v>
      </c>
      <c r="X25" s="33">
        <f>'BS (After Changes)'!X25-'BS (Before Changes)'!X25</f>
        <v>0</v>
      </c>
      <c r="Y25" s="33">
        <f>'BS (After Changes)'!Y25-'BS (Before Changes)'!Y25</f>
        <v>0</v>
      </c>
      <c r="Z25" s="33">
        <f>'BS (After Changes)'!Z25-'BS (Before Changes)'!Z25</f>
        <v>0</v>
      </c>
      <c r="AA25" s="33">
        <f>'BS (After Changes)'!AA25-'BS (Before Changes)'!AA25</f>
        <v>0</v>
      </c>
      <c r="AB25" s="169">
        <f>'BS (After Changes)'!AB25-'BS (Before Changes)'!AB25</f>
        <v>0</v>
      </c>
      <c r="AC25" s="33">
        <f>'BS (After Changes)'!AC25-'BS (Before Changes)'!AC25</f>
        <v>0</v>
      </c>
      <c r="AD25" s="33">
        <f>'BS (After Changes)'!AD25-'BS (Before Changes)'!AD25</f>
        <v>0</v>
      </c>
      <c r="AE25" s="33">
        <f>'BS (After Changes)'!AE25-'BS (Before Changes)'!AE25</f>
        <v>0</v>
      </c>
      <c r="AF25" s="33">
        <f>'BS (After Changes)'!AF25-'BS (Before Changes)'!AF25</f>
        <v>0</v>
      </c>
      <c r="AG25" s="169">
        <f>'BS (After Changes)'!AG25-'BS (Before Changes)'!AG25</f>
        <v>0</v>
      </c>
      <c r="AH25" s="33">
        <f>'BS (After Changes)'!AH25-'BS (Before Changes)'!AH25</f>
        <v>0</v>
      </c>
      <c r="AI25" s="33">
        <f>'BS (After Changes)'!AI25-'BS (Before Changes)'!AI25</f>
        <v>0</v>
      </c>
      <c r="AJ25" s="33">
        <f>'BS (After Changes)'!AJ25-'BS (Before Changes)'!AJ25</f>
        <v>0</v>
      </c>
      <c r="AK25" s="33">
        <f>'BS (After Changes)'!AK25-'BS (Before Changes)'!AK25</f>
        <v>0</v>
      </c>
      <c r="AL25" s="169">
        <f>'BS (After Changes)'!AL25-'BS (Before Changes)'!AL25</f>
        <v>0</v>
      </c>
      <c r="AM25" s="33">
        <f>'BS (After Changes)'!AM25-'BS (Before Changes)'!AM25</f>
        <v>0</v>
      </c>
      <c r="AN25" s="33">
        <f>'BS (After Changes)'!AN25-'BS (Before Changes)'!AN25</f>
        <v>0</v>
      </c>
      <c r="AO25" s="33">
        <f>'BS (After Changes)'!AO25-'BS (Before Changes)'!AO25</f>
        <v>0</v>
      </c>
      <c r="AP25" s="33">
        <f>'BS (After Changes)'!AP25-'BS (Before Changes)'!AP25</f>
        <v>0</v>
      </c>
      <c r="AQ25" s="169">
        <f>'BS (After Changes)'!AQ25-'BS (Before Changes)'!AQ25</f>
        <v>0</v>
      </c>
      <c r="AR25" s="33">
        <f>'BS (After Changes)'!AR25-'BS (Before Changes)'!AR25</f>
        <v>0</v>
      </c>
      <c r="AS25" s="33">
        <f>'BS (After Changes)'!AS25-'BS (Before Changes)'!AS25</f>
        <v>0</v>
      </c>
      <c r="AT25" s="33">
        <f>'BS (After Changes)'!AT25-'BS (Before Changes)'!AT25</f>
        <v>0</v>
      </c>
      <c r="AU25" s="33">
        <f>'BS (After Changes)'!AU25-'BS (Before Changes)'!AU25</f>
        <v>0</v>
      </c>
      <c r="AV25" s="169">
        <f>'BS (After Changes)'!AV25-'BS (Before Changes)'!AV25</f>
        <v>0</v>
      </c>
    </row>
    <row r="26" spans="1:48" outlineLevel="1" x14ac:dyDescent="0.3">
      <c r="A26" s="161"/>
      <c r="B26" s="200" t="s">
        <v>232</v>
      </c>
      <c r="C26" s="201"/>
      <c r="D26" s="101">
        <f>'BS (After Changes)'!D26-'BS (Before Changes)'!D26</f>
        <v>0</v>
      </c>
      <c r="E26" s="101">
        <f>'BS (After Changes)'!E26-'BS (Before Changes)'!E26</f>
        <v>0</v>
      </c>
      <c r="F26" s="101">
        <f>'BS (After Changes)'!F26-'BS (Before Changes)'!F26</f>
        <v>0</v>
      </c>
      <c r="G26" s="101">
        <f>'BS (After Changes)'!G26-'BS (Before Changes)'!G26</f>
        <v>0</v>
      </c>
      <c r="H26" s="169">
        <f>'BS (After Changes)'!H26-'BS (Before Changes)'!H26</f>
        <v>0</v>
      </c>
      <c r="I26" s="101">
        <f>'BS (After Changes)'!I26-'BS (Before Changes)'!I26</f>
        <v>0</v>
      </c>
      <c r="J26" s="101">
        <f>'BS (After Changes)'!J26-'BS (Before Changes)'!J26</f>
        <v>0</v>
      </c>
      <c r="K26" s="101">
        <f>'BS (After Changes)'!K26-'BS (Before Changes)'!K26</f>
        <v>0</v>
      </c>
      <c r="L26" s="101">
        <f>'BS (After Changes)'!L26-'BS (Before Changes)'!L26</f>
        <v>0</v>
      </c>
      <c r="M26" s="169">
        <f>'BS (After Changes)'!M26-'BS (Before Changes)'!M26</f>
        <v>0</v>
      </c>
      <c r="N26" s="101">
        <f>'BS (After Changes)'!N26-'BS (Before Changes)'!N26</f>
        <v>0</v>
      </c>
      <c r="O26" s="101">
        <f>'BS (After Changes)'!O26-'BS (Before Changes)'!O26</f>
        <v>0</v>
      </c>
      <c r="P26" s="101">
        <f>'BS (After Changes)'!P26-'BS (Before Changes)'!P26</f>
        <v>0</v>
      </c>
      <c r="Q26" s="101">
        <f>'BS (After Changes)'!Q26-'BS (Before Changes)'!Q26</f>
        <v>0</v>
      </c>
      <c r="R26" s="169">
        <f>'BS (After Changes)'!R26-'BS (Before Changes)'!R26</f>
        <v>0</v>
      </c>
      <c r="S26" s="101">
        <f>'BS (After Changes)'!S26-'BS (Before Changes)'!S26</f>
        <v>0</v>
      </c>
      <c r="T26" s="101">
        <f>'BS (After Changes)'!T26-'BS (Before Changes)'!T26</f>
        <v>0</v>
      </c>
      <c r="U26" s="101">
        <f>'BS (After Changes)'!U26-'BS (Before Changes)'!U26</f>
        <v>0</v>
      </c>
      <c r="V26" s="101">
        <f>'BS (After Changes)'!V26-'BS (Before Changes)'!V26</f>
        <v>0</v>
      </c>
      <c r="W26" s="169">
        <f>'BS (After Changes)'!W26-'BS (Before Changes)'!W26</f>
        <v>0</v>
      </c>
      <c r="X26" s="33">
        <f>'BS (After Changes)'!X26-'BS (Before Changes)'!X26</f>
        <v>0</v>
      </c>
      <c r="Y26" s="33">
        <f>'BS (After Changes)'!Y26-'BS (Before Changes)'!Y26</f>
        <v>0</v>
      </c>
      <c r="Z26" s="33">
        <f>'BS (After Changes)'!Z26-'BS (Before Changes)'!Z26</f>
        <v>0</v>
      </c>
      <c r="AA26" s="33">
        <f>'BS (After Changes)'!AA26-'BS (Before Changes)'!AA26</f>
        <v>0</v>
      </c>
      <c r="AB26" s="169">
        <f>'BS (After Changes)'!AB26-'BS (Before Changes)'!AB26</f>
        <v>0</v>
      </c>
      <c r="AC26" s="33">
        <f>'BS (After Changes)'!AC26-'BS (Before Changes)'!AC26</f>
        <v>0</v>
      </c>
      <c r="AD26" s="33">
        <f>'BS (After Changes)'!AD26-'BS (Before Changes)'!AD26</f>
        <v>0</v>
      </c>
      <c r="AE26" s="33">
        <f>'BS (After Changes)'!AE26-'BS (Before Changes)'!AE26</f>
        <v>0</v>
      </c>
      <c r="AF26" s="33">
        <f>'BS (After Changes)'!AF26-'BS (Before Changes)'!AF26</f>
        <v>0</v>
      </c>
      <c r="AG26" s="169">
        <f>'BS (After Changes)'!AG26-'BS (Before Changes)'!AG26</f>
        <v>0</v>
      </c>
      <c r="AH26" s="33">
        <f>'BS (After Changes)'!AH26-'BS (Before Changes)'!AH26</f>
        <v>0</v>
      </c>
      <c r="AI26" s="33">
        <f>'BS (After Changes)'!AI26-'BS (Before Changes)'!AI26</f>
        <v>0</v>
      </c>
      <c r="AJ26" s="33">
        <f>'BS (After Changes)'!AJ26-'BS (Before Changes)'!AJ26</f>
        <v>0</v>
      </c>
      <c r="AK26" s="33">
        <f>'BS (After Changes)'!AK26-'BS (Before Changes)'!AK26</f>
        <v>0</v>
      </c>
      <c r="AL26" s="169">
        <f>'BS (After Changes)'!AL26-'BS (Before Changes)'!AL26</f>
        <v>0</v>
      </c>
      <c r="AM26" s="33">
        <f>'BS (After Changes)'!AM26-'BS (Before Changes)'!AM26</f>
        <v>0</v>
      </c>
      <c r="AN26" s="33">
        <f>'BS (After Changes)'!AN26-'BS (Before Changes)'!AN26</f>
        <v>0</v>
      </c>
      <c r="AO26" s="33">
        <f>'BS (After Changes)'!AO26-'BS (Before Changes)'!AO26</f>
        <v>0</v>
      </c>
      <c r="AP26" s="33">
        <f>'BS (After Changes)'!AP26-'BS (Before Changes)'!AP26</f>
        <v>0</v>
      </c>
      <c r="AQ26" s="169">
        <f>'BS (After Changes)'!AQ26-'BS (Before Changes)'!AQ26</f>
        <v>0</v>
      </c>
      <c r="AR26" s="33">
        <f>'BS (After Changes)'!AR26-'BS (Before Changes)'!AR26</f>
        <v>0</v>
      </c>
      <c r="AS26" s="33">
        <f>'BS (After Changes)'!AS26-'BS (Before Changes)'!AS26</f>
        <v>0</v>
      </c>
      <c r="AT26" s="33">
        <f>'BS (After Changes)'!AT26-'BS (Before Changes)'!AT26</f>
        <v>0</v>
      </c>
      <c r="AU26" s="33">
        <f>'BS (After Changes)'!AU26-'BS (Before Changes)'!AU26</f>
        <v>0</v>
      </c>
      <c r="AV26" s="169">
        <f>'BS (After Changes)'!AV26-'BS (Before Changes)'!AV26</f>
        <v>0</v>
      </c>
    </row>
    <row r="27" spans="1:48" outlineLevel="1" x14ac:dyDescent="0.3">
      <c r="A27" s="161"/>
      <c r="B27" s="200" t="s">
        <v>233</v>
      </c>
      <c r="C27" s="201"/>
      <c r="D27" s="101">
        <f>'BS (After Changes)'!D27-'BS (Before Changes)'!D27</f>
        <v>0</v>
      </c>
      <c r="E27" s="101">
        <f>'BS (After Changes)'!E27-'BS (Before Changes)'!E27</f>
        <v>0</v>
      </c>
      <c r="F27" s="101">
        <f>'BS (After Changes)'!F27-'BS (Before Changes)'!F27</f>
        <v>0</v>
      </c>
      <c r="G27" s="101">
        <f>'BS (After Changes)'!G27-'BS (Before Changes)'!G27</f>
        <v>0</v>
      </c>
      <c r="H27" s="169">
        <f>'BS (After Changes)'!H27-'BS (Before Changes)'!H27</f>
        <v>0</v>
      </c>
      <c r="I27" s="101">
        <f>'BS (After Changes)'!I27-'BS (Before Changes)'!I27</f>
        <v>0</v>
      </c>
      <c r="J27" s="101">
        <f>'BS (After Changes)'!J27-'BS (Before Changes)'!J27</f>
        <v>0</v>
      </c>
      <c r="K27" s="101">
        <f>'BS (After Changes)'!K27-'BS (Before Changes)'!K27</f>
        <v>0</v>
      </c>
      <c r="L27" s="101">
        <f>'BS (After Changes)'!L27-'BS (Before Changes)'!L27</f>
        <v>0</v>
      </c>
      <c r="M27" s="169">
        <f>'BS (After Changes)'!M27-'BS (Before Changes)'!M27</f>
        <v>0</v>
      </c>
      <c r="N27" s="101">
        <f>'BS (After Changes)'!N27-'BS (Before Changes)'!N27</f>
        <v>0</v>
      </c>
      <c r="O27" s="101">
        <f>'BS (After Changes)'!O27-'BS (Before Changes)'!O27</f>
        <v>0</v>
      </c>
      <c r="P27" s="101">
        <f>'BS (After Changes)'!P27-'BS (Before Changes)'!P27</f>
        <v>0</v>
      </c>
      <c r="Q27" s="101">
        <f>'BS (After Changes)'!Q27-'BS (Before Changes)'!Q27</f>
        <v>0</v>
      </c>
      <c r="R27" s="169">
        <f>'BS (After Changes)'!R27-'BS (Before Changes)'!R27</f>
        <v>0</v>
      </c>
      <c r="S27" s="101">
        <f>'BS (After Changes)'!S27-'BS (Before Changes)'!S27</f>
        <v>0</v>
      </c>
      <c r="T27" s="101">
        <f>'BS (After Changes)'!T27-'BS (Before Changes)'!T27</f>
        <v>0</v>
      </c>
      <c r="U27" s="101">
        <f>'BS (After Changes)'!U27-'BS (Before Changes)'!U27</f>
        <v>0</v>
      </c>
      <c r="V27" s="101">
        <f>'BS (After Changes)'!V27-'BS (Before Changes)'!V27</f>
        <v>0</v>
      </c>
      <c r="W27" s="169">
        <f>'BS (After Changes)'!W27-'BS (Before Changes)'!W27</f>
        <v>0</v>
      </c>
      <c r="X27" s="33">
        <f>'BS (After Changes)'!X27-'BS (Before Changes)'!X27</f>
        <v>0</v>
      </c>
      <c r="Y27" s="33">
        <f>'BS (After Changes)'!Y27-'BS (Before Changes)'!Y27</f>
        <v>0</v>
      </c>
      <c r="Z27" s="33">
        <f>'BS (After Changes)'!Z27-'BS (Before Changes)'!Z27</f>
        <v>0</v>
      </c>
      <c r="AA27" s="33">
        <f>'BS (After Changes)'!AA27-'BS (Before Changes)'!AA27</f>
        <v>0</v>
      </c>
      <c r="AB27" s="169">
        <f>'BS (After Changes)'!AB27-'BS (Before Changes)'!AB27</f>
        <v>0</v>
      </c>
      <c r="AC27" s="33">
        <f>'BS (After Changes)'!AC27-'BS (Before Changes)'!AC27</f>
        <v>0</v>
      </c>
      <c r="AD27" s="33">
        <f>'BS (After Changes)'!AD27-'BS (Before Changes)'!AD27</f>
        <v>0</v>
      </c>
      <c r="AE27" s="33">
        <f>'BS (After Changes)'!AE27-'BS (Before Changes)'!AE27</f>
        <v>0</v>
      </c>
      <c r="AF27" s="33">
        <f>'BS (After Changes)'!AF27-'BS (Before Changes)'!AF27</f>
        <v>0</v>
      </c>
      <c r="AG27" s="169">
        <f>'BS (After Changes)'!AG27-'BS (Before Changes)'!AG27</f>
        <v>0</v>
      </c>
      <c r="AH27" s="33">
        <f>'BS (After Changes)'!AH27-'BS (Before Changes)'!AH27</f>
        <v>0</v>
      </c>
      <c r="AI27" s="33">
        <f>'BS (After Changes)'!AI27-'BS (Before Changes)'!AI27</f>
        <v>0</v>
      </c>
      <c r="AJ27" s="33">
        <f>'BS (After Changes)'!AJ27-'BS (Before Changes)'!AJ27</f>
        <v>0</v>
      </c>
      <c r="AK27" s="33">
        <f>'BS (After Changes)'!AK27-'BS (Before Changes)'!AK27</f>
        <v>0</v>
      </c>
      <c r="AL27" s="169">
        <f>'BS (After Changes)'!AL27-'BS (Before Changes)'!AL27</f>
        <v>0</v>
      </c>
      <c r="AM27" s="33">
        <f>'BS (After Changes)'!AM27-'BS (Before Changes)'!AM27</f>
        <v>0</v>
      </c>
      <c r="AN27" s="33">
        <f>'BS (After Changes)'!AN27-'BS (Before Changes)'!AN27</f>
        <v>0</v>
      </c>
      <c r="AO27" s="33">
        <f>'BS (After Changes)'!AO27-'BS (Before Changes)'!AO27</f>
        <v>0</v>
      </c>
      <c r="AP27" s="33">
        <f>'BS (After Changes)'!AP27-'BS (Before Changes)'!AP27</f>
        <v>0</v>
      </c>
      <c r="AQ27" s="169">
        <f>'BS (After Changes)'!AQ27-'BS (Before Changes)'!AQ27</f>
        <v>0</v>
      </c>
      <c r="AR27" s="33">
        <f>'BS (After Changes)'!AR27-'BS (Before Changes)'!AR27</f>
        <v>0</v>
      </c>
      <c r="AS27" s="33">
        <f>'BS (After Changes)'!AS27-'BS (Before Changes)'!AS27</f>
        <v>0</v>
      </c>
      <c r="AT27" s="33">
        <f>'BS (After Changes)'!AT27-'BS (Before Changes)'!AT27</f>
        <v>0</v>
      </c>
      <c r="AU27" s="33">
        <f>'BS (After Changes)'!AU27-'BS (Before Changes)'!AU27</f>
        <v>0</v>
      </c>
      <c r="AV27" s="169">
        <f>'BS (After Changes)'!AV27-'BS (Before Changes)'!AV27</f>
        <v>0</v>
      </c>
    </row>
    <row r="28" spans="1:48" outlineLevel="1" x14ac:dyDescent="0.3">
      <c r="A28" s="161"/>
      <c r="B28" s="200" t="s">
        <v>234</v>
      </c>
      <c r="C28" s="201"/>
      <c r="D28" s="101">
        <f>'BS (After Changes)'!D28-'BS (Before Changes)'!D28</f>
        <v>0</v>
      </c>
      <c r="E28" s="101">
        <f>'BS (After Changes)'!E28-'BS (Before Changes)'!E28</f>
        <v>0</v>
      </c>
      <c r="F28" s="101">
        <f>'BS (After Changes)'!F28-'BS (Before Changes)'!F28</f>
        <v>0</v>
      </c>
      <c r="G28" s="101">
        <f>'BS (After Changes)'!G28-'BS (Before Changes)'!G28</f>
        <v>0</v>
      </c>
      <c r="H28" s="169">
        <f>'BS (After Changes)'!H28-'BS (Before Changes)'!H28</f>
        <v>0</v>
      </c>
      <c r="I28" s="101">
        <f>'BS (After Changes)'!I28-'BS (Before Changes)'!I28</f>
        <v>0</v>
      </c>
      <c r="J28" s="101">
        <f>'BS (After Changes)'!J28-'BS (Before Changes)'!J28</f>
        <v>0</v>
      </c>
      <c r="K28" s="101">
        <f>'BS (After Changes)'!K28-'BS (Before Changes)'!K28</f>
        <v>0</v>
      </c>
      <c r="L28" s="101">
        <f>'BS (After Changes)'!L28-'BS (Before Changes)'!L28</f>
        <v>0</v>
      </c>
      <c r="M28" s="169">
        <f>'BS (After Changes)'!M28-'BS (Before Changes)'!M28</f>
        <v>0</v>
      </c>
      <c r="N28" s="101">
        <f>'BS (After Changes)'!N28-'BS (Before Changes)'!N28</f>
        <v>0</v>
      </c>
      <c r="O28" s="101">
        <f>'BS (After Changes)'!O28-'BS (Before Changes)'!O28</f>
        <v>0</v>
      </c>
      <c r="P28" s="101">
        <f>'BS (After Changes)'!P28-'BS (Before Changes)'!P28</f>
        <v>0</v>
      </c>
      <c r="Q28" s="101">
        <f>'BS (After Changes)'!Q28-'BS (Before Changes)'!Q28</f>
        <v>0</v>
      </c>
      <c r="R28" s="169">
        <f>'BS (After Changes)'!R28-'BS (Before Changes)'!R28</f>
        <v>0</v>
      </c>
      <c r="S28" s="101">
        <f>'BS (After Changes)'!S28-'BS (Before Changes)'!S28</f>
        <v>0</v>
      </c>
      <c r="T28" s="101">
        <f>'BS (After Changes)'!T28-'BS (Before Changes)'!T28</f>
        <v>0</v>
      </c>
      <c r="U28" s="101">
        <f>'BS (After Changes)'!U28-'BS (Before Changes)'!U28</f>
        <v>0</v>
      </c>
      <c r="V28" s="101">
        <f>'BS (After Changes)'!V28-'BS (Before Changes)'!V28</f>
        <v>0</v>
      </c>
      <c r="W28" s="169">
        <f>'BS (After Changes)'!W28-'BS (Before Changes)'!W28</f>
        <v>0</v>
      </c>
      <c r="X28" s="33">
        <f>'BS (After Changes)'!X28-'BS (Before Changes)'!X28</f>
        <v>0</v>
      </c>
      <c r="Y28" s="33">
        <f>'BS (After Changes)'!Y28-'BS (Before Changes)'!Y28</f>
        <v>0</v>
      </c>
      <c r="Z28" s="33">
        <f>'BS (After Changes)'!Z28-'BS (Before Changes)'!Z28</f>
        <v>0</v>
      </c>
      <c r="AA28" s="33">
        <f>'BS (After Changes)'!AA28-'BS (Before Changes)'!AA28</f>
        <v>0</v>
      </c>
      <c r="AB28" s="169">
        <f>'BS (After Changes)'!AB28-'BS (Before Changes)'!AB28</f>
        <v>0</v>
      </c>
      <c r="AC28" s="33">
        <f>'BS (After Changes)'!AC28-'BS (Before Changes)'!AC28</f>
        <v>0</v>
      </c>
      <c r="AD28" s="33">
        <f>'BS (After Changes)'!AD28-'BS (Before Changes)'!AD28</f>
        <v>0</v>
      </c>
      <c r="AE28" s="33">
        <f>'BS (After Changes)'!AE28-'BS (Before Changes)'!AE28</f>
        <v>0</v>
      </c>
      <c r="AF28" s="33">
        <f>'BS (After Changes)'!AF28-'BS (Before Changes)'!AF28</f>
        <v>0</v>
      </c>
      <c r="AG28" s="169">
        <f>'BS (After Changes)'!AG28-'BS (Before Changes)'!AG28</f>
        <v>0</v>
      </c>
      <c r="AH28" s="33">
        <f>'BS (After Changes)'!AH28-'BS (Before Changes)'!AH28</f>
        <v>0</v>
      </c>
      <c r="AI28" s="33">
        <f>'BS (After Changes)'!AI28-'BS (Before Changes)'!AI28</f>
        <v>0</v>
      </c>
      <c r="AJ28" s="33">
        <f>'BS (After Changes)'!AJ28-'BS (Before Changes)'!AJ28</f>
        <v>0</v>
      </c>
      <c r="AK28" s="33">
        <f>'BS (After Changes)'!AK28-'BS (Before Changes)'!AK28</f>
        <v>0</v>
      </c>
      <c r="AL28" s="169">
        <f>'BS (After Changes)'!AL28-'BS (Before Changes)'!AL28</f>
        <v>0</v>
      </c>
      <c r="AM28" s="33">
        <f>'BS (After Changes)'!AM28-'BS (Before Changes)'!AM28</f>
        <v>0</v>
      </c>
      <c r="AN28" s="33">
        <f>'BS (After Changes)'!AN28-'BS (Before Changes)'!AN28</f>
        <v>0</v>
      </c>
      <c r="AO28" s="33">
        <f>'BS (After Changes)'!AO28-'BS (Before Changes)'!AO28</f>
        <v>0</v>
      </c>
      <c r="AP28" s="33">
        <f>'BS (After Changes)'!AP28-'BS (Before Changes)'!AP28</f>
        <v>0</v>
      </c>
      <c r="AQ28" s="169">
        <f>'BS (After Changes)'!AQ28-'BS (Before Changes)'!AQ28</f>
        <v>0</v>
      </c>
      <c r="AR28" s="33">
        <f>'BS (After Changes)'!AR28-'BS (Before Changes)'!AR28</f>
        <v>0</v>
      </c>
      <c r="AS28" s="33">
        <f>'BS (After Changes)'!AS28-'BS (Before Changes)'!AS28</f>
        <v>0</v>
      </c>
      <c r="AT28" s="33">
        <f>'BS (After Changes)'!AT28-'BS (Before Changes)'!AT28</f>
        <v>0</v>
      </c>
      <c r="AU28" s="33">
        <f>'BS (After Changes)'!AU28-'BS (Before Changes)'!AU28</f>
        <v>0</v>
      </c>
      <c r="AV28" s="169">
        <f>'BS (After Changes)'!AV28-'BS (Before Changes)'!AV28</f>
        <v>0</v>
      </c>
    </row>
    <row r="29" spans="1:48" ht="16.2" outlineLevel="1" x14ac:dyDescent="0.45">
      <c r="A29" s="161"/>
      <c r="B29" s="200" t="s">
        <v>235</v>
      </c>
      <c r="C29" s="201"/>
      <c r="D29" s="112">
        <f>'BS (After Changes)'!D29-'BS (Before Changes)'!D29</f>
        <v>0</v>
      </c>
      <c r="E29" s="112">
        <f>'BS (After Changes)'!E29-'BS (Before Changes)'!E29</f>
        <v>0</v>
      </c>
      <c r="F29" s="112">
        <f>'BS (After Changes)'!F29-'BS (Before Changes)'!F29</f>
        <v>0</v>
      </c>
      <c r="G29" s="112">
        <f>'BS (After Changes)'!G29-'BS (Before Changes)'!G29</f>
        <v>0</v>
      </c>
      <c r="H29" s="262">
        <f>'BS (After Changes)'!H29-'BS (Before Changes)'!H29</f>
        <v>0</v>
      </c>
      <c r="I29" s="112">
        <f>'BS (After Changes)'!I29-'BS (Before Changes)'!I29</f>
        <v>0</v>
      </c>
      <c r="J29" s="112">
        <f>'BS (After Changes)'!J29-'BS (Before Changes)'!J29</f>
        <v>0</v>
      </c>
      <c r="K29" s="112">
        <f>'BS (After Changes)'!K29-'BS (Before Changes)'!K29</f>
        <v>0</v>
      </c>
      <c r="L29" s="112">
        <f>'BS (After Changes)'!L29-'BS (Before Changes)'!L29</f>
        <v>0</v>
      </c>
      <c r="M29" s="262">
        <f>'BS (After Changes)'!M29-'BS (Before Changes)'!M29</f>
        <v>0</v>
      </c>
      <c r="N29" s="112">
        <f>'BS (After Changes)'!N29-'BS (Before Changes)'!N29</f>
        <v>0</v>
      </c>
      <c r="O29" s="112">
        <f>'BS (After Changes)'!O29-'BS (Before Changes)'!O29</f>
        <v>0</v>
      </c>
      <c r="P29" s="112">
        <f>'BS (After Changes)'!P29-'BS (Before Changes)'!P29</f>
        <v>0</v>
      </c>
      <c r="Q29" s="112">
        <f>'BS (After Changes)'!Q29-'BS (Before Changes)'!Q29</f>
        <v>0</v>
      </c>
      <c r="R29" s="262">
        <f>'BS (After Changes)'!R29-'BS (Before Changes)'!R29</f>
        <v>0</v>
      </c>
      <c r="S29" s="112">
        <f>'BS (After Changes)'!S29-'BS (Before Changes)'!S29</f>
        <v>0</v>
      </c>
      <c r="T29" s="112">
        <f>'BS (After Changes)'!T29-'BS (Before Changes)'!T29</f>
        <v>0</v>
      </c>
      <c r="U29" s="112">
        <f>'BS (After Changes)'!U29-'BS (Before Changes)'!U29</f>
        <v>0</v>
      </c>
      <c r="V29" s="112">
        <f>'BS (After Changes)'!V29-'BS (Before Changes)'!V29</f>
        <v>0</v>
      </c>
      <c r="W29" s="262">
        <f>'BS (After Changes)'!W29-'BS (Before Changes)'!W29</f>
        <v>0</v>
      </c>
      <c r="X29" s="32">
        <f>'BS (After Changes)'!X29-'BS (Before Changes)'!X29</f>
        <v>0</v>
      </c>
      <c r="Y29" s="32">
        <f>'BS (After Changes)'!Y29-'BS (Before Changes)'!Y29</f>
        <v>0</v>
      </c>
      <c r="Z29" s="32">
        <f>'BS (After Changes)'!Z29-'BS (Before Changes)'!Z29</f>
        <v>0</v>
      </c>
      <c r="AA29" s="32">
        <f>'BS (After Changes)'!AA29-'BS (Before Changes)'!AA29</f>
        <v>0</v>
      </c>
      <c r="AB29" s="262">
        <f>'BS (After Changes)'!AB29-'BS (Before Changes)'!AB29</f>
        <v>0</v>
      </c>
      <c r="AC29" s="32">
        <f>'BS (After Changes)'!AC29-'BS (Before Changes)'!AC29</f>
        <v>0</v>
      </c>
      <c r="AD29" s="32">
        <f>'BS (After Changes)'!AD29-'BS (Before Changes)'!AD29</f>
        <v>0</v>
      </c>
      <c r="AE29" s="32">
        <f>'BS (After Changes)'!AE29-'BS (Before Changes)'!AE29</f>
        <v>0</v>
      </c>
      <c r="AF29" s="32">
        <f>'BS (After Changes)'!AF29-'BS (Before Changes)'!AF29</f>
        <v>0</v>
      </c>
      <c r="AG29" s="262">
        <f>'BS (After Changes)'!AG29-'BS (Before Changes)'!AG29</f>
        <v>0</v>
      </c>
      <c r="AH29" s="32">
        <f>'BS (After Changes)'!AH29-'BS (Before Changes)'!AH29</f>
        <v>0</v>
      </c>
      <c r="AI29" s="32">
        <f>'BS (After Changes)'!AI29-'BS (Before Changes)'!AI29</f>
        <v>0</v>
      </c>
      <c r="AJ29" s="32">
        <f>'BS (After Changes)'!AJ29-'BS (Before Changes)'!AJ29</f>
        <v>0</v>
      </c>
      <c r="AK29" s="32">
        <f>'BS (After Changes)'!AK29-'BS (Before Changes)'!AK29</f>
        <v>0</v>
      </c>
      <c r="AL29" s="262">
        <f>'BS (After Changes)'!AL29-'BS (Before Changes)'!AL29</f>
        <v>0</v>
      </c>
      <c r="AM29" s="32">
        <f>'BS (After Changes)'!AM29-'BS (Before Changes)'!AM29</f>
        <v>0</v>
      </c>
      <c r="AN29" s="32">
        <f>'BS (After Changes)'!AN29-'BS (Before Changes)'!AN29</f>
        <v>0</v>
      </c>
      <c r="AO29" s="32">
        <f>'BS (After Changes)'!AO29-'BS (Before Changes)'!AO29</f>
        <v>0</v>
      </c>
      <c r="AP29" s="32">
        <f>'BS (After Changes)'!AP29-'BS (Before Changes)'!AP29</f>
        <v>0</v>
      </c>
      <c r="AQ29" s="262">
        <f>'BS (After Changes)'!AQ29-'BS (Before Changes)'!AQ29</f>
        <v>0</v>
      </c>
      <c r="AR29" s="32">
        <f>'BS (After Changes)'!AR29-'BS (Before Changes)'!AR29</f>
        <v>0</v>
      </c>
      <c r="AS29" s="32">
        <f>'BS (After Changes)'!AS29-'BS (Before Changes)'!AS29</f>
        <v>0</v>
      </c>
      <c r="AT29" s="32">
        <f>'BS (After Changes)'!AT29-'BS (Before Changes)'!AT29</f>
        <v>0</v>
      </c>
      <c r="AU29" s="32">
        <f>'BS (After Changes)'!AU29-'BS (Before Changes)'!AU29</f>
        <v>0</v>
      </c>
      <c r="AV29" s="262">
        <f>'BS (After Changes)'!AV29-'BS (Before Changes)'!AV29</f>
        <v>0</v>
      </c>
    </row>
    <row r="30" spans="1:48" outlineLevel="1" x14ac:dyDescent="0.3">
      <c r="A30" s="161"/>
      <c r="B30" s="205" t="s">
        <v>236</v>
      </c>
      <c r="C30" s="201"/>
      <c r="D30" s="116">
        <f>'BS (After Changes)'!D30-'BS (Before Changes)'!D30</f>
        <v>0</v>
      </c>
      <c r="E30" s="116">
        <f>'BS (After Changes)'!E30-'BS (Before Changes)'!E30</f>
        <v>0</v>
      </c>
      <c r="F30" s="116">
        <f>'BS (After Changes)'!F30-'BS (Before Changes)'!F30</f>
        <v>0</v>
      </c>
      <c r="G30" s="116">
        <f>'BS (After Changes)'!G30-'BS (Before Changes)'!G30</f>
        <v>0</v>
      </c>
      <c r="H30" s="150">
        <f>'BS (After Changes)'!H30-'BS (Before Changes)'!H30</f>
        <v>0</v>
      </c>
      <c r="I30" s="116">
        <f>'BS (After Changes)'!I30-'BS (Before Changes)'!I30</f>
        <v>0</v>
      </c>
      <c r="J30" s="116">
        <f>'BS (After Changes)'!J30-'BS (Before Changes)'!J30</f>
        <v>0</v>
      </c>
      <c r="K30" s="116">
        <f>'BS (After Changes)'!K30-'BS (Before Changes)'!K30</f>
        <v>0</v>
      </c>
      <c r="L30" s="116">
        <f>'BS (After Changes)'!L30-'BS (Before Changes)'!L30</f>
        <v>0</v>
      </c>
      <c r="M30" s="150">
        <f>'BS (After Changes)'!M30-'BS (Before Changes)'!M30</f>
        <v>0</v>
      </c>
      <c r="N30" s="116">
        <f>'BS (After Changes)'!N30-'BS (Before Changes)'!N30</f>
        <v>0</v>
      </c>
      <c r="O30" s="116">
        <f>'BS (After Changes)'!O30-'BS (Before Changes)'!O30</f>
        <v>0</v>
      </c>
      <c r="P30" s="116">
        <f>'BS (After Changes)'!P30-'BS (Before Changes)'!P30</f>
        <v>0</v>
      </c>
      <c r="Q30" s="116">
        <f>'BS (After Changes)'!Q30-'BS (Before Changes)'!Q30</f>
        <v>0</v>
      </c>
      <c r="R30" s="150">
        <f>'BS (After Changes)'!R30-'BS (Before Changes)'!R30</f>
        <v>0</v>
      </c>
      <c r="S30" s="116">
        <f>'BS (After Changes)'!S30-'BS (Before Changes)'!S30</f>
        <v>0</v>
      </c>
      <c r="T30" s="116">
        <f>'BS (After Changes)'!T30-'BS (Before Changes)'!T30</f>
        <v>0</v>
      </c>
      <c r="U30" s="116">
        <f>'BS (After Changes)'!U30-'BS (Before Changes)'!U30</f>
        <v>0</v>
      </c>
      <c r="V30" s="116">
        <f>'BS (After Changes)'!V30-'BS (Before Changes)'!V30</f>
        <v>0</v>
      </c>
      <c r="W30" s="150">
        <f>'BS (After Changes)'!W30-'BS (Before Changes)'!W30</f>
        <v>0</v>
      </c>
      <c r="X30" s="116">
        <f>'BS (After Changes)'!X30-'BS (Before Changes)'!X30</f>
        <v>2.5978270259456622</v>
      </c>
      <c r="Y30" s="116">
        <f>'BS (After Changes)'!Y30-'BS (Before Changes)'!Y30</f>
        <v>18.289811900576751</v>
      </c>
      <c r="Z30" s="116">
        <f>'BS (After Changes)'!Z30-'BS (Before Changes)'!Z30</f>
        <v>39.347828855863554</v>
      </c>
      <c r="AA30" s="116">
        <f>'BS (After Changes)'!AA30-'BS (Before Changes)'!AA30</f>
        <v>78.696547832762008</v>
      </c>
      <c r="AB30" s="150">
        <f>'BS (After Changes)'!AB30-'BS (Before Changes)'!AB30</f>
        <v>78.696547832762008</v>
      </c>
      <c r="AC30" s="116">
        <f>'BS (After Changes)'!AC30-'BS (Before Changes)'!AC30</f>
        <v>5.3388457660403219</v>
      </c>
      <c r="AD30" s="116">
        <f>'BS (After Changes)'!AD30-'BS (Before Changes)'!AD30</f>
        <v>-8.4158146668196423</v>
      </c>
      <c r="AE30" s="116">
        <f>'BS (After Changes)'!AE30-'BS (Before Changes)'!AE30</f>
        <v>9.1159363674978522</v>
      </c>
      <c r="AF30" s="116">
        <f>'BS (After Changes)'!AF30-'BS (Before Changes)'!AF30</f>
        <v>14.426254384796266</v>
      </c>
      <c r="AG30" s="150">
        <f>'BS (After Changes)'!AG30-'BS (Before Changes)'!AG30</f>
        <v>14.426254384796266</v>
      </c>
      <c r="AH30" s="116">
        <f>'BS (After Changes)'!AH30-'BS (Before Changes)'!AH30</f>
        <v>8.7361873449990526</v>
      </c>
      <c r="AI30" s="116">
        <f>'BS (After Changes)'!AI30-'BS (Before Changes)'!AI30</f>
        <v>-6.4471255640964955</v>
      </c>
      <c r="AJ30" s="116">
        <f>'BS (After Changes)'!AJ30-'BS (Before Changes)'!AJ30</f>
        <v>13.482732905111334</v>
      </c>
      <c r="AK30" s="116">
        <f>'BS (After Changes)'!AK30-'BS (Before Changes)'!AK30</f>
        <v>19.252566797471445</v>
      </c>
      <c r="AL30" s="150">
        <f>'BS (After Changes)'!AL30-'BS (Before Changes)'!AL30</f>
        <v>19.252566797471445</v>
      </c>
      <c r="AM30" s="116">
        <f>'BS (After Changes)'!AM30-'BS (Before Changes)'!AM30</f>
        <v>9.4423852115232876</v>
      </c>
      <c r="AN30" s="116">
        <f>'BS (After Changes)'!AN30-'BS (Before Changes)'!AN30</f>
        <v>-6.9497454085358186</v>
      </c>
      <c r="AO30" s="116">
        <f>'BS (After Changes)'!AO30-'BS (Before Changes)'!AO30</f>
        <v>14.51965309946354</v>
      </c>
      <c r="AP30" s="116">
        <f>'BS (After Changes)'!AP30-'BS (Before Changes)'!AP30</f>
        <v>20.721452138086534</v>
      </c>
      <c r="AQ30" s="150">
        <f>'BS (After Changes)'!AQ30-'BS (Before Changes)'!AQ30</f>
        <v>20.721452138086534</v>
      </c>
      <c r="AR30" s="116">
        <f>'BS (After Changes)'!AR30-'BS (Before Changes)'!AR30</f>
        <v>10.096895213348034</v>
      </c>
      <c r="AS30" s="116">
        <f>'BS (After Changes)'!AS30-'BS (Before Changes)'!AS30</f>
        <v>-7.3809768690407509</v>
      </c>
      <c r="AT30" s="116">
        <f>'BS (After Changes)'!AT30-'BS (Before Changes)'!AT30</f>
        <v>15.49281415238147</v>
      </c>
      <c r="AU30" s="116">
        <f>'BS (After Changes)'!AU30-'BS (Before Changes)'!AU30</f>
        <v>22.138389074003499</v>
      </c>
      <c r="AV30" s="150">
        <f>'BS (After Changes)'!AV30-'BS (Before Changes)'!AV30</f>
        <v>22.138389074003499</v>
      </c>
    </row>
    <row r="31" spans="1:48" outlineLevel="1" x14ac:dyDescent="0.3">
      <c r="A31" s="161"/>
      <c r="B31" s="200" t="s">
        <v>237</v>
      </c>
      <c r="C31" s="201"/>
      <c r="D31" s="101">
        <f>'BS (After Changes)'!D31-'BS (Before Changes)'!D31</f>
        <v>0</v>
      </c>
      <c r="E31" s="101">
        <f>'BS (After Changes)'!E31-'BS (Before Changes)'!E31</f>
        <v>0</v>
      </c>
      <c r="F31" s="101">
        <f>'BS (After Changes)'!F31-'BS (Before Changes)'!F31</f>
        <v>0</v>
      </c>
      <c r="G31" s="101">
        <f>'BS (After Changes)'!G31-'BS (Before Changes)'!G31</f>
        <v>0</v>
      </c>
      <c r="H31" s="169">
        <f>'BS (After Changes)'!H31-'BS (Before Changes)'!H31</f>
        <v>0</v>
      </c>
      <c r="I31" s="101">
        <f>'BS (After Changes)'!I31-'BS (Before Changes)'!I31</f>
        <v>0</v>
      </c>
      <c r="J31" s="101">
        <f>'BS (After Changes)'!J31-'BS (Before Changes)'!J31</f>
        <v>0</v>
      </c>
      <c r="K31" s="101">
        <f>'BS (After Changes)'!K31-'BS (Before Changes)'!K31</f>
        <v>0</v>
      </c>
      <c r="L31" s="101">
        <f>'BS (After Changes)'!L31-'BS (Before Changes)'!L31</f>
        <v>0</v>
      </c>
      <c r="M31" s="169">
        <f>'BS (After Changes)'!M31-'BS (Before Changes)'!M31</f>
        <v>0</v>
      </c>
      <c r="N31" s="101">
        <f>'BS (After Changes)'!N31-'BS (Before Changes)'!N31</f>
        <v>0</v>
      </c>
      <c r="O31" s="101">
        <f>'BS (After Changes)'!O31-'BS (Before Changes)'!O31</f>
        <v>0</v>
      </c>
      <c r="P31" s="101">
        <f>'BS (After Changes)'!P31-'BS (Before Changes)'!P31</f>
        <v>0</v>
      </c>
      <c r="Q31" s="101">
        <f>'BS (After Changes)'!Q31-'BS (Before Changes)'!Q31</f>
        <v>0</v>
      </c>
      <c r="R31" s="169">
        <f>'BS (After Changes)'!R31-'BS (Before Changes)'!R31</f>
        <v>0</v>
      </c>
      <c r="S31" s="101">
        <f>'BS (After Changes)'!S31-'BS (Before Changes)'!S31</f>
        <v>0</v>
      </c>
      <c r="T31" s="101">
        <f>'BS (After Changes)'!T31-'BS (Before Changes)'!T31</f>
        <v>0</v>
      </c>
      <c r="U31" s="101">
        <f>'BS (After Changes)'!U31-'BS (Before Changes)'!U31</f>
        <v>0</v>
      </c>
      <c r="V31" s="101">
        <f>'BS (After Changes)'!V31-'BS (Before Changes)'!V31</f>
        <v>0</v>
      </c>
      <c r="W31" s="169">
        <f>'BS (After Changes)'!W31-'BS (Before Changes)'!W31</f>
        <v>0</v>
      </c>
      <c r="X31" s="33">
        <f>'BS (After Changes)'!X31-'BS (Before Changes)'!X31</f>
        <v>0</v>
      </c>
      <c r="Y31" s="33">
        <f>'BS (After Changes)'!Y31-'BS (Before Changes)'!Y31</f>
        <v>0</v>
      </c>
      <c r="Z31" s="33">
        <f>'BS (After Changes)'!Z31-'BS (Before Changes)'!Z31</f>
        <v>0</v>
      </c>
      <c r="AA31" s="33">
        <f>'BS (After Changes)'!AA31-'BS (Before Changes)'!AA31</f>
        <v>0</v>
      </c>
      <c r="AB31" s="169">
        <f>'BS (After Changes)'!AB31-'BS (Before Changes)'!AB31</f>
        <v>0</v>
      </c>
      <c r="AC31" s="33">
        <f>'BS (After Changes)'!AC31-'BS (Before Changes)'!AC31</f>
        <v>0</v>
      </c>
      <c r="AD31" s="33">
        <f>'BS (After Changes)'!AD31-'BS (Before Changes)'!AD31</f>
        <v>0</v>
      </c>
      <c r="AE31" s="33">
        <f>'BS (After Changes)'!AE31-'BS (Before Changes)'!AE31</f>
        <v>0</v>
      </c>
      <c r="AF31" s="33">
        <f>'BS (After Changes)'!AF31-'BS (Before Changes)'!AF31</f>
        <v>0</v>
      </c>
      <c r="AG31" s="169">
        <f>'BS (After Changes)'!AG31-'BS (Before Changes)'!AG31</f>
        <v>0</v>
      </c>
      <c r="AH31" s="33">
        <f>'BS (After Changes)'!AH31-'BS (Before Changes)'!AH31</f>
        <v>0</v>
      </c>
      <c r="AI31" s="33">
        <f>'BS (After Changes)'!AI31-'BS (Before Changes)'!AI31</f>
        <v>0</v>
      </c>
      <c r="AJ31" s="33">
        <f>'BS (After Changes)'!AJ31-'BS (Before Changes)'!AJ31</f>
        <v>0</v>
      </c>
      <c r="AK31" s="33">
        <f>'BS (After Changes)'!AK31-'BS (Before Changes)'!AK31</f>
        <v>0</v>
      </c>
      <c r="AL31" s="169">
        <f>'BS (After Changes)'!AL31-'BS (Before Changes)'!AL31</f>
        <v>0</v>
      </c>
      <c r="AM31" s="33">
        <f>'BS (After Changes)'!AM31-'BS (Before Changes)'!AM31</f>
        <v>0</v>
      </c>
      <c r="AN31" s="33">
        <f>'BS (After Changes)'!AN31-'BS (Before Changes)'!AN31</f>
        <v>0</v>
      </c>
      <c r="AO31" s="33">
        <f>'BS (After Changes)'!AO31-'BS (Before Changes)'!AO31</f>
        <v>0</v>
      </c>
      <c r="AP31" s="33">
        <f>'BS (After Changes)'!AP31-'BS (Before Changes)'!AP31</f>
        <v>0</v>
      </c>
      <c r="AQ31" s="169">
        <f>'BS (After Changes)'!AQ31-'BS (Before Changes)'!AQ31</f>
        <v>0</v>
      </c>
      <c r="AR31" s="33">
        <f>'BS (After Changes)'!AR31-'BS (Before Changes)'!AR31</f>
        <v>0</v>
      </c>
      <c r="AS31" s="33">
        <f>'BS (After Changes)'!AS31-'BS (Before Changes)'!AS31</f>
        <v>0</v>
      </c>
      <c r="AT31" s="33">
        <f>'BS (After Changes)'!AT31-'BS (Before Changes)'!AT31</f>
        <v>0</v>
      </c>
      <c r="AU31" s="33">
        <f>'BS (After Changes)'!AU31-'BS (Before Changes)'!AU31</f>
        <v>0</v>
      </c>
      <c r="AV31" s="169">
        <f>'BS (After Changes)'!AV31-'BS (Before Changes)'!AV31</f>
        <v>0</v>
      </c>
    </row>
    <row r="32" spans="1:48" outlineLevel="1" x14ac:dyDescent="0.3">
      <c r="A32" s="161"/>
      <c r="B32" s="200" t="s">
        <v>238</v>
      </c>
      <c r="C32" s="207"/>
      <c r="D32" s="101">
        <f>'BS (After Changes)'!D32-'BS (Before Changes)'!D32</f>
        <v>0</v>
      </c>
      <c r="E32" s="101">
        <f>'BS (After Changes)'!E32-'BS (Before Changes)'!E32</f>
        <v>0</v>
      </c>
      <c r="F32" s="101">
        <f>'BS (After Changes)'!F32-'BS (Before Changes)'!F32</f>
        <v>0</v>
      </c>
      <c r="G32" s="101">
        <f>'BS (After Changes)'!G32-'BS (Before Changes)'!G32</f>
        <v>0</v>
      </c>
      <c r="H32" s="169">
        <f>'BS (After Changes)'!H32-'BS (Before Changes)'!H32</f>
        <v>0</v>
      </c>
      <c r="I32" s="101">
        <f>'BS (After Changes)'!I32-'BS (Before Changes)'!I32</f>
        <v>0</v>
      </c>
      <c r="J32" s="101">
        <f>'BS (After Changes)'!J32-'BS (Before Changes)'!J32</f>
        <v>0</v>
      </c>
      <c r="K32" s="101">
        <f>'BS (After Changes)'!K32-'BS (Before Changes)'!K32</f>
        <v>0</v>
      </c>
      <c r="L32" s="101">
        <f>'BS (After Changes)'!L32-'BS (Before Changes)'!L32</f>
        <v>0</v>
      </c>
      <c r="M32" s="169">
        <f>'BS (After Changes)'!M32-'BS (Before Changes)'!M32</f>
        <v>0</v>
      </c>
      <c r="N32" s="101">
        <f>'BS (After Changes)'!N32-'BS (Before Changes)'!N32</f>
        <v>0</v>
      </c>
      <c r="O32" s="101">
        <f>'BS (After Changes)'!O32-'BS (Before Changes)'!O32</f>
        <v>0</v>
      </c>
      <c r="P32" s="101">
        <f>'BS (After Changes)'!P32-'BS (Before Changes)'!P32</f>
        <v>0</v>
      </c>
      <c r="Q32" s="101">
        <f>'BS (After Changes)'!Q32-'BS (Before Changes)'!Q32</f>
        <v>0</v>
      </c>
      <c r="R32" s="169">
        <f>'BS (After Changes)'!R32-'BS (Before Changes)'!R32</f>
        <v>0</v>
      </c>
      <c r="S32" s="101">
        <f>'BS (After Changes)'!S32-'BS (Before Changes)'!S32</f>
        <v>0</v>
      </c>
      <c r="T32" s="101">
        <f>'BS (After Changes)'!T32-'BS (Before Changes)'!T32</f>
        <v>0</v>
      </c>
      <c r="U32" s="101">
        <f>'BS (After Changes)'!U32-'BS (Before Changes)'!U32</f>
        <v>0</v>
      </c>
      <c r="V32" s="101">
        <f>'BS (After Changes)'!V32-'BS (Before Changes)'!V32</f>
        <v>0</v>
      </c>
      <c r="W32" s="169">
        <f>'BS (After Changes)'!W32-'BS (Before Changes)'!W32</f>
        <v>0</v>
      </c>
      <c r="X32" s="33">
        <f>'BS (After Changes)'!X32-'BS (Before Changes)'!X32</f>
        <v>0</v>
      </c>
      <c r="Y32" s="33">
        <f>'BS (After Changes)'!Y32-'BS (Before Changes)'!Y32</f>
        <v>0</v>
      </c>
      <c r="Z32" s="33">
        <f>'BS (After Changes)'!Z32-'BS (Before Changes)'!Z32</f>
        <v>0</v>
      </c>
      <c r="AA32" s="33">
        <f>'BS (After Changes)'!AA32-'BS (Before Changes)'!AA32</f>
        <v>0</v>
      </c>
      <c r="AB32" s="169">
        <f>'BS (After Changes)'!AB32-'BS (Before Changes)'!AB32</f>
        <v>0</v>
      </c>
      <c r="AC32" s="33">
        <f>'BS (After Changes)'!AC32-'BS (Before Changes)'!AC32</f>
        <v>0</v>
      </c>
      <c r="AD32" s="33">
        <f>'BS (After Changes)'!AD32-'BS (Before Changes)'!AD32</f>
        <v>0</v>
      </c>
      <c r="AE32" s="33">
        <f>'BS (After Changes)'!AE32-'BS (Before Changes)'!AE32</f>
        <v>0</v>
      </c>
      <c r="AF32" s="33">
        <f>'BS (After Changes)'!AF32-'BS (Before Changes)'!AF32</f>
        <v>0</v>
      </c>
      <c r="AG32" s="169">
        <f>'BS (After Changes)'!AG32-'BS (Before Changes)'!AG32</f>
        <v>0</v>
      </c>
      <c r="AH32" s="33">
        <f>'BS (After Changes)'!AH32-'BS (Before Changes)'!AH32</f>
        <v>0</v>
      </c>
      <c r="AI32" s="33">
        <f>'BS (After Changes)'!AI32-'BS (Before Changes)'!AI32</f>
        <v>0</v>
      </c>
      <c r="AJ32" s="33">
        <f>'BS (After Changes)'!AJ32-'BS (Before Changes)'!AJ32</f>
        <v>0</v>
      </c>
      <c r="AK32" s="33">
        <f>'BS (After Changes)'!AK32-'BS (Before Changes)'!AK32</f>
        <v>0</v>
      </c>
      <c r="AL32" s="169">
        <f>'BS (After Changes)'!AL32-'BS (Before Changes)'!AL32</f>
        <v>0</v>
      </c>
      <c r="AM32" s="33">
        <f>'BS (After Changes)'!AM32-'BS (Before Changes)'!AM32</f>
        <v>0</v>
      </c>
      <c r="AN32" s="33">
        <f>'BS (After Changes)'!AN32-'BS (Before Changes)'!AN32</f>
        <v>0</v>
      </c>
      <c r="AO32" s="33">
        <f>'BS (After Changes)'!AO32-'BS (Before Changes)'!AO32</f>
        <v>0</v>
      </c>
      <c r="AP32" s="33">
        <f>'BS (After Changes)'!AP32-'BS (Before Changes)'!AP32</f>
        <v>0</v>
      </c>
      <c r="AQ32" s="169">
        <f>'BS (After Changes)'!AQ32-'BS (Before Changes)'!AQ32</f>
        <v>0</v>
      </c>
      <c r="AR32" s="33">
        <f>'BS (After Changes)'!AR32-'BS (Before Changes)'!AR32</f>
        <v>0</v>
      </c>
      <c r="AS32" s="33">
        <f>'BS (After Changes)'!AS32-'BS (Before Changes)'!AS32</f>
        <v>0</v>
      </c>
      <c r="AT32" s="33">
        <f>'BS (After Changes)'!AT32-'BS (Before Changes)'!AT32</f>
        <v>0</v>
      </c>
      <c r="AU32" s="33">
        <f>'BS (After Changes)'!AU32-'BS (Before Changes)'!AU32</f>
        <v>0</v>
      </c>
      <c r="AV32" s="169">
        <f>'BS (After Changes)'!AV32-'BS (Before Changes)'!AV32</f>
        <v>0</v>
      </c>
    </row>
    <row r="33" spans="1:48" outlineLevel="1" x14ac:dyDescent="0.3">
      <c r="A33" s="161"/>
      <c r="B33" s="200" t="s">
        <v>239</v>
      </c>
      <c r="C33" s="207"/>
      <c r="D33" s="101">
        <f>'BS (After Changes)'!D33-'BS (Before Changes)'!D33</f>
        <v>0</v>
      </c>
      <c r="E33" s="101">
        <f>'BS (After Changes)'!E33-'BS (Before Changes)'!E33</f>
        <v>0</v>
      </c>
      <c r="F33" s="101">
        <f>'BS (After Changes)'!F33-'BS (Before Changes)'!F33</f>
        <v>0</v>
      </c>
      <c r="G33" s="101">
        <f>'BS (After Changes)'!G33-'BS (Before Changes)'!G33</f>
        <v>0</v>
      </c>
      <c r="H33" s="169">
        <f>'BS (After Changes)'!H33-'BS (Before Changes)'!H33</f>
        <v>0</v>
      </c>
      <c r="I33" s="101">
        <f>'BS (After Changes)'!I33-'BS (Before Changes)'!I33</f>
        <v>0</v>
      </c>
      <c r="J33" s="101">
        <f>'BS (After Changes)'!J33-'BS (Before Changes)'!J33</f>
        <v>0</v>
      </c>
      <c r="K33" s="101">
        <f>'BS (After Changes)'!K33-'BS (Before Changes)'!K33</f>
        <v>0</v>
      </c>
      <c r="L33" s="101">
        <f>'BS (After Changes)'!L33-'BS (Before Changes)'!L33</f>
        <v>0</v>
      </c>
      <c r="M33" s="169">
        <f>'BS (After Changes)'!M33-'BS (Before Changes)'!M33</f>
        <v>0</v>
      </c>
      <c r="N33" s="101">
        <f>'BS (After Changes)'!N33-'BS (Before Changes)'!N33</f>
        <v>0</v>
      </c>
      <c r="O33" s="101">
        <f>'BS (After Changes)'!O33-'BS (Before Changes)'!O33</f>
        <v>0</v>
      </c>
      <c r="P33" s="101">
        <f>'BS (After Changes)'!P33-'BS (Before Changes)'!P33</f>
        <v>0</v>
      </c>
      <c r="Q33" s="101">
        <f>'BS (After Changes)'!Q33-'BS (Before Changes)'!Q33</f>
        <v>0</v>
      </c>
      <c r="R33" s="169">
        <f>'BS (After Changes)'!R33-'BS (Before Changes)'!R33</f>
        <v>0</v>
      </c>
      <c r="S33" s="101">
        <f>'BS (After Changes)'!S33-'BS (Before Changes)'!S33</f>
        <v>0</v>
      </c>
      <c r="T33" s="101">
        <f>'BS (After Changes)'!T33-'BS (Before Changes)'!T33</f>
        <v>0</v>
      </c>
      <c r="U33" s="101">
        <f>'BS (After Changes)'!U33-'BS (Before Changes)'!U33</f>
        <v>0</v>
      </c>
      <c r="V33" s="101">
        <f>'BS (After Changes)'!V33-'BS (Before Changes)'!V33</f>
        <v>0</v>
      </c>
      <c r="W33" s="169">
        <f>'BS (After Changes)'!W33-'BS (Before Changes)'!W33</f>
        <v>0</v>
      </c>
      <c r="X33" s="33">
        <f>'BS (After Changes)'!X33-'BS (Before Changes)'!X33</f>
        <v>0</v>
      </c>
      <c r="Y33" s="33">
        <f>'BS (After Changes)'!Y33-'BS (Before Changes)'!Y33</f>
        <v>0</v>
      </c>
      <c r="Z33" s="33">
        <f>'BS (After Changes)'!Z33-'BS (Before Changes)'!Z33</f>
        <v>0</v>
      </c>
      <c r="AA33" s="33">
        <f>'BS (After Changes)'!AA33-'BS (Before Changes)'!AA33</f>
        <v>0</v>
      </c>
      <c r="AB33" s="169">
        <f>'BS (After Changes)'!AB33-'BS (Before Changes)'!AB33</f>
        <v>0</v>
      </c>
      <c r="AC33" s="33">
        <f>'BS (After Changes)'!AC33-'BS (Before Changes)'!AC33</f>
        <v>0</v>
      </c>
      <c r="AD33" s="33">
        <f>'BS (After Changes)'!AD33-'BS (Before Changes)'!AD33</f>
        <v>0</v>
      </c>
      <c r="AE33" s="33">
        <f>'BS (After Changes)'!AE33-'BS (Before Changes)'!AE33</f>
        <v>0</v>
      </c>
      <c r="AF33" s="33">
        <f>'BS (After Changes)'!AF33-'BS (Before Changes)'!AF33</f>
        <v>0</v>
      </c>
      <c r="AG33" s="169">
        <f>'BS (After Changes)'!AG33-'BS (Before Changes)'!AG33</f>
        <v>0</v>
      </c>
      <c r="AH33" s="33">
        <f>'BS (After Changes)'!AH33-'BS (Before Changes)'!AH33</f>
        <v>0</v>
      </c>
      <c r="AI33" s="33">
        <f>'BS (After Changes)'!AI33-'BS (Before Changes)'!AI33</f>
        <v>0</v>
      </c>
      <c r="AJ33" s="33">
        <f>'BS (After Changes)'!AJ33-'BS (Before Changes)'!AJ33</f>
        <v>0</v>
      </c>
      <c r="AK33" s="33">
        <f>'BS (After Changes)'!AK33-'BS (Before Changes)'!AK33</f>
        <v>0</v>
      </c>
      <c r="AL33" s="169">
        <f>'BS (After Changes)'!AL33-'BS (Before Changes)'!AL33</f>
        <v>0</v>
      </c>
      <c r="AM33" s="33">
        <f>'BS (After Changes)'!AM33-'BS (Before Changes)'!AM33</f>
        <v>0</v>
      </c>
      <c r="AN33" s="33">
        <f>'BS (After Changes)'!AN33-'BS (Before Changes)'!AN33</f>
        <v>0</v>
      </c>
      <c r="AO33" s="33">
        <f>'BS (After Changes)'!AO33-'BS (Before Changes)'!AO33</f>
        <v>0</v>
      </c>
      <c r="AP33" s="33">
        <f>'BS (After Changes)'!AP33-'BS (Before Changes)'!AP33</f>
        <v>0</v>
      </c>
      <c r="AQ33" s="169">
        <f>'BS (After Changes)'!AQ33-'BS (Before Changes)'!AQ33</f>
        <v>0</v>
      </c>
      <c r="AR33" s="33">
        <f>'BS (After Changes)'!AR33-'BS (Before Changes)'!AR33</f>
        <v>0</v>
      </c>
      <c r="AS33" s="33">
        <f>'BS (After Changes)'!AS33-'BS (Before Changes)'!AS33</f>
        <v>0</v>
      </c>
      <c r="AT33" s="33">
        <f>'BS (After Changes)'!AT33-'BS (Before Changes)'!AT33</f>
        <v>0</v>
      </c>
      <c r="AU33" s="33">
        <f>'BS (After Changes)'!AU33-'BS (Before Changes)'!AU33</f>
        <v>0</v>
      </c>
      <c r="AV33" s="169">
        <f>'BS (After Changes)'!AV33-'BS (Before Changes)'!AV33</f>
        <v>0</v>
      </c>
    </row>
    <row r="34" spans="1:48" ht="15.75" customHeight="1" outlineLevel="1" x14ac:dyDescent="0.45">
      <c r="A34" s="161"/>
      <c r="B34" s="486" t="s">
        <v>240</v>
      </c>
      <c r="C34" s="487"/>
      <c r="D34" s="112">
        <f>'BS (After Changes)'!D34-'BS (Before Changes)'!D34</f>
        <v>0</v>
      </c>
      <c r="E34" s="112">
        <f>'BS (After Changes)'!E34-'BS (Before Changes)'!E34</f>
        <v>0</v>
      </c>
      <c r="F34" s="112">
        <f>'BS (After Changes)'!F34-'BS (Before Changes)'!F34</f>
        <v>0</v>
      </c>
      <c r="G34" s="112">
        <f>'BS (After Changes)'!G34-'BS (Before Changes)'!G34</f>
        <v>0</v>
      </c>
      <c r="H34" s="262">
        <f>'BS (After Changes)'!H34-'BS (Before Changes)'!H34</f>
        <v>0</v>
      </c>
      <c r="I34" s="112">
        <f>'BS (After Changes)'!I34-'BS (Before Changes)'!I34</f>
        <v>0</v>
      </c>
      <c r="J34" s="112">
        <f>'BS (After Changes)'!J34-'BS (Before Changes)'!J34</f>
        <v>0</v>
      </c>
      <c r="K34" s="112">
        <f>'BS (After Changes)'!K34-'BS (Before Changes)'!K34</f>
        <v>0</v>
      </c>
      <c r="L34" s="112">
        <f>'BS (After Changes)'!L34-'BS (Before Changes)'!L34</f>
        <v>0</v>
      </c>
      <c r="M34" s="262">
        <f>'BS (After Changes)'!M34-'BS (Before Changes)'!M34</f>
        <v>0</v>
      </c>
      <c r="N34" s="112">
        <f>'BS (After Changes)'!N34-'BS (Before Changes)'!N34</f>
        <v>0</v>
      </c>
      <c r="O34" s="112">
        <f>'BS (After Changes)'!O34-'BS (Before Changes)'!O34</f>
        <v>0</v>
      </c>
      <c r="P34" s="112">
        <f>'BS (After Changes)'!P34-'BS (Before Changes)'!P34</f>
        <v>0</v>
      </c>
      <c r="Q34" s="112">
        <f>'BS (After Changes)'!Q34-'BS (Before Changes)'!Q34</f>
        <v>0</v>
      </c>
      <c r="R34" s="262">
        <f>'BS (After Changes)'!R34-'BS (Before Changes)'!R34</f>
        <v>0</v>
      </c>
      <c r="S34" s="112">
        <f>'BS (After Changes)'!S34-'BS (Before Changes)'!S34</f>
        <v>0</v>
      </c>
      <c r="T34" s="112">
        <f>'BS (After Changes)'!T34-'BS (Before Changes)'!T34</f>
        <v>0</v>
      </c>
      <c r="U34" s="112">
        <f>'BS (After Changes)'!U34-'BS (Before Changes)'!U34</f>
        <v>0</v>
      </c>
      <c r="V34" s="112">
        <f>'BS (After Changes)'!V34-'BS (Before Changes)'!V34</f>
        <v>0</v>
      </c>
      <c r="W34" s="262">
        <f>'BS (After Changes)'!W34-'BS (Before Changes)'!W34</f>
        <v>0</v>
      </c>
      <c r="X34" s="32">
        <f>'BS (After Changes)'!X34-'BS (Before Changes)'!X34</f>
        <v>0</v>
      </c>
      <c r="Y34" s="32">
        <f>'BS (After Changes)'!Y34-'BS (Before Changes)'!Y34</f>
        <v>0</v>
      </c>
      <c r="Z34" s="32">
        <f>'BS (After Changes)'!Z34-'BS (Before Changes)'!Z34</f>
        <v>0</v>
      </c>
      <c r="AA34" s="32">
        <f>'BS (After Changes)'!AA34-'BS (Before Changes)'!AA34</f>
        <v>0</v>
      </c>
      <c r="AB34" s="262">
        <f>'BS (After Changes)'!AB34-'BS (Before Changes)'!AB34</f>
        <v>0</v>
      </c>
      <c r="AC34" s="32">
        <f>'BS (After Changes)'!AC34-'BS (Before Changes)'!AC34</f>
        <v>0</v>
      </c>
      <c r="AD34" s="32">
        <f>'BS (After Changes)'!AD34-'BS (Before Changes)'!AD34</f>
        <v>0</v>
      </c>
      <c r="AE34" s="32">
        <f>'BS (After Changes)'!AE34-'BS (Before Changes)'!AE34</f>
        <v>0</v>
      </c>
      <c r="AF34" s="32">
        <f>'BS (After Changes)'!AF34-'BS (Before Changes)'!AF34</f>
        <v>0</v>
      </c>
      <c r="AG34" s="262">
        <f>'BS (After Changes)'!AG34-'BS (Before Changes)'!AG34</f>
        <v>0</v>
      </c>
      <c r="AH34" s="32">
        <f>'BS (After Changes)'!AH34-'BS (Before Changes)'!AH34</f>
        <v>0</v>
      </c>
      <c r="AI34" s="32">
        <f>'BS (After Changes)'!AI34-'BS (Before Changes)'!AI34</f>
        <v>0</v>
      </c>
      <c r="AJ34" s="32">
        <f>'BS (After Changes)'!AJ34-'BS (Before Changes)'!AJ34</f>
        <v>0</v>
      </c>
      <c r="AK34" s="32">
        <f>'BS (After Changes)'!AK34-'BS (Before Changes)'!AK34</f>
        <v>0</v>
      </c>
      <c r="AL34" s="262">
        <f>'BS (After Changes)'!AL34-'BS (Before Changes)'!AL34</f>
        <v>0</v>
      </c>
      <c r="AM34" s="32">
        <f>'BS (After Changes)'!AM34-'BS (Before Changes)'!AM34</f>
        <v>0</v>
      </c>
      <c r="AN34" s="32">
        <f>'BS (After Changes)'!AN34-'BS (Before Changes)'!AN34</f>
        <v>0</v>
      </c>
      <c r="AO34" s="32">
        <f>'BS (After Changes)'!AO34-'BS (Before Changes)'!AO34</f>
        <v>0</v>
      </c>
      <c r="AP34" s="32">
        <f>'BS (After Changes)'!AP34-'BS (Before Changes)'!AP34</f>
        <v>0</v>
      </c>
      <c r="AQ34" s="262">
        <f>'BS (After Changes)'!AQ34-'BS (Before Changes)'!AQ34</f>
        <v>0</v>
      </c>
      <c r="AR34" s="32">
        <f>'BS (After Changes)'!AR34-'BS (Before Changes)'!AR34</f>
        <v>0</v>
      </c>
      <c r="AS34" s="32">
        <f>'BS (After Changes)'!AS34-'BS (Before Changes)'!AS34</f>
        <v>0</v>
      </c>
      <c r="AT34" s="32">
        <f>'BS (After Changes)'!AT34-'BS (Before Changes)'!AT34</f>
        <v>0</v>
      </c>
      <c r="AU34" s="32">
        <f>'BS (After Changes)'!AU34-'BS (Before Changes)'!AU34</f>
        <v>0</v>
      </c>
      <c r="AV34" s="262">
        <f>'BS (After Changes)'!AV34-'BS (Before Changes)'!AV34</f>
        <v>0</v>
      </c>
    </row>
    <row r="35" spans="1:48" outlineLevel="1" x14ac:dyDescent="0.3">
      <c r="A35" s="161"/>
      <c r="B35" s="525" t="s">
        <v>241</v>
      </c>
      <c r="C35" s="526"/>
      <c r="D35" s="116">
        <f>'BS (After Changes)'!D35-'BS (Before Changes)'!D35</f>
        <v>0</v>
      </c>
      <c r="E35" s="116">
        <f>'BS (After Changes)'!E35-'BS (Before Changes)'!E35</f>
        <v>0</v>
      </c>
      <c r="F35" s="116">
        <f>'BS (After Changes)'!F35-'BS (Before Changes)'!F35</f>
        <v>0</v>
      </c>
      <c r="G35" s="116">
        <f>'BS (After Changes)'!G35-'BS (Before Changes)'!G35</f>
        <v>0</v>
      </c>
      <c r="H35" s="150">
        <f>'BS (After Changes)'!H35-'BS (Before Changes)'!H35</f>
        <v>0</v>
      </c>
      <c r="I35" s="116">
        <f>'BS (After Changes)'!I35-'BS (Before Changes)'!I35</f>
        <v>0</v>
      </c>
      <c r="J35" s="116">
        <f>'BS (After Changes)'!J35-'BS (Before Changes)'!J35</f>
        <v>0</v>
      </c>
      <c r="K35" s="116">
        <f>'BS (After Changes)'!K35-'BS (Before Changes)'!K35</f>
        <v>0</v>
      </c>
      <c r="L35" s="116">
        <f>'BS (After Changes)'!L35-'BS (Before Changes)'!L35</f>
        <v>0</v>
      </c>
      <c r="M35" s="150">
        <f>'BS (After Changes)'!M35-'BS (Before Changes)'!M35</f>
        <v>0</v>
      </c>
      <c r="N35" s="116">
        <f>'BS (After Changes)'!N35-'BS (Before Changes)'!N35</f>
        <v>0</v>
      </c>
      <c r="O35" s="116">
        <f>'BS (After Changes)'!O35-'BS (Before Changes)'!O35</f>
        <v>0</v>
      </c>
      <c r="P35" s="116">
        <f>'BS (After Changes)'!P35-'BS (Before Changes)'!P35</f>
        <v>0</v>
      </c>
      <c r="Q35" s="116">
        <f>'BS (After Changes)'!Q35-'BS (Before Changes)'!Q35</f>
        <v>0</v>
      </c>
      <c r="R35" s="150">
        <f>'BS (After Changes)'!R35-'BS (Before Changes)'!R35</f>
        <v>0</v>
      </c>
      <c r="S35" s="116">
        <f>'BS (After Changes)'!S35-'BS (Before Changes)'!S35</f>
        <v>0</v>
      </c>
      <c r="T35" s="116">
        <f>'BS (After Changes)'!T35-'BS (Before Changes)'!T35</f>
        <v>0</v>
      </c>
      <c r="U35" s="116">
        <f>'BS (After Changes)'!U35-'BS (Before Changes)'!U35</f>
        <v>0</v>
      </c>
      <c r="V35" s="116">
        <f>'BS (After Changes)'!V35-'BS (Before Changes)'!V35</f>
        <v>0</v>
      </c>
      <c r="W35" s="150">
        <f>'BS (After Changes)'!W35-'BS (Before Changes)'!W35</f>
        <v>0</v>
      </c>
      <c r="X35" s="116">
        <f>'BS (After Changes)'!X35-'BS (Before Changes)'!X35</f>
        <v>2.5978270259438432</v>
      </c>
      <c r="Y35" s="116">
        <f>'BS (After Changes)'!Y35-'BS (Before Changes)'!Y35</f>
        <v>18.289811900576751</v>
      </c>
      <c r="Z35" s="116">
        <f>'BS (After Changes)'!Z35-'BS (Before Changes)'!Z35</f>
        <v>39.347828855861735</v>
      </c>
      <c r="AA35" s="116">
        <f>'BS (After Changes)'!AA35-'BS (Before Changes)'!AA35</f>
        <v>78.696547832762008</v>
      </c>
      <c r="AB35" s="150">
        <f>'BS (After Changes)'!AB35-'BS (Before Changes)'!AB35</f>
        <v>78.696547832762008</v>
      </c>
      <c r="AC35" s="116">
        <f>'BS (After Changes)'!AC35-'BS (Before Changes)'!AC35</f>
        <v>5.3388457660403219</v>
      </c>
      <c r="AD35" s="116">
        <f>'BS (After Changes)'!AD35-'BS (Before Changes)'!AD35</f>
        <v>-8.4158146668196423</v>
      </c>
      <c r="AE35" s="116">
        <f>'BS (After Changes)'!AE35-'BS (Before Changes)'!AE35</f>
        <v>9.1159363674960332</v>
      </c>
      <c r="AF35" s="116">
        <f>'BS (After Changes)'!AF35-'BS (Before Changes)'!AF35</f>
        <v>14.426254384794447</v>
      </c>
      <c r="AG35" s="150">
        <f>'BS (After Changes)'!AG35-'BS (Before Changes)'!AG35</f>
        <v>14.426254384794447</v>
      </c>
      <c r="AH35" s="116">
        <f>'BS (After Changes)'!AH35-'BS (Before Changes)'!AH35</f>
        <v>8.7361873449990526</v>
      </c>
      <c r="AI35" s="116">
        <f>'BS (After Changes)'!AI35-'BS (Before Changes)'!AI35</f>
        <v>-6.4471255640964955</v>
      </c>
      <c r="AJ35" s="116">
        <f>'BS (After Changes)'!AJ35-'BS (Before Changes)'!AJ35</f>
        <v>13.482732905111334</v>
      </c>
      <c r="AK35" s="116">
        <f>'BS (After Changes)'!AK35-'BS (Before Changes)'!AK35</f>
        <v>19.252566797476902</v>
      </c>
      <c r="AL35" s="150">
        <f>'BS (After Changes)'!AL35-'BS (Before Changes)'!AL35</f>
        <v>19.252566797476902</v>
      </c>
      <c r="AM35" s="116">
        <f>'BS (After Changes)'!AM35-'BS (Before Changes)'!AM35</f>
        <v>9.4423852115287445</v>
      </c>
      <c r="AN35" s="116">
        <f>'BS (After Changes)'!AN35-'BS (Before Changes)'!AN35</f>
        <v>-6.9497454085358186</v>
      </c>
      <c r="AO35" s="116">
        <f>'BS (After Changes)'!AO35-'BS (Before Changes)'!AO35</f>
        <v>14.519653099465359</v>
      </c>
      <c r="AP35" s="116">
        <f>'BS (After Changes)'!AP35-'BS (Before Changes)'!AP35</f>
        <v>20.721452138088353</v>
      </c>
      <c r="AQ35" s="150">
        <f>'BS (After Changes)'!AQ35-'BS (Before Changes)'!AQ35</f>
        <v>20.721452138088353</v>
      </c>
      <c r="AR35" s="116">
        <f>'BS (After Changes)'!AR35-'BS (Before Changes)'!AR35</f>
        <v>10.096895213348034</v>
      </c>
      <c r="AS35" s="116">
        <f>'BS (After Changes)'!AS35-'BS (Before Changes)'!AS35</f>
        <v>-7.3809768690407509</v>
      </c>
      <c r="AT35" s="116">
        <f>'BS (After Changes)'!AT35-'BS (Before Changes)'!AT35</f>
        <v>15.492814152385108</v>
      </c>
      <c r="AU35" s="116">
        <f>'BS (After Changes)'!AU35-'BS (Before Changes)'!AU35</f>
        <v>22.138389074003499</v>
      </c>
      <c r="AV35" s="150">
        <f>'BS (After Changes)'!AV35-'BS (Before Changes)'!AV35</f>
        <v>22.138389074003499</v>
      </c>
    </row>
    <row r="36" spans="1:48" ht="17.399999999999999" x14ac:dyDescent="0.45">
      <c r="B36" s="494" t="s">
        <v>242</v>
      </c>
      <c r="C36" s="495"/>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486" t="s">
        <v>243</v>
      </c>
      <c r="C37" s="487"/>
      <c r="D37" s="16">
        <f>'BS (After Changes)'!D37-'BS (Before Changes)'!D37</f>
        <v>0</v>
      </c>
      <c r="E37" s="16">
        <f>'BS (After Changes)'!E37-'BS (Before Changes)'!E37</f>
        <v>0</v>
      </c>
      <c r="F37" s="16">
        <f>'BS (After Changes)'!F37-'BS (Before Changes)'!F37</f>
        <v>0</v>
      </c>
      <c r="G37" s="16">
        <f>'BS (After Changes)'!G37-'BS (Before Changes)'!G37</f>
        <v>0</v>
      </c>
      <c r="H37" s="17">
        <f>'BS (After Changes)'!H37-'BS (Before Changes)'!H37</f>
        <v>0</v>
      </c>
      <c r="I37" s="16">
        <f>'BS (After Changes)'!I37-'BS (Before Changes)'!I37</f>
        <v>0</v>
      </c>
      <c r="J37" s="16">
        <f>'BS (After Changes)'!J37-'BS (Before Changes)'!J37</f>
        <v>0</v>
      </c>
      <c r="K37" s="16">
        <f>'BS (After Changes)'!K37-'BS (Before Changes)'!K37</f>
        <v>0</v>
      </c>
      <c r="L37" s="16">
        <f>'BS (After Changes)'!L37-'BS (Before Changes)'!L37</f>
        <v>0</v>
      </c>
      <c r="M37" s="17">
        <f>'BS (After Changes)'!M37-'BS (Before Changes)'!M37</f>
        <v>0</v>
      </c>
      <c r="N37" s="16">
        <f>'BS (After Changes)'!N37-'BS (Before Changes)'!N37</f>
        <v>0</v>
      </c>
      <c r="O37" s="16">
        <f>'BS (After Changes)'!O37-'BS (Before Changes)'!O37</f>
        <v>0</v>
      </c>
      <c r="P37" s="16">
        <f>'BS (After Changes)'!P37-'BS (Before Changes)'!P37</f>
        <v>0</v>
      </c>
      <c r="Q37" s="16">
        <f>'BS (After Changes)'!Q37-'BS (Before Changes)'!Q37</f>
        <v>0</v>
      </c>
      <c r="R37" s="17">
        <f>'BS (After Changes)'!R37-'BS (Before Changes)'!R37</f>
        <v>0</v>
      </c>
      <c r="S37" s="16">
        <f>'BS (After Changes)'!S37-'BS (Before Changes)'!S37</f>
        <v>0</v>
      </c>
      <c r="T37" s="16">
        <f>'BS (After Changes)'!T37-'BS (Before Changes)'!T37</f>
        <v>0</v>
      </c>
      <c r="U37" s="16">
        <f>'BS (After Changes)'!U37-'BS (Before Changes)'!U37</f>
        <v>0</v>
      </c>
      <c r="V37" s="16">
        <f>'BS (After Changes)'!V37-'BS (Before Changes)'!V37</f>
        <v>0</v>
      </c>
      <c r="W37" s="17">
        <f>'BS (After Changes)'!W37-'BS (Before Changes)'!W37</f>
        <v>0</v>
      </c>
      <c r="X37" s="16">
        <f>'BS (After Changes)'!X37-'BS (Before Changes)'!X37</f>
        <v>0.2294804831184365</v>
      </c>
      <c r="Y37" s="16">
        <f>'BS (After Changes)'!Y37-'BS (Before Changes)'!Y37</f>
        <v>0.42444941877414522</v>
      </c>
      <c r="Z37" s="16">
        <f>'BS (After Changes)'!Z37-'BS (Before Changes)'!Z37</f>
        <v>1.4731932808113015</v>
      </c>
      <c r="AA37" s="16">
        <f>'BS (After Changes)'!AA37-'BS (Before Changes)'!AA37</f>
        <v>2.5431190226494209</v>
      </c>
      <c r="AB37" s="17">
        <f>'BS (After Changes)'!AB37-'BS (Before Changes)'!AB37</f>
        <v>2.5431190226494209</v>
      </c>
      <c r="AC37" s="16">
        <f>'BS (After Changes)'!AC37-'BS (Before Changes)'!AC37</f>
        <v>3.0058049491175325</v>
      </c>
      <c r="AD37" s="16">
        <f>'BS (After Changes)'!AD37-'BS (Before Changes)'!AD37</f>
        <v>3.4371631279408348</v>
      </c>
      <c r="AE37" s="16">
        <f>'BS (After Changes)'!AE37-'BS (Before Changes)'!AE37</f>
        <v>4.8246963541633932</v>
      </c>
      <c r="AF37" s="16">
        <f>'BS (After Changes)'!AF37-'BS (Before Changes)'!AF37</f>
        <v>6.217488851064104</v>
      </c>
      <c r="AG37" s="17">
        <f>'BS (After Changes)'!AG37-'BS (Before Changes)'!AG37</f>
        <v>6.217488851064104</v>
      </c>
      <c r="AH37" s="16">
        <f>'BS (After Changes)'!AH37-'BS (Before Changes)'!AH37</f>
        <v>6.9759809875650944</v>
      </c>
      <c r="AI37" s="16">
        <f>'BS (After Changes)'!AI37-'BS (Before Changes)'!AI37</f>
        <v>7.6947208619454841</v>
      </c>
      <c r="AJ37" s="16">
        <f>'BS (After Changes)'!AJ37-'BS (Before Changes)'!AJ37</f>
        <v>9.4960563716545039</v>
      </c>
      <c r="AK37" s="16">
        <f>'BS (After Changes)'!AK37-'BS (Before Changes)'!AK37</f>
        <v>11.300759796355123</v>
      </c>
      <c r="AL37" s="17">
        <f>'BS (After Changes)'!AL37-'BS (Before Changes)'!AL37</f>
        <v>11.300759796355123</v>
      </c>
      <c r="AM37" s="16">
        <f>'BS (After Changes)'!AM37-'BS (Before Changes)'!AM37</f>
        <v>12.122174428456219</v>
      </c>
      <c r="AN37" s="16">
        <f>'BS (After Changes)'!AN37-'BS (Before Changes)'!AN37</f>
        <v>12.902672160434804</v>
      </c>
      <c r="AO37" s="16">
        <f>'BS (After Changes)'!AO37-'BS (Before Changes)'!AO37</f>
        <v>14.857707613048206</v>
      </c>
      <c r="AP37" s="16">
        <f>'BS (After Changes)'!AP37-'BS (Before Changes)'!AP37</f>
        <v>16.816975698246551</v>
      </c>
      <c r="AQ37" s="17">
        <f>'BS (After Changes)'!AQ37-'BS (Before Changes)'!AQ37</f>
        <v>16.816975698246551</v>
      </c>
      <c r="AR37" s="16">
        <f>'BS (After Changes)'!AR37-'BS (Before Changes)'!AR37</f>
        <v>17.692171971365269</v>
      </c>
      <c r="AS37" s="16">
        <f>'BS (After Changes)'!AS37-'BS (Before Changes)'!AS37</f>
        <v>18.52372196310148</v>
      </c>
      <c r="AT37" s="16">
        <f>'BS (After Changes)'!AT37-'BS (Before Changes)'!AT37</f>
        <v>20.605546476616382</v>
      </c>
      <c r="AU37" s="16">
        <f>'BS (After Changes)'!AU37-'BS (Before Changes)'!AU37</f>
        <v>22.691286740397345</v>
      </c>
      <c r="AV37" s="17">
        <f>'BS (After Changes)'!AV37-'BS (Before Changes)'!AV37</f>
        <v>22.691286740397345</v>
      </c>
    </row>
    <row r="38" spans="1:48" outlineLevel="1" x14ac:dyDescent="0.3">
      <c r="B38" s="527" t="s">
        <v>244</v>
      </c>
      <c r="C38" s="528"/>
      <c r="D38" s="16">
        <f>'BS (After Changes)'!D38-'BS (Before Changes)'!D38</f>
        <v>0</v>
      </c>
      <c r="E38" s="101">
        <f>'BS (After Changes)'!E38-'BS (Before Changes)'!E38</f>
        <v>0</v>
      </c>
      <c r="F38" s="101">
        <f>'BS (After Changes)'!F38-'BS (Before Changes)'!F38</f>
        <v>0</v>
      </c>
      <c r="G38" s="101">
        <f>'BS (After Changes)'!G38-'BS (Before Changes)'!G38</f>
        <v>0</v>
      </c>
      <c r="H38" s="169">
        <f>'BS (After Changes)'!H38-'BS (Before Changes)'!H38</f>
        <v>0</v>
      </c>
      <c r="I38" s="101">
        <f>'BS (After Changes)'!I38-'BS (Before Changes)'!I38</f>
        <v>0</v>
      </c>
      <c r="J38" s="101">
        <f>'BS (After Changes)'!J38-'BS (Before Changes)'!J38</f>
        <v>0</v>
      </c>
      <c r="K38" s="101">
        <f>'BS (After Changes)'!K38-'BS (Before Changes)'!K38</f>
        <v>0</v>
      </c>
      <c r="L38" s="101">
        <f>'BS (After Changes)'!L38-'BS (Before Changes)'!L38</f>
        <v>0</v>
      </c>
      <c r="M38" s="169">
        <f>'BS (After Changes)'!M38-'BS (Before Changes)'!M38</f>
        <v>0</v>
      </c>
      <c r="N38" s="101">
        <f>'BS (After Changes)'!N38-'BS (Before Changes)'!N38</f>
        <v>0</v>
      </c>
      <c r="O38" s="101">
        <f>'BS (After Changes)'!O38-'BS (Before Changes)'!O38</f>
        <v>0</v>
      </c>
      <c r="P38" s="101">
        <f>'BS (After Changes)'!P38-'BS (Before Changes)'!P38</f>
        <v>0</v>
      </c>
      <c r="Q38" s="101">
        <f>'BS (After Changes)'!Q38-'BS (Before Changes)'!Q38</f>
        <v>0</v>
      </c>
      <c r="R38" s="169">
        <f>'BS (After Changes)'!R38-'BS (Before Changes)'!R38</f>
        <v>0</v>
      </c>
      <c r="S38" s="101">
        <f>'BS (After Changes)'!S38-'BS (Before Changes)'!S38</f>
        <v>0</v>
      </c>
      <c r="T38" s="101">
        <f>'BS (After Changes)'!T38-'BS (Before Changes)'!T38</f>
        <v>0</v>
      </c>
      <c r="U38" s="101">
        <f>'BS (After Changes)'!U38-'BS (Before Changes)'!U38</f>
        <v>0</v>
      </c>
      <c r="V38" s="101">
        <f>'BS (After Changes)'!V38-'BS (Before Changes)'!V38</f>
        <v>0</v>
      </c>
      <c r="W38" s="169">
        <f>'BS (After Changes)'!W38-'BS (Before Changes)'!W38</f>
        <v>0</v>
      </c>
      <c r="X38" s="101">
        <f>'BS (After Changes)'!X38-'BS (Before Changes)'!X38</f>
        <v>8.1183914325119986</v>
      </c>
      <c r="Y38" s="101">
        <f>'BS (After Changes)'!Y38-'BS (Before Changes)'!Y38</f>
        <v>-17.761728957261766</v>
      </c>
      <c r="Z38" s="101">
        <f>'BS (After Changes)'!Z38-'BS (Before Changes)'!Z38</f>
        <v>6.0848665135490592</v>
      </c>
      <c r="AA38" s="101">
        <f>'BS (After Changes)'!AA38-'BS (Before Changes)'!AA38</f>
        <v>-81.146733441863944</v>
      </c>
      <c r="AB38" s="169">
        <f>'BS (After Changes)'!AB38-'BS (Before Changes)'!AB38</f>
        <v>-81.146733441863944</v>
      </c>
      <c r="AC38" s="101">
        <f>'BS (After Changes)'!AC38-'BS (Before Changes)'!AC38</f>
        <v>-64.490631083876906</v>
      </c>
      <c r="AD38" s="101">
        <f>'BS (After Changes)'!AD38-'BS (Before Changes)'!AD38</f>
        <v>-0.66060501003175887</v>
      </c>
      <c r="AE38" s="101">
        <f>'BS (After Changes)'!AE38-'BS (Before Changes)'!AE38</f>
        <v>129.69533612614396</v>
      </c>
      <c r="AF38" s="101">
        <f>'BS (After Changes)'!AF38-'BS (Before Changes)'!AF38</f>
        <v>253.71847139728197</v>
      </c>
      <c r="AG38" s="169">
        <f>'BS (After Changes)'!AG38-'BS (Before Changes)'!AG38</f>
        <v>253.71847139728197</v>
      </c>
      <c r="AH38" s="101">
        <f>'BS (After Changes)'!AH38-'BS (Before Changes)'!AH38</f>
        <v>283.77415261083934</v>
      </c>
      <c r="AI38" s="101">
        <f>'BS (After Changes)'!AI38-'BS (Before Changes)'!AI38</f>
        <v>364.69272147265974</v>
      </c>
      <c r="AJ38" s="101">
        <f>'BS (After Changes)'!AJ38-'BS (Before Changes)'!AJ38</f>
        <v>522.03537767746093</v>
      </c>
      <c r="AK38" s="101">
        <f>'BS (After Changes)'!AK38-'BS (Before Changes)'!AK38</f>
        <v>671.99296065505405</v>
      </c>
      <c r="AL38" s="169">
        <f>'BS (After Changes)'!AL38-'BS (Before Changes)'!AL38</f>
        <v>671.99296065505405</v>
      </c>
      <c r="AM38" s="101">
        <f>'BS (After Changes)'!AM38-'BS (Before Changes)'!AM38</f>
        <v>705.81092801577688</v>
      </c>
      <c r="AN38" s="101">
        <f>'BS (After Changes)'!AN38-'BS (Before Changes)'!AN38</f>
        <v>794.95037226562818</v>
      </c>
      <c r="AO38" s="101">
        <f>'BS (After Changes)'!AO38-'BS (Before Changes)'!AO38</f>
        <v>967.13644879894309</v>
      </c>
      <c r="AP38" s="101">
        <f>'BS (After Changes)'!AP38-'BS (Before Changes)'!AP38</f>
        <v>1131.4616660859465</v>
      </c>
      <c r="AQ38" s="169">
        <f>'BS (After Changes)'!AQ38-'BS (Before Changes)'!AQ38</f>
        <v>1131.4616660859465</v>
      </c>
      <c r="AR38" s="101">
        <f>'BS (After Changes)'!AR38-'BS (Before Changes)'!AR38</f>
        <v>1169.0635593212028</v>
      </c>
      <c r="AS38" s="101">
        <f>'BS (After Changes)'!AS38-'BS (Before Changes)'!AS38</f>
        <v>1265.6046010442042</v>
      </c>
      <c r="AT38" s="101">
        <f>'BS (After Changes)'!AT38-'BS (Before Changes)'!AT38</f>
        <v>1450.6225223878046</v>
      </c>
      <c r="AU38" s="101">
        <f>'BS (After Changes)'!AU38-'BS (Before Changes)'!AU38</f>
        <v>1627.3067207182567</v>
      </c>
      <c r="AV38" s="169">
        <f>'BS (After Changes)'!AV38-'BS (Before Changes)'!AV38</f>
        <v>1627.3067207182567</v>
      </c>
    </row>
    <row r="39" spans="1:48" outlineLevel="1" x14ac:dyDescent="0.3">
      <c r="B39" s="527" t="s">
        <v>245</v>
      </c>
      <c r="C39" s="528"/>
      <c r="D39" s="16">
        <f>'BS (After Changes)'!D39-'BS (Before Changes)'!D39</f>
        <v>0</v>
      </c>
      <c r="E39" s="102">
        <f>'BS (After Changes)'!E39-'BS (Before Changes)'!E39</f>
        <v>0</v>
      </c>
      <c r="F39" s="101">
        <f>'BS (After Changes)'!F39-'BS (Before Changes)'!F39</f>
        <v>0</v>
      </c>
      <c r="G39" s="101">
        <f>'BS (After Changes)'!G39-'BS (Before Changes)'!G39</f>
        <v>0</v>
      </c>
      <c r="H39" s="169">
        <f>'BS (After Changes)'!H39-'BS (Before Changes)'!H39</f>
        <v>0</v>
      </c>
      <c r="I39" s="101">
        <f>'BS (After Changes)'!I39-'BS (Before Changes)'!I39</f>
        <v>0</v>
      </c>
      <c r="J39" s="101">
        <f>'BS (After Changes)'!J39-'BS (Before Changes)'!J39</f>
        <v>0</v>
      </c>
      <c r="K39" s="101">
        <f>'BS (After Changes)'!K39-'BS (Before Changes)'!K39</f>
        <v>0</v>
      </c>
      <c r="L39" s="101">
        <f>'BS (After Changes)'!L39-'BS (Before Changes)'!L39</f>
        <v>0</v>
      </c>
      <c r="M39" s="169">
        <f>'BS (After Changes)'!M39-'BS (Before Changes)'!M39</f>
        <v>0</v>
      </c>
      <c r="N39" s="101">
        <f>'BS (After Changes)'!N39-'BS (Before Changes)'!N39</f>
        <v>0</v>
      </c>
      <c r="O39" s="101">
        <f>'BS (After Changes)'!O39-'BS (Before Changes)'!O39</f>
        <v>0</v>
      </c>
      <c r="P39" s="101">
        <f>'BS (After Changes)'!P39-'BS (Before Changes)'!P39</f>
        <v>0</v>
      </c>
      <c r="Q39" s="101">
        <f>'BS (After Changes)'!Q39-'BS (Before Changes)'!Q39</f>
        <v>0</v>
      </c>
      <c r="R39" s="169">
        <f>'BS (After Changes)'!R39-'BS (Before Changes)'!R39</f>
        <v>0</v>
      </c>
      <c r="S39" s="101">
        <f>'BS (After Changes)'!S39-'BS (Before Changes)'!S39</f>
        <v>0</v>
      </c>
      <c r="T39" s="101">
        <f>'BS (After Changes)'!T39-'BS (Before Changes)'!T39</f>
        <v>0</v>
      </c>
      <c r="U39" s="101">
        <f>'BS (After Changes)'!U39-'BS (Before Changes)'!U39</f>
        <v>0</v>
      </c>
      <c r="V39" s="101">
        <f>'BS (After Changes)'!V39-'BS (Before Changes)'!V39</f>
        <v>0</v>
      </c>
      <c r="W39" s="169">
        <f>'BS (After Changes)'!W39-'BS (Before Changes)'!W39</f>
        <v>0</v>
      </c>
      <c r="X39" s="101">
        <f>'BS (After Changes)'!X39-'BS (Before Changes)'!X39</f>
        <v>0</v>
      </c>
      <c r="Y39" s="101">
        <f>'BS (After Changes)'!Y39-'BS (Before Changes)'!Y39</f>
        <v>0</v>
      </c>
      <c r="Z39" s="101">
        <f>'BS (After Changes)'!Z39-'BS (Before Changes)'!Z39</f>
        <v>0</v>
      </c>
      <c r="AA39" s="101">
        <f>'BS (After Changes)'!AA39-'BS (Before Changes)'!AA39</f>
        <v>0</v>
      </c>
      <c r="AB39" s="169">
        <f>'BS (After Changes)'!AB39-'BS (Before Changes)'!AB39</f>
        <v>0</v>
      </c>
      <c r="AC39" s="101">
        <f>'BS (After Changes)'!AC39-'BS (Before Changes)'!AC39</f>
        <v>0</v>
      </c>
      <c r="AD39" s="101">
        <f>'BS (After Changes)'!AD39-'BS (Before Changes)'!AD39</f>
        <v>0</v>
      </c>
      <c r="AE39" s="101">
        <f>'BS (After Changes)'!AE39-'BS (Before Changes)'!AE39</f>
        <v>0</v>
      </c>
      <c r="AF39" s="101">
        <f>'BS (After Changes)'!AF39-'BS (Before Changes)'!AF39</f>
        <v>0</v>
      </c>
      <c r="AG39" s="169">
        <f>'BS (After Changes)'!AG39-'BS (Before Changes)'!AG39</f>
        <v>0</v>
      </c>
      <c r="AH39" s="101">
        <f>'BS (After Changes)'!AH39-'BS (Before Changes)'!AH39</f>
        <v>0</v>
      </c>
      <c r="AI39" s="101">
        <f>'BS (After Changes)'!AI39-'BS (Before Changes)'!AI39</f>
        <v>0</v>
      </c>
      <c r="AJ39" s="101">
        <f>'BS (After Changes)'!AJ39-'BS (Before Changes)'!AJ39</f>
        <v>0</v>
      </c>
      <c r="AK39" s="101">
        <f>'BS (After Changes)'!AK39-'BS (Before Changes)'!AK39</f>
        <v>0</v>
      </c>
      <c r="AL39" s="169">
        <f>'BS (After Changes)'!AL39-'BS (Before Changes)'!AL39</f>
        <v>0</v>
      </c>
      <c r="AM39" s="101">
        <f>'BS (After Changes)'!AM39-'BS (Before Changes)'!AM39</f>
        <v>0</v>
      </c>
      <c r="AN39" s="101">
        <f>'BS (After Changes)'!AN39-'BS (Before Changes)'!AN39</f>
        <v>0</v>
      </c>
      <c r="AO39" s="101">
        <f>'BS (After Changes)'!AO39-'BS (Before Changes)'!AO39</f>
        <v>0</v>
      </c>
      <c r="AP39" s="101">
        <f>'BS (After Changes)'!AP39-'BS (Before Changes)'!AP39</f>
        <v>0</v>
      </c>
      <c r="AQ39" s="169">
        <f>'BS (After Changes)'!AQ39-'BS (Before Changes)'!AQ39</f>
        <v>0</v>
      </c>
      <c r="AR39" s="101">
        <f>'BS (After Changes)'!AR39-'BS (Before Changes)'!AR39</f>
        <v>0</v>
      </c>
      <c r="AS39" s="101">
        <f>'BS (After Changes)'!AS39-'BS (Before Changes)'!AS39</f>
        <v>0</v>
      </c>
      <c r="AT39" s="101">
        <f>'BS (After Changes)'!AT39-'BS (Before Changes)'!AT39</f>
        <v>0</v>
      </c>
      <c r="AU39" s="101">
        <f>'BS (After Changes)'!AU39-'BS (Before Changes)'!AU39</f>
        <v>0</v>
      </c>
      <c r="AV39" s="169">
        <f>'BS (After Changes)'!AV39-'BS (Before Changes)'!AV39</f>
        <v>0</v>
      </c>
    </row>
    <row r="40" spans="1:48" ht="16.2" outlineLevel="1" x14ac:dyDescent="0.45">
      <c r="B40" s="265" t="s">
        <v>246</v>
      </c>
      <c r="C40" s="266"/>
      <c r="D40" s="260">
        <f>'BS (After Changes)'!D40-'BS (Before Changes)'!D40</f>
        <v>0</v>
      </c>
      <c r="E40" s="112">
        <f>'BS (After Changes)'!E40-'BS (Before Changes)'!E40</f>
        <v>0</v>
      </c>
      <c r="F40" s="112">
        <f>'BS (After Changes)'!F40-'BS (Before Changes)'!F40</f>
        <v>0</v>
      </c>
      <c r="G40" s="112">
        <f>'BS (After Changes)'!G40-'BS (Before Changes)'!G40</f>
        <v>0</v>
      </c>
      <c r="H40" s="261">
        <f>'BS (After Changes)'!H40-'BS (Before Changes)'!H40</f>
        <v>0</v>
      </c>
      <c r="I40" s="112">
        <f>'BS (After Changes)'!I40-'BS (Before Changes)'!I40</f>
        <v>0</v>
      </c>
      <c r="J40" s="112">
        <f>'BS (After Changes)'!J40-'BS (Before Changes)'!J40</f>
        <v>0</v>
      </c>
      <c r="K40" s="112">
        <f>'BS (After Changes)'!K40-'BS (Before Changes)'!K40</f>
        <v>0</v>
      </c>
      <c r="L40" s="112">
        <f>'BS (After Changes)'!L40-'BS (Before Changes)'!L40</f>
        <v>0</v>
      </c>
      <c r="M40" s="262">
        <f>'BS (After Changes)'!M40-'BS (Before Changes)'!M40</f>
        <v>0</v>
      </c>
      <c r="N40" s="112">
        <f>'BS (After Changes)'!N40-'BS (Before Changes)'!N40</f>
        <v>0</v>
      </c>
      <c r="O40" s="112">
        <f>'BS (After Changes)'!O40-'BS (Before Changes)'!O40</f>
        <v>0</v>
      </c>
      <c r="P40" s="112">
        <f>'BS (After Changes)'!P40-'BS (Before Changes)'!P40</f>
        <v>0</v>
      </c>
      <c r="Q40" s="112">
        <f>'BS (After Changes)'!Q40-'BS (Before Changes)'!Q40</f>
        <v>0</v>
      </c>
      <c r="R40" s="262">
        <f>'BS (After Changes)'!R40-'BS (Before Changes)'!R40</f>
        <v>0</v>
      </c>
      <c r="S40" s="112">
        <f>'BS (After Changes)'!S40-'BS (Before Changes)'!S40</f>
        <v>0</v>
      </c>
      <c r="T40" s="112">
        <f>'BS (After Changes)'!T40-'BS (Before Changes)'!T40</f>
        <v>0</v>
      </c>
      <c r="U40" s="112">
        <f>'BS (After Changes)'!U40-'BS (Before Changes)'!U40</f>
        <v>0</v>
      </c>
      <c r="V40" s="112">
        <f>'BS (After Changes)'!V40-'BS (Before Changes)'!V40</f>
        <v>0</v>
      </c>
      <c r="W40" s="262">
        <f>'BS (After Changes)'!W40-'BS (Before Changes)'!W40</f>
        <v>0</v>
      </c>
      <c r="X40" s="112">
        <f>'BS (After Changes)'!X40-'BS (Before Changes)'!X40</f>
        <v>0</v>
      </c>
      <c r="Y40" s="112">
        <f>'BS (After Changes)'!Y40-'BS (Before Changes)'!Y40</f>
        <v>0</v>
      </c>
      <c r="Z40" s="112">
        <f>'BS (After Changes)'!Z40-'BS (Before Changes)'!Z40</f>
        <v>0</v>
      </c>
      <c r="AA40" s="112">
        <f>'BS (After Changes)'!AA40-'BS (Before Changes)'!AA40</f>
        <v>0</v>
      </c>
      <c r="AB40" s="262">
        <f>'BS (After Changes)'!AB40-'BS (Before Changes)'!AB40</f>
        <v>0</v>
      </c>
      <c r="AC40" s="112">
        <f>'BS (After Changes)'!AC40-'BS (Before Changes)'!AC40</f>
        <v>0</v>
      </c>
      <c r="AD40" s="112">
        <f>'BS (After Changes)'!AD40-'BS (Before Changes)'!AD40</f>
        <v>0</v>
      </c>
      <c r="AE40" s="112">
        <f>'BS (After Changes)'!AE40-'BS (Before Changes)'!AE40</f>
        <v>0</v>
      </c>
      <c r="AF40" s="112">
        <f>'BS (After Changes)'!AF40-'BS (Before Changes)'!AF40</f>
        <v>0</v>
      </c>
      <c r="AG40" s="262">
        <f>'BS (After Changes)'!AG40-'BS (Before Changes)'!AG40</f>
        <v>0</v>
      </c>
      <c r="AH40" s="112">
        <f>'BS (After Changes)'!AH40-'BS (Before Changes)'!AH40</f>
        <v>0</v>
      </c>
      <c r="AI40" s="112">
        <f>'BS (After Changes)'!AI40-'BS (Before Changes)'!AI40</f>
        <v>0</v>
      </c>
      <c r="AJ40" s="112">
        <f>'BS (After Changes)'!AJ40-'BS (Before Changes)'!AJ40</f>
        <v>0</v>
      </c>
      <c r="AK40" s="112">
        <f>'BS (After Changes)'!AK40-'BS (Before Changes)'!AK40</f>
        <v>0</v>
      </c>
      <c r="AL40" s="262">
        <f>'BS (After Changes)'!AL40-'BS (Before Changes)'!AL40</f>
        <v>0</v>
      </c>
      <c r="AM40" s="112">
        <f>'BS (After Changes)'!AM40-'BS (Before Changes)'!AM40</f>
        <v>0</v>
      </c>
      <c r="AN40" s="112">
        <f>'BS (After Changes)'!AN40-'BS (Before Changes)'!AN40</f>
        <v>0</v>
      </c>
      <c r="AO40" s="112">
        <f>'BS (After Changes)'!AO40-'BS (Before Changes)'!AO40</f>
        <v>0</v>
      </c>
      <c r="AP40" s="112">
        <f>'BS (After Changes)'!AP40-'BS (Before Changes)'!AP40</f>
        <v>0</v>
      </c>
      <c r="AQ40" s="262">
        <f>'BS (After Changes)'!AQ40-'BS (Before Changes)'!AQ40</f>
        <v>0</v>
      </c>
      <c r="AR40" s="112">
        <f>'BS (After Changes)'!AR40-'BS (Before Changes)'!AR40</f>
        <v>0</v>
      </c>
      <c r="AS40" s="112">
        <f>'BS (After Changes)'!AS40-'BS (Before Changes)'!AS40</f>
        <v>0</v>
      </c>
      <c r="AT40" s="112">
        <f>'BS (After Changes)'!AT40-'BS (Before Changes)'!AT40</f>
        <v>0</v>
      </c>
      <c r="AU40" s="112">
        <f>'BS (After Changes)'!AU40-'BS (Before Changes)'!AU40</f>
        <v>0</v>
      </c>
      <c r="AV40" s="262">
        <f>'BS (After Changes)'!AV40-'BS (Before Changes)'!AV40</f>
        <v>0</v>
      </c>
    </row>
    <row r="41" spans="1:48" outlineLevel="1" x14ac:dyDescent="0.3">
      <c r="B41" s="525" t="s">
        <v>247</v>
      </c>
      <c r="C41" s="526"/>
      <c r="D41" s="21">
        <f>'BS (After Changes)'!D41-'BS (Before Changes)'!D41</f>
        <v>0</v>
      </c>
      <c r="E41" s="21">
        <f>'BS (After Changes)'!E41-'BS (Before Changes)'!E41</f>
        <v>0</v>
      </c>
      <c r="F41" s="21">
        <f>'BS (After Changes)'!F41-'BS (Before Changes)'!F41</f>
        <v>0</v>
      </c>
      <c r="G41" s="21">
        <f>'BS (After Changes)'!G41-'BS (Before Changes)'!G41</f>
        <v>0</v>
      </c>
      <c r="H41" s="22">
        <f>'BS (After Changes)'!H41-'BS (Before Changes)'!H41</f>
        <v>0</v>
      </c>
      <c r="I41" s="21">
        <f>'BS (After Changes)'!I41-'BS (Before Changes)'!I41</f>
        <v>0</v>
      </c>
      <c r="J41" s="21">
        <f>'BS (After Changes)'!J41-'BS (Before Changes)'!J41</f>
        <v>0</v>
      </c>
      <c r="K41" s="21">
        <f>'BS (After Changes)'!K41-'BS (Before Changes)'!K41</f>
        <v>0</v>
      </c>
      <c r="L41" s="21">
        <f>'BS (After Changes)'!L41-'BS (Before Changes)'!L41</f>
        <v>0</v>
      </c>
      <c r="M41" s="22">
        <f>'BS (After Changes)'!M41-'BS (Before Changes)'!M41</f>
        <v>0</v>
      </c>
      <c r="N41" s="21">
        <f>'BS (After Changes)'!N41-'BS (Before Changes)'!N41</f>
        <v>0</v>
      </c>
      <c r="O41" s="21">
        <f>'BS (After Changes)'!O41-'BS (Before Changes)'!O41</f>
        <v>0</v>
      </c>
      <c r="P41" s="21">
        <f>'BS (After Changes)'!P41-'BS (Before Changes)'!P41</f>
        <v>0</v>
      </c>
      <c r="Q41" s="21">
        <f>'BS (After Changes)'!Q41-'BS (Before Changes)'!Q41</f>
        <v>0</v>
      </c>
      <c r="R41" s="22">
        <f>'BS (After Changes)'!R41-'BS (Before Changes)'!R41</f>
        <v>0</v>
      </c>
      <c r="S41" s="21">
        <f>'BS (After Changes)'!S41-'BS (Before Changes)'!S41</f>
        <v>0</v>
      </c>
      <c r="T41" s="21">
        <f>'BS (After Changes)'!T41-'BS (Before Changes)'!T41</f>
        <v>0</v>
      </c>
      <c r="U41" s="21">
        <f>'BS (After Changes)'!U41-'BS (Before Changes)'!U41</f>
        <v>0</v>
      </c>
      <c r="V41" s="21">
        <f>'BS (After Changes)'!V41-'BS (Before Changes)'!V41</f>
        <v>0</v>
      </c>
      <c r="W41" s="22">
        <f>'BS (After Changes)'!W41-'BS (Before Changes)'!W41</f>
        <v>0</v>
      </c>
      <c r="X41" s="21">
        <f>'BS (After Changes)'!X41-'BS (Before Changes)'!X41</f>
        <v>8.347871915630094</v>
      </c>
      <c r="Y41" s="21">
        <f>'BS (After Changes)'!Y41-'BS (Before Changes)'!Y41</f>
        <v>-17.337279538487564</v>
      </c>
      <c r="Z41" s="21">
        <f>'BS (After Changes)'!Z41-'BS (Before Changes)'!Z41</f>
        <v>7.5580597943608154</v>
      </c>
      <c r="AA41" s="21">
        <f>'BS (After Changes)'!AA41-'BS (Before Changes)'!AA41</f>
        <v>-78.603614419214864</v>
      </c>
      <c r="AB41" s="22">
        <f>'BS (After Changes)'!AB41-'BS (Before Changes)'!AB41</f>
        <v>-78.603614419214864</v>
      </c>
      <c r="AC41" s="21">
        <f>'BS (After Changes)'!AC41-'BS (Before Changes)'!AC41</f>
        <v>-61.484826134759714</v>
      </c>
      <c r="AD41" s="21">
        <f>'BS (After Changes)'!AD41-'BS (Before Changes)'!AD41</f>
        <v>2.7765581179091896</v>
      </c>
      <c r="AE41" s="21">
        <f>'BS (After Changes)'!AE41-'BS (Before Changes)'!AE41</f>
        <v>134.52003248030724</v>
      </c>
      <c r="AF41" s="21">
        <f>'BS (After Changes)'!AF41-'BS (Before Changes)'!AF41</f>
        <v>259.93596024834551</v>
      </c>
      <c r="AG41" s="22">
        <f>'BS (After Changes)'!AG41-'BS (Before Changes)'!AG41</f>
        <v>259.93596024834551</v>
      </c>
      <c r="AH41" s="21">
        <f>'BS (After Changes)'!AH41-'BS (Before Changes)'!AH41</f>
        <v>290.75013359840477</v>
      </c>
      <c r="AI41" s="21">
        <f>'BS (After Changes)'!AI41-'BS (Before Changes)'!AI41</f>
        <v>372.38744233460511</v>
      </c>
      <c r="AJ41" s="21">
        <f>'BS (After Changes)'!AJ41-'BS (Before Changes)'!AJ41</f>
        <v>531.53143404911589</v>
      </c>
      <c r="AK41" s="21">
        <f>'BS (After Changes)'!AK41-'BS (Before Changes)'!AK41</f>
        <v>683.29372045140917</v>
      </c>
      <c r="AL41" s="22">
        <f>'BS (After Changes)'!AL41-'BS (Before Changes)'!AL41</f>
        <v>683.29372045140917</v>
      </c>
      <c r="AM41" s="21">
        <f>'BS (After Changes)'!AM41-'BS (Before Changes)'!AM41</f>
        <v>717.93310244423265</v>
      </c>
      <c r="AN41" s="21">
        <f>'BS (After Changes)'!AN41-'BS (Before Changes)'!AN41</f>
        <v>807.85304442606321</v>
      </c>
      <c r="AO41" s="21">
        <f>'BS (After Changes)'!AO41-'BS (Before Changes)'!AO41</f>
        <v>981.99415641199084</v>
      </c>
      <c r="AP41" s="21">
        <f>'BS (After Changes)'!AP41-'BS (Before Changes)'!AP41</f>
        <v>1148.2786417841944</v>
      </c>
      <c r="AQ41" s="22">
        <f>'BS (After Changes)'!AQ41-'BS (Before Changes)'!AQ41</f>
        <v>1148.2786417841944</v>
      </c>
      <c r="AR41" s="21">
        <f>'BS (After Changes)'!AR41-'BS (Before Changes)'!AR41</f>
        <v>1186.7557312925674</v>
      </c>
      <c r="AS41" s="21">
        <f>'BS (After Changes)'!AS41-'BS (Before Changes)'!AS41</f>
        <v>1284.1283230073068</v>
      </c>
      <c r="AT41" s="21">
        <f>'BS (After Changes)'!AT41-'BS (Before Changes)'!AT41</f>
        <v>1471.2280688644214</v>
      </c>
      <c r="AU41" s="21">
        <f>'BS (After Changes)'!AU41-'BS (Before Changes)'!AU41</f>
        <v>1649.9980074586538</v>
      </c>
      <c r="AV41" s="22">
        <f>'BS (After Changes)'!AV41-'BS (Before Changes)'!AV41</f>
        <v>1649.9980074586538</v>
      </c>
    </row>
    <row r="42" spans="1:48" outlineLevel="1" x14ac:dyDescent="0.3">
      <c r="B42" s="523" t="s">
        <v>248</v>
      </c>
      <c r="C42" s="524"/>
      <c r="D42" s="267">
        <f>'BS (After Changes)'!D42-'BS (Before Changes)'!D42</f>
        <v>0</v>
      </c>
      <c r="E42" s="267">
        <f>'BS (After Changes)'!E42-'BS (Before Changes)'!E42</f>
        <v>0</v>
      </c>
      <c r="F42" s="267">
        <f>'BS (After Changes)'!F42-'BS (Before Changes)'!F42</f>
        <v>0</v>
      </c>
      <c r="G42" s="267">
        <f>'BS (After Changes)'!G42-'BS (Before Changes)'!G42</f>
        <v>0</v>
      </c>
      <c r="H42" s="268">
        <f>'BS (After Changes)'!H42-'BS (Before Changes)'!H42</f>
        <v>0</v>
      </c>
      <c r="I42" s="267">
        <f>'BS (After Changes)'!I42-'BS (Before Changes)'!I42</f>
        <v>0</v>
      </c>
      <c r="J42" s="267">
        <f>'BS (After Changes)'!J42-'BS (Before Changes)'!J42</f>
        <v>0</v>
      </c>
      <c r="K42" s="267">
        <f>'BS (After Changes)'!K42-'BS (Before Changes)'!K42</f>
        <v>0</v>
      </c>
      <c r="L42" s="267">
        <f>'BS (After Changes)'!L42-'BS (Before Changes)'!L42</f>
        <v>0</v>
      </c>
      <c r="M42" s="268">
        <f>'BS (After Changes)'!M42-'BS (Before Changes)'!M42</f>
        <v>0</v>
      </c>
      <c r="N42" s="267">
        <f>'BS (After Changes)'!N42-'BS (Before Changes)'!N42</f>
        <v>0</v>
      </c>
      <c r="O42" s="267">
        <f>'BS (After Changes)'!O42-'BS (Before Changes)'!O42</f>
        <v>0</v>
      </c>
      <c r="P42" s="267">
        <f>'BS (After Changes)'!P42-'BS (Before Changes)'!P42</f>
        <v>0</v>
      </c>
      <c r="Q42" s="267">
        <f>'BS (After Changes)'!Q42-'BS (Before Changes)'!Q42</f>
        <v>0</v>
      </c>
      <c r="R42" s="268">
        <f>'BS (After Changes)'!R42-'BS (Before Changes)'!R42</f>
        <v>0</v>
      </c>
      <c r="S42" s="267">
        <f>'BS (After Changes)'!S42-'BS (Before Changes)'!S42</f>
        <v>0</v>
      </c>
      <c r="T42" s="267">
        <f>'BS (After Changes)'!T42-'BS (Before Changes)'!T42</f>
        <v>0</v>
      </c>
      <c r="U42" s="267">
        <f>'BS (After Changes)'!U42-'BS (Before Changes)'!U42</f>
        <v>0</v>
      </c>
      <c r="V42" s="267">
        <f>'BS (After Changes)'!V42-'BS (Before Changes)'!V42</f>
        <v>0</v>
      </c>
      <c r="W42" s="268">
        <f>'BS (After Changes)'!W42-'BS (Before Changes)'!W42</f>
        <v>0</v>
      </c>
      <c r="X42" s="267">
        <f>'BS (After Changes)'!X42-'BS (Before Changes)'!X42</f>
        <v>10.945698941573937</v>
      </c>
      <c r="Y42" s="267">
        <f>'BS (After Changes)'!Y42-'BS (Before Changes)'!Y42</f>
        <v>0.95253236209100578</v>
      </c>
      <c r="Z42" s="267">
        <f>'BS (After Changes)'!Z42-'BS (Before Changes)'!Z42</f>
        <v>46.905888650220732</v>
      </c>
      <c r="AA42" s="267">
        <f>'BS (After Changes)'!AA42-'BS (Before Changes)'!AA42</f>
        <v>9.2933413550781552E-2</v>
      </c>
      <c r="AB42" s="268">
        <f>'BS (After Changes)'!AB42-'BS (Before Changes)'!AB42</f>
        <v>9.2933413550781552E-2</v>
      </c>
      <c r="AC42" s="267">
        <f>'BS (After Changes)'!AC42-'BS (Before Changes)'!AC42</f>
        <v>-56.145980368721212</v>
      </c>
      <c r="AD42" s="267">
        <f>'BS (After Changes)'!AD42-'BS (Before Changes)'!AD42</f>
        <v>-5.6392565489113622</v>
      </c>
      <c r="AE42" s="267">
        <f>'BS (After Changes)'!AE42-'BS (Before Changes)'!AE42</f>
        <v>143.63596884780418</v>
      </c>
      <c r="AF42" s="267">
        <f>'BS (After Changes)'!AF42-'BS (Before Changes)'!AF42</f>
        <v>274.36221463313996</v>
      </c>
      <c r="AG42" s="268">
        <f>'BS (After Changes)'!AG42-'BS (Before Changes)'!AG42</f>
        <v>274.36221463313996</v>
      </c>
      <c r="AH42" s="267">
        <f>'BS (After Changes)'!AH42-'BS (Before Changes)'!AH42</f>
        <v>299.48632094340428</v>
      </c>
      <c r="AI42" s="267">
        <f>'BS (After Changes)'!AI42-'BS (Before Changes)'!AI42</f>
        <v>365.94031677050953</v>
      </c>
      <c r="AJ42" s="267">
        <f>'BS (After Changes)'!AJ42-'BS (Before Changes)'!AJ42</f>
        <v>545.01416695422813</v>
      </c>
      <c r="AK42" s="267">
        <f>'BS (After Changes)'!AK42-'BS (Before Changes)'!AK42</f>
        <v>702.54628724888607</v>
      </c>
      <c r="AL42" s="268">
        <f>'BS (After Changes)'!AL42-'BS (Before Changes)'!AL42</f>
        <v>702.54628724888607</v>
      </c>
      <c r="AM42" s="267">
        <f>'BS (After Changes)'!AM42-'BS (Before Changes)'!AM42</f>
        <v>727.37548765576139</v>
      </c>
      <c r="AN42" s="267">
        <f>'BS (After Changes)'!AN42-'BS (Before Changes)'!AN42</f>
        <v>800.90329901752557</v>
      </c>
      <c r="AO42" s="267">
        <f>'BS (After Changes)'!AO42-'BS (Before Changes)'!AO42</f>
        <v>996.51380951145984</v>
      </c>
      <c r="AP42" s="267">
        <f>'BS (After Changes)'!AP42-'BS (Before Changes)'!AP42</f>
        <v>1169.0000939222809</v>
      </c>
      <c r="AQ42" s="268">
        <f>'BS (After Changes)'!AQ42-'BS (Before Changes)'!AQ42</f>
        <v>1169.0000939222809</v>
      </c>
      <c r="AR42" s="267">
        <f>'BS (After Changes)'!AR42-'BS (Before Changes)'!AR42</f>
        <v>1196.8526265059118</v>
      </c>
      <c r="AS42" s="267">
        <f>'BS (After Changes)'!AS42-'BS (Before Changes)'!AS42</f>
        <v>1276.7473461382688</v>
      </c>
      <c r="AT42" s="267">
        <f>'BS (After Changes)'!AT42-'BS (Before Changes)'!AT42</f>
        <v>1486.720883016802</v>
      </c>
      <c r="AU42" s="267">
        <f>'BS (After Changes)'!AU42-'BS (Before Changes)'!AU42</f>
        <v>1672.13639653266</v>
      </c>
      <c r="AV42" s="268">
        <f>'BS (After Changes)'!AV42-'BS (Before Changes)'!AV42</f>
        <v>1672.13639653266</v>
      </c>
    </row>
    <row r="43" spans="1:48" x14ac:dyDescent="0.3">
      <c r="B43" s="269"/>
      <c r="C43" s="270"/>
      <c r="D43" s="271">
        <f>'BS (After Changes)'!D43-'BS (Before Changes)'!D43</f>
        <v>0</v>
      </c>
      <c r="E43" s="271">
        <f>'BS (After Changes)'!E43-'BS (Before Changes)'!E43</f>
        <v>0</v>
      </c>
      <c r="F43" s="271">
        <f>'BS (After Changes)'!F43-'BS (Before Changes)'!F43</f>
        <v>0</v>
      </c>
      <c r="G43" s="271">
        <f>'BS (After Changes)'!G43-'BS (Before Changes)'!G43</f>
        <v>0</v>
      </c>
      <c r="H43" s="271">
        <f>'BS (After Changes)'!H43-'BS (Before Changes)'!H43</f>
        <v>0</v>
      </c>
      <c r="I43" s="271">
        <f>'BS (After Changes)'!I43-'BS (Before Changes)'!I43</f>
        <v>0</v>
      </c>
      <c r="J43" s="271">
        <f>'BS (After Changes)'!J43-'BS (Before Changes)'!J43</f>
        <v>0</v>
      </c>
      <c r="K43" s="271">
        <f>'BS (After Changes)'!K43-'BS (Before Changes)'!K43</f>
        <v>0</v>
      </c>
      <c r="L43" s="272">
        <f>'BS (After Changes)'!L43-'BS (Before Changes)'!L43</f>
        <v>0</v>
      </c>
      <c r="M43" s="272">
        <f>'BS (After Changes)'!M43-'BS (Before Changes)'!M43</f>
        <v>0</v>
      </c>
      <c r="N43" s="272">
        <f>'BS (After Changes)'!N43-'BS (Before Changes)'!N43</f>
        <v>0</v>
      </c>
      <c r="O43" s="272">
        <f>'BS (After Changes)'!O43-'BS (Before Changes)'!O43</f>
        <v>0</v>
      </c>
      <c r="P43" s="272">
        <f>'BS (After Changes)'!P43-'BS (Before Changes)'!P43</f>
        <v>0</v>
      </c>
      <c r="Q43" s="272">
        <f>'BS (After Changes)'!Q43-'BS (Before Changes)'!Q43</f>
        <v>0</v>
      </c>
      <c r="R43" s="272">
        <f>'BS (After Changes)'!R43-'BS (Before Changes)'!R43</f>
        <v>0</v>
      </c>
      <c r="S43" s="272">
        <f>'BS (After Changes)'!S43-'BS (Before Changes)'!S43</f>
        <v>0</v>
      </c>
      <c r="T43" s="272">
        <f>'BS (After Changes)'!T43-'BS (Before Changes)'!T43</f>
        <v>0</v>
      </c>
      <c r="U43" s="272">
        <f>'BS (After Changes)'!U43-'BS (Before Changes)'!U43</f>
        <v>0</v>
      </c>
      <c r="V43" s="272">
        <f>'BS (After Changes)'!V43-'BS (Before Changes)'!V43</f>
        <v>0</v>
      </c>
      <c r="W43" s="272">
        <f>'BS (After Changes)'!W43-'BS (Before Changes)'!W43</f>
        <v>0</v>
      </c>
      <c r="X43" s="272">
        <f>'BS (After Changes)'!X43-'BS (Before Changes)'!X43</f>
        <v>0</v>
      </c>
      <c r="Y43" s="272">
        <f>'BS (After Changes)'!Y43-'BS (Before Changes)'!Y43</f>
        <v>0</v>
      </c>
      <c r="Z43" s="272">
        <f>'BS (After Changes)'!Z43-'BS (Before Changes)'!Z43</f>
        <v>0</v>
      </c>
      <c r="AA43" s="272">
        <f>'BS (After Changes)'!AA43-'BS (Before Changes)'!AA43</f>
        <v>0</v>
      </c>
      <c r="AB43" s="272">
        <f>'BS (After Changes)'!AB43-'BS (Before Changes)'!AB43</f>
        <v>0</v>
      </c>
      <c r="AC43" s="272">
        <f>'BS (After Changes)'!AC43-'BS (Before Changes)'!AC43</f>
        <v>0</v>
      </c>
      <c r="AD43" s="272">
        <f>'BS (After Changes)'!AD43-'BS (Before Changes)'!AD43</f>
        <v>0</v>
      </c>
      <c r="AE43" s="272">
        <f>'BS (After Changes)'!AE43-'BS (Before Changes)'!AE43</f>
        <v>0</v>
      </c>
      <c r="AF43" s="272">
        <f>'BS (After Changes)'!AF43-'BS (Before Changes)'!AF43</f>
        <v>0</v>
      </c>
      <c r="AG43" s="272">
        <f>'BS (After Changes)'!AG43-'BS (Before Changes)'!AG43</f>
        <v>0</v>
      </c>
      <c r="AH43" s="272">
        <f>'BS (After Changes)'!AH43-'BS (Before Changes)'!AH43</f>
        <v>0</v>
      </c>
      <c r="AI43" s="272">
        <f>'BS (After Changes)'!AI43-'BS (Before Changes)'!AI43</f>
        <v>0</v>
      </c>
      <c r="AJ43" s="272">
        <f>'BS (After Changes)'!AJ43-'BS (Before Changes)'!AJ43</f>
        <v>0</v>
      </c>
      <c r="AK43" s="272">
        <f>'BS (After Changes)'!AK43-'BS (Before Changes)'!AK43</f>
        <v>0</v>
      </c>
      <c r="AL43" s="272">
        <f>'BS (After Changes)'!AL43-'BS (Before Changes)'!AL43</f>
        <v>0</v>
      </c>
      <c r="AM43" s="272">
        <f>'BS (After Changes)'!AM43-'BS (Before Changes)'!AM43</f>
        <v>0</v>
      </c>
      <c r="AN43" s="272">
        <f>'BS (After Changes)'!AN43-'BS (Before Changes)'!AN43</f>
        <v>0</v>
      </c>
      <c r="AO43" s="272">
        <f>'BS (After Changes)'!AO43-'BS (Before Changes)'!AO43</f>
        <v>0</v>
      </c>
      <c r="AP43" s="272">
        <f>'BS (After Changes)'!AP43-'BS (Before Changes)'!AP43</f>
        <v>0</v>
      </c>
      <c r="AQ43" s="272">
        <f>'BS (After Changes)'!AQ43-'BS (Before Changes)'!AQ43</f>
        <v>0</v>
      </c>
      <c r="AR43" s="272">
        <f>'BS (After Changes)'!AR43-'BS (Before Changes)'!AR43</f>
        <v>0</v>
      </c>
      <c r="AS43" s="272">
        <f>'BS (After Changes)'!AS43-'BS (Before Changes)'!AS43</f>
        <v>0</v>
      </c>
      <c r="AT43" s="272">
        <f>'BS (After Changes)'!AT43-'BS (Before Changes)'!AT43</f>
        <v>0</v>
      </c>
      <c r="AU43" s="272">
        <f>'BS (After Changes)'!AU43-'BS (Before Changes)'!AU43</f>
        <v>0</v>
      </c>
      <c r="AV43" s="272">
        <f>'BS (After Changes)'!AV43-'BS (Before Changes)'!AV43</f>
        <v>0</v>
      </c>
    </row>
    <row r="44" spans="1:48" ht="15.6" x14ac:dyDescent="0.3">
      <c r="B44" s="494" t="s">
        <v>249</v>
      </c>
      <c r="C44" s="495"/>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12"/>
      <c r="C45" s="513"/>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'BS (After Changes)'!D46-'BS (Before Changes)'!D46</f>
        <v>0</v>
      </c>
      <c r="E46" s="274">
        <f>'BS (After Changes)'!E46-'BS (Before Changes)'!E46</f>
        <v>0</v>
      </c>
      <c r="F46" s="274">
        <f>'BS (After Changes)'!F46-'BS (Before Changes)'!F46</f>
        <v>0</v>
      </c>
      <c r="G46" s="274">
        <f>'BS (After Changes)'!G46-'BS (Before Changes)'!G46</f>
        <v>0</v>
      </c>
      <c r="H46" s="122">
        <f>'BS (After Changes)'!H46-'BS (Before Changes)'!H46</f>
        <v>0</v>
      </c>
      <c r="I46" s="274">
        <f>'BS (After Changes)'!I46-'BS (Before Changes)'!I46</f>
        <v>0</v>
      </c>
      <c r="J46" s="274">
        <f>'BS (After Changes)'!J46-'BS (Before Changes)'!J46</f>
        <v>0</v>
      </c>
      <c r="K46" s="274">
        <f>'BS (After Changes)'!K46-'BS (Before Changes)'!K46</f>
        <v>0</v>
      </c>
      <c r="L46" s="274">
        <f>'BS (After Changes)'!L46-'BS (Before Changes)'!L46</f>
        <v>0</v>
      </c>
      <c r="M46" s="122">
        <f>'BS (After Changes)'!M46-'BS (Before Changes)'!M46</f>
        <v>0</v>
      </c>
      <c r="N46" s="274">
        <f>'BS (After Changes)'!N46-'BS (Before Changes)'!N46</f>
        <v>0</v>
      </c>
      <c r="O46" s="274">
        <f>'BS (After Changes)'!O46-'BS (Before Changes)'!O46</f>
        <v>0</v>
      </c>
      <c r="P46" s="274">
        <f>'BS (After Changes)'!P46-'BS (Before Changes)'!P46</f>
        <v>0</v>
      </c>
      <c r="Q46" s="274">
        <f>'BS (After Changes)'!Q46-'BS (Before Changes)'!Q46</f>
        <v>0</v>
      </c>
      <c r="R46" s="122">
        <f>'BS (After Changes)'!R46-'BS (Before Changes)'!R46</f>
        <v>0</v>
      </c>
      <c r="S46" s="274">
        <f>'BS (After Changes)'!S46-'BS (Before Changes)'!S46</f>
        <v>0</v>
      </c>
      <c r="T46" s="274">
        <f>'BS (After Changes)'!T46-'BS (Before Changes)'!T46</f>
        <v>0</v>
      </c>
      <c r="U46" s="274">
        <f>'BS (After Changes)'!U46-'BS (Before Changes)'!U46</f>
        <v>0</v>
      </c>
      <c r="V46" s="274">
        <f>'BS (After Changes)'!V46-'BS (Before Changes)'!V46</f>
        <v>0</v>
      </c>
      <c r="W46" s="122">
        <f>'BS (After Changes)'!W46-'BS (Before Changes)'!W46</f>
        <v>0</v>
      </c>
      <c r="X46" s="274">
        <f>'BS (After Changes)'!X46-'BS (Before Changes)'!X46</f>
        <v>0</v>
      </c>
      <c r="Y46" s="274">
        <f>'BS (After Changes)'!Y46-'BS (Before Changes)'!Y46</f>
        <v>0</v>
      </c>
      <c r="Z46" s="274">
        <f>'BS (After Changes)'!Z46-'BS (Before Changes)'!Z46</f>
        <v>0</v>
      </c>
      <c r="AA46" s="274">
        <f>'BS (After Changes)'!AA46-'BS (Before Changes)'!AA46</f>
        <v>0</v>
      </c>
      <c r="AB46" s="122">
        <f>'BS (After Changes)'!AB46-'BS (Before Changes)'!AB46</f>
        <v>0</v>
      </c>
      <c r="AC46" s="274">
        <f>'BS (After Changes)'!AC46-'BS (Before Changes)'!AC46</f>
        <v>0</v>
      </c>
      <c r="AD46" s="274">
        <f>'BS (After Changes)'!AD46-'BS (Before Changes)'!AD46</f>
        <v>0</v>
      </c>
      <c r="AE46" s="274">
        <f>'BS (After Changes)'!AE46-'BS (Before Changes)'!AE46</f>
        <v>0</v>
      </c>
      <c r="AF46" s="274">
        <f>'BS (After Changes)'!AF46-'BS (Before Changes)'!AF46</f>
        <v>0</v>
      </c>
      <c r="AG46" s="122">
        <f>'BS (After Changes)'!AG46-'BS (Before Changes)'!AG46</f>
        <v>0</v>
      </c>
      <c r="AH46" s="274">
        <f>'BS (After Changes)'!AH46-'BS (Before Changes)'!AH46</f>
        <v>0</v>
      </c>
      <c r="AI46" s="274">
        <f>'BS (After Changes)'!AI46-'BS (Before Changes)'!AI46</f>
        <v>0</v>
      </c>
      <c r="AJ46" s="274">
        <f>'BS (After Changes)'!AJ46-'BS (Before Changes)'!AJ46</f>
        <v>0</v>
      </c>
      <c r="AK46" s="274">
        <f>'BS (After Changes)'!AK46-'BS (Before Changes)'!AK46</f>
        <v>0</v>
      </c>
      <c r="AL46" s="122">
        <f>'BS (After Changes)'!AL46-'BS (Before Changes)'!AL46</f>
        <v>0</v>
      </c>
      <c r="AM46" s="274">
        <f>'BS (After Changes)'!AM46-'BS (Before Changes)'!AM46</f>
        <v>0</v>
      </c>
      <c r="AN46" s="274">
        <f>'BS (After Changes)'!AN46-'BS (Before Changes)'!AN46</f>
        <v>0</v>
      </c>
      <c r="AO46" s="274">
        <f>'BS (After Changes)'!AO46-'BS (Before Changes)'!AO46</f>
        <v>0</v>
      </c>
      <c r="AP46" s="274">
        <f>'BS (After Changes)'!AP46-'BS (Before Changes)'!AP46</f>
        <v>0</v>
      </c>
      <c r="AQ46" s="122">
        <f>'BS (After Changes)'!AQ46-'BS (Before Changes)'!AQ46</f>
        <v>0</v>
      </c>
      <c r="AR46" s="274">
        <f>'BS (After Changes)'!AR46-'BS (Before Changes)'!AR46</f>
        <v>0</v>
      </c>
      <c r="AS46" s="274">
        <f>'BS (After Changes)'!AS46-'BS (Before Changes)'!AS46</f>
        <v>0</v>
      </c>
      <c r="AT46" s="274">
        <f>'BS (After Changes)'!AT46-'BS (Before Changes)'!AT46</f>
        <v>0</v>
      </c>
      <c r="AU46" s="274">
        <f>'BS (After Changes)'!AU46-'BS (Before Changes)'!AU46</f>
        <v>0</v>
      </c>
      <c r="AV46" s="122">
        <f>'BS (After Changes)'!AV46-'BS (Before Changes)'!AV46</f>
        <v>0</v>
      </c>
    </row>
    <row r="47" spans="1:48" outlineLevel="1" x14ac:dyDescent="0.3">
      <c r="B47" s="486" t="s">
        <v>251</v>
      </c>
      <c r="C47" s="487"/>
      <c r="D47" s="276">
        <f>'BS (After Changes)'!D47-'BS (Before Changes)'!D47</f>
        <v>0</v>
      </c>
      <c r="E47" s="276">
        <f>'BS (After Changes)'!E47-'BS (Before Changes)'!E47</f>
        <v>0</v>
      </c>
      <c r="F47" s="276">
        <f>'BS (After Changes)'!F47-'BS (Before Changes)'!F47</f>
        <v>0</v>
      </c>
      <c r="G47" s="276">
        <f>'BS (After Changes)'!G47-'BS (Before Changes)'!G47</f>
        <v>0</v>
      </c>
      <c r="H47" s="126">
        <f>'BS (After Changes)'!H47-'BS (Before Changes)'!H47</f>
        <v>0</v>
      </c>
      <c r="I47" s="276">
        <f>'BS (After Changes)'!I47-'BS (Before Changes)'!I47</f>
        <v>0</v>
      </c>
      <c r="J47" s="276">
        <f>'BS (After Changes)'!J47-'BS (Before Changes)'!J47</f>
        <v>0</v>
      </c>
      <c r="K47" s="276">
        <f>'BS (After Changes)'!K47-'BS (Before Changes)'!K47</f>
        <v>0</v>
      </c>
      <c r="L47" s="276">
        <f>'BS (After Changes)'!L47-'BS (Before Changes)'!L47</f>
        <v>0</v>
      </c>
      <c r="M47" s="31">
        <f>'BS (After Changes)'!M47-'BS (Before Changes)'!M47</f>
        <v>0</v>
      </c>
      <c r="N47" s="276">
        <f>'BS (After Changes)'!N47-'BS (Before Changes)'!N47</f>
        <v>0</v>
      </c>
      <c r="O47" s="276">
        <f>'BS (After Changes)'!O47-'BS (Before Changes)'!O47</f>
        <v>0</v>
      </c>
      <c r="P47" s="276">
        <f>'BS (After Changes)'!P47-'BS (Before Changes)'!P47</f>
        <v>0</v>
      </c>
      <c r="Q47" s="276">
        <f>'BS (After Changes)'!Q47-'BS (Before Changes)'!Q47</f>
        <v>0</v>
      </c>
      <c r="R47" s="31">
        <f>'BS (After Changes)'!R47-'BS (Before Changes)'!R47</f>
        <v>0</v>
      </c>
      <c r="S47" s="276">
        <f>'BS (After Changes)'!S47-'BS (Before Changes)'!S47</f>
        <v>0</v>
      </c>
      <c r="T47" s="276">
        <f>'BS (After Changes)'!T47-'BS (Before Changes)'!T47</f>
        <v>0</v>
      </c>
      <c r="U47" s="276">
        <f>'BS (After Changes)'!U47-'BS (Before Changes)'!U47</f>
        <v>0</v>
      </c>
      <c r="V47" s="276">
        <f>'BS (After Changes)'!V47-'BS (Before Changes)'!V47</f>
        <v>0</v>
      </c>
      <c r="W47" s="126">
        <f>'BS (After Changes)'!W47-'BS (Before Changes)'!W47</f>
        <v>0</v>
      </c>
      <c r="X47" s="277">
        <f>'BS (After Changes)'!X47-'BS (Before Changes)'!X47</f>
        <v>0</v>
      </c>
      <c r="Y47" s="277">
        <f>'BS (After Changes)'!Y47-'BS (Before Changes)'!Y47</f>
        <v>0</v>
      </c>
      <c r="Z47" s="277">
        <f>'BS (After Changes)'!Z47-'BS (Before Changes)'!Z47</f>
        <v>0</v>
      </c>
      <c r="AA47" s="277">
        <f>'BS (After Changes)'!AA47-'BS (Before Changes)'!AA47</f>
        <v>0</v>
      </c>
      <c r="AB47" s="278">
        <f>'BS (After Changes)'!AB47-'BS (Before Changes)'!AB47</f>
        <v>0</v>
      </c>
      <c r="AC47" s="277">
        <f>'BS (After Changes)'!AC47-'BS (Before Changes)'!AC47</f>
        <v>0</v>
      </c>
      <c r="AD47" s="277">
        <f>'BS (After Changes)'!AD47-'BS (Before Changes)'!AD47</f>
        <v>0</v>
      </c>
      <c r="AE47" s="277">
        <f>'BS (After Changes)'!AE47-'BS (Before Changes)'!AE47</f>
        <v>0</v>
      </c>
      <c r="AF47" s="277">
        <f>'BS (After Changes)'!AF47-'BS (Before Changes)'!AF47</f>
        <v>0</v>
      </c>
      <c r="AG47" s="278">
        <f>'BS (After Changes)'!AG47-'BS (Before Changes)'!AG47</f>
        <v>0</v>
      </c>
      <c r="AH47" s="277">
        <f>'BS (After Changes)'!AH47-'BS (Before Changes)'!AH47</f>
        <v>0</v>
      </c>
      <c r="AI47" s="277">
        <f>'BS (After Changes)'!AI47-'BS (Before Changes)'!AI47</f>
        <v>0</v>
      </c>
      <c r="AJ47" s="277">
        <f>'BS (After Changes)'!AJ47-'BS (Before Changes)'!AJ47</f>
        <v>0</v>
      </c>
      <c r="AK47" s="277">
        <f>'BS (After Changes)'!AK47-'BS (Before Changes)'!AK47</f>
        <v>0</v>
      </c>
      <c r="AL47" s="278">
        <f>'BS (After Changes)'!AL47-'BS (Before Changes)'!AL47</f>
        <v>0</v>
      </c>
      <c r="AM47" s="277">
        <f>'BS (After Changes)'!AM47-'BS (Before Changes)'!AM47</f>
        <v>0</v>
      </c>
      <c r="AN47" s="277">
        <f>'BS (After Changes)'!AN47-'BS (Before Changes)'!AN47</f>
        <v>0</v>
      </c>
      <c r="AO47" s="277">
        <f>'BS (After Changes)'!AO47-'BS (Before Changes)'!AO47</f>
        <v>0</v>
      </c>
      <c r="AP47" s="277">
        <f>'BS (After Changes)'!AP47-'BS (Before Changes)'!AP47</f>
        <v>0</v>
      </c>
      <c r="AQ47" s="278">
        <f>'BS (After Changes)'!AQ47-'BS (Before Changes)'!AQ47</f>
        <v>0</v>
      </c>
      <c r="AR47" s="277">
        <f>'BS (After Changes)'!AR47-'BS (Before Changes)'!AR47</f>
        <v>0</v>
      </c>
      <c r="AS47" s="277">
        <f>'BS (After Changes)'!AS47-'BS (Before Changes)'!AS47</f>
        <v>0</v>
      </c>
      <c r="AT47" s="277">
        <f>'BS (After Changes)'!AT47-'BS (Before Changes)'!AT47</f>
        <v>0</v>
      </c>
      <c r="AU47" s="277">
        <f>'BS (After Changes)'!AU47-'BS (Before Changes)'!AU47</f>
        <v>0</v>
      </c>
      <c r="AV47" s="278">
        <f>'BS (After Changes)'!AV47-'BS (Before Changes)'!AV47</f>
        <v>0</v>
      </c>
    </row>
    <row r="48" spans="1:48" s="23" customFormat="1" outlineLevel="1" x14ac:dyDescent="0.3">
      <c r="B48" s="504" t="s">
        <v>252</v>
      </c>
      <c r="C48" s="505"/>
      <c r="D48" s="279">
        <f>'BS (After Changes)'!D48-'BS (Before Changes)'!D48</f>
        <v>0</v>
      </c>
      <c r="E48" s="279">
        <f>'BS (After Changes)'!E48-'BS (Before Changes)'!E48</f>
        <v>0</v>
      </c>
      <c r="F48" s="274">
        <f>'BS (After Changes)'!F48-'BS (Before Changes)'!F48</f>
        <v>0</v>
      </c>
      <c r="G48" s="274">
        <f>'BS (After Changes)'!G48-'BS (Before Changes)'!G48</f>
        <v>0</v>
      </c>
      <c r="H48" s="126">
        <f>'BS (After Changes)'!H48-'BS (Before Changes)'!H48</f>
        <v>0</v>
      </c>
      <c r="I48" s="274">
        <f>'BS (After Changes)'!I48-'BS (Before Changes)'!I48</f>
        <v>0</v>
      </c>
      <c r="J48" s="274">
        <f>'BS (After Changes)'!J48-'BS (Before Changes)'!J48</f>
        <v>0</v>
      </c>
      <c r="K48" s="274">
        <f>'BS (After Changes)'!K48-'BS (Before Changes)'!K48</f>
        <v>0</v>
      </c>
      <c r="L48" s="279">
        <f>'BS (After Changes)'!L48-'BS (Before Changes)'!L48</f>
        <v>0</v>
      </c>
      <c r="M48" s="31">
        <f>'BS (After Changes)'!M48-'BS (Before Changes)'!M48</f>
        <v>0</v>
      </c>
      <c r="N48" s="279">
        <f>'BS (After Changes)'!N48-'BS (Before Changes)'!N48</f>
        <v>0</v>
      </c>
      <c r="O48" s="279">
        <f>'BS (After Changes)'!O48-'BS (Before Changes)'!O48</f>
        <v>0</v>
      </c>
      <c r="P48" s="279">
        <f>'BS (After Changes)'!P48-'BS (Before Changes)'!P48</f>
        <v>0</v>
      </c>
      <c r="Q48" s="279">
        <f>'BS (After Changes)'!Q48-'BS (Before Changes)'!Q48</f>
        <v>0</v>
      </c>
      <c r="R48" s="31">
        <f>'BS (After Changes)'!R48-'BS (Before Changes)'!R48</f>
        <v>0</v>
      </c>
      <c r="S48" s="279">
        <f>'BS (After Changes)'!S48-'BS (Before Changes)'!S48</f>
        <v>0</v>
      </c>
      <c r="T48" s="279">
        <f>'BS (After Changes)'!T48-'BS (Before Changes)'!T48</f>
        <v>0</v>
      </c>
      <c r="U48" s="279">
        <f>'BS (After Changes)'!U48-'BS (Before Changes)'!U48</f>
        <v>0</v>
      </c>
      <c r="V48" s="279">
        <f>'BS (After Changes)'!V48-'BS (Before Changes)'!V48</f>
        <v>0</v>
      </c>
      <c r="W48" s="126">
        <f>'BS (After Changes)'!W48-'BS (Before Changes)'!W48</f>
        <v>0</v>
      </c>
      <c r="X48" s="279">
        <f>'BS (After Changes)'!X48-'BS (Before Changes)'!X48</f>
        <v>0</v>
      </c>
      <c r="Y48" s="279">
        <f>'BS (After Changes)'!Y48-'BS (Before Changes)'!Y48</f>
        <v>0</v>
      </c>
      <c r="Z48" s="279">
        <f>'BS (After Changes)'!Z48-'BS (Before Changes)'!Z48</f>
        <v>0</v>
      </c>
      <c r="AA48" s="279">
        <f>'BS (After Changes)'!AA48-'BS (Before Changes)'!AA48</f>
        <v>0</v>
      </c>
      <c r="AB48" s="31">
        <f>'BS (After Changes)'!AB48-'BS (Before Changes)'!AB48</f>
        <v>0</v>
      </c>
      <c r="AC48" s="279">
        <f>'BS (After Changes)'!AC48-'BS (Before Changes)'!AC48</f>
        <v>0</v>
      </c>
      <c r="AD48" s="279">
        <f>'BS (After Changes)'!AD48-'BS (Before Changes)'!AD48</f>
        <v>0</v>
      </c>
      <c r="AE48" s="279">
        <f>'BS (After Changes)'!AE48-'BS (Before Changes)'!AE48</f>
        <v>0</v>
      </c>
      <c r="AF48" s="279">
        <f>'BS (After Changes)'!AF48-'BS (Before Changes)'!AF48</f>
        <v>0</v>
      </c>
      <c r="AG48" s="31">
        <f>'BS (After Changes)'!AG48-'BS (Before Changes)'!AG48</f>
        <v>0</v>
      </c>
      <c r="AH48" s="279">
        <f>'BS (After Changes)'!AH48-'BS (Before Changes)'!AH48</f>
        <v>0</v>
      </c>
      <c r="AI48" s="279">
        <f>'BS (After Changes)'!AI48-'BS (Before Changes)'!AI48</f>
        <v>0</v>
      </c>
      <c r="AJ48" s="279">
        <f>'BS (After Changes)'!AJ48-'BS (Before Changes)'!AJ48</f>
        <v>0</v>
      </c>
      <c r="AK48" s="279">
        <f>'BS (After Changes)'!AK48-'BS (Before Changes)'!AK48</f>
        <v>0</v>
      </c>
      <c r="AL48" s="31">
        <f>'BS (After Changes)'!AL48-'BS (Before Changes)'!AL48</f>
        <v>0</v>
      </c>
      <c r="AM48" s="279">
        <f>'BS (After Changes)'!AM48-'BS (Before Changes)'!AM48</f>
        <v>0</v>
      </c>
      <c r="AN48" s="279">
        <f>'BS (After Changes)'!AN48-'BS (Before Changes)'!AN48</f>
        <v>0</v>
      </c>
      <c r="AO48" s="279">
        <f>'BS (After Changes)'!AO48-'BS (Before Changes)'!AO48</f>
        <v>0</v>
      </c>
      <c r="AP48" s="279">
        <f>'BS (After Changes)'!AP48-'BS (Before Changes)'!AP48</f>
        <v>0</v>
      </c>
      <c r="AQ48" s="31">
        <f>'BS (After Changes)'!AQ48-'BS (Before Changes)'!AQ48</f>
        <v>0</v>
      </c>
      <c r="AR48" s="279">
        <f>'BS (After Changes)'!AR48-'BS (Before Changes)'!AR48</f>
        <v>0</v>
      </c>
      <c r="AS48" s="279">
        <f>'BS (After Changes)'!AS48-'BS (Before Changes)'!AS48</f>
        <v>0</v>
      </c>
      <c r="AT48" s="279">
        <f>'BS (After Changes)'!AT48-'BS (Before Changes)'!AT48</f>
        <v>0</v>
      </c>
      <c r="AU48" s="279">
        <f>'BS (After Changes)'!AU48-'BS (Before Changes)'!AU48</f>
        <v>0</v>
      </c>
      <c r="AV48" s="31">
        <f>'BS (After Changes)'!AV48-'BS (Before Changes)'!AV48</f>
        <v>0</v>
      </c>
    </row>
    <row r="49" spans="2:48" outlineLevel="1" x14ac:dyDescent="0.3">
      <c r="B49" s="486" t="s">
        <v>253</v>
      </c>
      <c r="C49" s="487"/>
      <c r="D49" s="276">
        <f>'BS (After Changes)'!D49-'BS (Before Changes)'!D49</f>
        <v>0</v>
      </c>
      <c r="E49" s="276">
        <f>'BS (After Changes)'!E49-'BS (Before Changes)'!E49</f>
        <v>0</v>
      </c>
      <c r="F49" s="276">
        <f>'BS (After Changes)'!F49-'BS (Before Changes)'!F49</f>
        <v>0</v>
      </c>
      <c r="G49" s="276">
        <f>'BS (After Changes)'!G49-'BS (Before Changes)'!G49</f>
        <v>0</v>
      </c>
      <c r="H49" s="126">
        <f>'BS (After Changes)'!H49-'BS (Before Changes)'!H49</f>
        <v>0</v>
      </c>
      <c r="I49" s="276">
        <f>'BS (After Changes)'!I49-'BS (Before Changes)'!I49</f>
        <v>0</v>
      </c>
      <c r="J49" s="276">
        <f>'BS (After Changes)'!J49-'BS (Before Changes)'!J49</f>
        <v>0</v>
      </c>
      <c r="K49" s="276">
        <f>'BS (After Changes)'!K49-'BS (Before Changes)'!K49</f>
        <v>0</v>
      </c>
      <c r="L49" s="276">
        <f>'BS (After Changes)'!L49-'BS (Before Changes)'!L49</f>
        <v>0</v>
      </c>
      <c r="M49" s="31">
        <f>'BS (After Changes)'!M49-'BS (Before Changes)'!M49</f>
        <v>0</v>
      </c>
      <c r="N49" s="276">
        <f>'BS (After Changes)'!N49-'BS (Before Changes)'!N49</f>
        <v>0</v>
      </c>
      <c r="O49" s="276">
        <f>'BS (After Changes)'!O49-'BS (Before Changes)'!O49</f>
        <v>0</v>
      </c>
      <c r="P49" s="276">
        <f>'BS (After Changes)'!P49-'BS (Before Changes)'!P49</f>
        <v>0</v>
      </c>
      <c r="Q49" s="276">
        <f>'BS (After Changes)'!Q49-'BS (Before Changes)'!Q49</f>
        <v>0</v>
      </c>
      <c r="R49" s="31">
        <f>'BS (After Changes)'!R49-'BS (Before Changes)'!R49</f>
        <v>0</v>
      </c>
      <c r="S49" s="276">
        <f>'BS (After Changes)'!S49-'BS (Before Changes)'!S49</f>
        <v>0</v>
      </c>
      <c r="T49" s="276">
        <f>'BS (After Changes)'!T49-'BS (Before Changes)'!T49</f>
        <v>0</v>
      </c>
      <c r="U49" s="276">
        <f>'BS (After Changes)'!U49-'BS (Before Changes)'!U49</f>
        <v>0</v>
      </c>
      <c r="V49" s="276">
        <f>'BS (After Changes)'!V49-'BS (Before Changes)'!V49</f>
        <v>0</v>
      </c>
      <c r="W49" s="126">
        <f>'BS (After Changes)'!W49-'BS (Before Changes)'!W49</f>
        <v>0</v>
      </c>
      <c r="X49" s="277">
        <f>'BS (After Changes)'!X49-'BS (Before Changes)'!X49</f>
        <v>0</v>
      </c>
      <c r="Y49" s="277">
        <f>'BS (After Changes)'!Y49-'BS (Before Changes)'!Y49</f>
        <v>0</v>
      </c>
      <c r="Z49" s="277">
        <f>'BS (After Changes)'!Z49-'BS (Before Changes)'!Z49</f>
        <v>0</v>
      </c>
      <c r="AA49" s="277">
        <f>'BS (After Changes)'!AA49-'BS (Before Changes)'!AA49</f>
        <v>0</v>
      </c>
      <c r="AB49" s="278">
        <f>'BS (After Changes)'!AB49-'BS (Before Changes)'!AB49</f>
        <v>0</v>
      </c>
      <c r="AC49" s="277">
        <f>'BS (After Changes)'!AC49-'BS (Before Changes)'!AC49</f>
        <v>0</v>
      </c>
      <c r="AD49" s="277">
        <f>'BS (After Changes)'!AD49-'BS (Before Changes)'!AD49</f>
        <v>0</v>
      </c>
      <c r="AE49" s="277">
        <f>'BS (After Changes)'!AE49-'BS (Before Changes)'!AE49</f>
        <v>0</v>
      </c>
      <c r="AF49" s="277">
        <f>'BS (After Changes)'!AF49-'BS (Before Changes)'!AF49</f>
        <v>0</v>
      </c>
      <c r="AG49" s="278">
        <f>'BS (After Changes)'!AG49-'BS (Before Changes)'!AG49</f>
        <v>0</v>
      </c>
      <c r="AH49" s="277">
        <f>'BS (After Changes)'!AH49-'BS (Before Changes)'!AH49</f>
        <v>0</v>
      </c>
      <c r="AI49" s="277">
        <f>'BS (After Changes)'!AI49-'BS (Before Changes)'!AI49</f>
        <v>0</v>
      </c>
      <c r="AJ49" s="277">
        <f>'BS (After Changes)'!AJ49-'BS (Before Changes)'!AJ49</f>
        <v>0</v>
      </c>
      <c r="AK49" s="277">
        <f>'BS (After Changes)'!AK49-'BS (Before Changes)'!AK49</f>
        <v>0</v>
      </c>
      <c r="AL49" s="278">
        <f>'BS (After Changes)'!AL49-'BS (Before Changes)'!AL49</f>
        <v>0</v>
      </c>
      <c r="AM49" s="277">
        <f>'BS (After Changes)'!AM49-'BS (Before Changes)'!AM49</f>
        <v>0</v>
      </c>
      <c r="AN49" s="277">
        <f>'BS (After Changes)'!AN49-'BS (Before Changes)'!AN49</f>
        <v>0</v>
      </c>
      <c r="AO49" s="277">
        <f>'BS (After Changes)'!AO49-'BS (Before Changes)'!AO49</f>
        <v>0</v>
      </c>
      <c r="AP49" s="277">
        <f>'BS (After Changes)'!AP49-'BS (Before Changes)'!AP49</f>
        <v>0</v>
      </c>
      <c r="AQ49" s="278">
        <f>'BS (After Changes)'!AQ49-'BS (Before Changes)'!AQ49</f>
        <v>0</v>
      </c>
      <c r="AR49" s="277">
        <f>'BS (After Changes)'!AR49-'BS (Before Changes)'!AR49</f>
        <v>0</v>
      </c>
      <c r="AS49" s="277">
        <f>'BS (After Changes)'!AS49-'BS (Before Changes)'!AS49</f>
        <v>0</v>
      </c>
      <c r="AT49" s="277">
        <f>'BS (After Changes)'!AT49-'BS (Before Changes)'!AT49</f>
        <v>0</v>
      </c>
      <c r="AU49" s="277">
        <f>'BS (After Changes)'!AU49-'BS (Before Changes)'!AU49</f>
        <v>0</v>
      </c>
      <c r="AV49" s="278">
        <f>'BS (After Changes)'!AV49-'BS (Before Changes)'!AV49</f>
        <v>0</v>
      </c>
    </row>
    <row r="50" spans="2:48" s="23" customFormat="1" outlineLevel="1" x14ac:dyDescent="0.3">
      <c r="B50" s="504" t="s">
        <v>252</v>
      </c>
      <c r="C50" s="505"/>
      <c r="D50" s="279">
        <f>'BS (After Changes)'!D50-'BS (Before Changes)'!D50</f>
        <v>0</v>
      </c>
      <c r="E50" s="279">
        <f>'BS (After Changes)'!E50-'BS (Before Changes)'!E50</f>
        <v>0</v>
      </c>
      <c r="F50" s="274">
        <f>'BS (After Changes)'!F50-'BS (Before Changes)'!F50</f>
        <v>0</v>
      </c>
      <c r="G50" s="274">
        <f>'BS (After Changes)'!G50-'BS (Before Changes)'!G50</f>
        <v>0</v>
      </c>
      <c r="H50" s="126">
        <f>'BS (After Changes)'!H50-'BS (Before Changes)'!H50</f>
        <v>0</v>
      </c>
      <c r="I50" s="274">
        <f>'BS (After Changes)'!I50-'BS (Before Changes)'!I50</f>
        <v>0</v>
      </c>
      <c r="J50" s="274">
        <f>'BS (After Changes)'!J50-'BS (Before Changes)'!J50</f>
        <v>0</v>
      </c>
      <c r="K50" s="274">
        <f>'BS (After Changes)'!K50-'BS (Before Changes)'!K50</f>
        <v>0</v>
      </c>
      <c r="L50" s="279">
        <f>'BS (After Changes)'!L50-'BS (Before Changes)'!L50</f>
        <v>0</v>
      </c>
      <c r="M50" s="31">
        <f>'BS (After Changes)'!M50-'BS (Before Changes)'!M50</f>
        <v>0</v>
      </c>
      <c r="N50" s="279">
        <f>'BS (After Changes)'!N50-'BS (Before Changes)'!N50</f>
        <v>0</v>
      </c>
      <c r="O50" s="279">
        <f>'BS (After Changes)'!O50-'BS (Before Changes)'!O50</f>
        <v>0</v>
      </c>
      <c r="P50" s="279">
        <f>'BS (After Changes)'!P50-'BS (Before Changes)'!P50</f>
        <v>0</v>
      </c>
      <c r="Q50" s="279">
        <f>'BS (After Changes)'!Q50-'BS (Before Changes)'!Q50</f>
        <v>0</v>
      </c>
      <c r="R50" s="31">
        <f>'BS (After Changes)'!R50-'BS (Before Changes)'!R50</f>
        <v>0</v>
      </c>
      <c r="S50" s="279">
        <f>'BS (After Changes)'!S50-'BS (Before Changes)'!S50</f>
        <v>0</v>
      </c>
      <c r="T50" s="279">
        <f>'BS (After Changes)'!T50-'BS (Before Changes)'!T50</f>
        <v>0</v>
      </c>
      <c r="U50" s="279">
        <f>'BS (After Changes)'!U50-'BS (Before Changes)'!U50</f>
        <v>0</v>
      </c>
      <c r="V50" s="279">
        <f>'BS (After Changes)'!V50-'BS (Before Changes)'!V50</f>
        <v>0</v>
      </c>
      <c r="W50" s="126">
        <f>'BS (After Changes)'!W50-'BS (Before Changes)'!W50</f>
        <v>0</v>
      </c>
      <c r="X50" s="279">
        <f>'BS (After Changes)'!X50-'BS (Before Changes)'!X50</f>
        <v>0</v>
      </c>
      <c r="Y50" s="279">
        <f>'BS (After Changes)'!Y50-'BS (Before Changes)'!Y50</f>
        <v>0</v>
      </c>
      <c r="Z50" s="279">
        <f>'BS (After Changes)'!Z50-'BS (Before Changes)'!Z50</f>
        <v>0</v>
      </c>
      <c r="AA50" s="279">
        <f>'BS (After Changes)'!AA50-'BS (Before Changes)'!AA50</f>
        <v>0</v>
      </c>
      <c r="AB50" s="31">
        <f>'BS (After Changes)'!AB50-'BS (Before Changes)'!AB50</f>
        <v>0</v>
      </c>
      <c r="AC50" s="279">
        <f>'BS (After Changes)'!AC50-'BS (Before Changes)'!AC50</f>
        <v>0</v>
      </c>
      <c r="AD50" s="279">
        <f>'BS (After Changes)'!AD50-'BS (Before Changes)'!AD50</f>
        <v>0</v>
      </c>
      <c r="AE50" s="279">
        <f>'BS (After Changes)'!AE50-'BS (Before Changes)'!AE50</f>
        <v>0</v>
      </c>
      <c r="AF50" s="279">
        <f>'BS (After Changes)'!AF50-'BS (Before Changes)'!AF50</f>
        <v>0</v>
      </c>
      <c r="AG50" s="31">
        <f>'BS (After Changes)'!AG50-'BS (Before Changes)'!AG50</f>
        <v>0</v>
      </c>
      <c r="AH50" s="279">
        <f>'BS (After Changes)'!AH50-'BS (Before Changes)'!AH50</f>
        <v>0</v>
      </c>
      <c r="AI50" s="279">
        <f>'BS (After Changes)'!AI50-'BS (Before Changes)'!AI50</f>
        <v>0</v>
      </c>
      <c r="AJ50" s="279">
        <f>'BS (After Changes)'!AJ50-'BS (Before Changes)'!AJ50</f>
        <v>0</v>
      </c>
      <c r="AK50" s="279">
        <f>'BS (After Changes)'!AK50-'BS (Before Changes)'!AK50</f>
        <v>0</v>
      </c>
      <c r="AL50" s="31">
        <f>'BS (After Changes)'!AL50-'BS (Before Changes)'!AL50</f>
        <v>0</v>
      </c>
      <c r="AM50" s="279">
        <f>'BS (After Changes)'!AM50-'BS (Before Changes)'!AM50</f>
        <v>0</v>
      </c>
      <c r="AN50" s="279">
        <f>'BS (After Changes)'!AN50-'BS (Before Changes)'!AN50</f>
        <v>0</v>
      </c>
      <c r="AO50" s="279">
        <f>'BS (After Changes)'!AO50-'BS (Before Changes)'!AO50</f>
        <v>0</v>
      </c>
      <c r="AP50" s="279">
        <f>'BS (After Changes)'!AP50-'BS (Before Changes)'!AP50</f>
        <v>0</v>
      </c>
      <c r="AQ50" s="31">
        <f>'BS (After Changes)'!AQ50-'BS (Before Changes)'!AQ50</f>
        <v>0</v>
      </c>
      <c r="AR50" s="279">
        <f>'BS (After Changes)'!AR50-'BS (Before Changes)'!AR50</f>
        <v>0</v>
      </c>
      <c r="AS50" s="279">
        <f>'BS (After Changes)'!AS50-'BS (Before Changes)'!AS50</f>
        <v>0</v>
      </c>
      <c r="AT50" s="279">
        <f>'BS (After Changes)'!AT50-'BS (Before Changes)'!AT50</f>
        <v>0</v>
      </c>
      <c r="AU50" s="279">
        <f>'BS (After Changes)'!AU50-'BS (Before Changes)'!AU50</f>
        <v>0</v>
      </c>
      <c r="AV50" s="31">
        <f>'BS (After Changes)'!AV50-'BS (Before Changes)'!AV50</f>
        <v>0</v>
      </c>
    </row>
    <row r="51" spans="2:48" s="23" customFormat="1" outlineLevel="1" x14ac:dyDescent="0.3">
      <c r="B51" s="486" t="s">
        <v>254</v>
      </c>
      <c r="C51" s="487"/>
      <c r="D51" s="276">
        <f>'BS (After Changes)'!D51-'BS (Before Changes)'!D51</f>
        <v>0</v>
      </c>
      <c r="E51" s="276">
        <f>'BS (After Changes)'!E51-'BS (Before Changes)'!E51</f>
        <v>0</v>
      </c>
      <c r="F51" s="276">
        <f>'BS (After Changes)'!F51-'BS (Before Changes)'!F51</f>
        <v>0</v>
      </c>
      <c r="G51" s="276">
        <f>'BS (After Changes)'!G51-'BS (Before Changes)'!G51</f>
        <v>0</v>
      </c>
      <c r="H51" s="127">
        <f>'BS (After Changes)'!H51-'BS (Before Changes)'!H51</f>
        <v>0</v>
      </c>
      <c r="I51" s="276">
        <f>'BS (After Changes)'!I51-'BS (Before Changes)'!I51</f>
        <v>0</v>
      </c>
      <c r="J51" s="276">
        <f>'BS (After Changes)'!J51-'BS (Before Changes)'!J51</f>
        <v>0</v>
      </c>
      <c r="K51" s="276">
        <f>'BS (After Changes)'!K51-'BS (Before Changes)'!K51</f>
        <v>0</v>
      </c>
      <c r="L51" s="276">
        <f>'BS (After Changes)'!L51-'BS (Before Changes)'!L51</f>
        <v>0</v>
      </c>
      <c r="M51" s="280">
        <f>'BS (After Changes)'!M51-'BS (Before Changes)'!M51</f>
        <v>0</v>
      </c>
      <c r="N51" s="276">
        <f>'BS (After Changes)'!N51-'BS (Before Changes)'!N51</f>
        <v>0</v>
      </c>
      <c r="O51" s="276">
        <f>'BS (After Changes)'!O51-'BS (Before Changes)'!O51</f>
        <v>0</v>
      </c>
      <c r="P51" s="276">
        <f>'BS (After Changes)'!P51-'BS (Before Changes)'!P51</f>
        <v>0</v>
      </c>
      <c r="Q51" s="276">
        <f>'BS (After Changes)'!Q51-'BS (Before Changes)'!Q51</f>
        <v>0</v>
      </c>
      <c r="R51" s="280">
        <f>'BS (After Changes)'!R51-'BS (Before Changes)'!R51</f>
        <v>0</v>
      </c>
      <c r="S51" s="276">
        <f>'BS (After Changes)'!S51-'BS (Before Changes)'!S51</f>
        <v>0</v>
      </c>
      <c r="T51" s="276">
        <f>'BS (After Changes)'!T51-'BS (Before Changes)'!T51</f>
        <v>0</v>
      </c>
      <c r="U51" s="276">
        <f>'BS (After Changes)'!U51-'BS (Before Changes)'!U51</f>
        <v>0</v>
      </c>
      <c r="V51" s="276">
        <f>'BS (After Changes)'!V51-'BS (Before Changes)'!V51</f>
        <v>0</v>
      </c>
      <c r="W51" s="127">
        <f>'BS (After Changes)'!W51-'BS (Before Changes)'!W51</f>
        <v>0</v>
      </c>
      <c r="X51" s="277">
        <f>'BS (After Changes)'!X51-'BS (Before Changes)'!X51</f>
        <v>0</v>
      </c>
      <c r="Y51" s="277">
        <f>'BS (After Changes)'!Y51-'BS (Before Changes)'!Y51</f>
        <v>0</v>
      </c>
      <c r="Z51" s="277">
        <f>'BS (After Changes)'!Z51-'BS (Before Changes)'!Z51</f>
        <v>0</v>
      </c>
      <c r="AA51" s="277">
        <f>'BS (After Changes)'!AA51-'BS (Before Changes)'!AA51</f>
        <v>0</v>
      </c>
      <c r="AB51" s="31">
        <f>'BS (After Changes)'!AB51-'BS (Before Changes)'!AB51</f>
        <v>0</v>
      </c>
      <c r="AC51" s="277">
        <f>'BS (After Changes)'!AC51-'BS (Before Changes)'!AC51</f>
        <v>0</v>
      </c>
      <c r="AD51" s="277">
        <f>'BS (After Changes)'!AD51-'BS (Before Changes)'!AD51</f>
        <v>0</v>
      </c>
      <c r="AE51" s="277">
        <f>'BS (After Changes)'!AE51-'BS (Before Changes)'!AE51</f>
        <v>0</v>
      </c>
      <c r="AF51" s="277">
        <f>'BS (After Changes)'!AF51-'BS (Before Changes)'!AF51</f>
        <v>0</v>
      </c>
      <c r="AG51" s="31">
        <f>'BS (After Changes)'!AG51-'BS (Before Changes)'!AG51</f>
        <v>0</v>
      </c>
      <c r="AH51" s="277">
        <f>'BS (After Changes)'!AH51-'BS (Before Changes)'!AH51</f>
        <v>0</v>
      </c>
      <c r="AI51" s="277">
        <f>'BS (After Changes)'!AI51-'BS (Before Changes)'!AI51</f>
        <v>0</v>
      </c>
      <c r="AJ51" s="277">
        <f>'BS (After Changes)'!AJ51-'BS (Before Changes)'!AJ51</f>
        <v>0</v>
      </c>
      <c r="AK51" s="277">
        <f>'BS (After Changes)'!AK51-'BS (Before Changes)'!AK51</f>
        <v>0</v>
      </c>
      <c r="AL51" s="31">
        <f>'BS (After Changes)'!AL51-'BS (Before Changes)'!AL51</f>
        <v>0</v>
      </c>
      <c r="AM51" s="277">
        <f>'BS (After Changes)'!AM51-'BS (Before Changes)'!AM51</f>
        <v>0</v>
      </c>
      <c r="AN51" s="277">
        <f>'BS (After Changes)'!AN51-'BS (Before Changes)'!AN51</f>
        <v>0</v>
      </c>
      <c r="AO51" s="277">
        <f>'BS (After Changes)'!AO51-'BS (Before Changes)'!AO51</f>
        <v>0</v>
      </c>
      <c r="AP51" s="277">
        <f>'BS (After Changes)'!AP51-'BS (Before Changes)'!AP51</f>
        <v>0</v>
      </c>
      <c r="AQ51" s="31">
        <f>'BS (After Changes)'!AQ51-'BS (Before Changes)'!AQ51</f>
        <v>0</v>
      </c>
      <c r="AR51" s="277">
        <f>'BS (After Changes)'!AR51-'BS (Before Changes)'!AR51</f>
        <v>0</v>
      </c>
      <c r="AS51" s="277">
        <f>'BS (After Changes)'!AS51-'BS (Before Changes)'!AS51</f>
        <v>0</v>
      </c>
      <c r="AT51" s="277">
        <f>'BS (After Changes)'!AT51-'BS (Before Changes)'!AT51</f>
        <v>0</v>
      </c>
      <c r="AU51" s="277">
        <f>'BS (After Changes)'!AU51-'BS (Before Changes)'!AU51</f>
        <v>0</v>
      </c>
      <c r="AV51" s="31">
        <f>'BS (After Changes)'!AV51-'BS (Before Changes)'!AV51</f>
        <v>0</v>
      </c>
    </row>
    <row r="52" spans="2:48" s="23" customFormat="1" outlineLevel="1" x14ac:dyDescent="0.3">
      <c r="B52" s="504" t="s">
        <v>255</v>
      </c>
      <c r="C52" s="505"/>
      <c r="D52" s="16">
        <f>'BS (After Changes)'!D52-'BS (Before Changes)'!D52</f>
        <v>0</v>
      </c>
      <c r="E52" s="16">
        <f>'BS (After Changes)'!E52-'BS (Before Changes)'!E52</f>
        <v>0</v>
      </c>
      <c r="F52" s="101">
        <f>'BS (After Changes)'!F52-'BS (Before Changes)'!F52</f>
        <v>0</v>
      </c>
      <c r="G52" s="101">
        <f>'BS (After Changes)'!G52-'BS (Before Changes)'!G52</f>
        <v>0</v>
      </c>
      <c r="H52" s="128">
        <f>'BS (After Changes)'!H52-'BS (Before Changes)'!H52</f>
        <v>0</v>
      </c>
      <c r="I52" s="101">
        <f>'BS (After Changes)'!I52-'BS (Before Changes)'!I52</f>
        <v>0</v>
      </c>
      <c r="J52" s="101">
        <f>'BS (After Changes)'!J52-'BS (Before Changes)'!J52</f>
        <v>0</v>
      </c>
      <c r="K52" s="101">
        <f>'BS (After Changes)'!K52-'BS (Before Changes)'!K52</f>
        <v>0</v>
      </c>
      <c r="L52" s="16">
        <f>'BS (After Changes)'!L52-'BS (Before Changes)'!L52</f>
        <v>0</v>
      </c>
      <c r="M52" s="28">
        <f>'BS (After Changes)'!M52-'BS (Before Changes)'!M52</f>
        <v>0</v>
      </c>
      <c r="N52" s="16">
        <f>'BS (After Changes)'!N52-'BS (Before Changes)'!N52</f>
        <v>0</v>
      </c>
      <c r="O52" s="16">
        <f>'BS (After Changes)'!O52-'BS (Before Changes)'!O52</f>
        <v>0</v>
      </c>
      <c r="P52" s="16">
        <f>'BS (After Changes)'!P52-'BS (Before Changes)'!P52</f>
        <v>0</v>
      </c>
      <c r="Q52" s="16">
        <f>'BS (After Changes)'!Q52-'BS (Before Changes)'!Q52</f>
        <v>0</v>
      </c>
      <c r="R52" s="28">
        <f>'BS (After Changes)'!R52-'BS (Before Changes)'!R52</f>
        <v>0</v>
      </c>
      <c r="S52" s="16">
        <f>'BS (After Changes)'!S52-'BS (Before Changes)'!S52</f>
        <v>0</v>
      </c>
      <c r="T52" s="16">
        <f>'BS (After Changes)'!T52-'BS (Before Changes)'!T52</f>
        <v>0</v>
      </c>
      <c r="U52" s="16">
        <f>'BS (After Changes)'!U52-'BS (Before Changes)'!U52</f>
        <v>0</v>
      </c>
      <c r="V52" s="16">
        <f>'BS (After Changes)'!V52-'BS (Before Changes)'!V52</f>
        <v>0</v>
      </c>
      <c r="W52" s="28">
        <f>'BS (After Changes)'!W52-'BS (Before Changes)'!W52</f>
        <v>0</v>
      </c>
      <c r="X52" s="16">
        <f>'BS (After Changes)'!X52-'BS (Before Changes)'!X52</f>
        <v>0</v>
      </c>
      <c r="Y52" s="16">
        <f>'BS (After Changes)'!Y52-'BS (Before Changes)'!Y52</f>
        <v>0</v>
      </c>
      <c r="Z52" s="16">
        <f>'BS (After Changes)'!Z52-'BS (Before Changes)'!Z52</f>
        <v>0</v>
      </c>
      <c r="AA52" s="16">
        <f>'BS (After Changes)'!AA52-'BS (Before Changes)'!AA52</f>
        <v>0</v>
      </c>
      <c r="AB52" s="28">
        <f>'BS (After Changes)'!AB52-'BS (Before Changes)'!AB52</f>
        <v>0</v>
      </c>
      <c r="AC52" s="16">
        <f>'BS (After Changes)'!AC52-'BS (Before Changes)'!AC52</f>
        <v>0</v>
      </c>
      <c r="AD52" s="16">
        <f>'BS (After Changes)'!AD52-'BS (Before Changes)'!AD52</f>
        <v>0</v>
      </c>
      <c r="AE52" s="16">
        <f>'BS (After Changes)'!AE52-'BS (Before Changes)'!AE52</f>
        <v>0</v>
      </c>
      <c r="AF52" s="16">
        <f>'BS (After Changes)'!AF52-'BS (Before Changes)'!AF52</f>
        <v>0</v>
      </c>
      <c r="AG52" s="28">
        <f>'BS (After Changes)'!AG52-'BS (Before Changes)'!AG52</f>
        <v>0</v>
      </c>
      <c r="AH52" s="16">
        <f>'BS (After Changes)'!AH52-'BS (Before Changes)'!AH52</f>
        <v>0</v>
      </c>
      <c r="AI52" s="16">
        <f>'BS (After Changes)'!AI52-'BS (Before Changes)'!AI52</f>
        <v>0</v>
      </c>
      <c r="AJ52" s="16">
        <f>'BS (After Changes)'!AJ52-'BS (Before Changes)'!AJ52</f>
        <v>0</v>
      </c>
      <c r="AK52" s="16">
        <f>'BS (After Changes)'!AK52-'BS (Before Changes)'!AK52</f>
        <v>0</v>
      </c>
      <c r="AL52" s="28">
        <f>'BS (After Changes)'!AL52-'BS (Before Changes)'!AL52</f>
        <v>0</v>
      </c>
      <c r="AM52" s="16">
        <f>'BS (After Changes)'!AM52-'BS (Before Changes)'!AM52</f>
        <v>0</v>
      </c>
      <c r="AN52" s="16">
        <f>'BS (After Changes)'!AN52-'BS (Before Changes)'!AN52</f>
        <v>0</v>
      </c>
      <c r="AO52" s="16">
        <f>'BS (After Changes)'!AO52-'BS (Before Changes)'!AO52</f>
        <v>0</v>
      </c>
      <c r="AP52" s="16">
        <f>'BS (After Changes)'!AP52-'BS (Before Changes)'!AP52</f>
        <v>0</v>
      </c>
      <c r="AQ52" s="28">
        <f>'BS (After Changes)'!AQ52-'BS (Before Changes)'!AQ52</f>
        <v>0</v>
      </c>
      <c r="AR52" s="16">
        <f>'BS (After Changes)'!AR52-'BS (Before Changes)'!AR52</f>
        <v>0</v>
      </c>
      <c r="AS52" s="16">
        <f>'BS (After Changes)'!AS52-'BS (Before Changes)'!AS52</f>
        <v>0</v>
      </c>
      <c r="AT52" s="16">
        <f>'BS (After Changes)'!AT52-'BS (Before Changes)'!AT52</f>
        <v>0</v>
      </c>
      <c r="AU52" s="16">
        <f>'BS (After Changes)'!AU52-'BS (Before Changes)'!AU52</f>
        <v>0</v>
      </c>
      <c r="AV52" s="28">
        <f>'BS (After Changes)'!AV52-'BS (Before Changes)'!AV52</f>
        <v>0</v>
      </c>
    </row>
    <row r="53" spans="2:48" s="23" customFormat="1" outlineLevel="1" x14ac:dyDescent="0.3">
      <c r="B53" s="486" t="s">
        <v>256</v>
      </c>
      <c r="C53" s="487"/>
      <c r="D53" s="30">
        <f>'BS (After Changes)'!D53-'BS (Before Changes)'!D53</f>
        <v>0</v>
      </c>
      <c r="E53" s="30">
        <f>'BS (After Changes)'!E53-'BS (Before Changes)'!E53</f>
        <v>0</v>
      </c>
      <c r="F53" s="118">
        <f>'BS (After Changes)'!F53-'BS (Before Changes)'!F53</f>
        <v>0</v>
      </c>
      <c r="G53" s="118">
        <f>'BS (After Changes)'!G53-'BS (Before Changes)'!G53</f>
        <v>0</v>
      </c>
      <c r="H53" s="128">
        <f>'BS (After Changes)'!H53-'BS (Before Changes)'!H53</f>
        <v>0</v>
      </c>
      <c r="I53" s="118">
        <f>'BS (After Changes)'!I53-'BS (Before Changes)'!I53</f>
        <v>0</v>
      </c>
      <c r="J53" s="118">
        <f>'BS (After Changes)'!J53-'BS (Before Changes)'!J53</f>
        <v>0</v>
      </c>
      <c r="K53" s="118">
        <f>'BS (After Changes)'!K53-'BS (Before Changes)'!K53</f>
        <v>0</v>
      </c>
      <c r="L53" s="118">
        <f>'BS (After Changes)'!L53-'BS (Before Changes)'!L53</f>
        <v>0</v>
      </c>
      <c r="M53" s="28">
        <f>'BS (After Changes)'!M53-'BS (Before Changes)'!M53</f>
        <v>0</v>
      </c>
      <c r="N53" s="118">
        <f>'BS (After Changes)'!N53-'BS (Before Changes)'!N53</f>
        <v>0</v>
      </c>
      <c r="O53" s="118">
        <f>'BS (After Changes)'!O53-'BS (Before Changes)'!O53</f>
        <v>0</v>
      </c>
      <c r="P53" s="118">
        <f>'BS (After Changes)'!P53-'BS (Before Changes)'!P53</f>
        <v>0</v>
      </c>
      <c r="Q53" s="118">
        <f>'BS (After Changes)'!Q53-'BS (Before Changes)'!Q53</f>
        <v>0</v>
      </c>
      <c r="R53" s="28">
        <f>'BS (After Changes)'!R53-'BS (Before Changes)'!R53</f>
        <v>0</v>
      </c>
      <c r="S53" s="118">
        <f>'BS (After Changes)'!S53-'BS (Before Changes)'!S53</f>
        <v>0</v>
      </c>
      <c r="T53" s="118">
        <f>'BS (After Changes)'!T53-'BS (Before Changes)'!T53</f>
        <v>0</v>
      </c>
      <c r="U53" s="118">
        <f>'BS (After Changes)'!U53-'BS (Before Changes)'!U53</f>
        <v>0</v>
      </c>
      <c r="V53" s="118">
        <f>'BS (After Changes)'!V53-'BS (Before Changes)'!V53</f>
        <v>0</v>
      </c>
      <c r="W53" s="28">
        <f>'BS (After Changes)'!W53-'BS (Before Changes)'!W53</f>
        <v>0</v>
      </c>
      <c r="X53" s="34">
        <f>'BS (After Changes)'!X53-'BS (Before Changes)'!X53</f>
        <v>0</v>
      </c>
      <c r="Y53" s="34">
        <f>'BS (After Changes)'!Y53-'BS (Before Changes)'!Y53</f>
        <v>0</v>
      </c>
      <c r="Z53" s="34">
        <f>'BS (After Changes)'!Z53-'BS (Before Changes)'!Z53</f>
        <v>0</v>
      </c>
      <c r="AA53" s="34">
        <f>'BS (After Changes)'!AA53-'BS (Before Changes)'!AA53</f>
        <v>0</v>
      </c>
      <c r="AB53" s="28">
        <f>'BS (After Changes)'!AB53-'BS (Before Changes)'!AB53</f>
        <v>0</v>
      </c>
      <c r="AC53" s="34">
        <f>'BS (After Changes)'!AC53-'BS (Before Changes)'!AC53</f>
        <v>0</v>
      </c>
      <c r="AD53" s="34">
        <f>'BS (After Changes)'!AD53-'BS (Before Changes)'!AD53</f>
        <v>0</v>
      </c>
      <c r="AE53" s="34">
        <f>'BS (After Changes)'!AE53-'BS (Before Changes)'!AE53</f>
        <v>0</v>
      </c>
      <c r="AF53" s="34">
        <f>'BS (After Changes)'!AF53-'BS (Before Changes)'!AF53</f>
        <v>0</v>
      </c>
      <c r="AG53" s="28">
        <f>'BS (After Changes)'!AG53-'BS (Before Changes)'!AG53</f>
        <v>0</v>
      </c>
      <c r="AH53" s="34">
        <f>'BS (After Changes)'!AH53-'BS (Before Changes)'!AH53</f>
        <v>0</v>
      </c>
      <c r="AI53" s="34">
        <f>'BS (After Changes)'!AI53-'BS (Before Changes)'!AI53</f>
        <v>0</v>
      </c>
      <c r="AJ53" s="34">
        <f>'BS (After Changes)'!AJ53-'BS (Before Changes)'!AJ53</f>
        <v>0</v>
      </c>
      <c r="AK53" s="34">
        <f>'BS (After Changes)'!AK53-'BS (Before Changes)'!AK53</f>
        <v>0</v>
      </c>
      <c r="AL53" s="28">
        <f>'BS (After Changes)'!AL53-'BS (Before Changes)'!AL53</f>
        <v>0</v>
      </c>
      <c r="AM53" s="34">
        <f>'BS (After Changes)'!AM53-'BS (Before Changes)'!AM53</f>
        <v>0</v>
      </c>
      <c r="AN53" s="34">
        <f>'BS (After Changes)'!AN53-'BS (Before Changes)'!AN53</f>
        <v>0</v>
      </c>
      <c r="AO53" s="34">
        <f>'BS (After Changes)'!AO53-'BS (Before Changes)'!AO53</f>
        <v>0</v>
      </c>
      <c r="AP53" s="34">
        <f>'BS (After Changes)'!AP53-'BS (Before Changes)'!AP53</f>
        <v>0</v>
      </c>
      <c r="AQ53" s="28">
        <f>'BS (After Changes)'!AQ53-'BS (Before Changes)'!AQ53</f>
        <v>0</v>
      </c>
      <c r="AR53" s="34">
        <f>'BS (After Changes)'!AR53-'BS (Before Changes)'!AR53</f>
        <v>0</v>
      </c>
      <c r="AS53" s="34">
        <f>'BS (After Changes)'!AS53-'BS (Before Changes)'!AS53</f>
        <v>0</v>
      </c>
      <c r="AT53" s="34">
        <f>'BS (After Changes)'!AT53-'BS (Before Changes)'!AT53</f>
        <v>0</v>
      </c>
      <c r="AU53" s="34">
        <f>'BS (After Changes)'!AU53-'BS (Before Changes)'!AU53</f>
        <v>0</v>
      </c>
      <c r="AV53" s="28">
        <f>'BS (After Changes)'!AV53-'BS (Before Changes)'!AV53</f>
        <v>0</v>
      </c>
    </row>
    <row r="54" spans="2:48" s="23" customFormat="1" outlineLevel="1" x14ac:dyDescent="0.3">
      <c r="B54" s="180" t="s">
        <v>257</v>
      </c>
      <c r="C54" s="201"/>
      <c r="D54" s="30">
        <f>'BS (After Changes)'!D54-'BS (Before Changes)'!D54</f>
        <v>0</v>
      </c>
      <c r="E54" s="30">
        <f>'BS (After Changes)'!E54-'BS (Before Changes)'!E54</f>
        <v>0</v>
      </c>
      <c r="F54" s="118">
        <f>'BS (After Changes)'!F54-'BS (Before Changes)'!F54</f>
        <v>0</v>
      </c>
      <c r="G54" s="118">
        <f>'BS (After Changes)'!G54-'BS (Before Changes)'!G54</f>
        <v>0</v>
      </c>
      <c r="H54" s="128">
        <f>'BS (After Changes)'!H54-'BS (Before Changes)'!H54</f>
        <v>0</v>
      </c>
      <c r="I54" s="118">
        <f>'BS (After Changes)'!I54-'BS (Before Changes)'!I54</f>
        <v>0</v>
      </c>
      <c r="J54" s="118">
        <f>'BS (After Changes)'!J54-'BS (Before Changes)'!J54</f>
        <v>0</v>
      </c>
      <c r="K54" s="118">
        <f>'BS (After Changes)'!K54-'BS (Before Changes)'!K54</f>
        <v>0</v>
      </c>
      <c r="L54" s="118">
        <f>'BS (After Changes)'!L54-'BS (Before Changes)'!L54</f>
        <v>0</v>
      </c>
      <c r="M54" s="28">
        <f>'BS (After Changes)'!M54-'BS (Before Changes)'!M54</f>
        <v>0</v>
      </c>
      <c r="N54" s="118">
        <f>'BS (After Changes)'!N54-'BS (Before Changes)'!N54</f>
        <v>0</v>
      </c>
      <c r="O54" s="118">
        <f>'BS (After Changes)'!O54-'BS (Before Changes)'!O54</f>
        <v>0</v>
      </c>
      <c r="P54" s="118">
        <f>'BS (After Changes)'!P54-'BS (Before Changes)'!P54</f>
        <v>0</v>
      </c>
      <c r="Q54" s="118">
        <f>'BS (After Changes)'!Q54-'BS (Before Changes)'!Q54</f>
        <v>0</v>
      </c>
      <c r="R54" s="28">
        <f>'BS (After Changes)'!R54-'BS (Before Changes)'!R54</f>
        <v>0</v>
      </c>
      <c r="S54" s="118">
        <f>'BS (After Changes)'!S54-'BS (Before Changes)'!S54</f>
        <v>0</v>
      </c>
      <c r="T54" s="118">
        <f>'BS (After Changes)'!T54-'BS (Before Changes)'!T54</f>
        <v>0</v>
      </c>
      <c r="U54" s="118">
        <f>'BS (After Changes)'!U54-'BS (Before Changes)'!U54</f>
        <v>0</v>
      </c>
      <c r="V54" s="118">
        <f>'BS (After Changes)'!V54-'BS (Before Changes)'!V54</f>
        <v>0</v>
      </c>
      <c r="W54" s="28">
        <f>'BS (After Changes)'!W54-'BS (Before Changes)'!W54</f>
        <v>0</v>
      </c>
      <c r="X54" s="34">
        <f>'BS (After Changes)'!X54-'BS (Before Changes)'!X54</f>
        <v>0</v>
      </c>
      <c r="Y54" s="34">
        <f>'BS (After Changes)'!Y54-'BS (Before Changes)'!Y54</f>
        <v>0</v>
      </c>
      <c r="Z54" s="34">
        <f>'BS (After Changes)'!Z54-'BS (Before Changes)'!Z54</f>
        <v>0</v>
      </c>
      <c r="AA54" s="34">
        <f>'BS (After Changes)'!AA54-'BS (Before Changes)'!AA54</f>
        <v>0</v>
      </c>
      <c r="AB54" s="28">
        <f>'BS (After Changes)'!AB54-'BS (Before Changes)'!AB54</f>
        <v>0</v>
      </c>
      <c r="AC54" s="34">
        <f>'BS (After Changes)'!AC54-'BS (Before Changes)'!AC54</f>
        <v>0</v>
      </c>
      <c r="AD54" s="34">
        <f>'BS (After Changes)'!AD54-'BS (Before Changes)'!AD54</f>
        <v>0</v>
      </c>
      <c r="AE54" s="34">
        <f>'BS (After Changes)'!AE54-'BS (Before Changes)'!AE54</f>
        <v>0</v>
      </c>
      <c r="AF54" s="34">
        <f>'BS (After Changes)'!AF54-'BS (Before Changes)'!AF54</f>
        <v>0</v>
      </c>
      <c r="AG54" s="28">
        <f>'BS (After Changes)'!AG54-'BS (Before Changes)'!AG54</f>
        <v>0</v>
      </c>
      <c r="AH54" s="34">
        <f>'BS (After Changes)'!AH54-'BS (Before Changes)'!AH54</f>
        <v>0</v>
      </c>
      <c r="AI54" s="34">
        <f>'BS (After Changes)'!AI54-'BS (Before Changes)'!AI54</f>
        <v>0</v>
      </c>
      <c r="AJ54" s="34">
        <f>'BS (After Changes)'!AJ54-'BS (Before Changes)'!AJ54</f>
        <v>0</v>
      </c>
      <c r="AK54" s="34">
        <f>'BS (After Changes)'!AK54-'BS (Before Changes)'!AK54</f>
        <v>0</v>
      </c>
      <c r="AL54" s="28">
        <f>'BS (After Changes)'!AL54-'BS (Before Changes)'!AL54</f>
        <v>0</v>
      </c>
      <c r="AM54" s="34">
        <f>'BS (After Changes)'!AM54-'BS (Before Changes)'!AM54</f>
        <v>0</v>
      </c>
      <c r="AN54" s="34">
        <f>'BS (After Changes)'!AN54-'BS (Before Changes)'!AN54</f>
        <v>0</v>
      </c>
      <c r="AO54" s="34">
        <f>'BS (After Changes)'!AO54-'BS (Before Changes)'!AO54</f>
        <v>0</v>
      </c>
      <c r="AP54" s="34">
        <f>'BS (After Changes)'!AP54-'BS (Before Changes)'!AP54</f>
        <v>0</v>
      </c>
      <c r="AQ54" s="28">
        <f>'BS (After Changes)'!AQ54-'BS (Before Changes)'!AQ54</f>
        <v>0</v>
      </c>
      <c r="AR54" s="34">
        <f>'BS (After Changes)'!AR54-'BS (Before Changes)'!AR54</f>
        <v>0</v>
      </c>
      <c r="AS54" s="34">
        <f>'BS (After Changes)'!AS54-'BS (Before Changes)'!AS54</f>
        <v>0</v>
      </c>
      <c r="AT54" s="34">
        <f>'BS (After Changes)'!AT54-'BS (Before Changes)'!AT54</f>
        <v>0</v>
      </c>
      <c r="AU54" s="34">
        <f>'BS (After Changes)'!AU54-'BS (Before Changes)'!AU54</f>
        <v>0</v>
      </c>
      <c r="AV54" s="28">
        <f>'BS (After Changes)'!AV54-'BS (Before Changes)'!AV54</f>
        <v>0</v>
      </c>
    </row>
    <row r="55" spans="2:48" s="23" customFormat="1" outlineLevel="1" x14ac:dyDescent="0.3">
      <c r="B55" s="200" t="s">
        <v>258</v>
      </c>
      <c r="C55" s="201"/>
      <c r="D55" s="30">
        <f>'BS (After Changes)'!D55-'BS (Before Changes)'!D55</f>
        <v>0</v>
      </c>
      <c r="E55" s="30">
        <f>'BS (After Changes)'!E55-'BS (Before Changes)'!E55</f>
        <v>0</v>
      </c>
      <c r="F55" s="113">
        <f>'BS (After Changes)'!F55-'BS (Before Changes)'!F55</f>
        <v>0</v>
      </c>
      <c r="G55" s="113">
        <f>'BS (After Changes)'!G55-'BS (Before Changes)'!G55</f>
        <v>0</v>
      </c>
      <c r="H55" s="125">
        <f>'BS (After Changes)'!H55-'BS (Before Changes)'!H55</f>
        <v>0</v>
      </c>
      <c r="I55" s="281">
        <f>'BS (After Changes)'!I55-'BS (Before Changes)'!I55</f>
        <v>0</v>
      </c>
      <c r="J55" s="281">
        <f>'BS (After Changes)'!J55-'BS (Before Changes)'!J55</f>
        <v>0</v>
      </c>
      <c r="K55" s="113">
        <f>'BS (After Changes)'!K55-'BS (Before Changes)'!K55</f>
        <v>0</v>
      </c>
      <c r="L55" s="113">
        <f>'BS (After Changes)'!L55-'BS (Before Changes)'!L55</f>
        <v>0</v>
      </c>
      <c r="M55" s="282">
        <f>'BS (After Changes)'!M55-'BS (Before Changes)'!M55</f>
        <v>0</v>
      </c>
      <c r="N55" s="281">
        <f>'BS (After Changes)'!N55-'BS (Before Changes)'!N55</f>
        <v>0</v>
      </c>
      <c r="O55" s="281">
        <f>'BS (After Changes)'!O55-'BS (Before Changes)'!O55</f>
        <v>0</v>
      </c>
      <c r="P55" s="113">
        <f>'BS (After Changes)'!P55-'BS (Before Changes)'!P55</f>
        <v>0</v>
      </c>
      <c r="Q55" s="113">
        <f>'BS (After Changes)'!Q55-'BS (Before Changes)'!Q55</f>
        <v>0</v>
      </c>
      <c r="R55" s="282">
        <f>'BS (After Changes)'!R55-'BS (Before Changes)'!R55</f>
        <v>0</v>
      </c>
      <c r="S55" s="281">
        <f>'BS (After Changes)'!S55-'BS (Before Changes)'!S55</f>
        <v>0</v>
      </c>
      <c r="T55" s="281">
        <f>'BS (After Changes)'!T55-'BS (Before Changes)'!T55</f>
        <v>0</v>
      </c>
      <c r="U55" s="281">
        <f>'BS (After Changes)'!U55-'BS (Before Changes)'!U55</f>
        <v>0</v>
      </c>
      <c r="V55" s="113">
        <f>'BS (After Changes)'!V55-'BS (Before Changes)'!V55</f>
        <v>0</v>
      </c>
      <c r="W55" s="282">
        <f>'BS (After Changes)'!W55-'BS (Before Changes)'!W55</f>
        <v>0</v>
      </c>
      <c r="X55" s="283">
        <f>'BS (After Changes)'!X55-'BS (Before Changes)'!X55</f>
        <v>0</v>
      </c>
      <c r="Y55" s="283">
        <f>'BS (After Changes)'!Y55-'BS (Before Changes)'!Y55</f>
        <v>0</v>
      </c>
      <c r="Z55" s="35">
        <f>'BS (After Changes)'!Z55-'BS (Before Changes)'!Z55</f>
        <v>0</v>
      </c>
      <c r="AA55" s="284">
        <f>'BS (After Changes)'!AA55-'BS (Before Changes)'!AA55</f>
        <v>0</v>
      </c>
      <c r="AB55" s="28">
        <f>'BS (After Changes)'!AB55-'BS (Before Changes)'!AB55</f>
        <v>0</v>
      </c>
      <c r="AC55" s="283">
        <f>'BS (After Changes)'!AC55-'BS (Before Changes)'!AC55</f>
        <v>0</v>
      </c>
      <c r="AD55" s="283">
        <f>'BS (After Changes)'!AD55-'BS (Before Changes)'!AD55</f>
        <v>0</v>
      </c>
      <c r="AE55" s="35">
        <f>'BS (After Changes)'!AE55-'BS (Before Changes)'!AE55</f>
        <v>0</v>
      </c>
      <c r="AF55" s="284">
        <f>'BS (After Changes)'!AF55-'BS (Before Changes)'!AF55</f>
        <v>0</v>
      </c>
      <c r="AG55" s="28">
        <f>'BS (After Changes)'!AG55-'BS (Before Changes)'!AG55</f>
        <v>0</v>
      </c>
      <c r="AH55" s="283">
        <f>'BS (After Changes)'!AH55-'BS (Before Changes)'!AH55</f>
        <v>0</v>
      </c>
      <c r="AI55" s="283">
        <f>'BS (After Changes)'!AI55-'BS (Before Changes)'!AI55</f>
        <v>0</v>
      </c>
      <c r="AJ55" s="35">
        <f>'BS (After Changes)'!AJ55-'BS (Before Changes)'!AJ55</f>
        <v>0</v>
      </c>
      <c r="AK55" s="284">
        <f>'BS (After Changes)'!AK55-'BS (Before Changes)'!AK55</f>
        <v>0</v>
      </c>
      <c r="AL55" s="28">
        <f>'BS (After Changes)'!AL55-'BS (Before Changes)'!AL55</f>
        <v>0</v>
      </c>
      <c r="AM55" s="283">
        <f>'BS (After Changes)'!AM55-'BS (Before Changes)'!AM55</f>
        <v>0</v>
      </c>
      <c r="AN55" s="283">
        <f>'BS (After Changes)'!AN55-'BS (Before Changes)'!AN55</f>
        <v>0</v>
      </c>
      <c r="AO55" s="35">
        <f>'BS (After Changes)'!AO55-'BS (Before Changes)'!AO55</f>
        <v>0</v>
      </c>
      <c r="AP55" s="284">
        <f>'BS (After Changes)'!AP55-'BS (Before Changes)'!AP55</f>
        <v>0</v>
      </c>
      <c r="AQ55" s="28">
        <f>'BS (After Changes)'!AQ55-'BS (Before Changes)'!AQ55</f>
        <v>0</v>
      </c>
      <c r="AR55" s="283">
        <f>'BS (After Changes)'!AR55-'BS (Before Changes)'!AR55</f>
        <v>0</v>
      </c>
      <c r="AS55" s="283">
        <f>'BS (After Changes)'!AS55-'BS (Before Changes)'!AS55</f>
        <v>0</v>
      </c>
      <c r="AT55" s="35">
        <f>'BS (After Changes)'!AT55-'BS (Before Changes)'!AT55</f>
        <v>0</v>
      </c>
      <c r="AU55" s="284">
        <f>'BS (After Changes)'!AU55-'BS (Before Changes)'!AU55</f>
        <v>0</v>
      </c>
      <c r="AV55" s="28">
        <f>'BS (After Changes)'!AV55-'BS (Before Changes)'!AV55</f>
        <v>0</v>
      </c>
    </row>
    <row r="56" spans="2:48" outlineLevel="1" x14ac:dyDescent="0.3">
      <c r="B56" s="200" t="s">
        <v>259</v>
      </c>
      <c r="C56" s="201"/>
      <c r="D56" s="285">
        <f>'BS (After Changes)'!D56-'BS (Before Changes)'!D56</f>
        <v>0</v>
      </c>
      <c r="E56" s="285">
        <f>'BS (After Changes)'!E56-'BS (Before Changes)'!E56</f>
        <v>0</v>
      </c>
      <c r="F56" s="286">
        <f>'BS (After Changes)'!F56-'BS (Before Changes)'!F56</f>
        <v>0</v>
      </c>
      <c r="G56" s="286">
        <f>'BS (After Changes)'!G56-'BS (Before Changes)'!G56</f>
        <v>0</v>
      </c>
      <c r="H56" s="125">
        <f>'BS (After Changes)'!H56-'BS (Before Changes)'!H56</f>
        <v>0</v>
      </c>
      <c r="I56" s="287">
        <f>'BS (After Changes)'!I56-'BS (Before Changes)'!I56</f>
        <v>0</v>
      </c>
      <c r="J56" s="287">
        <f>'BS (After Changes)'!J56-'BS (Before Changes)'!J56</f>
        <v>0</v>
      </c>
      <c r="K56" s="286">
        <f>'BS (After Changes)'!K56-'BS (Before Changes)'!K56</f>
        <v>0</v>
      </c>
      <c r="L56" s="286">
        <f>'BS (After Changes)'!L56-'BS (Before Changes)'!L56</f>
        <v>0</v>
      </c>
      <c r="M56" s="282">
        <f>'BS (After Changes)'!M56-'BS (Before Changes)'!M56</f>
        <v>0</v>
      </c>
      <c r="N56" s="287">
        <f>'BS (After Changes)'!N56-'BS (Before Changes)'!N56</f>
        <v>0</v>
      </c>
      <c r="O56" s="287">
        <f>'BS (After Changes)'!O56-'BS (Before Changes)'!O56</f>
        <v>0</v>
      </c>
      <c r="P56" s="286">
        <f>'BS (After Changes)'!P56-'BS (Before Changes)'!P56</f>
        <v>0</v>
      </c>
      <c r="Q56" s="286">
        <f>'BS (After Changes)'!Q56-'BS (Before Changes)'!Q56</f>
        <v>0</v>
      </c>
      <c r="R56" s="282">
        <f>'BS (After Changes)'!R56-'BS (Before Changes)'!R56</f>
        <v>0</v>
      </c>
      <c r="S56" s="287">
        <f>'BS (After Changes)'!S56-'BS (Before Changes)'!S56</f>
        <v>0</v>
      </c>
      <c r="T56" s="287">
        <f>'BS (After Changes)'!T56-'BS (Before Changes)'!T56</f>
        <v>0</v>
      </c>
      <c r="U56" s="287">
        <f>'BS (After Changes)'!U56-'BS (Before Changes)'!U56</f>
        <v>0</v>
      </c>
      <c r="V56" s="286">
        <f>'BS (After Changes)'!V56-'BS (Before Changes)'!V56</f>
        <v>0</v>
      </c>
      <c r="W56" s="282">
        <f>'BS (After Changes)'!W56-'BS (Before Changes)'!W56</f>
        <v>0</v>
      </c>
      <c r="X56" s="289">
        <f>'BS (After Changes)'!X56-'BS (Before Changes)'!X56</f>
        <v>0</v>
      </c>
      <c r="Y56" s="289">
        <f>'BS (After Changes)'!Y56-'BS (Before Changes)'!Y56</f>
        <v>0</v>
      </c>
      <c r="Z56" s="288">
        <f>'BS (After Changes)'!Z56-'BS (Before Changes)'!Z56</f>
        <v>0</v>
      </c>
      <c r="AA56" s="288">
        <f>'BS (After Changes)'!AA56-'BS (Before Changes)'!AA56</f>
        <v>0</v>
      </c>
      <c r="AB56" s="290">
        <f>'BS (After Changes)'!AB56-'BS (Before Changes)'!AB56</f>
        <v>0</v>
      </c>
      <c r="AC56" s="289">
        <f>'BS (After Changes)'!AC56-'BS (Before Changes)'!AC56</f>
        <v>0</v>
      </c>
      <c r="AD56" s="289">
        <f>'BS (After Changes)'!AD56-'BS (Before Changes)'!AD56</f>
        <v>0</v>
      </c>
      <c r="AE56" s="288">
        <f>'BS (After Changes)'!AE56-'BS (Before Changes)'!AE56</f>
        <v>0</v>
      </c>
      <c r="AF56" s="288">
        <f>'BS (After Changes)'!AF56-'BS (Before Changes)'!AF56</f>
        <v>0</v>
      </c>
      <c r="AG56" s="290">
        <f>'BS (After Changes)'!AG56-'BS (Before Changes)'!AG56</f>
        <v>0</v>
      </c>
      <c r="AH56" s="289">
        <f>'BS (After Changes)'!AH56-'BS (Before Changes)'!AH56</f>
        <v>0</v>
      </c>
      <c r="AI56" s="289">
        <f>'BS (After Changes)'!AI56-'BS (Before Changes)'!AI56</f>
        <v>0</v>
      </c>
      <c r="AJ56" s="288">
        <f>'BS (After Changes)'!AJ56-'BS (Before Changes)'!AJ56</f>
        <v>0</v>
      </c>
      <c r="AK56" s="288">
        <f>'BS (After Changes)'!AK56-'BS (Before Changes)'!AK56</f>
        <v>0</v>
      </c>
      <c r="AL56" s="290">
        <f>'BS (After Changes)'!AL56-'BS (Before Changes)'!AL56</f>
        <v>0</v>
      </c>
      <c r="AM56" s="289">
        <f>'BS (After Changes)'!AM56-'BS (Before Changes)'!AM56</f>
        <v>0</v>
      </c>
      <c r="AN56" s="289">
        <f>'BS (After Changes)'!AN56-'BS (Before Changes)'!AN56</f>
        <v>0</v>
      </c>
      <c r="AO56" s="288">
        <f>'BS (After Changes)'!AO56-'BS (Before Changes)'!AO56</f>
        <v>0</v>
      </c>
      <c r="AP56" s="288">
        <f>'BS (After Changes)'!AP56-'BS (Before Changes)'!AP56</f>
        <v>0</v>
      </c>
      <c r="AQ56" s="290">
        <f>'BS (After Changes)'!AQ56-'BS (Before Changes)'!AQ56</f>
        <v>0</v>
      </c>
      <c r="AR56" s="289">
        <f>'BS (After Changes)'!AR56-'BS (Before Changes)'!AR56</f>
        <v>0</v>
      </c>
      <c r="AS56" s="289">
        <f>'BS (After Changes)'!AS56-'BS (Before Changes)'!AS56</f>
        <v>0</v>
      </c>
      <c r="AT56" s="288">
        <f>'BS (After Changes)'!AT56-'BS (Before Changes)'!AT56</f>
        <v>0</v>
      </c>
      <c r="AU56" s="288">
        <f>'BS (After Changes)'!AU56-'BS (Before Changes)'!AU56</f>
        <v>0</v>
      </c>
      <c r="AV56" s="290">
        <f>'BS (After Changes)'!AV56-'BS (Before Changes)'!AV56</f>
        <v>0</v>
      </c>
    </row>
    <row r="57" spans="2:48" outlineLevel="1" x14ac:dyDescent="0.3">
      <c r="B57" s="200"/>
      <c r="C57" s="201"/>
      <c r="D57" s="285">
        <f>'BS (After Changes)'!D57-'BS (Before Changes)'!D57</f>
        <v>0</v>
      </c>
      <c r="E57" s="285">
        <f>'BS (After Changes)'!E57-'BS (Before Changes)'!E57</f>
        <v>0</v>
      </c>
      <c r="F57" s="286">
        <f>'BS (After Changes)'!F57-'BS (Before Changes)'!F57</f>
        <v>0</v>
      </c>
      <c r="G57" s="286">
        <f>'BS (After Changes)'!G57-'BS (Before Changes)'!G57</f>
        <v>0</v>
      </c>
      <c r="H57" s="125">
        <f>'BS (After Changes)'!H57-'BS (Before Changes)'!H57</f>
        <v>0</v>
      </c>
      <c r="I57" s="287">
        <f>'BS (After Changes)'!I57-'BS (Before Changes)'!I57</f>
        <v>0</v>
      </c>
      <c r="J57" s="287">
        <f>'BS (After Changes)'!J57-'BS (Before Changes)'!J57</f>
        <v>0</v>
      </c>
      <c r="K57" s="286">
        <f>'BS (After Changes)'!K57-'BS (Before Changes)'!K57</f>
        <v>0</v>
      </c>
      <c r="L57" s="286">
        <f>'BS (After Changes)'!L57-'BS (Before Changes)'!L57</f>
        <v>0</v>
      </c>
      <c r="M57" s="282">
        <f>'BS (After Changes)'!M57-'BS (Before Changes)'!M57</f>
        <v>0</v>
      </c>
      <c r="N57" s="287">
        <f>'BS (After Changes)'!N57-'BS (Before Changes)'!N57</f>
        <v>0</v>
      </c>
      <c r="O57" s="287">
        <f>'BS (After Changes)'!O57-'BS (Before Changes)'!O57</f>
        <v>0</v>
      </c>
      <c r="P57" s="286">
        <f>'BS (After Changes)'!P57-'BS (Before Changes)'!P57</f>
        <v>0</v>
      </c>
      <c r="Q57" s="286">
        <f>'BS (After Changes)'!Q57-'BS (Before Changes)'!Q57</f>
        <v>0</v>
      </c>
      <c r="R57" s="282">
        <f>'BS (After Changes)'!R57-'BS (Before Changes)'!R57</f>
        <v>0</v>
      </c>
      <c r="S57" s="287">
        <f>'BS (After Changes)'!S57-'BS (Before Changes)'!S57</f>
        <v>0</v>
      </c>
      <c r="T57" s="287">
        <f>'BS (After Changes)'!T57-'BS (Before Changes)'!T57</f>
        <v>0</v>
      </c>
      <c r="U57" s="287">
        <f>'BS (After Changes)'!U57-'BS (Before Changes)'!U57</f>
        <v>0</v>
      </c>
      <c r="V57" s="286">
        <f>'BS (After Changes)'!V57-'BS (Before Changes)'!V57</f>
        <v>0</v>
      </c>
      <c r="W57" s="282">
        <f>'BS (After Changes)'!W57-'BS (Before Changes)'!W57</f>
        <v>0</v>
      </c>
      <c r="X57" s="289">
        <f>'BS (After Changes)'!X57-'BS (Before Changes)'!X57</f>
        <v>0</v>
      </c>
      <c r="Y57" s="289">
        <f>'BS (After Changes)'!Y57-'BS (Before Changes)'!Y57</f>
        <v>0</v>
      </c>
      <c r="Z57" s="288">
        <f>'BS (After Changes)'!Z57-'BS (Before Changes)'!Z57</f>
        <v>0</v>
      </c>
      <c r="AA57" s="288">
        <f>'BS (After Changes)'!AA57-'BS (Before Changes)'!AA57</f>
        <v>0</v>
      </c>
      <c r="AB57" s="290">
        <f>'BS (After Changes)'!AB57-'BS (Before Changes)'!AB57</f>
        <v>0</v>
      </c>
      <c r="AC57" s="289">
        <f>'BS (After Changes)'!AC57-'BS (Before Changes)'!AC57</f>
        <v>0</v>
      </c>
      <c r="AD57" s="289">
        <f>'BS (After Changes)'!AD57-'BS (Before Changes)'!AD57</f>
        <v>0</v>
      </c>
      <c r="AE57" s="288">
        <f>'BS (After Changes)'!AE57-'BS (Before Changes)'!AE57</f>
        <v>0</v>
      </c>
      <c r="AF57" s="288">
        <f>'BS (After Changes)'!AF57-'BS (Before Changes)'!AF57</f>
        <v>0</v>
      </c>
      <c r="AG57" s="290">
        <f>'BS (After Changes)'!AG57-'BS (Before Changes)'!AG57</f>
        <v>0</v>
      </c>
      <c r="AH57" s="289">
        <f>'BS (After Changes)'!AH57-'BS (Before Changes)'!AH57</f>
        <v>0</v>
      </c>
      <c r="AI57" s="289">
        <f>'BS (After Changes)'!AI57-'BS (Before Changes)'!AI57</f>
        <v>0</v>
      </c>
      <c r="AJ57" s="288">
        <f>'BS (After Changes)'!AJ57-'BS (Before Changes)'!AJ57</f>
        <v>0</v>
      </c>
      <c r="AK57" s="288">
        <f>'BS (After Changes)'!AK57-'BS (Before Changes)'!AK57</f>
        <v>0</v>
      </c>
      <c r="AL57" s="290">
        <f>'BS (After Changes)'!AL57-'BS (Before Changes)'!AL57</f>
        <v>0</v>
      </c>
      <c r="AM57" s="289">
        <f>'BS (After Changes)'!AM57-'BS (Before Changes)'!AM57</f>
        <v>0</v>
      </c>
      <c r="AN57" s="289">
        <f>'BS (After Changes)'!AN57-'BS (Before Changes)'!AN57</f>
        <v>0</v>
      </c>
      <c r="AO57" s="288">
        <f>'BS (After Changes)'!AO57-'BS (Before Changes)'!AO57</f>
        <v>0</v>
      </c>
      <c r="AP57" s="288">
        <f>'BS (After Changes)'!AP57-'BS (Before Changes)'!AP57</f>
        <v>0</v>
      </c>
      <c r="AQ57" s="290">
        <f>'BS (After Changes)'!AQ57-'BS (Before Changes)'!AQ57</f>
        <v>0</v>
      </c>
      <c r="AR57" s="289">
        <f>'BS (After Changes)'!AR57-'BS (Before Changes)'!AR57</f>
        <v>0</v>
      </c>
      <c r="AS57" s="289">
        <f>'BS (After Changes)'!AS57-'BS (Before Changes)'!AS57</f>
        <v>0</v>
      </c>
      <c r="AT57" s="288">
        <f>'BS (After Changes)'!AT57-'BS (Before Changes)'!AT57</f>
        <v>0</v>
      </c>
      <c r="AU57" s="288">
        <f>'BS (After Changes)'!AU57-'BS (Before Changes)'!AU57</f>
        <v>0</v>
      </c>
      <c r="AV57" s="290">
        <f>'BS (After Changes)'!AV57-'BS (Before Changes)'!AV57</f>
        <v>0</v>
      </c>
    </row>
    <row r="58" spans="2:48" s="296" customFormat="1" outlineLevel="1" x14ac:dyDescent="0.3">
      <c r="B58" s="291" t="s">
        <v>260</v>
      </c>
      <c r="C58" s="249"/>
      <c r="D58" s="292">
        <f>'BS (After Changes)'!D58-'BS (Before Changes)'!D58</f>
        <v>0</v>
      </c>
      <c r="E58" s="292">
        <f>'BS (After Changes)'!E58-'BS (Before Changes)'!E58</f>
        <v>0</v>
      </c>
      <c r="F58" s="293">
        <f>'BS (After Changes)'!F58-'BS (Before Changes)'!F58</f>
        <v>0</v>
      </c>
      <c r="G58" s="293">
        <f>'BS (After Changes)'!G58-'BS (Before Changes)'!G58</f>
        <v>0</v>
      </c>
      <c r="H58" s="294">
        <f>'BS (After Changes)'!H58-'BS (Before Changes)'!H58</f>
        <v>0</v>
      </c>
      <c r="I58" s="292">
        <f>'BS (After Changes)'!I58-'BS (Before Changes)'!I58</f>
        <v>0</v>
      </c>
      <c r="J58" s="292">
        <f>'BS (After Changes)'!J58-'BS (Before Changes)'!J58</f>
        <v>0</v>
      </c>
      <c r="K58" s="293">
        <f>'BS (After Changes)'!K58-'BS (Before Changes)'!K58</f>
        <v>0</v>
      </c>
      <c r="L58" s="293">
        <f>'BS (After Changes)'!L58-'BS (Before Changes)'!L58</f>
        <v>0</v>
      </c>
      <c r="M58" s="294">
        <f>'BS (After Changes)'!M58-'BS (Before Changes)'!M58</f>
        <v>0</v>
      </c>
      <c r="N58" s="292">
        <f>'BS (After Changes)'!N58-'BS (Before Changes)'!N58</f>
        <v>0</v>
      </c>
      <c r="O58" s="292">
        <f>'BS (After Changes)'!O58-'BS (Before Changes)'!O58</f>
        <v>0</v>
      </c>
      <c r="P58" s="293">
        <f>'BS (After Changes)'!P58-'BS (Before Changes)'!P58</f>
        <v>0</v>
      </c>
      <c r="Q58" s="293">
        <f>'BS (After Changes)'!Q58-'BS (Before Changes)'!Q58</f>
        <v>0</v>
      </c>
      <c r="R58" s="294">
        <f>'BS (After Changes)'!R58-'BS (Before Changes)'!R58</f>
        <v>0</v>
      </c>
      <c r="S58" s="292">
        <f>'BS (After Changes)'!S58-'BS (Before Changes)'!S58</f>
        <v>0</v>
      </c>
      <c r="T58" s="292">
        <f>'BS (After Changes)'!T58-'BS (Before Changes)'!T58</f>
        <v>0</v>
      </c>
      <c r="U58" s="292">
        <f>'BS (After Changes)'!U58-'BS (Before Changes)'!U58</f>
        <v>0</v>
      </c>
      <c r="V58" s="293">
        <f>'BS (After Changes)'!V58-'BS (Before Changes)'!V58</f>
        <v>0</v>
      </c>
      <c r="W58" s="294">
        <f>'BS (After Changes)'!W58-'BS (Before Changes)'!W58</f>
        <v>0</v>
      </c>
      <c r="X58" s="292">
        <f>'BS (After Changes)'!X58-'BS (Before Changes)'!X58</f>
        <v>0</v>
      </c>
      <c r="Y58" s="292">
        <f>'BS (After Changes)'!Y58-'BS (Before Changes)'!Y58</f>
        <v>0</v>
      </c>
      <c r="Z58" s="293">
        <f>'BS (After Changes)'!Z58-'BS (Before Changes)'!Z58</f>
        <v>0</v>
      </c>
      <c r="AA58" s="293">
        <f>'BS (After Changes)'!AA58-'BS (Before Changes)'!AA58</f>
        <v>0</v>
      </c>
      <c r="AB58" s="295">
        <f>'BS (After Changes)'!AB58-'BS (Before Changes)'!AB58</f>
        <v>0</v>
      </c>
      <c r="AC58" s="292">
        <f>'BS (After Changes)'!AC58-'BS (Before Changes)'!AC58</f>
        <v>0</v>
      </c>
      <c r="AD58" s="292">
        <f>'BS (After Changes)'!AD58-'BS (Before Changes)'!AD58</f>
        <v>0</v>
      </c>
      <c r="AE58" s="293">
        <f>'BS (After Changes)'!AE58-'BS (Before Changes)'!AE58</f>
        <v>0</v>
      </c>
      <c r="AF58" s="293">
        <f>'BS (After Changes)'!AF58-'BS (Before Changes)'!AF58</f>
        <v>0</v>
      </c>
      <c r="AG58" s="295">
        <f>'BS (After Changes)'!AG58-'BS (Before Changes)'!AG58</f>
        <v>0</v>
      </c>
      <c r="AH58" s="292">
        <f>'BS (After Changes)'!AH58-'BS (Before Changes)'!AH58</f>
        <v>0</v>
      </c>
      <c r="AI58" s="292">
        <f>'BS (After Changes)'!AI58-'BS (Before Changes)'!AI58</f>
        <v>0</v>
      </c>
      <c r="AJ58" s="293">
        <f>'BS (After Changes)'!AJ58-'BS (Before Changes)'!AJ58</f>
        <v>0</v>
      </c>
      <c r="AK58" s="293">
        <f>'BS (After Changes)'!AK58-'BS (Before Changes)'!AK58</f>
        <v>0</v>
      </c>
      <c r="AL58" s="295">
        <f>'BS (After Changes)'!AL58-'BS (Before Changes)'!AL58</f>
        <v>0</v>
      </c>
      <c r="AM58" s="292">
        <f>'BS (After Changes)'!AM58-'BS (Before Changes)'!AM58</f>
        <v>0</v>
      </c>
      <c r="AN58" s="292">
        <f>'BS (After Changes)'!AN58-'BS (Before Changes)'!AN58</f>
        <v>0</v>
      </c>
      <c r="AO58" s="293">
        <f>'BS (After Changes)'!AO58-'BS (Before Changes)'!AO58</f>
        <v>0</v>
      </c>
      <c r="AP58" s="293">
        <f>'BS (After Changes)'!AP58-'BS (Before Changes)'!AP58</f>
        <v>0</v>
      </c>
      <c r="AQ58" s="295">
        <f>'BS (After Changes)'!AQ58-'BS (Before Changes)'!AQ58</f>
        <v>0</v>
      </c>
      <c r="AR58" s="292">
        <f>'BS (After Changes)'!AR58-'BS (Before Changes)'!AR58</f>
        <v>0</v>
      </c>
      <c r="AS58" s="292">
        <f>'BS (After Changes)'!AS58-'BS (Before Changes)'!AS58</f>
        <v>0</v>
      </c>
      <c r="AT58" s="293">
        <f>'BS (After Changes)'!AT58-'BS (Before Changes)'!AT58</f>
        <v>0</v>
      </c>
      <c r="AU58" s="293">
        <f>'BS (After Changes)'!AU58-'BS (Before Changes)'!AU58</f>
        <v>0</v>
      </c>
      <c r="AV58" s="295">
        <f>'BS (After Changes)'!AV58-'BS (Before Changes)'!AV58</f>
        <v>0</v>
      </c>
    </row>
    <row r="59" spans="2:48" s="302" customFormat="1" outlineLevel="1" x14ac:dyDescent="0.3">
      <c r="B59" s="200" t="s">
        <v>261</v>
      </c>
      <c r="C59" s="297"/>
      <c r="D59" s="298">
        <f>'BS (After Changes)'!D59-'BS (Before Changes)'!D59</f>
        <v>0</v>
      </c>
      <c r="E59" s="298">
        <f>'BS (After Changes)'!E59-'BS (Before Changes)'!E59</f>
        <v>0</v>
      </c>
      <c r="F59" s="146">
        <f>'BS (After Changes)'!F59-'BS (Before Changes)'!F59</f>
        <v>0</v>
      </c>
      <c r="G59" s="146">
        <f>'BS (After Changes)'!G59-'BS (Before Changes)'!G59</f>
        <v>0</v>
      </c>
      <c r="H59" s="122">
        <f>'BS (After Changes)'!H59-'BS (Before Changes)'!H59</f>
        <v>0</v>
      </c>
      <c r="I59" s="299">
        <f>'BS (After Changes)'!I59-'BS (Before Changes)'!I59</f>
        <v>0</v>
      </c>
      <c r="J59" s="299">
        <f>'BS (After Changes)'!J59-'BS (Before Changes)'!J59</f>
        <v>0</v>
      </c>
      <c r="K59" s="146">
        <f>'BS (After Changes)'!K59-'BS (Before Changes)'!K59</f>
        <v>0</v>
      </c>
      <c r="L59" s="146">
        <f>'BS (After Changes)'!L59-'BS (Before Changes)'!L59</f>
        <v>0</v>
      </c>
      <c r="M59" s="26">
        <f>'BS (After Changes)'!M59-'BS (Before Changes)'!M59</f>
        <v>0</v>
      </c>
      <c r="N59" s="299">
        <f>'BS (After Changes)'!N59-'BS (Before Changes)'!N59</f>
        <v>0</v>
      </c>
      <c r="O59" s="299">
        <f>'BS (After Changes)'!O59-'BS (Before Changes)'!O59</f>
        <v>0</v>
      </c>
      <c r="P59" s="146">
        <f>'BS (After Changes)'!P59-'BS (Before Changes)'!P59</f>
        <v>0</v>
      </c>
      <c r="Q59" s="146">
        <f>'BS (After Changes)'!Q59-'BS (Before Changes)'!Q59</f>
        <v>0</v>
      </c>
      <c r="R59" s="26">
        <f>'BS (After Changes)'!R59-'BS (Before Changes)'!R59</f>
        <v>0</v>
      </c>
      <c r="S59" s="299">
        <f>'BS (After Changes)'!S59-'BS (Before Changes)'!S59</f>
        <v>0</v>
      </c>
      <c r="T59" s="299">
        <f>'BS (After Changes)'!T59-'BS (Before Changes)'!T59</f>
        <v>0</v>
      </c>
      <c r="U59" s="299">
        <f>'BS (After Changes)'!U59-'BS (Before Changes)'!U59</f>
        <v>0</v>
      </c>
      <c r="V59" s="146">
        <f>'BS (After Changes)'!V59-'BS (Before Changes)'!V59</f>
        <v>0</v>
      </c>
      <c r="W59" s="26">
        <f>'BS (After Changes)'!W59-'BS (Before Changes)'!W59</f>
        <v>0</v>
      </c>
      <c r="X59" s="301">
        <f>'BS (After Changes)'!X59-'BS (Before Changes)'!X59</f>
        <v>0</v>
      </c>
      <c r="Y59" s="301">
        <f>'BS (After Changes)'!Y59-'BS (Before Changes)'!Y59</f>
        <v>0</v>
      </c>
      <c r="Z59" s="300">
        <f>'BS (After Changes)'!Z59-'BS (Before Changes)'!Z59</f>
        <v>0</v>
      </c>
      <c r="AA59" s="300">
        <f>'BS (After Changes)'!AA59-'BS (Before Changes)'!AA59</f>
        <v>0</v>
      </c>
      <c r="AB59" s="6">
        <f>'BS (After Changes)'!AB59-'BS (Before Changes)'!AB59</f>
        <v>0</v>
      </c>
      <c r="AC59" s="301">
        <f>'BS (After Changes)'!AC59-'BS (Before Changes)'!AC59</f>
        <v>0</v>
      </c>
      <c r="AD59" s="301">
        <f>'BS (After Changes)'!AD59-'BS (Before Changes)'!AD59</f>
        <v>0</v>
      </c>
      <c r="AE59" s="300">
        <f>'BS (After Changes)'!AE59-'BS (Before Changes)'!AE59</f>
        <v>0</v>
      </c>
      <c r="AF59" s="300">
        <f>'BS (After Changes)'!AF59-'BS (Before Changes)'!AF59</f>
        <v>0</v>
      </c>
      <c r="AG59" s="6">
        <f>'BS (After Changes)'!AG59-'BS (Before Changes)'!AG59</f>
        <v>0</v>
      </c>
      <c r="AH59" s="301">
        <f>'BS (After Changes)'!AH59-'BS (Before Changes)'!AH59</f>
        <v>0</v>
      </c>
      <c r="AI59" s="301">
        <f>'BS (After Changes)'!AI59-'BS (Before Changes)'!AI59</f>
        <v>0</v>
      </c>
      <c r="AJ59" s="300">
        <f>'BS (After Changes)'!AJ59-'BS (Before Changes)'!AJ59</f>
        <v>0</v>
      </c>
      <c r="AK59" s="300">
        <f>'BS (After Changes)'!AK59-'BS (Before Changes)'!AK59</f>
        <v>0</v>
      </c>
      <c r="AL59" s="6">
        <f>'BS (After Changes)'!AL59-'BS (Before Changes)'!AL59</f>
        <v>0</v>
      </c>
      <c r="AM59" s="301">
        <f>'BS (After Changes)'!AM59-'BS (Before Changes)'!AM59</f>
        <v>0</v>
      </c>
      <c r="AN59" s="301">
        <f>'BS (After Changes)'!AN59-'BS (Before Changes)'!AN59</f>
        <v>0</v>
      </c>
      <c r="AO59" s="300">
        <f>'BS (After Changes)'!AO59-'BS (Before Changes)'!AO59</f>
        <v>0</v>
      </c>
      <c r="AP59" s="300">
        <f>'BS (After Changes)'!AP59-'BS (Before Changes)'!AP59</f>
        <v>0</v>
      </c>
      <c r="AQ59" s="6">
        <f>'BS (After Changes)'!AQ59-'BS (Before Changes)'!AQ59</f>
        <v>0</v>
      </c>
      <c r="AR59" s="301">
        <f>'BS (After Changes)'!AR59-'BS (Before Changes)'!AR59</f>
        <v>0</v>
      </c>
      <c r="AS59" s="301">
        <f>'BS (After Changes)'!AS59-'BS (Before Changes)'!AS59</f>
        <v>0</v>
      </c>
      <c r="AT59" s="300">
        <f>'BS (After Changes)'!AT59-'BS (Before Changes)'!AT59</f>
        <v>0</v>
      </c>
      <c r="AU59" s="300">
        <f>'BS (After Changes)'!AU59-'BS (Before Changes)'!AU59</f>
        <v>0</v>
      </c>
      <c r="AV59" s="6">
        <f>'BS (After Changes)'!AV59-'BS (Before Changes)'!AV59</f>
        <v>0</v>
      </c>
    </row>
    <row r="60" spans="2:48" s="302" customFormat="1" outlineLevel="1" x14ac:dyDescent="0.3">
      <c r="B60" s="200" t="s">
        <v>262</v>
      </c>
      <c r="C60" s="297"/>
      <c r="D60" s="298">
        <f>'BS (After Changes)'!D60-'BS (Before Changes)'!D60</f>
        <v>0</v>
      </c>
      <c r="E60" s="298">
        <f>'BS (After Changes)'!E60-'BS (Before Changes)'!E60</f>
        <v>0</v>
      </c>
      <c r="F60" s="146">
        <f>'BS (After Changes)'!F60-'BS (Before Changes)'!F60</f>
        <v>0</v>
      </c>
      <c r="G60" s="146">
        <f>'BS (After Changes)'!G60-'BS (Before Changes)'!G60</f>
        <v>0</v>
      </c>
      <c r="H60" s="122">
        <f>'BS (After Changes)'!H60-'BS (Before Changes)'!H60</f>
        <v>0</v>
      </c>
      <c r="I60" s="299">
        <f>'BS (After Changes)'!I60-'BS (Before Changes)'!I60</f>
        <v>0</v>
      </c>
      <c r="J60" s="299">
        <f>'BS (After Changes)'!J60-'BS (Before Changes)'!J60</f>
        <v>0</v>
      </c>
      <c r="K60" s="146">
        <f>'BS (After Changes)'!K60-'BS (Before Changes)'!K60</f>
        <v>0</v>
      </c>
      <c r="L60" s="146">
        <f>'BS (After Changes)'!L60-'BS (Before Changes)'!L60</f>
        <v>0</v>
      </c>
      <c r="M60" s="26">
        <f>'BS (After Changes)'!M60-'BS (Before Changes)'!M60</f>
        <v>0</v>
      </c>
      <c r="N60" s="299">
        <f>'BS (After Changes)'!N60-'BS (Before Changes)'!N60</f>
        <v>0</v>
      </c>
      <c r="O60" s="299">
        <f>'BS (After Changes)'!O60-'BS (Before Changes)'!O60</f>
        <v>0</v>
      </c>
      <c r="P60" s="146">
        <f>'BS (After Changes)'!P60-'BS (Before Changes)'!P60</f>
        <v>0</v>
      </c>
      <c r="Q60" s="146">
        <f>'BS (After Changes)'!Q60-'BS (Before Changes)'!Q60</f>
        <v>0</v>
      </c>
      <c r="R60" s="26">
        <f>'BS (After Changes)'!R60-'BS (Before Changes)'!R60</f>
        <v>0</v>
      </c>
      <c r="S60" s="299">
        <f>'BS (After Changes)'!S60-'BS (Before Changes)'!S60</f>
        <v>0</v>
      </c>
      <c r="T60" s="299">
        <f>'BS (After Changes)'!T60-'BS (Before Changes)'!T60</f>
        <v>0</v>
      </c>
      <c r="U60" s="299">
        <f>'BS (After Changes)'!U60-'BS (Before Changes)'!U60</f>
        <v>0</v>
      </c>
      <c r="V60" s="146">
        <f>'BS (After Changes)'!V60-'BS (Before Changes)'!V60</f>
        <v>0</v>
      </c>
      <c r="W60" s="26">
        <f>'BS (After Changes)'!W60-'BS (Before Changes)'!W60</f>
        <v>0</v>
      </c>
      <c r="X60" s="300">
        <f>'BS (After Changes)'!X60-'BS (Before Changes)'!X60</f>
        <v>0</v>
      </c>
      <c r="Y60" s="300">
        <f>'BS (After Changes)'!Y60-'BS (Before Changes)'!Y60</f>
        <v>0</v>
      </c>
      <c r="Z60" s="300">
        <f>'BS (After Changes)'!Z60-'BS (Before Changes)'!Z60</f>
        <v>0</v>
      </c>
      <c r="AA60" s="300">
        <f>'BS (After Changes)'!AA60-'BS (Before Changes)'!AA60</f>
        <v>0</v>
      </c>
      <c r="AB60" s="6">
        <f>'BS (After Changes)'!AB60-'BS (Before Changes)'!AB60</f>
        <v>0</v>
      </c>
      <c r="AC60" s="300">
        <f>'BS (After Changes)'!AC60-'BS (Before Changes)'!AC60</f>
        <v>0</v>
      </c>
      <c r="AD60" s="300">
        <f>'BS (After Changes)'!AD60-'BS (Before Changes)'!AD60</f>
        <v>0</v>
      </c>
      <c r="AE60" s="300">
        <f>'BS (After Changes)'!AE60-'BS (Before Changes)'!AE60</f>
        <v>0</v>
      </c>
      <c r="AF60" s="300">
        <f>'BS (After Changes)'!AF60-'BS (Before Changes)'!AF60</f>
        <v>0</v>
      </c>
      <c r="AG60" s="6">
        <f>'BS (After Changes)'!AG60-'BS (Before Changes)'!AG60</f>
        <v>0</v>
      </c>
      <c r="AH60" s="300">
        <f>'BS (After Changes)'!AH60-'BS (Before Changes)'!AH60</f>
        <v>0</v>
      </c>
      <c r="AI60" s="300">
        <f>'BS (After Changes)'!AI60-'BS (Before Changes)'!AI60</f>
        <v>0</v>
      </c>
      <c r="AJ60" s="300">
        <f>'BS (After Changes)'!AJ60-'BS (Before Changes)'!AJ60</f>
        <v>0</v>
      </c>
      <c r="AK60" s="300">
        <f>'BS (After Changes)'!AK60-'BS (Before Changes)'!AK60</f>
        <v>0</v>
      </c>
      <c r="AL60" s="6">
        <f>'BS (After Changes)'!AL60-'BS (Before Changes)'!AL60</f>
        <v>0</v>
      </c>
      <c r="AM60" s="300">
        <f>'BS (After Changes)'!AM60-'BS (Before Changes)'!AM60</f>
        <v>0</v>
      </c>
      <c r="AN60" s="300">
        <f>'BS (After Changes)'!AN60-'BS (Before Changes)'!AN60</f>
        <v>0</v>
      </c>
      <c r="AO60" s="300">
        <f>'BS (After Changes)'!AO60-'BS (Before Changes)'!AO60</f>
        <v>0</v>
      </c>
      <c r="AP60" s="300">
        <f>'BS (After Changes)'!AP60-'BS (Before Changes)'!AP60</f>
        <v>0</v>
      </c>
      <c r="AQ60" s="6">
        <f>'BS (After Changes)'!AQ60-'BS (Before Changes)'!AQ60</f>
        <v>0</v>
      </c>
      <c r="AR60" s="300">
        <f>'BS (After Changes)'!AR60-'BS (Before Changes)'!AR60</f>
        <v>0</v>
      </c>
      <c r="AS60" s="300">
        <f>'BS (After Changes)'!AS60-'BS (Before Changes)'!AS60</f>
        <v>0</v>
      </c>
      <c r="AT60" s="300">
        <f>'BS (After Changes)'!AT60-'BS (Before Changes)'!AT60</f>
        <v>0</v>
      </c>
      <c r="AU60" s="300">
        <f>'BS (After Changes)'!AU60-'BS (Before Changes)'!AU60</f>
        <v>0</v>
      </c>
      <c r="AV60" s="6">
        <f>'BS (After Changes)'!AV60-'BS (Before Changes)'!AV60</f>
        <v>0</v>
      </c>
    </row>
    <row r="61" spans="2:48" s="302" customFormat="1" outlineLevel="1" x14ac:dyDescent="0.3">
      <c r="B61" s="200" t="s">
        <v>263</v>
      </c>
      <c r="C61" s="297"/>
      <c r="D61" s="298">
        <f>'BS (After Changes)'!D61-'BS (Before Changes)'!D61</f>
        <v>0</v>
      </c>
      <c r="E61" s="298">
        <f>'BS (After Changes)'!E61-'BS (Before Changes)'!E61</f>
        <v>0</v>
      </c>
      <c r="F61" s="146">
        <f>'BS (After Changes)'!F61-'BS (Before Changes)'!F61</f>
        <v>0</v>
      </c>
      <c r="G61" s="146">
        <f>'BS (After Changes)'!G61-'BS (Before Changes)'!G61</f>
        <v>0</v>
      </c>
      <c r="H61" s="122">
        <f>'BS (After Changes)'!H61-'BS (Before Changes)'!H61</f>
        <v>0</v>
      </c>
      <c r="I61" s="299">
        <f>'BS (After Changes)'!I61-'BS (Before Changes)'!I61</f>
        <v>0</v>
      </c>
      <c r="J61" s="299">
        <f>'BS (After Changes)'!J61-'BS (Before Changes)'!J61</f>
        <v>0</v>
      </c>
      <c r="K61" s="146">
        <f>'BS (After Changes)'!K61-'BS (Before Changes)'!K61</f>
        <v>0</v>
      </c>
      <c r="L61" s="146">
        <f>'BS (After Changes)'!L61-'BS (Before Changes)'!L61</f>
        <v>0</v>
      </c>
      <c r="M61" s="26">
        <f>'BS (After Changes)'!M61-'BS (Before Changes)'!M61</f>
        <v>0</v>
      </c>
      <c r="N61" s="299">
        <f>'BS (After Changes)'!N61-'BS (Before Changes)'!N61</f>
        <v>0</v>
      </c>
      <c r="O61" s="299">
        <f>'BS (After Changes)'!O61-'BS (Before Changes)'!O61</f>
        <v>0</v>
      </c>
      <c r="P61" s="146">
        <f>'BS (After Changes)'!P61-'BS (Before Changes)'!P61</f>
        <v>0</v>
      </c>
      <c r="Q61" s="146">
        <f>'BS (After Changes)'!Q61-'BS (Before Changes)'!Q61</f>
        <v>0</v>
      </c>
      <c r="R61" s="26">
        <f>'BS (After Changes)'!R61-'BS (Before Changes)'!R61</f>
        <v>0</v>
      </c>
      <c r="S61" s="299">
        <f>'BS (After Changes)'!S61-'BS (Before Changes)'!S61</f>
        <v>0</v>
      </c>
      <c r="T61" s="299">
        <f>'BS (After Changes)'!T61-'BS (Before Changes)'!T61</f>
        <v>0</v>
      </c>
      <c r="U61" s="299">
        <f>'BS (After Changes)'!U61-'BS (Before Changes)'!U61</f>
        <v>0</v>
      </c>
      <c r="V61" s="146">
        <f>'BS (After Changes)'!V61-'BS (Before Changes)'!V61</f>
        <v>0</v>
      </c>
      <c r="W61" s="26">
        <f>'BS (After Changes)'!W61-'BS (Before Changes)'!W61</f>
        <v>0</v>
      </c>
      <c r="X61" s="301">
        <f>'BS (After Changes)'!X61-'BS (Before Changes)'!X61</f>
        <v>0</v>
      </c>
      <c r="Y61" s="301">
        <f>'BS (After Changes)'!Y61-'BS (Before Changes)'!Y61</f>
        <v>0</v>
      </c>
      <c r="Z61" s="300">
        <f>'BS (After Changes)'!Z61-'BS (Before Changes)'!Z61</f>
        <v>0</v>
      </c>
      <c r="AA61" s="300">
        <f>'BS (After Changes)'!AA61-'BS (Before Changes)'!AA61</f>
        <v>0</v>
      </c>
      <c r="AB61" s="6">
        <f>'BS (After Changes)'!AB61-'BS (Before Changes)'!AB61</f>
        <v>0</v>
      </c>
      <c r="AC61" s="301">
        <f>'BS (After Changes)'!AC61-'BS (Before Changes)'!AC61</f>
        <v>0</v>
      </c>
      <c r="AD61" s="301">
        <f>'BS (After Changes)'!AD61-'BS (Before Changes)'!AD61</f>
        <v>0</v>
      </c>
      <c r="AE61" s="300">
        <f>'BS (After Changes)'!AE61-'BS (Before Changes)'!AE61</f>
        <v>0</v>
      </c>
      <c r="AF61" s="300">
        <f>'BS (After Changes)'!AF61-'BS (Before Changes)'!AF61</f>
        <v>0</v>
      </c>
      <c r="AG61" s="6">
        <f>'BS (After Changes)'!AG61-'BS (Before Changes)'!AG61</f>
        <v>0</v>
      </c>
      <c r="AH61" s="301">
        <f>'BS (After Changes)'!AH61-'BS (Before Changes)'!AH61</f>
        <v>0</v>
      </c>
      <c r="AI61" s="301">
        <f>'BS (After Changes)'!AI61-'BS (Before Changes)'!AI61</f>
        <v>0</v>
      </c>
      <c r="AJ61" s="300">
        <f>'BS (After Changes)'!AJ61-'BS (Before Changes)'!AJ61</f>
        <v>0</v>
      </c>
      <c r="AK61" s="300">
        <f>'BS (After Changes)'!AK61-'BS (Before Changes)'!AK61</f>
        <v>0</v>
      </c>
      <c r="AL61" s="6">
        <f>'BS (After Changes)'!AL61-'BS (Before Changes)'!AL61</f>
        <v>0</v>
      </c>
      <c r="AM61" s="301">
        <f>'BS (After Changes)'!AM61-'BS (Before Changes)'!AM61</f>
        <v>0</v>
      </c>
      <c r="AN61" s="301">
        <f>'BS (After Changes)'!AN61-'BS (Before Changes)'!AN61</f>
        <v>0</v>
      </c>
      <c r="AO61" s="300">
        <f>'BS (After Changes)'!AO61-'BS (Before Changes)'!AO61</f>
        <v>0</v>
      </c>
      <c r="AP61" s="300">
        <f>'BS (After Changes)'!AP61-'BS (Before Changes)'!AP61</f>
        <v>0</v>
      </c>
      <c r="AQ61" s="6">
        <f>'BS (After Changes)'!AQ61-'BS (Before Changes)'!AQ61</f>
        <v>0</v>
      </c>
      <c r="AR61" s="301">
        <f>'BS (After Changes)'!AR61-'BS (Before Changes)'!AR61</f>
        <v>0</v>
      </c>
      <c r="AS61" s="301">
        <f>'BS (After Changes)'!AS61-'BS (Before Changes)'!AS61</f>
        <v>0</v>
      </c>
      <c r="AT61" s="300">
        <f>'BS (After Changes)'!AT61-'BS (Before Changes)'!AT61</f>
        <v>0</v>
      </c>
      <c r="AU61" s="300">
        <f>'BS (After Changes)'!AU61-'BS (Before Changes)'!AU61</f>
        <v>0</v>
      </c>
      <c r="AV61" s="6">
        <f>'BS (After Changes)'!AV61-'BS (Before Changes)'!AV61</f>
        <v>0</v>
      </c>
    </row>
    <row r="62" spans="2:48" s="23" customFormat="1" outlineLevel="1" x14ac:dyDescent="0.3">
      <c r="B62" s="200" t="s">
        <v>264</v>
      </c>
      <c r="C62" s="201"/>
      <c r="D62" s="179">
        <f>'BS (After Changes)'!D62-'BS (Before Changes)'!D62</f>
        <v>0</v>
      </c>
      <c r="E62" s="179">
        <f>'BS (After Changes)'!E62-'BS (Before Changes)'!E62</f>
        <v>0</v>
      </c>
      <c r="F62" s="303">
        <f>'BS (After Changes)'!F62-'BS (Before Changes)'!F62</f>
        <v>0</v>
      </c>
      <c r="G62" s="303">
        <f>'BS (After Changes)'!G62-'BS (Before Changes)'!G62</f>
        <v>0</v>
      </c>
      <c r="H62" s="128">
        <f>'BS (After Changes)'!H62-'BS (Before Changes)'!H62</f>
        <v>0</v>
      </c>
      <c r="I62" s="303">
        <f>'BS (After Changes)'!I62-'BS (Before Changes)'!I62</f>
        <v>0</v>
      </c>
      <c r="J62" s="303">
        <f>'BS (After Changes)'!J62-'BS (Before Changes)'!J62</f>
        <v>0</v>
      </c>
      <c r="K62" s="303">
        <f>'BS (After Changes)'!K62-'BS (Before Changes)'!K62</f>
        <v>0</v>
      </c>
      <c r="L62" s="179">
        <f>'BS (After Changes)'!L62-'BS (Before Changes)'!L62</f>
        <v>0</v>
      </c>
      <c r="M62" s="28">
        <f>'BS (After Changes)'!M62-'BS (Before Changes)'!M62</f>
        <v>0</v>
      </c>
      <c r="N62" s="179">
        <f>'BS (After Changes)'!N62-'BS (Before Changes)'!N62</f>
        <v>0</v>
      </c>
      <c r="O62" s="179">
        <f>'BS (After Changes)'!O62-'BS (Before Changes)'!O62</f>
        <v>0</v>
      </c>
      <c r="P62" s="179">
        <f>'BS (After Changes)'!P62-'BS (Before Changes)'!P62</f>
        <v>0</v>
      </c>
      <c r="Q62" s="179">
        <f>'BS (After Changes)'!Q62-'BS (Before Changes)'!Q62</f>
        <v>0</v>
      </c>
      <c r="R62" s="28">
        <f>'BS (After Changes)'!R62-'BS (Before Changes)'!R62</f>
        <v>0</v>
      </c>
      <c r="S62" s="179">
        <f>'BS (After Changes)'!S62-'BS (Before Changes)'!S62</f>
        <v>0</v>
      </c>
      <c r="T62" s="179">
        <f>'BS (After Changes)'!T62-'BS (Before Changes)'!T62</f>
        <v>0</v>
      </c>
      <c r="U62" s="179">
        <f>'BS (After Changes)'!U62-'BS (Before Changes)'!U62</f>
        <v>0</v>
      </c>
      <c r="V62" s="179">
        <f>'BS (After Changes)'!V62-'BS (Before Changes)'!V62</f>
        <v>0</v>
      </c>
      <c r="W62" s="28">
        <f>'BS (After Changes)'!W62-'BS (Before Changes)'!W62</f>
        <v>0</v>
      </c>
      <c r="X62" s="179">
        <f>'BS (After Changes)'!X62-'BS (Before Changes)'!X62</f>
        <v>-1.7783935748731938E-3</v>
      </c>
      <c r="Y62" s="179">
        <f>'BS (After Changes)'!Y62-'BS (Before Changes)'!Y62</f>
        <v>3.9396101633504266E-3</v>
      </c>
      <c r="Z62" s="179">
        <f>'BS (After Changes)'!Z62-'BS (Before Changes)'!Z62</f>
        <v>-1.9672921427835721E-3</v>
      </c>
      <c r="AA62" s="179">
        <f>'BS (After Changes)'!AA62-'BS (Before Changes)'!AA62</f>
        <v>2.3802554636351392E-2</v>
      </c>
      <c r="AB62" s="28">
        <f>'BS (After Changes)'!AB62-'BS (Before Changes)'!AB62</f>
        <v>0</v>
      </c>
      <c r="AC62" s="179">
        <f>'BS (After Changes)'!AC62-'BS (Before Changes)'!AC62</f>
        <v>2.2431603645312936E-2</v>
      </c>
      <c r="AD62" s="179">
        <f>'BS (After Changes)'!AD62-'BS (Before Changes)'!AD62</f>
        <v>-1.1753652267807446E-3</v>
      </c>
      <c r="AE62" s="179">
        <f>'BS (After Changes)'!AE62-'BS (Before Changes)'!AE62</f>
        <v>-7.1155035087491658E-2</v>
      </c>
      <c r="AF62" s="179">
        <f>'BS (After Changes)'!AF62-'BS (Before Changes)'!AF62</f>
        <v>-0.17627305466226906</v>
      </c>
      <c r="AG62" s="28">
        <f>'BS (After Changes)'!AG62-'BS (Before Changes)'!AG62</f>
        <v>0</v>
      </c>
      <c r="AH62" s="179">
        <f>'BS (After Changes)'!AH62-'BS (Before Changes)'!AH62</f>
        <v>-0.27210864176747585</v>
      </c>
      <c r="AI62" s="179">
        <f>'BS (After Changes)'!AI62-'BS (Before Changes)'!AI62</f>
        <v>-0.45986749190299658</v>
      </c>
      <c r="AJ62" s="179">
        <f>'BS (After Changes)'!AJ62-'BS (Before Changes)'!AJ62</f>
        <v>-0.1731478770656345</v>
      </c>
      <c r="AK62" s="179">
        <f>'BS (After Changes)'!AK62-'BS (Before Changes)'!AK62</f>
        <v>-8.9809731129741222E-2</v>
      </c>
      <c r="AL62" s="28">
        <f>'BS (After Changes)'!AL62-'BS (Before Changes)'!AL62</f>
        <v>0</v>
      </c>
      <c r="AM62" s="179">
        <f>'BS (After Changes)'!AM62-'BS (Before Changes)'!AM62</f>
        <v>-0.10447954482731636</v>
      </c>
      <c r="AN62" s="179">
        <f>'BS (After Changes)'!AN62-'BS (Before Changes)'!AN62</f>
        <v>-0.12617061971120269</v>
      </c>
      <c r="AO62" s="179">
        <f>'BS (After Changes)'!AO62-'BS (Before Changes)'!AO62</f>
        <v>-0.1776813649613771</v>
      </c>
      <c r="AP62" s="179">
        <f>'BS (After Changes)'!AP62-'BS (Before Changes)'!AP62</f>
        <v>-0.24080622273394803</v>
      </c>
      <c r="AQ62" s="28">
        <f>'BS (After Changes)'!AQ62-'BS (Before Changes)'!AQ62</f>
        <v>0</v>
      </c>
      <c r="AR62" s="179">
        <f>'BS (After Changes)'!AR62-'BS (Before Changes)'!AR62</f>
        <v>-0.29156688393182817</v>
      </c>
      <c r="AS62" s="179">
        <f>'BS (After Changes)'!AS62-'BS (Before Changes)'!AS62</f>
        <v>-0.35580745826132132</v>
      </c>
      <c r="AT62" s="179">
        <f>'BS (After Changes)'!AT62-'BS (Before Changes)'!AT62</f>
        <v>-0.51320375804171059</v>
      </c>
      <c r="AU62" s="179">
        <f>'BS (After Changes)'!AU62-'BS (Before Changes)'!AU62</f>
        <v>-0.7325971200507273</v>
      </c>
      <c r="AV62" s="28">
        <f>'BS (After Changes)'!AV62-'BS (Before Changes)'!AV62</f>
        <v>0</v>
      </c>
    </row>
    <row r="63" spans="2:48" s="23" customFormat="1" outlineLevel="1" x14ac:dyDescent="0.3">
      <c r="B63" s="200" t="s">
        <v>265</v>
      </c>
      <c r="C63" s="201"/>
      <c r="D63" s="179">
        <f>'BS (After Changes)'!D63-'BS (Before Changes)'!D63</f>
        <v>0</v>
      </c>
      <c r="E63" s="179">
        <f>'BS (After Changes)'!E63-'BS (Before Changes)'!E63</f>
        <v>0</v>
      </c>
      <c r="F63" s="303">
        <f>'BS (After Changes)'!F63-'BS (Before Changes)'!F63</f>
        <v>0</v>
      </c>
      <c r="G63" s="303">
        <f>'BS (After Changes)'!G63-'BS (Before Changes)'!G63</f>
        <v>0</v>
      </c>
      <c r="H63" s="128">
        <f>'BS (After Changes)'!H63-'BS (Before Changes)'!H63</f>
        <v>0</v>
      </c>
      <c r="I63" s="303">
        <f>'BS (After Changes)'!I63-'BS (Before Changes)'!I63</f>
        <v>0</v>
      </c>
      <c r="J63" s="303">
        <f>'BS (After Changes)'!J63-'BS (Before Changes)'!J63</f>
        <v>0</v>
      </c>
      <c r="K63" s="303">
        <f>'BS (After Changes)'!K63-'BS (Before Changes)'!K63</f>
        <v>0</v>
      </c>
      <c r="L63" s="179">
        <f>'BS (After Changes)'!L63-'BS (Before Changes)'!L63</f>
        <v>0</v>
      </c>
      <c r="M63" s="28">
        <f>'BS (After Changes)'!M63-'BS (Before Changes)'!M63</f>
        <v>0</v>
      </c>
      <c r="N63" s="179">
        <f>'BS (After Changes)'!N63-'BS (Before Changes)'!N63</f>
        <v>0</v>
      </c>
      <c r="O63" s="179">
        <f>'BS (After Changes)'!O63-'BS (Before Changes)'!O63</f>
        <v>0</v>
      </c>
      <c r="P63" s="179">
        <f>'BS (After Changes)'!P63-'BS (Before Changes)'!P63</f>
        <v>0</v>
      </c>
      <c r="Q63" s="179">
        <f>'BS (After Changes)'!Q63-'BS (Before Changes)'!Q63</f>
        <v>0</v>
      </c>
      <c r="R63" s="28">
        <f>'BS (After Changes)'!R63-'BS (Before Changes)'!R63</f>
        <v>0</v>
      </c>
      <c r="S63" s="179">
        <f>'BS (After Changes)'!S63-'BS (Before Changes)'!S63</f>
        <v>0</v>
      </c>
      <c r="T63" s="179">
        <f>'BS (After Changes)'!T63-'BS (Before Changes)'!T63</f>
        <v>0</v>
      </c>
      <c r="U63" s="179">
        <f>'BS (After Changes)'!U63-'BS (Before Changes)'!U63</f>
        <v>0</v>
      </c>
      <c r="V63" s="179">
        <f>'BS (After Changes)'!V63-'BS (Before Changes)'!V63</f>
        <v>0</v>
      </c>
      <c r="W63" s="28">
        <f>'BS (After Changes)'!W63-'BS (Before Changes)'!W63</f>
        <v>0</v>
      </c>
      <c r="X63" s="179">
        <f>'BS (After Changes)'!X63-'BS (Before Changes)'!X63</f>
        <v>0</v>
      </c>
      <c r="Y63" s="179">
        <f>'BS (After Changes)'!Y63-'BS (Before Changes)'!Y63</f>
        <v>0</v>
      </c>
      <c r="Z63" s="179">
        <f>'BS (After Changes)'!Z63-'BS (Before Changes)'!Z63</f>
        <v>0</v>
      </c>
      <c r="AA63" s="179">
        <f>'BS (After Changes)'!AA63-'BS (Before Changes)'!AA63</f>
        <v>0</v>
      </c>
      <c r="AB63" s="28">
        <f>'BS (After Changes)'!AB63-'BS (Before Changes)'!AB63</f>
        <v>0</v>
      </c>
      <c r="AC63" s="179">
        <f>'BS (After Changes)'!AC63-'BS (Before Changes)'!AC63</f>
        <v>0</v>
      </c>
      <c r="AD63" s="179">
        <f>'BS (After Changes)'!AD63-'BS (Before Changes)'!AD63</f>
        <v>0</v>
      </c>
      <c r="AE63" s="179">
        <f>'BS (After Changes)'!AE63-'BS (Before Changes)'!AE63</f>
        <v>0</v>
      </c>
      <c r="AF63" s="179">
        <f>'BS (After Changes)'!AF63-'BS (Before Changes)'!AF63</f>
        <v>0</v>
      </c>
      <c r="AG63" s="28">
        <f>'BS (After Changes)'!AG63-'BS (Before Changes)'!AG63</f>
        <v>0</v>
      </c>
      <c r="AH63" s="179">
        <f>'BS (After Changes)'!AH63-'BS (Before Changes)'!AH63</f>
        <v>0</v>
      </c>
      <c r="AI63" s="179">
        <f>'BS (After Changes)'!AI63-'BS (Before Changes)'!AI63</f>
        <v>0</v>
      </c>
      <c r="AJ63" s="179">
        <f>'BS (After Changes)'!AJ63-'BS (Before Changes)'!AJ63</f>
        <v>0</v>
      </c>
      <c r="AK63" s="179">
        <f>'BS (After Changes)'!AK63-'BS (Before Changes)'!AK63</f>
        <v>0</v>
      </c>
      <c r="AL63" s="28">
        <f>'BS (After Changes)'!AL63-'BS (Before Changes)'!AL63</f>
        <v>0</v>
      </c>
      <c r="AM63" s="179">
        <f>'BS (After Changes)'!AM63-'BS (Before Changes)'!AM63</f>
        <v>0</v>
      </c>
      <c r="AN63" s="179">
        <f>'BS (After Changes)'!AN63-'BS (Before Changes)'!AN63</f>
        <v>0</v>
      </c>
      <c r="AO63" s="179">
        <f>'BS (After Changes)'!AO63-'BS (Before Changes)'!AO63</f>
        <v>0</v>
      </c>
      <c r="AP63" s="179">
        <f>'BS (After Changes)'!AP63-'BS (Before Changes)'!AP63</f>
        <v>0</v>
      </c>
      <c r="AQ63" s="28">
        <f>'BS (After Changes)'!AQ63-'BS (Before Changes)'!AQ63</f>
        <v>0</v>
      </c>
      <c r="AR63" s="179">
        <f>'BS (After Changes)'!AR63-'BS (Before Changes)'!AR63</f>
        <v>0</v>
      </c>
      <c r="AS63" s="179">
        <f>'BS (After Changes)'!AS63-'BS (Before Changes)'!AS63</f>
        <v>0</v>
      </c>
      <c r="AT63" s="179">
        <f>'BS (After Changes)'!AT63-'BS (Before Changes)'!AT63</f>
        <v>0</v>
      </c>
      <c r="AU63" s="179">
        <f>'BS (After Changes)'!AU63-'BS (Before Changes)'!AU63</f>
        <v>0</v>
      </c>
      <c r="AV63" s="28">
        <f>'BS (After Changes)'!AV63-'BS (Before Changes)'!AV63</f>
        <v>0</v>
      </c>
    </row>
    <row r="64" spans="2:48" outlineLevel="1" x14ac:dyDescent="0.3">
      <c r="B64" s="200" t="s">
        <v>328</v>
      </c>
      <c r="C64" s="201"/>
      <c r="D64" s="304">
        <f>'BS (After Changes)'!D64-'BS (Before Changes)'!D64</f>
        <v>0</v>
      </c>
      <c r="E64" s="304">
        <f>'BS (After Changes)'!E64-'BS (Before Changes)'!E64</f>
        <v>0</v>
      </c>
      <c r="F64" s="304">
        <f>'BS (After Changes)'!F64-'BS (Before Changes)'!F64</f>
        <v>0</v>
      </c>
      <c r="G64" s="304">
        <f>'BS (After Changes)'!G64-'BS (Before Changes)'!G64</f>
        <v>0</v>
      </c>
      <c r="H64" s="306">
        <f>'BS (After Changes)'!H64-'BS (Before Changes)'!H64</f>
        <v>0</v>
      </c>
      <c r="I64" s="305">
        <f>'BS (After Changes)'!I64-'BS (Before Changes)'!I64</f>
        <v>0</v>
      </c>
      <c r="J64" s="305">
        <f>'BS (After Changes)'!J64-'BS (Before Changes)'!J64</f>
        <v>0</v>
      </c>
      <c r="K64" s="305">
        <f>'BS (After Changes)'!K64-'BS (Before Changes)'!K64</f>
        <v>0</v>
      </c>
      <c r="L64" s="305">
        <f>'BS (After Changes)'!L64-'BS (Before Changes)'!L64</f>
        <v>0</v>
      </c>
      <c r="M64" s="306">
        <f>'BS (After Changes)'!M64-'BS (Before Changes)'!M64</f>
        <v>0</v>
      </c>
      <c r="N64" s="305">
        <f>'BS (After Changes)'!N64-'BS (Before Changes)'!N64</f>
        <v>0</v>
      </c>
      <c r="O64" s="305">
        <f>'BS (After Changes)'!O64-'BS (Before Changes)'!O64</f>
        <v>0</v>
      </c>
      <c r="P64" s="305">
        <f>'BS (After Changes)'!P64-'BS (Before Changes)'!P64</f>
        <v>0</v>
      </c>
      <c r="Q64" s="305">
        <f>'BS (After Changes)'!Q64-'BS (Before Changes)'!Q64</f>
        <v>0</v>
      </c>
      <c r="R64" s="306">
        <f>'BS (After Changes)'!R64-'BS (Before Changes)'!R64</f>
        <v>0</v>
      </c>
      <c r="S64" s="305">
        <f>'BS (After Changes)'!S64-'BS (Before Changes)'!S64</f>
        <v>0</v>
      </c>
      <c r="T64" s="305">
        <f>'BS (After Changes)'!T64-'BS (Before Changes)'!T64</f>
        <v>0</v>
      </c>
      <c r="U64" s="305">
        <f>'BS (After Changes)'!U64-'BS (Before Changes)'!U64</f>
        <v>0</v>
      </c>
      <c r="V64" s="305">
        <f>'BS (After Changes)'!V64-'BS (Before Changes)'!V64</f>
        <v>0</v>
      </c>
      <c r="W64" s="306">
        <f>'BS (After Changes)'!W64-'BS (Before Changes)'!W64</f>
        <v>0</v>
      </c>
      <c r="X64" s="307">
        <f>'BS (After Changes)'!X64-'BS (Before Changes)'!X64</f>
        <v>0</v>
      </c>
      <c r="Y64" s="307">
        <f>'BS (After Changes)'!Y64-'BS (Before Changes)'!Y64</f>
        <v>0</v>
      </c>
      <c r="Z64" s="307">
        <f>'BS (After Changes)'!Z64-'BS (Before Changes)'!Z64</f>
        <v>0</v>
      </c>
      <c r="AA64" s="307">
        <f>'BS (After Changes)'!AA64-'BS (Before Changes)'!AA64</f>
        <v>0</v>
      </c>
      <c r="AB64" s="306">
        <f>'BS (After Changes)'!AB64-'BS (Before Changes)'!AB64</f>
        <v>8.5920232858120116E-2</v>
      </c>
      <c r="AC64" s="307">
        <f>'BS (After Changes)'!AC64-'BS (Before Changes)'!AC64</f>
        <v>0</v>
      </c>
      <c r="AD64" s="307">
        <f>'BS (After Changes)'!AD64-'BS (Before Changes)'!AD64</f>
        <v>0</v>
      </c>
      <c r="AE64" s="307">
        <f>'BS (After Changes)'!AE64-'BS (Before Changes)'!AE64</f>
        <v>0</v>
      </c>
      <c r="AF64" s="307">
        <f>'BS (After Changes)'!AF64-'BS (Before Changes)'!AF64</f>
        <v>0</v>
      </c>
      <c r="AG64" s="405">
        <f>'BS (After Changes)'!AG64-'BS (Before Changes)'!AG64</f>
        <v>-0.22299634467183571</v>
      </c>
      <c r="AH64" s="307">
        <f>'BS (After Changes)'!AH64-'BS (Before Changes)'!AH64</f>
        <v>0</v>
      </c>
      <c r="AI64" s="307">
        <f>'BS (After Changes)'!AI64-'BS (Before Changes)'!AI64</f>
        <v>0</v>
      </c>
      <c r="AJ64" s="307">
        <f>'BS (After Changes)'!AJ64-'BS (Before Changes)'!AJ64</f>
        <v>0</v>
      </c>
      <c r="AK64" s="307">
        <f>'BS (After Changes)'!AK64-'BS (Before Changes)'!AK64</f>
        <v>0</v>
      </c>
      <c r="AL64" s="405">
        <f>'BS (After Changes)'!AL64-'BS (Before Changes)'!AL64</f>
        <v>-0.25166359908749358</v>
      </c>
      <c r="AM64" s="307">
        <f>'BS (After Changes)'!AM64-'BS (Before Changes)'!AM64</f>
        <v>0</v>
      </c>
      <c r="AN64" s="307">
        <f>'BS (After Changes)'!AN64-'BS (Before Changes)'!AN64</f>
        <v>0</v>
      </c>
      <c r="AO64" s="307">
        <f>'BS (After Changes)'!AO64-'BS (Before Changes)'!AO64</f>
        <v>0</v>
      </c>
      <c r="AP64" s="307">
        <f>'BS (After Changes)'!AP64-'BS (Before Changes)'!AP64</f>
        <v>0</v>
      </c>
      <c r="AQ64" s="306">
        <f>'BS (After Changes)'!AQ64-'BS (Before Changes)'!AQ64</f>
        <v>-0.21846568972226788</v>
      </c>
      <c r="AR64" s="307">
        <f>'BS (After Changes)'!AR64-'BS (Before Changes)'!AR64</f>
        <v>0</v>
      </c>
      <c r="AS64" s="307">
        <f>'BS (After Changes)'!AS64-'BS (Before Changes)'!AS64</f>
        <v>0</v>
      </c>
      <c r="AT64" s="307">
        <f>'BS (After Changes)'!AT64-'BS (Before Changes)'!AT64</f>
        <v>0</v>
      </c>
      <c r="AU64" s="307">
        <f>'BS (After Changes)'!AU64-'BS (Before Changes)'!AU64</f>
        <v>0</v>
      </c>
      <c r="AV64" s="306">
        <f>'BS (After Changes)'!AV64-'BS (Before Changes)'!AV64</f>
        <v>-0.20327393753555478</v>
      </c>
    </row>
    <row r="65" spans="2:48" outlineLevel="1" x14ac:dyDescent="0.3">
      <c r="B65" s="180" t="s">
        <v>325</v>
      </c>
      <c r="C65" s="44"/>
      <c r="D65" s="139">
        <f>'BS (After Changes)'!D65-'BS (Before Changes)'!D65</f>
        <v>0</v>
      </c>
      <c r="E65" s="139">
        <f>'BS (After Changes)'!E65-'BS (Before Changes)'!E65</f>
        <v>0</v>
      </c>
      <c r="F65" s="309">
        <f>'BS (After Changes)'!F65-'BS (Before Changes)'!F65</f>
        <v>0</v>
      </c>
      <c r="G65" s="309">
        <f>'BS (After Changes)'!G65-'BS (Before Changes)'!G65</f>
        <v>0</v>
      </c>
      <c r="H65" s="17">
        <f>'BS (After Changes)'!H65-'BS (Before Changes)'!H65</f>
        <v>0</v>
      </c>
      <c r="I65" s="139">
        <f>'BS (After Changes)'!I65-'BS (Before Changes)'!I65</f>
        <v>0</v>
      </c>
      <c r="J65" s="139">
        <f>'BS (After Changes)'!J65-'BS (Before Changes)'!J65</f>
        <v>0</v>
      </c>
      <c r="K65" s="309">
        <f>'BS (After Changes)'!K65-'BS (Before Changes)'!K65</f>
        <v>0</v>
      </c>
      <c r="L65" s="309">
        <f>'BS (After Changes)'!L65-'BS (Before Changes)'!L65</f>
        <v>0</v>
      </c>
      <c r="M65" s="17">
        <f>'BS (After Changes)'!M65-'BS (Before Changes)'!M65</f>
        <v>0</v>
      </c>
      <c r="N65" s="139">
        <f>'BS (After Changes)'!N65-'BS (Before Changes)'!N65</f>
        <v>0</v>
      </c>
      <c r="O65" s="139">
        <f>'BS (After Changes)'!O65-'BS (Before Changes)'!O65</f>
        <v>0</v>
      </c>
      <c r="P65" s="309">
        <f>'BS (After Changes)'!P65-'BS (Before Changes)'!P65</f>
        <v>0</v>
      </c>
      <c r="Q65" s="309">
        <f>'BS (After Changes)'!Q65-'BS (Before Changes)'!Q65</f>
        <v>0</v>
      </c>
      <c r="R65" s="17">
        <f>'BS (After Changes)'!R65-'BS (Before Changes)'!R65</f>
        <v>0</v>
      </c>
      <c r="S65" s="139">
        <f>'BS (After Changes)'!S65-'BS (Before Changes)'!S65</f>
        <v>0</v>
      </c>
      <c r="T65" s="139">
        <f>'BS (After Changes)'!T65-'BS (Before Changes)'!T65</f>
        <v>0</v>
      </c>
      <c r="U65" s="309">
        <f>'BS (After Changes)'!U65-'BS (Before Changes)'!U65</f>
        <v>0</v>
      </c>
      <c r="V65" s="309">
        <f>'BS (After Changes)'!V65-'BS (Before Changes)'!V65</f>
        <v>0</v>
      </c>
      <c r="W65" s="17">
        <f>'BS (After Changes)'!W65-'BS (Before Changes)'!W65</f>
        <v>0</v>
      </c>
      <c r="X65" s="139">
        <f>'BS (After Changes)'!X65-'BS (Before Changes)'!X65</f>
        <v>0</v>
      </c>
      <c r="Y65" s="305">
        <f>'BS (After Changes)'!Y65-'BS (Before Changes)'!Y65</f>
        <v>0</v>
      </c>
      <c r="Z65" s="305">
        <f>'BS (After Changes)'!Z65-'BS (Before Changes)'!Z65</f>
        <v>0</v>
      </c>
      <c r="AA65" s="310">
        <f>'BS (After Changes)'!AA65-'BS (Before Changes)'!AA65</f>
        <v>0</v>
      </c>
      <c r="AB65" s="17">
        <f>'BS (After Changes)'!AB65-'BS (Before Changes)'!AB65</f>
        <v>-105.5595066637843</v>
      </c>
      <c r="AC65" s="139">
        <f>'BS (After Changes)'!AC65-'BS (Before Changes)'!AC65</f>
        <v>0</v>
      </c>
      <c r="AD65" s="139">
        <f>'BS (After Changes)'!AD65-'BS (Before Changes)'!AD65</f>
        <v>0</v>
      </c>
      <c r="AE65" s="309">
        <f>'BS (After Changes)'!AE65-'BS (Before Changes)'!AE65</f>
        <v>0</v>
      </c>
      <c r="AF65" s="309">
        <f>'BS (After Changes)'!AF65-'BS (Before Changes)'!AF65</f>
        <v>0</v>
      </c>
      <c r="AG65" s="17">
        <f>'BS (After Changes)'!AG65-'BS (Before Changes)'!AG65</f>
        <v>451.91587108277236</v>
      </c>
      <c r="AH65" s="139">
        <f>'BS (After Changes)'!AH65-'BS (Before Changes)'!AH65</f>
        <v>0</v>
      </c>
      <c r="AI65" s="139">
        <f>'BS (After Changes)'!AI65-'BS (Before Changes)'!AI65</f>
        <v>0</v>
      </c>
      <c r="AJ65" s="309">
        <f>'BS (After Changes)'!AJ65-'BS (Before Changes)'!AJ65</f>
        <v>0</v>
      </c>
      <c r="AK65" s="309">
        <f>'BS (After Changes)'!AK65-'BS (Before Changes)'!AK65</f>
        <v>0</v>
      </c>
      <c r="AL65" s="17">
        <f>'BS (After Changes)'!AL65-'BS (Before Changes)'!AL65</f>
        <v>557.62880558239704</v>
      </c>
      <c r="AM65" s="139">
        <f>'BS (After Changes)'!AM65-'BS (Before Changes)'!AM65</f>
        <v>0</v>
      </c>
      <c r="AN65" s="139">
        <f>'BS (After Changes)'!AN65-'BS (Before Changes)'!AN65</f>
        <v>0</v>
      </c>
      <c r="AO65" s="309">
        <f>'BS (After Changes)'!AO65-'BS (Before Changes)'!AO65</f>
        <v>0</v>
      </c>
      <c r="AP65" s="309">
        <f>'BS (After Changes)'!AP65-'BS (Before Changes)'!AP65</f>
        <v>0</v>
      </c>
      <c r="AQ65" s="17">
        <f>'BS (After Changes)'!AQ65-'BS (Before Changes)'!AQ65</f>
        <v>605.16707973052144</v>
      </c>
      <c r="AR65" s="139">
        <f>'BS (After Changes)'!AR65-'BS (Before Changes)'!AR65</f>
        <v>0</v>
      </c>
      <c r="AS65" s="139">
        <f>'BS (After Changes)'!AS65-'BS (Before Changes)'!AS65</f>
        <v>0</v>
      </c>
      <c r="AT65" s="309">
        <f>'BS (After Changes)'!AT65-'BS (Before Changes)'!AT65</f>
        <v>0</v>
      </c>
      <c r="AU65" s="309">
        <f>'BS (After Changes)'!AU65-'BS (Before Changes)'!AU65</f>
        <v>0</v>
      </c>
      <c r="AV65" s="17">
        <f>'BS (After Changes)'!AV65-'BS (Before Changes)'!AV65</f>
        <v>644.16989714576812</v>
      </c>
    </row>
    <row r="66" spans="2:48" outlineLevel="1" x14ac:dyDescent="0.3">
      <c r="B66" s="180" t="s">
        <v>327</v>
      </c>
      <c r="C66" s="44"/>
      <c r="D66" s="139">
        <f>'BS (After Changes)'!D66-'BS (Before Changes)'!D66</f>
        <v>0</v>
      </c>
      <c r="E66" s="139">
        <f>'BS (After Changes)'!E66-'BS (Before Changes)'!E66</f>
        <v>0</v>
      </c>
      <c r="F66" s="309">
        <f>'BS (After Changes)'!F66-'BS (Before Changes)'!F66</f>
        <v>0</v>
      </c>
      <c r="G66" s="309">
        <f>'BS (After Changes)'!G66-'BS (Before Changes)'!G66</f>
        <v>0</v>
      </c>
      <c r="H66" s="387">
        <f>'BS (After Changes)'!H66-'BS (Before Changes)'!H66</f>
        <v>0</v>
      </c>
      <c r="I66" s="139">
        <f>'BS (After Changes)'!I66-'BS (Before Changes)'!I66</f>
        <v>0</v>
      </c>
      <c r="J66" s="139">
        <f>'BS (After Changes)'!J66-'BS (Before Changes)'!J66</f>
        <v>0</v>
      </c>
      <c r="K66" s="309">
        <f>'BS (After Changes)'!K66-'BS (Before Changes)'!K66</f>
        <v>0</v>
      </c>
      <c r="L66" s="309">
        <f>'BS (After Changes)'!L66-'BS (Before Changes)'!L66</f>
        <v>0</v>
      </c>
      <c r="M66" s="387">
        <f>'BS (After Changes)'!M66-'BS (Before Changes)'!M66</f>
        <v>0</v>
      </c>
      <c r="N66" s="139">
        <f>'BS (After Changes)'!N66-'BS (Before Changes)'!N66</f>
        <v>0</v>
      </c>
      <c r="O66" s="139">
        <f>'BS (After Changes)'!O66-'BS (Before Changes)'!O66</f>
        <v>0</v>
      </c>
      <c r="P66" s="309">
        <f>'BS (After Changes)'!P66-'BS (Before Changes)'!P66</f>
        <v>0</v>
      </c>
      <c r="Q66" s="309">
        <f>'BS (After Changes)'!Q66-'BS (Before Changes)'!Q66</f>
        <v>0</v>
      </c>
      <c r="R66" s="387">
        <f>'BS (After Changes)'!R66-'BS (Before Changes)'!R66</f>
        <v>0</v>
      </c>
      <c r="S66" s="139">
        <f>'BS (After Changes)'!S66-'BS (Before Changes)'!S66</f>
        <v>0</v>
      </c>
      <c r="T66" s="139">
        <f>'BS (After Changes)'!T66-'BS (Before Changes)'!T66</f>
        <v>0</v>
      </c>
      <c r="U66" s="309">
        <f>'BS (After Changes)'!U66-'BS (Before Changes)'!U66</f>
        <v>0</v>
      </c>
      <c r="V66" s="309">
        <f>'BS (After Changes)'!V66-'BS (Before Changes)'!V66</f>
        <v>0</v>
      </c>
      <c r="W66" s="388">
        <f>'BS (After Changes)'!W66-'BS (Before Changes)'!W66</f>
        <v>0</v>
      </c>
      <c r="X66" s="139">
        <f>'BS (After Changes)'!X66-'BS (Before Changes)'!X66</f>
        <v>0</v>
      </c>
      <c r="Y66" s="179">
        <f>'BS (After Changes)'!Y66-'BS (Before Changes)'!Y66</f>
        <v>0</v>
      </c>
      <c r="Z66" s="179">
        <f>'BS (After Changes)'!Z66-'BS (Before Changes)'!Z66</f>
        <v>0</v>
      </c>
      <c r="AA66" s="310">
        <f>'BS (After Changes)'!AA66-'BS (Before Changes)'!AA66</f>
        <v>0</v>
      </c>
      <c r="AB66" s="388">
        <f>'BS (After Changes)'!AB66-'BS (Before Changes)'!AB66</f>
        <v>0</v>
      </c>
      <c r="AC66" s="139">
        <f>'BS (After Changes)'!AC66-'BS (Before Changes)'!AC66</f>
        <v>0</v>
      </c>
      <c r="AD66" s="139">
        <f>'BS (After Changes)'!AD66-'BS (Before Changes)'!AD66</f>
        <v>0</v>
      </c>
      <c r="AE66" s="309">
        <f>'BS (After Changes)'!AE66-'BS (Before Changes)'!AE66</f>
        <v>0</v>
      </c>
      <c r="AF66" s="309">
        <f>'BS (After Changes)'!AF66-'BS (Before Changes)'!AF66</f>
        <v>0</v>
      </c>
      <c r="AG66" s="388">
        <f>'BS (After Changes)'!AG66-'BS (Before Changes)'!AG66</f>
        <v>0</v>
      </c>
      <c r="AH66" s="139">
        <f>'BS (After Changes)'!AH66-'BS (Before Changes)'!AH66</f>
        <v>0</v>
      </c>
      <c r="AI66" s="139">
        <f>'BS (After Changes)'!AI66-'BS (Before Changes)'!AI66</f>
        <v>0</v>
      </c>
      <c r="AJ66" s="309">
        <f>'BS (After Changes)'!AJ66-'BS (Before Changes)'!AJ66</f>
        <v>0</v>
      </c>
      <c r="AK66" s="309">
        <f>'BS (After Changes)'!AK66-'BS (Before Changes)'!AK66</f>
        <v>0</v>
      </c>
      <c r="AL66" s="388">
        <f>'BS (After Changes)'!AL66-'BS (Before Changes)'!AL66</f>
        <v>0</v>
      </c>
      <c r="AM66" s="139">
        <f>'BS (After Changes)'!AM66-'BS (Before Changes)'!AM66</f>
        <v>0</v>
      </c>
      <c r="AN66" s="139">
        <f>'BS (After Changes)'!AN66-'BS (Before Changes)'!AN66</f>
        <v>0</v>
      </c>
      <c r="AO66" s="309">
        <f>'BS (After Changes)'!AO66-'BS (Before Changes)'!AO66</f>
        <v>0</v>
      </c>
      <c r="AP66" s="309">
        <f>'BS (After Changes)'!AP66-'BS (Before Changes)'!AP66</f>
        <v>0</v>
      </c>
      <c r="AQ66" s="388">
        <f>'BS (After Changes)'!AQ66-'BS (Before Changes)'!AQ66</f>
        <v>0</v>
      </c>
      <c r="AR66" s="139">
        <f>'BS (After Changes)'!AR66-'BS (Before Changes)'!AR66</f>
        <v>0</v>
      </c>
      <c r="AS66" s="139">
        <f>'BS (After Changes)'!AS66-'BS (Before Changes)'!AS66</f>
        <v>0</v>
      </c>
      <c r="AT66" s="309">
        <f>'BS (After Changes)'!AT66-'BS (Before Changes)'!AT66</f>
        <v>0</v>
      </c>
      <c r="AU66" s="309">
        <f>'BS (After Changes)'!AU66-'BS (Before Changes)'!AU66</f>
        <v>0</v>
      </c>
      <c r="AV66" s="388">
        <f>'BS (After Changes)'!AV66-'BS (Before Changes)'!AV66</f>
        <v>0</v>
      </c>
    </row>
    <row r="67" spans="2:48" outlineLevel="1" x14ac:dyDescent="0.3">
      <c r="B67" s="386" t="s">
        <v>326</v>
      </c>
      <c r="C67" s="312"/>
      <c r="D67" s="313">
        <f>'BS (After Changes)'!D67-'BS (Before Changes)'!D67</f>
        <v>0</v>
      </c>
      <c r="E67" s="313">
        <f>'BS (After Changes)'!E67-'BS (Before Changes)'!E67</f>
        <v>0</v>
      </c>
      <c r="F67" s="314">
        <f>'BS (After Changes)'!F67-'BS (Before Changes)'!F67</f>
        <v>0</v>
      </c>
      <c r="G67" s="314">
        <f>'BS (After Changes)'!G67-'BS (Before Changes)'!G67</f>
        <v>0</v>
      </c>
      <c r="H67" s="316">
        <f>'BS (After Changes)'!H67-'BS (Before Changes)'!H67</f>
        <v>0</v>
      </c>
      <c r="I67" s="313">
        <f>'BS (After Changes)'!I67-'BS (Before Changes)'!I67</f>
        <v>0</v>
      </c>
      <c r="J67" s="313">
        <f>'BS (After Changes)'!J67-'BS (Before Changes)'!J67</f>
        <v>0</v>
      </c>
      <c r="K67" s="314">
        <f>'BS (After Changes)'!K67-'BS (Before Changes)'!K67</f>
        <v>0</v>
      </c>
      <c r="L67" s="314">
        <f>'BS (After Changes)'!L67-'BS (Before Changes)'!L67</f>
        <v>0</v>
      </c>
      <c r="M67" s="316">
        <f>'BS (After Changes)'!M67-'BS (Before Changes)'!M67</f>
        <v>0</v>
      </c>
      <c r="N67" s="313">
        <f>'BS (After Changes)'!N67-'BS (Before Changes)'!N67</f>
        <v>0</v>
      </c>
      <c r="O67" s="313">
        <f>'BS (After Changes)'!O67-'BS (Before Changes)'!O67</f>
        <v>0</v>
      </c>
      <c r="P67" s="314">
        <f>'BS (After Changes)'!P67-'BS (Before Changes)'!P67</f>
        <v>0</v>
      </c>
      <c r="Q67" s="314">
        <f>'BS (After Changes)'!Q67-'BS (Before Changes)'!Q67</f>
        <v>0</v>
      </c>
      <c r="R67" s="316">
        <f>'BS (After Changes)'!R67-'BS (Before Changes)'!R67</f>
        <v>0</v>
      </c>
      <c r="S67" s="313">
        <f>'BS (After Changes)'!S67-'BS (Before Changes)'!S67</f>
        <v>0</v>
      </c>
      <c r="T67" s="313">
        <f>'BS (After Changes)'!T67-'BS (Before Changes)'!T67</f>
        <v>0</v>
      </c>
      <c r="U67" s="314">
        <f>'BS (After Changes)'!U67-'BS (Before Changes)'!U67</f>
        <v>0</v>
      </c>
      <c r="V67" s="314">
        <f>'BS (After Changes)'!V67-'BS (Before Changes)'!V67</f>
        <v>0</v>
      </c>
      <c r="W67" s="316">
        <f>'BS (After Changes)'!W67-'BS (Before Changes)'!W67</f>
        <v>0</v>
      </c>
      <c r="X67" s="313">
        <f>'BS (After Changes)'!X67-'BS (Before Changes)'!X67</f>
        <v>0</v>
      </c>
      <c r="Y67" s="313">
        <f>'BS (After Changes)'!Y67-'BS (Before Changes)'!Y67</f>
        <v>0</v>
      </c>
      <c r="Z67" s="314">
        <f>'BS (After Changes)'!Z67-'BS (Before Changes)'!Z67</f>
        <v>0</v>
      </c>
      <c r="AA67" s="315">
        <f>'BS (After Changes)'!AA67-'BS (Before Changes)'!AA67</f>
        <v>0</v>
      </c>
      <c r="AB67" s="316">
        <f>'BS (After Changes)'!AB67-'BS (Before Changes)'!AB67</f>
        <v>0</v>
      </c>
      <c r="AC67" s="313">
        <f>'BS (After Changes)'!AC67-'BS (Before Changes)'!AC67</f>
        <v>0</v>
      </c>
      <c r="AD67" s="313">
        <f>'BS (After Changes)'!AD67-'BS (Before Changes)'!AD67</f>
        <v>0</v>
      </c>
      <c r="AE67" s="314">
        <f>'BS (After Changes)'!AE67-'BS (Before Changes)'!AE67</f>
        <v>0</v>
      </c>
      <c r="AF67" s="314">
        <f>'BS (After Changes)'!AF67-'BS (Before Changes)'!AF67</f>
        <v>0</v>
      </c>
      <c r="AG67" s="316">
        <f>'BS (After Changes)'!AG67-'BS (Before Changes)'!AG67</f>
        <v>0</v>
      </c>
      <c r="AH67" s="313">
        <f>'BS (After Changes)'!AH67-'BS (Before Changes)'!AH67</f>
        <v>0</v>
      </c>
      <c r="AI67" s="313">
        <f>'BS (After Changes)'!AI67-'BS (Before Changes)'!AI67</f>
        <v>0</v>
      </c>
      <c r="AJ67" s="314">
        <f>'BS (After Changes)'!AJ67-'BS (Before Changes)'!AJ67</f>
        <v>0</v>
      </c>
      <c r="AK67" s="314">
        <f>'BS (After Changes)'!AK67-'BS (Before Changes)'!AK67</f>
        <v>0</v>
      </c>
      <c r="AL67" s="316">
        <f>'BS (After Changes)'!AL67-'BS (Before Changes)'!AL67</f>
        <v>0</v>
      </c>
      <c r="AM67" s="313">
        <f>'BS (After Changes)'!AM67-'BS (Before Changes)'!AM67</f>
        <v>0</v>
      </c>
      <c r="AN67" s="313">
        <f>'BS (After Changes)'!AN67-'BS (Before Changes)'!AN67</f>
        <v>0</v>
      </c>
      <c r="AO67" s="314">
        <f>'BS (After Changes)'!AO67-'BS (Before Changes)'!AO67</f>
        <v>0</v>
      </c>
      <c r="AP67" s="314">
        <f>'BS (After Changes)'!AP67-'BS (Before Changes)'!AP67</f>
        <v>0</v>
      </c>
      <c r="AQ67" s="316">
        <f>'BS (After Changes)'!AQ67-'BS (Before Changes)'!AQ67</f>
        <v>0</v>
      </c>
      <c r="AR67" s="313">
        <f>'BS (After Changes)'!AR67-'BS (Before Changes)'!AR67</f>
        <v>0</v>
      </c>
      <c r="AS67" s="313">
        <f>'BS (After Changes)'!AS67-'BS (Before Changes)'!AS67</f>
        <v>0</v>
      </c>
      <c r="AT67" s="314">
        <f>'BS (After Changes)'!AT67-'BS (Before Changes)'!AT67</f>
        <v>0</v>
      </c>
      <c r="AU67" s="314">
        <f>'BS (After Changes)'!AU67-'BS (Before Changes)'!AU67</f>
        <v>0</v>
      </c>
      <c r="AV67" s="316">
        <f>'BS (After Changes)'!AV67-'BS (Before Changes)'!AV67</f>
        <v>0</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81338-2A0F-4F1C-8D32-15BBFE6B6836}">
  <sheetPr>
    <tabColor theme="8" tint="0.39997558519241921"/>
    <pageSetUpPr fitToPage="1"/>
  </sheetPr>
  <dimension ref="B1:AV65"/>
  <sheetViews>
    <sheetView showGridLines="0" zoomScaleNormal="100" workbookViewId="0">
      <pane xSplit="3" ySplit="4" topLeftCell="S5" activePane="bottomRight" state="frozen"/>
      <selection activeCell="T193" sqref="T193"/>
      <selection pane="topRight" activeCell="T193" sqref="T193"/>
      <selection pane="bottomLeft" activeCell="T193" sqref="T193"/>
      <selection pane="bottomRight" activeCell="B1" sqref="B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494" t="s">
        <v>266</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510" t="s">
        <v>267</v>
      </c>
      <c r="C5" s="511"/>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f>'CFS (After Changes)'!D6-'CFS (Before Changes) '!D6</f>
        <v>0</v>
      </c>
      <c r="E6" s="101">
        <f>'CFS (After Changes)'!E6-'CFS (Before Changes) '!E6</f>
        <v>0</v>
      </c>
      <c r="F6" s="16">
        <f>'CFS (After Changes)'!F6-'CFS (Before Changes) '!F6</f>
        <v>0</v>
      </c>
      <c r="G6" s="16">
        <f>'CFS (After Changes)'!G6-'CFS (Before Changes) '!G6</f>
        <v>0</v>
      </c>
      <c r="H6" s="17">
        <f>'CFS (After Changes)'!H6-'CFS (Before Changes) '!H6</f>
        <v>0</v>
      </c>
      <c r="I6" s="16">
        <f>'CFS (After Changes)'!I6-'CFS (Before Changes) '!I6</f>
        <v>0</v>
      </c>
      <c r="J6" s="16">
        <f>'CFS (After Changes)'!J6-'CFS (Before Changes) '!J6</f>
        <v>0</v>
      </c>
      <c r="K6" s="16">
        <f>'CFS (After Changes)'!K6-'CFS (Before Changes) '!K6</f>
        <v>0</v>
      </c>
      <c r="L6" s="16">
        <f>'CFS (After Changes)'!L6-'CFS (Before Changes) '!L6</f>
        <v>0</v>
      </c>
      <c r="M6" s="17">
        <f>'CFS (After Changes)'!M6-'CFS (Before Changes) '!M6</f>
        <v>0</v>
      </c>
      <c r="N6" s="16">
        <f>'CFS (After Changes)'!N6-'CFS (Before Changes) '!N6</f>
        <v>0</v>
      </c>
      <c r="O6" s="16">
        <f>'CFS (After Changes)'!O6-'CFS (Before Changes) '!O6</f>
        <v>0</v>
      </c>
      <c r="P6" s="16">
        <f>'CFS (After Changes)'!P6-'CFS (Before Changes) '!P6</f>
        <v>0</v>
      </c>
      <c r="Q6" s="16">
        <f>'CFS (After Changes)'!Q6-'CFS (Before Changes) '!Q6</f>
        <v>0</v>
      </c>
      <c r="R6" s="17">
        <f>'CFS (After Changes)'!R6-'CFS (Before Changes) '!R6</f>
        <v>0</v>
      </c>
      <c r="S6" s="16">
        <f>'CFS (After Changes)'!S6-'CFS (Before Changes) '!S6</f>
        <v>0</v>
      </c>
      <c r="T6" s="16">
        <f>'CFS (After Changes)'!T6-'CFS (Before Changes) '!T6</f>
        <v>0</v>
      </c>
      <c r="U6" s="16">
        <f>'CFS (After Changes)'!U6-'CFS (Before Changes) '!U6</f>
        <v>0</v>
      </c>
      <c r="V6" s="16">
        <f>'CFS (After Changes)'!V6-'CFS (Before Changes) '!V6</f>
        <v>0</v>
      </c>
      <c r="W6" s="17">
        <f>'CFS (After Changes)'!W6-'CFS (Before Changes) '!W6</f>
        <v>0</v>
      </c>
      <c r="X6" s="16">
        <f>'CFS (After Changes)'!X6-'CFS (Before Changes) '!X6</f>
        <v>8.1183914325124533</v>
      </c>
      <c r="Y6" s="16">
        <f>'CFS (After Changes)'!Y6-'CFS (Before Changes) '!Y6</f>
        <v>-25.880120389774106</v>
      </c>
      <c r="Z6" s="16">
        <f>'CFS (After Changes)'!Z6-'CFS (Before Changes) '!Z6</f>
        <v>23.846595470811053</v>
      </c>
      <c r="AA6" s="16">
        <f>'CFS (After Changes)'!AA6-'CFS (Before Changes) '!AA6</f>
        <v>-87.231599955412776</v>
      </c>
      <c r="AB6" s="17">
        <f>'CFS (After Changes)'!AB6-'CFS (Before Changes) '!AB6</f>
        <v>-81.146733441863944</v>
      </c>
      <c r="AC6" s="16">
        <f>'CFS (After Changes)'!AC6-'CFS (Before Changes) '!AC6</f>
        <v>16.656102357986356</v>
      </c>
      <c r="AD6" s="16">
        <f>'CFS (After Changes)'!AD6-'CFS (Before Changes) '!AD6</f>
        <v>63.830026073845715</v>
      </c>
      <c r="AE6" s="16">
        <f>'CFS (After Changes)'!AE6-'CFS (Before Changes) '!AE6</f>
        <v>130.3559411361764</v>
      </c>
      <c r="AF6" s="16">
        <f>'CFS (After Changes)'!AF6-'CFS (Before Changes) '!AF6</f>
        <v>124.02313527113893</v>
      </c>
      <c r="AG6" s="17">
        <f>'CFS (After Changes)'!AG6-'CFS (Before Changes) '!AG6</f>
        <v>334.86520483914774</v>
      </c>
      <c r="AH6" s="16">
        <f>'CFS (After Changes)'!AH6-'CFS (Before Changes) '!AH6</f>
        <v>30.055681213556909</v>
      </c>
      <c r="AI6" s="16">
        <f>'CFS (After Changes)'!AI6-'CFS (Before Changes) '!AI6</f>
        <v>80.918568861819949</v>
      </c>
      <c r="AJ6" s="16">
        <f>'CFS (After Changes)'!AJ6-'CFS (Before Changes) '!AJ6</f>
        <v>157.34265620479914</v>
      </c>
      <c r="AK6" s="16">
        <f>'CFS (After Changes)'!AK6-'CFS (Before Changes) '!AK6</f>
        <v>149.95758297759471</v>
      </c>
      <c r="AL6" s="17">
        <f>'CFS (After Changes)'!AL6-'CFS (Before Changes) '!AL6</f>
        <v>418.27448925777026</v>
      </c>
      <c r="AM6" s="16">
        <f>'CFS (After Changes)'!AM6-'CFS (Before Changes) '!AM6</f>
        <v>33.81796736072306</v>
      </c>
      <c r="AN6" s="16">
        <f>'CFS (After Changes)'!AN6-'CFS (Before Changes) '!AN6</f>
        <v>89.139444249851977</v>
      </c>
      <c r="AO6" s="16">
        <f>'CFS (After Changes)'!AO6-'CFS (Before Changes) '!AO6</f>
        <v>172.18607653331401</v>
      </c>
      <c r="AP6" s="16">
        <f>'CFS (After Changes)'!AP6-'CFS (Before Changes) '!AP6</f>
        <v>164.32521728700317</v>
      </c>
      <c r="AQ6" s="17">
        <f>'CFS (After Changes)'!AQ6-'CFS (Before Changes) '!AQ6</f>
        <v>459.46870543089244</v>
      </c>
      <c r="AR6" s="16">
        <f>'CFS (After Changes)'!AR6-'CFS (Before Changes) '!AR6</f>
        <v>37.601893235257194</v>
      </c>
      <c r="AS6" s="16">
        <f>'CFS (After Changes)'!AS6-'CFS (Before Changes) '!AS6</f>
        <v>96.541041723004128</v>
      </c>
      <c r="AT6" s="16">
        <f>'CFS (After Changes)'!AT6-'CFS (Before Changes) '!AT6</f>
        <v>185.01792134360198</v>
      </c>
      <c r="AU6" s="16">
        <f>'CFS (After Changes)'!AU6-'CFS (Before Changes) '!AU6</f>
        <v>176.68419833045255</v>
      </c>
      <c r="AV6" s="17">
        <f>'CFS (After Changes)'!AV6-'CFS (Before Changes) '!AV6</f>
        <v>495.84505463231471</v>
      </c>
    </row>
    <row r="7" spans="2:48" outlineLevel="1" x14ac:dyDescent="0.3">
      <c r="B7" s="308" t="s">
        <v>269</v>
      </c>
      <c r="C7" s="44"/>
      <c r="D7" s="16">
        <f>'CFS (After Changes)'!D7-'CFS (Before Changes) '!D7</f>
        <v>0</v>
      </c>
      <c r="E7" s="16">
        <f>'CFS (After Changes)'!E7-'CFS (Before Changes) '!E7</f>
        <v>0</v>
      </c>
      <c r="F7" s="16">
        <f>'CFS (After Changes)'!F7-'CFS (Before Changes) '!F7</f>
        <v>0</v>
      </c>
      <c r="G7" s="16">
        <f>'CFS (After Changes)'!G7-'CFS (Before Changes) '!G7</f>
        <v>0</v>
      </c>
      <c r="H7" s="17">
        <f>'CFS (After Changes)'!H7-'CFS (Before Changes) '!H7</f>
        <v>0</v>
      </c>
      <c r="I7" s="16">
        <f>'CFS (After Changes)'!I7-'CFS (Before Changes) '!I7</f>
        <v>0</v>
      </c>
      <c r="J7" s="16">
        <f>'CFS (After Changes)'!J7-'CFS (Before Changes) '!J7</f>
        <v>0</v>
      </c>
      <c r="K7" s="16">
        <f>'CFS (After Changes)'!K7-'CFS (Before Changes) '!K7</f>
        <v>0</v>
      </c>
      <c r="L7" s="16">
        <f>'CFS (After Changes)'!L7-'CFS (Before Changes) '!L7</f>
        <v>0</v>
      </c>
      <c r="M7" s="17">
        <f>'CFS (After Changes)'!M7-'CFS (Before Changes) '!M7</f>
        <v>0</v>
      </c>
      <c r="N7" s="16">
        <f>'CFS (After Changes)'!N7-'CFS (Before Changes) '!N7</f>
        <v>0</v>
      </c>
      <c r="O7" s="16">
        <f>'CFS (After Changes)'!O7-'CFS (Before Changes) '!O7</f>
        <v>0</v>
      </c>
      <c r="P7" s="16">
        <f>'CFS (After Changes)'!P7-'CFS (Before Changes) '!P7</f>
        <v>0</v>
      </c>
      <c r="Q7" s="16">
        <f>'CFS (After Changes)'!Q7-'CFS (Before Changes) '!Q7</f>
        <v>0</v>
      </c>
      <c r="R7" s="17">
        <f>'CFS (After Changes)'!R7-'CFS (Before Changes) '!R7</f>
        <v>0</v>
      </c>
      <c r="S7" s="16">
        <f>'CFS (After Changes)'!S7-'CFS (Before Changes) '!S7</f>
        <v>0</v>
      </c>
      <c r="T7" s="16">
        <f>'CFS (After Changes)'!T7-'CFS (Before Changes) '!T7</f>
        <v>0</v>
      </c>
      <c r="U7" s="16">
        <f>'CFS (After Changes)'!U7-'CFS (Before Changes) '!U7</f>
        <v>0</v>
      </c>
      <c r="V7" s="16">
        <f>'CFS (After Changes)'!V7-'CFS (Before Changes) '!V7</f>
        <v>0</v>
      </c>
      <c r="W7" s="17">
        <f>'CFS (After Changes)'!W7-'CFS (Before Changes) '!W7</f>
        <v>0</v>
      </c>
      <c r="X7" s="16">
        <f>'CFS (After Changes)'!X7-'CFS (Before Changes) '!X7</f>
        <v>0</v>
      </c>
      <c r="Y7" s="16">
        <f>'CFS (After Changes)'!Y7-'CFS (Before Changes) '!Y7</f>
        <v>0.11895504840839521</v>
      </c>
      <c r="Z7" s="16">
        <f>'CFS (After Changes)'!Z7-'CFS (Before Changes) '!Z7</f>
        <v>0.22306704286347667</v>
      </c>
      <c r="AA7" s="16">
        <f>'CFS (After Changes)'!AA7-'CFS (Before Changes) '!AA7</f>
        <v>0.79438709837762644</v>
      </c>
      <c r="AB7" s="17">
        <f>'CFS (After Changes)'!AB7-'CFS (Before Changes) '!AB7</f>
        <v>1.1364091896491573</v>
      </c>
      <c r="AC7" s="16">
        <f>'CFS (After Changes)'!AC7-'CFS (Before Changes) '!AC7</f>
        <v>1.3493499677547334</v>
      </c>
      <c r="AD7" s="16">
        <f>'CFS (After Changes)'!AD7-'CFS (Before Changes) '!AD7</f>
        <v>1.5207359207756213</v>
      </c>
      <c r="AE7" s="16">
        <f>'CFS (After Changes)'!AE7-'CFS (Before Changes) '!AE7</f>
        <v>1.6692526058332078</v>
      </c>
      <c r="AF7" s="16">
        <f>'CFS (After Changes)'!AF7-'CFS (Before Changes) '!AF7</f>
        <v>2.3389203562163061</v>
      </c>
      <c r="AG7" s="17">
        <f>'CFS (After Changes)'!AG7-'CFS (Before Changes) '!AG7</f>
        <v>6.8782588505798685</v>
      </c>
      <c r="AH7" s="16">
        <f>'CFS (After Changes)'!AH7-'CFS (Before Changes) '!AH7</f>
        <v>2.975508433287871</v>
      </c>
      <c r="AI7" s="16">
        <f>'CFS (After Changes)'!AI7-'CFS (Before Changes) '!AI7</f>
        <v>3.1749892305360277</v>
      </c>
      <c r="AJ7" s="16">
        <f>'CFS (After Changes)'!AJ7-'CFS (Before Changes) '!AJ7</f>
        <v>3.344993339644077</v>
      </c>
      <c r="AK7" s="16">
        <f>'CFS (After Changes)'!AK7-'CFS (Before Changes) '!AK7</f>
        <v>4.0429596571167394</v>
      </c>
      <c r="AL7" s="17">
        <f>'CFS (After Changes)'!AL7-'CFS (Before Changes) '!AL7</f>
        <v>13.538450660584658</v>
      </c>
      <c r="AM7" s="16">
        <f>'CFS (After Changes)'!AM7-'CFS (Before Changes) '!AM7</f>
        <v>4.7020411966917663</v>
      </c>
      <c r="AN7" s="16">
        <f>'CFS (After Changes)'!AN7-'CFS (Before Changes) '!AN7</f>
        <v>4.8330193897421623</v>
      </c>
      <c r="AO7" s="16">
        <f>'CFS (After Changes)'!AO7-'CFS (Before Changes) '!AO7</f>
        <v>4.9366963927964207</v>
      </c>
      <c r="AP7" s="16">
        <f>'CFS (After Changes)'!AP7-'CFS (Before Changes) '!AP7</f>
        <v>5.617425657936451</v>
      </c>
      <c r="AQ7" s="17">
        <f>'CFS (After Changes)'!AQ7-'CFS (Before Changes) '!AQ7</f>
        <v>20.089182637167141</v>
      </c>
      <c r="AR7" s="16">
        <f>'CFS (After Changes)'!AR7-'CFS (Before Changes) '!AR7</f>
        <v>6.2602467339382883</v>
      </c>
      <c r="AS7" s="16">
        <f>'CFS (After Changes)'!AS7-'CFS (Before Changes) '!AS7</f>
        <v>6.3270014674515096</v>
      </c>
      <c r="AT7" s="16">
        <f>'CFS (After Changes)'!AT7-'CFS (Before Changes) '!AT7</f>
        <v>6.3683699028240426</v>
      </c>
      <c r="AU7" s="16">
        <f>'CFS (After Changes)'!AU7-'CFS (Before Changes) '!AU7</f>
        <v>7.027901336551281</v>
      </c>
      <c r="AV7" s="17">
        <f>'CFS (After Changes)'!AV7-'CFS (Before Changes) '!AV7</f>
        <v>25.983519440765122</v>
      </c>
    </row>
    <row r="8" spans="2:48" outlineLevel="1" x14ac:dyDescent="0.3">
      <c r="B8" s="308" t="s">
        <v>222</v>
      </c>
      <c r="C8" s="44"/>
      <c r="D8" s="16">
        <f>'CFS (After Changes)'!D8-'CFS (Before Changes) '!D8</f>
        <v>0</v>
      </c>
      <c r="E8" s="16">
        <f>'CFS (After Changes)'!E8-'CFS (Before Changes) '!E8</f>
        <v>0</v>
      </c>
      <c r="F8" s="16">
        <f>'CFS (After Changes)'!F8-'CFS (Before Changes) '!F8</f>
        <v>0</v>
      </c>
      <c r="G8" s="101">
        <f>'CFS (After Changes)'!G8-'CFS (Before Changes) '!G8</f>
        <v>0</v>
      </c>
      <c r="H8" s="17">
        <f>'CFS (After Changes)'!H8-'CFS (Before Changes) '!H8</f>
        <v>0</v>
      </c>
      <c r="I8" s="16">
        <f>'CFS (After Changes)'!I8-'CFS (Before Changes) '!I8</f>
        <v>0</v>
      </c>
      <c r="J8" s="16">
        <f>'CFS (After Changes)'!J8-'CFS (Before Changes) '!J8</f>
        <v>0</v>
      </c>
      <c r="K8" s="16">
        <f>'CFS (After Changes)'!K8-'CFS (Before Changes) '!K8</f>
        <v>0</v>
      </c>
      <c r="L8" s="101">
        <f>'CFS (After Changes)'!L8-'CFS (Before Changes) '!L8</f>
        <v>0</v>
      </c>
      <c r="M8" s="17">
        <f>'CFS (After Changes)'!M8-'CFS (Before Changes) '!M8</f>
        <v>0</v>
      </c>
      <c r="N8" s="16">
        <f>'CFS (After Changes)'!N8-'CFS (Before Changes) '!N8</f>
        <v>0</v>
      </c>
      <c r="O8" s="16">
        <f>'CFS (After Changes)'!O8-'CFS (Before Changes) '!O8</f>
        <v>0</v>
      </c>
      <c r="P8" s="16">
        <f>'CFS (After Changes)'!P8-'CFS (Before Changes) '!P8</f>
        <v>0</v>
      </c>
      <c r="Q8" s="101">
        <f>'CFS (After Changes)'!Q8-'CFS (Before Changes) '!Q8</f>
        <v>0</v>
      </c>
      <c r="R8" s="17">
        <f>'CFS (After Changes)'!R8-'CFS (Before Changes) '!R8</f>
        <v>0</v>
      </c>
      <c r="S8" s="16">
        <f>'CFS (After Changes)'!S8-'CFS (Before Changes) '!S8</f>
        <v>0</v>
      </c>
      <c r="T8" s="16">
        <f>'CFS (After Changes)'!T8-'CFS (Before Changes) '!T8</f>
        <v>0</v>
      </c>
      <c r="U8" s="16">
        <f>'CFS (After Changes)'!U8-'CFS (Before Changes) '!U8</f>
        <v>0</v>
      </c>
      <c r="V8" s="16">
        <f>'CFS (After Changes)'!V8-'CFS (Before Changes) '!V8</f>
        <v>0</v>
      </c>
      <c r="W8" s="17">
        <f>'CFS (After Changes)'!W8-'CFS (Before Changes) '!W8</f>
        <v>0</v>
      </c>
      <c r="X8" s="16">
        <f>'CFS (After Changes)'!X8-'CFS (Before Changes) '!X8</f>
        <v>0</v>
      </c>
      <c r="Y8" s="16">
        <f>'CFS (After Changes)'!Y8-'CFS (Before Changes) '!Y8</f>
        <v>0</v>
      </c>
      <c r="Z8" s="16">
        <f>'CFS (After Changes)'!Z8-'CFS (Before Changes) '!Z8</f>
        <v>0</v>
      </c>
      <c r="AA8" s="16">
        <f>'CFS (After Changes)'!AA8-'CFS (Before Changes) '!AA8</f>
        <v>0</v>
      </c>
      <c r="AB8" s="17">
        <f>'CFS (After Changes)'!AB8-'CFS (Before Changes) '!AB8</f>
        <v>0</v>
      </c>
      <c r="AC8" s="16">
        <f>'CFS (After Changes)'!AC8-'CFS (Before Changes) '!AC8</f>
        <v>0</v>
      </c>
      <c r="AD8" s="16">
        <f>'CFS (After Changes)'!AD8-'CFS (Before Changes) '!AD8</f>
        <v>0</v>
      </c>
      <c r="AE8" s="16">
        <f>'CFS (After Changes)'!AE8-'CFS (Before Changes) '!AE8</f>
        <v>0</v>
      </c>
      <c r="AF8" s="16">
        <f>'CFS (After Changes)'!AF8-'CFS (Before Changes) '!AF8</f>
        <v>0</v>
      </c>
      <c r="AG8" s="17">
        <f>'CFS (After Changes)'!AG8-'CFS (Before Changes) '!AG8</f>
        <v>0</v>
      </c>
      <c r="AH8" s="16">
        <f>'CFS (After Changes)'!AH8-'CFS (Before Changes) '!AH8</f>
        <v>0</v>
      </c>
      <c r="AI8" s="16">
        <f>'CFS (After Changes)'!AI8-'CFS (Before Changes) '!AI8</f>
        <v>0</v>
      </c>
      <c r="AJ8" s="16">
        <f>'CFS (After Changes)'!AJ8-'CFS (Before Changes) '!AJ8</f>
        <v>0</v>
      </c>
      <c r="AK8" s="16">
        <f>'CFS (After Changes)'!AK8-'CFS (Before Changes) '!AK8</f>
        <v>0</v>
      </c>
      <c r="AL8" s="17">
        <f>'CFS (After Changes)'!AL8-'CFS (Before Changes) '!AL8</f>
        <v>0</v>
      </c>
      <c r="AM8" s="16">
        <f>'CFS (After Changes)'!AM8-'CFS (Before Changes) '!AM8</f>
        <v>0</v>
      </c>
      <c r="AN8" s="16">
        <f>'CFS (After Changes)'!AN8-'CFS (Before Changes) '!AN8</f>
        <v>0</v>
      </c>
      <c r="AO8" s="16">
        <f>'CFS (After Changes)'!AO8-'CFS (Before Changes) '!AO8</f>
        <v>0</v>
      </c>
      <c r="AP8" s="16">
        <f>'CFS (After Changes)'!AP8-'CFS (Before Changes) '!AP8</f>
        <v>0</v>
      </c>
      <c r="AQ8" s="17">
        <f>'CFS (After Changes)'!AQ8-'CFS (Before Changes) '!AQ8</f>
        <v>0</v>
      </c>
      <c r="AR8" s="16">
        <f>'CFS (After Changes)'!AR8-'CFS (Before Changes) '!AR8</f>
        <v>0</v>
      </c>
      <c r="AS8" s="16">
        <f>'CFS (After Changes)'!AS8-'CFS (Before Changes) '!AS8</f>
        <v>0</v>
      </c>
      <c r="AT8" s="16">
        <f>'CFS (After Changes)'!AT8-'CFS (Before Changes) '!AT8</f>
        <v>0</v>
      </c>
      <c r="AU8" s="16">
        <f>'CFS (After Changes)'!AU8-'CFS (Before Changes) '!AU8</f>
        <v>0</v>
      </c>
      <c r="AV8" s="17">
        <f>'CFS (After Changes)'!AV8-'CFS (Before Changes) '!AV8</f>
        <v>0</v>
      </c>
    </row>
    <row r="9" spans="2:48" outlineLevel="1" x14ac:dyDescent="0.3">
      <c r="B9" s="308" t="s">
        <v>270</v>
      </c>
      <c r="C9" s="44"/>
      <c r="D9" s="16">
        <f>'CFS (After Changes)'!D9-'CFS (Before Changes) '!D9</f>
        <v>0</v>
      </c>
      <c r="E9" s="16">
        <f>'CFS (After Changes)'!E9-'CFS (Before Changes) '!E9</f>
        <v>0</v>
      </c>
      <c r="F9" s="16">
        <f>'CFS (After Changes)'!F9-'CFS (Before Changes) '!F9</f>
        <v>0</v>
      </c>
      <c r="G9" s="101">
        <f>'CFS (After Changes)'!G9-'CFS (Before Changes) '!G9</f>
        <v>0</v>
      </c>
      <c r="H9" s="17">
        <f>'CFS (After Changes)'!H9-'CFS (Before Changes) '!H9</f>
        <v>0</v>
      </c>
      <c r="I9" s="16">
        <f>'CFS (After Changes)'!I9-'CFS (Before Changes) '!I9</f>
        <v>0</v>
      </c>
      <c r="J9" s="16">
        <f>'CFS (After Changes)'!J9-'CFS (Before Changes) '!J9</f>
        <v>0</v>
      </c>
      <c r="K9" s="16">
        <f>'CFS (After Changes)'!K9-'CFS (Before Changes) '!K9</f>
        <v>0</v>
      </c>
      <c r="L9" s="101">
        <f>'CFS (After Changes)'!L9-'CFS (Before Changes) '!L9</f>
        <v>0</v>
      </c>
      <c r="M9" s="17">
        <f>'CFS (After Changes)'!M9-'CFS (Before Changes) '!M9</f>
        <v>0</v>
      </c>
      <c r="N9" s="16">
        <f>'CFS (After Changes)'!N9-'CFS (Before Changes) '!N9</f>
        <v>0</v>
      </c>
      <c r="O9" s="16">
        <f>'CFS (After Changes)'!O9-'CFS (Before Changes) '!O9</f>
        <v>0</v>
      </c>
      <c r="P9" s="16">
        <f>'CFS (After Changes)'!P9-'CFS (Before Changes) '!P9</f>
        <v>0</v>
      </c>
      <c r="Q9" s="101">
        <f>'CFS (After Changes)'!Q9-'CFS (Before Changes) '!Q9</f>
        <v>0</v>
      </c>
      <c r="R9" s="17">
        <f>'CFS (After Changes)'!R9-'CFS (Before Changes) '!R9</f>
        <v>0</v>
      </c>
      <c r="S9" s="16">
        <f>'CFS (After Changes)'!S9-'CFS (Before Changes) '!S9</f>
        <v>0</v>
      </c>
      <c r="T9" s="16">
        <f>'CFS (After Changes)'!T9-'CFS (Before Changes) '!T9</f>
        <v>0</v>
      </c>
      <c r="U9" s="16">
        <f>'CFS (After Changes)'!U9-'CFS (Before Changes) '!U9</f>
        <v>0</v>
      </c>
      <c r="V9" s="16">
        <f>'CFS (After Changes)'!V9-'CFS (Before Changes) '!V9</f>
        <v>0</v>
      </c>
      <c r="W9" s="17">
        <f>'CFS (After Changes)'!W9-'CFS (Before Changes) '!W9</f>
        <v>0</v>
      </c>
      <c r="X9" s="16">
        <f>'CFS (After Changes)'!X9-'CFS (Before Changes) '!X9</f>
        <v>0</v>
      </c>
      <c r="Y9" s="16">
        <f>'CFS (After Changes)'!Y9-'CFS (Before Changes) '!Y9</f>
        <v>0</v>
      </c>
      <c r="Z9" s="16">
        <f>'CFS (After Changes)'!Z9-'CFS (Before Changes) '!Z9</f>
        <v>0</v>
      </c>
      <c r="AA9" s="16">
        <f>'CFS (After Changes)'!AA9-'CFS (Before Changes) '!AA9</f>
        <v>0</v>
      </c>
      <c r="AB9" s="17">
        <f>'CFS (After Changes)'!AB9-'CFS (Before Changes) '!AB9</f>
        <v>0</v>
      </c>
      <c r="AC9" s="16">
        <f>'CFS (After Changes)'!AC9-'CFS (Before Changes) '!AC9</f>
        <v>0</v>
      </c>
      <c r="AD9" s="16">
        <f>'CFS (After Changes)'!AD9-'CFS (Before Changes) '!AD9</f>
        <v>0</v>
      </c>
      <c r="AE9" s="16">
        <f>'CFS (After Changes)'!AE9-'CFS (Before Changes) '!AE9</f>
        <v>0</v>
      </c>
      <c r="AF9" s="16">
        <f>'CFS (After Changes)'!AF9-'CFS (Before Changes) '!AF9</f>
        <v>0</v>
      </c>
      <c r="AG9" s="17">
        <f>'CFS (After Changes)'!AG9-'CFS (Before Changes) '!AG9</f>
        <v>0</v>
      </c>
      <c r="AH9" s="16">
        <f>'CFS (After Changes)'!AH9-'CFS (Before Changes) '!AH9</f>
        <v>0</v>
      </c>
      <c r="AI9" s="16">
        <f>'CFS (After Changes)'!AI9-'CFS (Before Changes) '!AI9</f>
        <v>0</v>
      </c>
      <c r="AJ9" s="16">
        <f>'CFS (After Changes)'!AJ9-'CFS (Before Changes) '!AJ9</f>
        <v>0</v>
      </c>
      <c r="AK9" s="16">
        <f>'CFS (After Changes)'!AK9-'CFS (Before Changes) '!AK9</f>
        <v>0</v>
      </c>
      <c r="AL9" s="17">
        <f>'CFS (After Changes)'!AL9-'CFS (Before Changes) '!AL9</f>
        <v>0</v>
      </c>
      <c r="AM9" s="16">
        <f>'CFS (After Changes)'!AM9-'CFS (Before Changes) '!AM9</f>
        <v>0</v>
      </c>
      <c r="AN9" s="16">
        <f>'CFS (After Changes)'!AN9-'CFS (Before Changes) '!AN9</f>
        <v>0</v>
      </c>
      <c r="AO9" s="16">
        <f>'CFS (After Changes)'!AO9-'CFS (Before Changes) '!AO9</f>
        <v>0</v>
      </c>
      <c r="AP9" s="16">
        <f>'CFS (After Changes)'!AP9-'CFS (Before Changes) '!AP9</f>
        <v>0</v>
      </c>
      <c r="AQ9" s="17">
        <f>'CFS (After Changes)'!AQ9-'CFS (Before Changes) '!AQ9</f>
        <v>0</v>
      </c>
      <c r="AR9" s="16">
        <f>'CFS (After Changes)'!AR9-'CFS (Before Changes) '!AR9</f>
        <v>0</v>
      </c>
      <c r="AS9" s="16">
        <f>'CFS (After Changes)'!AS9-'CFS (Before Changes) '!AS9</f>
        <v>0</v>
      </c>
      <c r="AT9" s="16">
        <f>'CFS (After Changes)'!AT9-'CFS (Before Changes) '!AT9</f>
        <v>0</v>
      </c>
      <c r="AU9" s="16">
        <f>'CFS (After Changes)'!AU9-'CFS (Before Changes) '!AU9</f>
        <v>0</v>
      </c>
      <c r="AV9" s="17">
        <f>'CFS (After Changes)'!AV9-'CFS (Before Changes) '!AV9</f>
        <v>0</v>
      </c>
    </row>
    <row r="10" spans="2:48" outlineLevel="1" x14ac:dyDescent="0.3">
      <c r="B10" s="308" t="s">
        <v>271</v>
      </c>
      <c r="C10" s="44"/>
      <c r="D10" s="16">
        <f>'CFS (After Changes)'!D10-'CFS (Before Changes) '!D10</f>
        <v>0</v>
      </c>
      <c r="E10" s="16">
        <f>'CFS (After Changes)'!E10-'CFS (Before Changes) '!E10</f>
        <v>0</v>
      </c>
      <c r="F10" s="16">
        <f>'CFS (After Changes)'!F10-'CFS (Before Changes) '!F10</f>
        <v>0</v>
      </c>
      <c r="G10" s="101">
        <f>'CFS (After Changes)'!G10-'CFS (Before Changes) '!G10</f>
        <v>0</v>
      </c>
      <c r="H10" s="17">
        <f>'CFS (After Changes)'!H10-'CFS (Before Changes) '!H10</f>
        <v>0</v>
      </c>
      <c r="I10" s="16">
        <f>'CFS (After Changes)'!I10-'CFS (Before Changes) '!I10</f>
        <v>0</v>
      </c>
      <c r="J10" s="16">
        <f>'CFS (After Changes)'!J10-'CFS (Before Changes) '!J10</f>
        <v>0</v>
      </c>
      <c r="K10" s="16">
        <f>'CFS (After Changes)'!K10-'CFS (Before Changes) '!K10</f>
        <v>0</v>
      </c>
      <c r="L10" s="101">
        <f>'CFS (After Changes)'!L10-'CFS (Before Changes) '!L10</f>
        <v>0</v>
      </c>
      <c r="M10" s="17">
        <f>'CFS (After Changes)'!M10-'CFS (Before Changes) '!M10</f>
        <v>0</v>
      </c>
      <c r="N10" s="16">
        <f>'CFS (After Changes)'!N10-'CFS (Before Changes) '!N10</f>
        <v>0</v>
      </c>
      <c r="O10" s="16">
        <f>'CFS (After Changes)'!O10-'CFS (Before Changes) '!O10</f>
        <v>0</v>
      </c>
      <c r="P10" s="16">
        <f>'CFS (After Changes)'!P10-'CFS (Before Changes) '!P10</f>
        <v>0</v>
      </c>
      <c r="Q10" s="101">
        <f>'CFS (After Changes)'!Q10-'CFS (Before Changes) '!Q10</f>
        <v>0</v>
      </c>
      <c r="R10" s="17">
        <f>'CFS (After Changes)'!R10-'CFS (Before Changes) '!R10</f>
        <v>0</v>
      </c>
      <c r="S10" s="16">
        <f>'CFS (After Changes)'!S10-'CFS (Before Changes) '!S10</f>
        <v>0</v>
      </c>
      <c r="T10" s="16">
        <f>'CFS (After Changes)'!T10-'CFS (Before Changes) '!T10</f>
        <v>0</v>
      </c>
      <c r="U10" s="16">
        <f>'CFS (After Changes)'!U10-'CFS (Before Changes) '!U10</f>
        <v>0</v>
      </c>
      <c r="V10" s="16">
        <f>'CFS (After Changes)'!V10-'CFS (Before Changes) '!V10</f>
        <v>0</v>
      </c>
      <c r="W10" s="17">
        <f>'CFS (After Changes)'!W10-'CFS (Before Changes) '!W10</f>
        <v>0</v>
      </c>
      <c r="X10" s="16">
        <f>'CFS (After Changes)'!X10-'CFS (Before Changes) '!X10</f>
        <v>0</v>
      </c>
      <c r="Y10" s="16">
        <f>'CFS (After Changes)'!Y10-'CFS (Before Changes) '!Y10</f>
        <v>0</v>
      </c>
      <c r="Z10" s="16">
        <f>'CFS (After Changes)'!Z10-'CFS (Before Changes) '!Z10</f>
        <v>0</v>
      </c>
      <c r="AA10" s="16">
        <f>'CFS (After Changes)'!AA10-'CFS (Before Changes) '!AA10</f>
        <v>0</v>
      </c>
      <c r="AB10" s="17">
        <f>'CFS (After Changes)'!AB10-'CFS (Before Changes) '!AB10</f>
        <v>0</v>
      </c>
      <c r="AC10" s="16">
        <f>'CFS (After Changes)'!AC10-'CFS (Before Changes) '!AC10</f>
        <v>0</v>
      </c>
      <c r="AD10" s="16">
        <f>'CFS (After Changes)'!AD10-'CFS (Before Changes) '!AD10</f>
        <v>0</v>
      </c>
      <c r="AE10" s="16">
        <f>'CFS (After Changes)'!AE10-'CFS (Before Changes) '!AE10</f>
        <v>0</v>
      </c>
      <c r="AF10" s="16">
        <f>'CFS (After Changes)'!AF10-'CFS (Before Changes) '!AF10</f>
        <v>0</v>
      </c>
      <c r="AG10" s="17">
        <f>'CFS (After Changes)'!AG10-'CFS (Before Changes) '!AG10</f>
        <v>0</v>
      </c>
      <c r="AH10" s="16">
        <f>'CFS (After Changes)'!AH10-'CFS (Before Changes) '!AH10</f>
        <v>0</v>
      </c>
      <c r="AI10" s="16">
        <f>'CFS (After Changes)'!AI10-'CFS (Before Changes) '!AI10</f>
        <v>0</v>
      </c>
      <c r="AJ10" s="16">
        <f>'CFS (After Changes)'!AJ10-'CFS (Before Changes) '!AJ10</f>
        <v>0</v>
      </c>
      <c r="AK10" s="16">
        <f>'CFS (After Changes)'!AK10-'CFS (Before Changes) '!AK10</f>
        <v>0</v>
      </c>
      <c r="AL10" s="17">
        <f>'CFS (After Changes)'!AL10-'CFS (Before Changes) '!AL10</f>
        <v>0</v>
      </c>
      <c r="AM10" s="16">
        <f>'CFS (After Changes)'!AM10-'CFS (Before Changes) '!AM10</f>
        <v>0</v>
      </c>
      <c r="AN10" s="16">
        <f>'CFS (After Changes)'!AN10-'CFS (Before Changes) '!AN10</f>
        <v>0</v>
      </c>
      <c r="AO10" s="16">
        <f>'CFS (After Changes)'!AO10-'CFS (Before Changes) '!AO10</f>
        <v>0</v>
      </c>
      <c r="AP10" s="16">
        <f>'CFS (After Changes)'!AP10-'CFS (Before Changes) '!AP10</f>
        <v>0</v>
      </c>
      <c r="AQ10" s="17">
        <f>'CFS (After Changes)'!AQ10-'CFS (Before Changes) '!AQ10</f>
        <v>0</v>
      </c>
      <c r="AR10" s="16">
        <f>'CFS (After Changes)'!AR10-'CFS (Before Changes) '!AR10</f>
        <v>0</v>
      </c>
      <c r="AS10" s="16">
        <f>'CFS (After Changes)'!AS10-'CFS (Before Changes) '!AS10</f>
        <v>0</v>
      </c>
      <c r="AT10" s="16">
        <f>'CFS (After Changes)'!AT10-'CFS (Before Changes) '!AT10</f>
        <v>0</v>
      </c>
      <c r="AU10" s="16">
        <f>'CFS (After Changes)'!AU10-'CFS (Before Changes) '!AU10</f>
        <v>0</v>
      </c>
      <c r="AV10" s="17">
        <f>'CFS (After Changes)'!AV10-'CFS (Before Changes) '!AV10</f>
        <v>0</v>
      </c>
    </row>
    <row r="11" spans="2:48" outlineLevel="1" x14ac:dyDescent="0.3">
      <c r="B11" s="308" t="s">
        <v>272</v>
      </c>
      <c r="C11" s="44"/>
      <c r="D11" s="16">
        <f>'CFS (After Changes)'!D11-'CFS (Before Changes) '!D11</f>
        <v>0</v>
      </c>
      <c r="E11" s="16">
        <f>'CFS (After Changes)'!E11-'CFS (Before Changes) '!E11</f>
        <v>0</v>
      </c>
      <c r="F11" s="16">
        <f>'CFS (After Changes)'!F11-'CFS (Before Changes) '!F11</f>
        <v>0</v>
      </c>
      <c r="G11" s="101">
        <f>'CFS (After Changes)'!G11-'CFS (Before Changes) '!G11</f>
        <v>0</v>
      </c>
      <c r="H11" s="17">
        <f>'CFS (After Changes)'!H11-'CFS (Before Changes) '!H11</f>
        <v>0</v>
      </c>
      <c r="I11" s="16">
        <f>'CFS (After Changes)'!I11-'CFS (Before Changes) '!I11</f>
        <v>0</v>
      </c>
      <c r="J11" s="16">
        <f>'CFS (After Changes)'!J11-'CFS (Before Changes) '!J11</f>
        <v>0</v>
      </c>
      <c r="K11" s="16">
        <f>'CFS (After Changes)'!K11-'CFS (Before Changes) '!K11</f>
        <v>0</v>
      </c>
      <c r="L11" s="101">
        <f>'CFS (After Changes)'!L11-'CFS (Before Changes) '!L11</f>
        <v>0</v>
      </c>
      <c r="M11" s="17">
        <f>'CFS (After Changes)'!M11-'CFS (Before Changes) '!M11</f>
        <v>0</v>
      </c>
      <c r="N11" s="16">
        <f>'CFS (After Changes)'!N11-'CFS (Before Changes) '!N11</f>
        <v>0</v>
      </c>
      <c r="O11" s="16">
        <f>'CFS (After Changes)'!O11-'CFS (Before Changes) '!O11</f>
        <v>0</v>
      </c>
      <c r="P11" s="16">
        <f>'CFS (After Changes)'!P11-'CFS (Before Changes) '!P11</f>
        <v>0</v>
      </c>
      <c r="Q11" s="101">
        <f>'CFS (After Changes)'!Q11-'CFS (Before Changes) '!Q11</f>
        <v>0</v>
      </c>
      <c r="R11" s="17">
        <f>'CFS (After Changes)'!R11-'CFS (Before Changes) '!R11</f>
        <v>0</v>
      </c>
      <c r="S11" s="16">
        <f>'CFS (After Changes)'!S11-'CFS (Before Changes) '!S11</f>
        <v>0</v>
      </c>
      <c r="T11" s="16">
        <f>'CFS (After Changes)'!T11-'CFS (Before Changes) '!T11</f>
        <v>0</v>
      </c>
      <c r="U11" s="16">
        <f>'CFS (After Changes)'!U11-'CFS (Before Changes) '!U11</f>
        <v>0</v>
      </c>
      <c r="V11" s="16">
        <f>'CFS (After Changes)'!V11-'CFS (Before Changes) '!V11</f>
        <v>0</v>
      </c>
      <c r="W11" s="17">
        <f>'CFS (After Changes)'!W11-'CFS (Before Changes) '!W11</f>
        <v>0</v>
      </c>
      <c r="X11" s="16">
        <f>'CFS (After Changes)'!X11-'CFS (Before Changes) '!X11</f>
        <v>0</v>
      </c>
      <c r="Y11" s="16">
        <f>'CFS (After Changes)'!Y11-'CFS (Before Changes) '!Y11</f>
        <v>0</v>
      </c>
      <c r="Z11" s="16">
        <f>'CFS (After Changes)'!Z11-'CFS (Before Changes) '!Z11</f>
        <v>0</v>
      </c>
      <c r="AA11" s="16">
        <f>'CFS (After Changes)'!AA11-'CFS (Before Changes) '!AA11</f>
        <v>0</v>
      </c>
      <c r="AB11" s="17">
        <f>'CFS (After Changes)'!AB11-'CFS (Before Changes) '!AB11</f>
        <v>0</v>
      </c>
      <c r="AC11" s="16">
        <f>'CFS (After Changes)'!AC11-'CFS (Before Changes) '!AC11</f>
        <v>0</v>
      </c>
      <c r="AD11" s="16">
        <f>'CFS (After Changes)'!AD11-'CFS (Before Changes) '!AD11</f>
        <v>0</v>
      </c>
      <c r="AE11" s="16">
        <f>'CFS (After Changes)'!AE11-'CFS (Before Changes) '!AE11</f>
        <v>0</v>
      </c>
      <c r="AF11" s="16">
        <f>'CFS (After Changes)'!AF11-'CFS (Before Changes) '!AF11</f>
        <v>0</v>
      </c>
      <c r="AG11" s="17">
        <f>'CFS (After Changes)'!AG11-'CFS (Before Changes) '!AG11</f>
        <v>0</v>
      </c>
      <c r="AH11" s="16">
        <f>'CFS (After Changes)'!AH11-'CFS (Before Changes) '!AH11</f>
        <v>0</v>
      </c>
      <c r="AI11" s="16">
        <f>'CFS (After Changes)'!AI11-'CFS (Before Changes) '!AI11</f>
        <v>0</v>
      </c>
      <c r="AJ11" s="16">
        <f>'CFS (After Changes)'!AJ11-'CFS (Before Changes) '!AJ11</f>
        <v>0</v>
      </c>
      <c r="AK11" s="16">
        <f>'CFS (After Changes)'!AK11-'CFS (Before Changes) '!AK11</f>
        <v>0</v>
      </c>
      <c r="AL11" s="17">
        <f>'CFS (After Changes)'!AL11-'CFS (Before Changes) '!AL11</f>
        <v>0</v>
      </c>
      <c r="AM11" s="16">
        <f>'CFS (After Changes)'!AM11-'CFS (Before Changes) '!AM11</f>
        <v>0</v>
      </c>
      <c r="AN11" s="16">
        <f>'CFS (After Changes)'!AN11-'CFS (Before Changes) '!AN11</f>
        <v>0</v>
      </c>
      <c r="AO11" s="16">
        <f>'CFS (After Changes)'!AO11-'CFS (Before Changes) '!AO11</f>
        <v>0</v>
      </c>
      <c r="AP11" s="16">
        <f>'CFS (After Changes)'!AP11-'CFS (Before Changes) '!AP11</f>
        <v>0</v>
      </c>
      <c r="AQ11" s="17">
        <f>'CFS (After Changes)'!AQ11-'CFS (Before Changes) '!AQ11</f>
        <v>0</v>
      </c>
      <c r="AR11" s="16">
        <f>'CFS (After Changes)'!AR11-'CFS (Before Changes) '!AR11</f>
        <v>0</v>
      </c>
      <c r="AS11" s="16">
        <f>'CFS (After Changes)'!AS11-'CFS (Before Changes) '!AS11</f>
        <v>0</v>
      </c>
      <c r="AT11" s="16">
        <f>'CFS (After Changes)'!AT11-'CFS (Before Changes) '!AT11</f>
        <v>0</v>
      </c>
      <c r="AU11" s="16">
        <f>'CFS (After Changes)'!AU11-'CFS (Before Changes) '!AU11</f>
        <v>0</v>
      </c>
      <c r="AV11" s="17">
        <f>'CFS (After Changes)'!AV11-'CFS (Before Changes) '!AV11</f>
        <v>0</v>
      </c>
    </row>
    <row r="12" spans="2:48" outlineLevel="1" x14ac:dyDescent="0.3">
      <c r="B12" s="308" t="s">
        <v>273</v>
      </c>
      <c r="C12" s="44"/>
      <c r="D12" s="16">
        <f>'CFS (After Changes)'!D12-'CFS (Before Changes) '!D12</f>
        <v>0</v>
      </c>
      <c r="E12" s="16">
        <f>'CFS (After Changes)'!E12-'CFS (Before Changes) '!E12</f>
        <v>0</v>
      </c>
      <c r="F12" s="16">
        <f>'CFS (After Changes)'!F12-'CFS (Before Changes) '!F12</f>
        <v>0</v>
      </c>
      <c r="G12" s="101">
        <f>'CFS (After Changes)'!G12-'CFS (Before Changes) '!G12</f>
        <v>0</v>
      </c>
      <c r="H12" s="17">
        <f>'CFS (After Changes)'!H12-'CFS (Before Changes) '!H12</f>
        <v>0</v>
      </c>
      <c r="I12" s="16">
        <f>'CFS (After Changes)'!I12-'CFS (Before Changes) '!I12</f>
        <v>0</v>
      </c>
      <c r="J12" s="16">
        <f>'CFS (After Changes)'!J12-'CFS (Before Changes) '!J12</f>
        <v>0</v>
      </c>
      <c r="K12" s="16">
        <f>'CFS (After Changes)'!K12-'CFS (Before Changes) '!K12</f>
        <v>0</v>
      </c>
      <c r="L12" s="101">
        <f>'CFS (After Changes)'!L12-'CFS (Before Changes) '!L12</f>
        <v>0</v>
      </c>
      <c r="M12" s="17">
        <f>'CFS (After Changes)'!M12-'CFS (Before Changes) '!M12</f>
        <v>0</v>
      </c>
      <c r="N12" s="16">
        <f>'CFS (After Changes)'!N12-'CFS (Before Changes) '!N12</f>
        <v>0</v>
      </c>
      <c r="O12" s="16">
        <f>'CFS (After Changes)'!O12-'CFS (Before Changes) '!O12</f>
        <v>0</v>
      </c>
      <c r="P12" s="16">
        <f>'CFS (After Changes)'!P12-'CFS (Before Changes) '!P12</f>
        <v>0</v>
      </c>
      <c r="Q12" s="101">
        <f>'CFS (After Changes)'!Q12-'CFS (Before Changes) '!Q12</f>
        <v>0</v>
      </c>
      <c r="R12" s="17">
        <f>'CFS (After Changes)'!R12-'CFS (Before Changes) '!R12</f>
        <v>0</v>
      </c>
      <c r="S12" s="16">
        <f>'CFS (After Changes)'!S12-'CFS (Before Changes) '!S12</f>
        <v>0</v>
      </c>
      <c r="T12" s="16">
        <f>'CFS (After Changes)'!T12-'CFS (Before Changes) '!T12</f>
        <v>0</v>
      </c>
      <c r="U12" s="16">
        <f>'CFS (After Changes)'!U12-'CFS (Before Changes) '!U12</f>
        <v>0</v>
      </c>
      <c r="V12" s="16">
        <f>'CFS (After Changes)'!V12-'CFS (Before Changes) '!V12</f>
        <v>0</v>
      </c>
      <c r="W12" s="17">
        <f>'CFS (After Changes)'!W12-'CFS (Before Changes) '!W12</f>
        <v>0</v>
      </c>
      <c r="X12" s="16">
        <f>'CFS (After Changes)'!X12-'CFS (Before Changes) '!X12</f>
        <v>0.24335430317627527</v>
      </c>
      <c r="Y12" s="16">
        <f>'CFS (After Changes)'!Y12-'CFS (Before Changes) '!Y12</f>
        <v>0.20675627326885149</v>
      </c>
      <c r="Z12" s="16">
        <f>'CFS (After Changes)'!Z12-'CFS (Before Changes) '!Z12</f>
        <v>1.1121483112125645</v>
      </c>
      <c r="AA12" s="16">
        <f>'CFS (After Changes)'!AA12-'CFS (Before Changes) '!AA12</f>
        <v>1.1346107948577071</v>
      </c>
      <c r="AB12" s="17">
        <f>'CFS (After Changes)'!AB12-'CFS (Before Changes) '!AB12</f>
        <v>2.6968696825153984</v>
      </c>
      <c r="AC12" s="16">
        <f>'CFS (After Changes)'!AC12-'CFS (Before Changes) '!AC12</f>
        <v>0.49065876842783496</v>
      </c>
      <c r="AD12" s="16">
        <f>'CFS (After Changes)'!AD12-'CFS (Before Changes) '!AD12</f>
        <v>0.45743702296780953</v>
      </c>
      <c r="AE12" s="16">
        <f>'CFS (After Changes)'!AE12-'CFS (Before Changes) '!AE12</f>
        <v>1.4714200389190779</v>
      </c>
      <c r="AF12" s="16">
        <f>'CFS (After Changes)'!AF12-'CFS (Before Changes) '!AF12</f>
        <v>1.4769972720401654</v>
      </c>
      <c r="AG12" s="17">
        <f>'CFS (After Changes)'!AG12-'CFS (Before Changes) '!AG12</f>
        <v>3.896513102354902</v>
      </c>
      <c r="AH12" s="16">
        <f>'CFS (After Changes)'!AH12-'CFS (Before Changes) '!AH12</f>
        <v>0.80434868723703801</v>
      </c>
      <c r="AI12" s="16">
        <f>'CFS (After Changes)'!AI12-'CFS (Before Changes) '!AI12</f>
        <v>0.76219310207982005</v>
      </c>
      <c r="AJ12" s="16">
        <f>'CFS (After Changes)'!AJ12-'CFS (Before Changes) '!AJ12</f>
        <v>1.9102397807209144</v>
      </c>
      <c r="AK12" s="16">
        <f>'CFS (After Changes)'!AK12-'CFS (Before Changes) '!AK12</f>
        <v>1.9138113114879189</v>
      </c>
      <c r="AL12" s="17">
        <f>'CFS (After Changes)'!AL12-'CFS (Before Changes) '!AL12</f>
        <v>5.390592881525663</v>
      </c>
      <c r="AM12" s="16">
        <f>'CFS (After Changes)'!AM12-'CFS (Before Changes) '!AM12</f>
        <v>0.87107532064308657</v>
      </c>
      <c r="AN12" s="16">
        <f>'CFS (After Changes)'!AN12-'CFS (Before Changes) '!AN12</f>
        <v>0.82768468636277248</v>
      </c>
      <c r="AO12" s="16">
        <f>'CFS (After Changes)'!AO12-'CFS (Before Changes) '!AO12</f>
        <v>2.073232040435073</v>
      </c>
      <c r="AP12" s="16">
        <f>'CFS (After Changes)'!AP12-'CFS (Before Changes) '!AP12</f>
        <v>2.0777205674734489</v>
      </c>
      <c r="AQ12" s="17">
        <f>'CFS (After Changes)'!AQ12-'CFS (Before Changes) '!AQ12</f>
        <v>5.8497126149143241</v>
      </c>
      <c r="AR12" s="16">
        <f>'CFS (After Changes)'!AR12-'CFS (Before Changes) '!AR12</f>
        <v>0.92810846610130682</v>
      </c>
      <c r="AS12" s="16">
        <f>'CFS (After Changes)'!AS12-'CFS (Before Changes) '!AS12</f>
        <v>0.8818234389489561</v>
      </c>
      <c r="AT12" s="16">
        <f>'CFS (After Changes)'!AT12-'CFS (Before Changes) '!AT12</f>
        <v>2.2076864530574483</v>
      </c>
      <c r="AU12" s="16">
        <f>'CFS (After Changes)'!AU12-'CFS (Before Changes) '!AU12</f>
        <v>2.2118389398591063</v>
      </c>
      <c r="AV12" s="17">
        <f>'CFS (After Changes)'!AV12-'CFS (Before Changes) '!AV12</f>
        <v>6.2294572979668033</v>
      </c>
    </row>
    <row r="13" spans="2:48" outlineLevel="1" x14ac:dyDescent="0.3">
      <c r="B13" s="319" t="s">
        <v>274</v>
      </c>
      <c r="C13" s="320"/>
      <c r="D13" s="16">
        <f>'CFS (After Changes)'!D13-'CFS (Before Changes) '!D13</f>
        <v>0</v>
      </c>
      <c r="E13" s="101">
        <f>'CFS (After Changes)'!E13-'CFS (Before Changes) '!E13</f>
        <v>0</v>
      </c>
      <c r="F13" s="101">
        <f>'CFS (After Changes)'!F13-'CFS (Before Changes) '!F13</f>
        <v>0</v>
      </c>
      <c r="G13" s="101">
        <f>'CFS (After Changes)'!G13-'CFS (Before Changes) '!G13</f>
        <v>0</v>
      </c>
      <c r="H13" s="17">
        <f>'CFS (After Changes)'!H13-'CFS (Before Changes) '!H13</f>
        <v>0</v>
      </c>
      <c r="I13" s="101">
        <f>'CFS (After Changes)'!I13-'CFS (Before Changes) '!I13</f>
        <v>0</v>
      </c>
      <c r="J13" s="101">
        <f>'CFS (After Changes)'!J13-'CFS (Before Changes) '!J13</f>
        <v>0</v>
      </c>
      <c r="K13" s="101">
        <f>'CFS (After Changes)'!K13-'CFS (Before Changes) '!K13</f>
        <v>0</v>
      </c>
      <c r="L13" s="101">
        <f>'CFS (After Changes)'!L13-'CFS (Before Changes) '!L13</f>
        <v>0</v>
      </c>
      <c r="M13" s="17">
        <f>'CFS (After Changes)'!M13-'CFS (Before Changes) '!M13</f>
        <v>0</v>
      </c>
      <c r="N13" s="101">
        <f>'CFS (After Changes)'!N13-'CFS (Before Changes) '!N13</f>
        <v>0</v>
      </c>
      <c r="O13" s="101">
        <f>'CFS (After Changes)'!O13-'CFS (Before Changes) '!O13</f>
        <v>0</v>
      </c>
      <c r="P13" s="101">
        <f>'CFS (After Changes)'!P13-'CFS (Before Changes) '!P13</f>
        <v>0</v>
      </c>
      <c r="Q13" s="101">
        <f>'CFS (After Changes)'!Q13-'CFS (Before Changes) '!Q13</f>
        <v>0</v>
      </c>
      <c r="R13" s="17">
        <f>'CFS (After Changes)'!R13-'CFS (Before Changes) '!R13</f>
        <v>0</v>
      </c>
      <c r="S13" s="101">
        <f>'CFS (After Changes)'!S13-'CFS (Before Changes) '!S13</f>
        <v>0</v>
      </c>
      <c r="T13" s="101">
        <f>'CFS (After Changes)'!T13-'CFS (Before Changes) '!T13</f>
        <v>0</v>
      </c>
      <c r="U13" s="101">
        <f>'CFS (After Changes)'!U13-'CFS (Before Changes) '!U13</f>
        <v>0</v>
      </c>
      <c r="V13" s="101">
        <f>'CFS (After Changes)'!V13-'CFS (Before Changes) '!V13</f>
        <v>0</v>
      </c>
      <c r="W13" s="17">
        <f>'CFS (After Changes)'!W13-'CFS (Before Changes) '!W13</f>
        <v>0</v>
      </c>
      <c r="X13" s="33">
        <f>'CFS (After Changes)'!X13-'CFS (Before Changes) '!X13</f>
        <v>0</v>
      </c>
      <c r="Y13" s="33">
        <f>'CFS (After Changes)'!Y13-'CFS (Before Changes) '!Y13</f>
        <v>0</v>
      </c>
      <c r="Z13" s="33">
        <f>'CFS (After Changes)'!Z13-'CFS (Before Changes) '!Z13</f>
        <v>0</v>
      </c>
      <c r="AA13" s="33">
        <f>'CFS (After Changes)'!AA13-'CFS (Before Changes) '!AA13</f>
        <v>0</v>
      </c>
      <c r="AB13" s="17">
        <f>'CFS (After Changes)'!AB13-'CFS (Before Changes) '!AB13</f>
        <v>0</v>
      </c>
      <c r="AC13" s="33">
        <f>'CFS (After Changes)'!AC13-'CFS (Before Changes) '!AC13</f>
        <v>0</v>
      </c>
      <c r="AD13" s="33">
        <f>'CFS (After Changes)'!AD13-'CFS (Before Changes) '!AD13</f>
        <v>0</v>
      </c>
      <c r="AE13" s="33">
        <f>'CFS (After Changes)'!AE13-'CFS (Before Changes) '!AE13</f>
        <v>0</v>
      </c>
      <c r="AF13" s="33">
        <f>'CFS (After Changes)'!AF13-'CFS (Before Changes) '!AF13</f>
        <v>0</v>
      </c>
      <c r="AG13" s="17">
        <f>'CFS (After Changes)'!AG13-'CFS (Before Changes) '!AG13</f>
        <v>0</v>
      </c>
      <c r="AH13" s="33">
        <f>'CFS (After Changes)'!AH13-'CFS (Before Changes) '!AH13</f>
        <v>0</v>
      </c>
      <c r="AI13" s="33">
        <f>'CFS (After Changes)'!AI13-'CFS (Before Changes) '!AI13</f>
        <v>0</v>
      </c>
      <c r="AJ13" s="33">
        <f>'CFS (After Changes)'!AJ13-'CFS (Before Changes) '!AJ13</f>
        <v>0</v>
      </c>
      <c r="AK13" s="33">
        <f>'CFS (After Changes)'!AK13-'CFS (Before Changes) '!AK13</f>
        <v>0</v>
      </c>
      <c r="AL13" s="17">
        <f>'CFS (After Changes)'!AL13-'CFS (Before Changes) '!AL13</f>
        <v>0</v>
      </c>
      <c r="AM13" s="33">
        <f>'CFS (After Changes)'!AM13-'CFS (Before Changes) '!AM13</f>
        <v>0</v>
      </c>
      <c r="AN13" s="33">
        <f>'CFS (After Changes)'!AN13-'CFS (Before Changes) '!AN13</f>
        <v>0</v>
      </c>
      <c r="AO13" s="33">
        <f>'CFS (After Changes)'!AO13-'CFS (Before Changes) '!AO13</f>
        <v>0</v>
      </c>
      <c r="AP13" s="33">
        <f>'CFS (After Changes)'!AP13-'CFS (Before Changes) '!AP13</f>
        <v>0</v>
      </c>
      <c r="AQ13" s="17">
        <f>'CFS (After Changes)'!AQ13-'CFS (Before Changes) '!AQ13</f>
        <v>0</v>
      </c>
      <c r="AR13" s="33">
        <f>'CFS (After Changes)'!AR13-'CFS (Before Changes) '!AR13</f>
        <v>0</v>
      </c>
      <c r="AS13" s="33">
        <f>'CFS (After Changes)'!AS13-'CFS (Before Changes) '!AS13</f>
        <v>0</v>
      </c>
      <c r="AT13" s="33">
        <f>'CFS (After Changes)'!AT13-'CFS (Before Changes) '!AT13</f>
        <v>0</v>
      </c>
      <c r="AU13" s="33">
        <f>'CFS (After Changes)'!AU13-'CFS (Before Changes) '!AU13</f>
        <v>0</v>
      </c>
      <c r="AV13" s="17">
        <f>'CFS (After Changes)'!AV13-'CFS (Before Changes) '!AV13</f>
        <v>0</v>
      </c>
    </row>
    <row r="14" spans="2:48" outlineLevel="1" x14ac:dyDescent="0.3">
      <c r="B14" s="542" t="s">
        <v>275</v>
      </c>
      <c r="C14" s="543"/>
      <c r="D14" s="321">
        <f>'CFS (After Changes)'!D14-'CFS (Before Changes) '!D14</f>
        <v>0</v>
      </c>
      <c r="E14" s="322">
        <f>'CFS (After Changes)'!E14-'CFS (Before Changes) '!E14</f>
        <v>0</v>
      </c>
      <c r="F14" s="323">
        <f>'CFS (After Changes)'!F14-'CFS (Before Changes) '!F14</f>
        <v>0</v>
      </c>
      <c r="G14" s="323">
        <f>'CFS (After Changes)'!G14-'CFS (Before Changes) '!G14</f>
        <v>0</v>
      </c>
      <c r="H14" s="324">
        <f>'CFS (After Changes)'!H14-'CFS (Before Changes) '!H14</f>
        <v>0</v>
      </c>
      <c r="I14" s="323">
        <f>'CFS (After Changes)'!I14-'CFS (Before Changes) '!I14</f>
        <v>0</v>
      </c>
      <c r="J14" s="323">
        <f>'CFS (After Changes)'!J14-'CFS (Before Changes) '!J14</f>
        <v>0</v>
      </c>
      <c r="K14" s="323">
        <f>'CFS (After Changes)'!K14-'CFS (Before Changes) '!K14</f>
        <v>0</v>
      </c>
      <c r="L14" s="323">
        <f>'CFS (After Changes)'!L14-'CFS (Before Changes) '!L14</f>
        <v>0</v>
      </c>
      <c r="M14" s="324">
        <f>'CFS (After Changes)'!M14-'CFS (Before Changes) '!M14</f>
        <v>0</v>
      </c>
      <c r="N14" s="323">
        <f>'CFS (After Changes)'!N14-'CFS (Before Changes) '!N14</f>
        <v>0</v>
      </c>
      <c r="O14" s="323">
        <f>'CFS (After Changes)'!O14-'CFS (Before Changes) '!O14</f>
        <v>0</v>
      </c>
      <c r="P14" s="323">
        <f>'CFS (After Changes)'!P14-'CFS (Before Changes) '!P14</f>
        <v>0</v>
      </c>
      <c r="Q14" s="323">
        <f>'CFS (After Changes)'!Q14-'CFS (Before Changes) '!Q14</f>
        <v>0</v>
      </c>
      <c r="R14" s="324">
        <f>'CFS (After Changes)'!R14-'CFS (Before Changes) '!R14</f>
        <v>0</v>
      </c>
      <c r="S14" s="323">
        <f>'CFS (After Changes)'!S14-'CFS (Before Changes) '!S14</f>
        <v>0</v>
      </c>
      <c r="T14" s="323">
        <f>'CFS (After Changes)'!T14-'CFS (Before Changes) '!T14</f>
        <v>0</v>
      </c>
      <c r="U14" s="323">
        <f>'CFS (After Changes)'!U14-'CFS (Before Changes) '!U14</f>
        <v>0</v>
      </c>
      <c r="V14" s="323">
        <f>'CFS (After Changes)'!V14-'CFS (Before Changes) '!V14</f>
        <v>0</v>
      </c>
      <c r="W14" s="324">
        <f>'CFS (After Changes)'!W14-'CFS (Before Changes) '!W14</f>
        <v>0</v>
      </c>
      <c r="X14" s="323">
        <f>'CFS (After Changes)'!X14-'CFS (Before Changes) '!X14</f>
        <v>0</v>
      </c>
      <c r="Y14" s="323">
        <f>'CFS (After Changes)'!Y14-'CFS (Before Changes) '!Y14</f>
        <v>0</v>
      </c>
      <c r="Z14" s="323">
        <f>'CFS (After Changes)'!Z14-'CFS (Before Changes) '!Z14</f>
        <v>0</v>
      </c>
      <c r="AA14" s="323">
        <f>'CFS (After Changes)'!AA14-'CFS (Before Changes) '!AA14</f>
        <v>0</v>
      </c>
      <c r="AB14" s="324">
        <f>'CFS (After Changes)'!AB14-'CFS (Before Changes) '!AB14</f>
        <v>0</v>
      </c>
      <c r="AC14" s="323">
        <f>'CFS (After Changes)'!AC14-'CFS (Before Changes) '!AC14</f>
        <v>0</v>
      </c>
      <c r="AD14" s="323">
        <f>'CFS (After Changes)'!AD14-'CFS (Before Changes) '!AD14</f>
        <v>0</v>
      </c>
      <c r="AE14" s="323">
        <f>'CFS (After Changes)'!AE14-'CFS (Before Changes) '!AE14</f>
        <v>0</v>
      </c>
      <c r="AF14" s="323">
        <f>'CFS (After Changes)'!AF14-'CFS (Before Changes) '!AF14</f>
        <v>0</v>
      </c>
      <c r="AG14" s="324">
        <f>'CFS (After Changes)'!AG14-'CFS (Before Changes) '!AG14</f>
        <v>0</v>
      </c>
      <c r="AH14" s="323">
        <f>'CFS (After Changes)'!AH14-'CFS (Before Changes) '!AH14</f>
        <v>0</v>
      </c>
      <c r="AI14" s="323">
        <f>'CFS (After Changes)'!AI14-'CFS (Before Changes) '!AI14</f>
        <v>0</v>
      </c>
      <c r="AJ14" s="323">
        <f>'CFS (After Changes)'!AJ14-'CFS (Before Changes) '!AJ14</f>
        <v>0</v>
      </c>
      <c r="AK14" s="323">
        <f>'CFS (After Changes)'!AK14-'CFS (Before Changes) '!AK14</f>
        <v>0</v>
      </c>
      <c r="AL14" s="324">
        <f>'CFS (After Changes)'!AL14-'CFS (Before Changes) '!AL14</f>
        <v>0</v>
      </c>
      <c r="AM14" s="323">
        <f>'CFS (After Changes)'!AM14-'CFS (Before Changes) '!AM14</f>
        <v>0</v>
      </c>
      <c r="AN14" s="323">
        <f>'CFS (After Changes)'!AN14-'CFS (Before Changes) '!AN14</f>
        <v>0</v>
      </c>
      <c r="AO14" s="323">
        <f>'CFS (After Changes)'!AO14-'CFS (Before Changes) '!AO14</f>
        <v>0</v>
      </c>
      <c r="AP14" s="323">
        <f>'CFS (After Changes)'!AP14-'CFS (Before Changes) '!AP14</f>
        <v>0</v>
      </c>
      <c r="AQ14" s="324">
        <f>'CFS (After Changes)'!AQ14-'CFS (Before Changes) '!AQ14</f>
        <v>0</v>
      </c>
      <c r="AR14" s="323">
        <f>'CFS (After Changes)'!AR14-'CFS (Before Changes) '!AR14</f>
        <v>0</v>
      </c>
      <c r="AS14" s="323">
        <f>'CFS (After Changes)'!AS14-'CFS (Before Changes) '!AS14</f>
        <v>0</v>
      </c>
      <c r="AT14" s="323">
        <f>'CFS (After Changes)'!AT14-'CFS (Before Changes) '!AT14</f>
        <v>0</v>
      </c>
      <c r="AU14" s="323">
        <f>'CFS (After Changes)'!AU14-'CFS (Before Changes) '!AU14</f>
        <v>0</v>
      </c>
      <c r="AV14" s="324">
        <f>'CFS (After Changes)'!AV14-'CFS (Before Changes) '!AV14</f>
        <v>0</v>
      </c>
    </row>
    <row r="15" spans="2:48" outlineLevel="1" x14ac:dyDescent="0.3">
      <c r="B15" s="538" t="s">
        <v>276</v>
      </c>
      <c r="C15" s="539"/>
      <c r="D15" s="327">
        <f>'CFS (After Changes)'!D15-'CFS (Before Changes) '!D15</f>
        <v>0</v>
      </c>
      <c r="E15" s="327">
        <f>'CFS (After Changes)'!E15-'CFS (Before Changes) '!E15</f>
        <v>0</v>
      </c>
      <c r="F15" s="327">
        <f>'CFS (After Changes)'!F15-'CFS (Before Changes) '!F15</f>
        <v>0</v>
      </c>
      <c r="G15" s="327">
        <f>'CFS (After Changes)'!G15-'CFS (Before Changes) '!G15</f>
        <v>0</v>
      </c>
      <c r="H15" s="328">
        <f>'CFS (After Changes)'!H15-'CFS (Before Changes) '!H15</f>
        <v>0</v>
      </c>
      <c r="I15" s="327">
        <f>'CFS (After Changes)'!I15-'CFS (Before Changes) '!I15</f>
        <v>0</v>
      </c>
      <c r="J15" s="327">
        <f>'CFS (After Changes)'!J15-'CFS (Before Changes) '!J15</f>
        <v>0</v>
      </c>
      <c r="K15" s="327">
        <f>'CFS (After Changes)'!K15-'CFS (Before Changes) '!K15</f>
        <v>0</v>
      </c>
      <c r="L15" s="327">
        <f>'CFS (After Changes)'!L15-'CFS (Before Changes) '!L15</f>
        <v>0</v>
      </c>
      <c r="M15" s="328">
        <f>'CFS (After Changes)'!M15-'CFS (Before Changes) '!M15</f>
        <v>0</v>
      </c>
      <c r="N15" s="327">
        <f>'CFS (After Changes)'!N15-'CFS (Before Changes) '!N15</f>
        <v>0</v>
      </c>
      <c r="O15" s="327">
        <f>'CFS (After Changes)'!O15-'CFS (Before Changes) '!O15</f>
        <v>0</v>
      </c>
      <c r="P15" s="327">
        <f>'CFS (After Changes)'!P15-'CFS (Before Changes) '!P15</f>
        <v>0</v>
      </c>
      <c r="Q15" s="327">
        <f>'CFS (After Changes)'!Q15-'CFS (Before Changes) '!Q15</f>
        <v>0</v>
      </c>
      <c r="R15" s="328">
        <f>'CFS (After Changes)'!R15-'CFS (Before Changes) '!R15</f>
        <v>0</v>
      </c>
      <c r="S15" s="327">
        <f>'CFS (After Changes)'!S15-'CFS (Before Changes) '!S15</f>
        <v>0</v>
      </c>
      <c r="T15" s="327">
        <f>'CFS (After Changes)'!T15-'CFS (Before Changes) '!T15</f>
        <v>0</v>
      </c>
      <c r="U15" s="327">
        <f>'CFS (After Changes)'!U15-'CFS (Before Changes) '!U15</f>
        <v>0</v>
      </c>
      <c r="V15" s="327">
        <f>'CFS (After Changes)'!V15-'CFS (Before Changes) '!V15</f>
        <v>0</v>
      </c>
      <c r="W15" s="328">
        <f>'CFS (After Changes)'!W15-'CFS (Before Changes) '!W15</f>
        <v>0</v>
      </c>
      <c r="X15" s="327">
        <f>'CFS (After Changes)'!X15-'CFS (Before Changes) '!X15</f>
        <v>-3.7368966815076874</v>
      </c>
      <c r="Y15" s="327">
        <f>'CFS (After Changes)'!Y15-'CFS (Before Changes) '!Y15</f>
        <v>-7.6960721524756082E-2</v>
      </c>
      <c r="Z15" s="327">
        <f>'CFS (After Changes)'!Z15-'CFS (Before Changes) '!Z15</f>
        <v>-17.775231660753661</v>
      </c>
      <c r="AA15" s="327">
        <f>'CFS (After Changes)'!AA15-'CFS (Before Changes) '!AA15</f>
        <v>2.5755157547066574</v>
      </c>
      <c r="AB15" s="328">
        <f>'CFS (After Changes)'!AB15-'CFS (Before Changes) '!AB15</f>
        <v>-19.013573309079447</v>
      </c>
      <c r="AC15" s="327">
        <f>'CFS (After Changes)'!AC15-'CFS (Before Changes) '!AC15</f>
        <v>10.930446039872777</v>
      </c>
      <c r="AD15" s="327">
        <f>'CFS (After Changes)'!AD15-'CFS (Before Changes) '!AD15</f>
        <v>0.15274097950941723</v>
      </c>
      <c r="AE15" s="327">
        <f>'CFS (After Changes)'!AE15-'CFS (Before Changes) '!AE15</f>
        <v>-17.812094771723878</v>
      </c>
      <c r="AF15" s="327">
        <f>'CFS (After Changes)'!AF15-'CFS (Before Changes) '!AF15</f>
        <v>1.5148758427119446</v>
      </c>
      <c r="AG15" s="328">
        <f>'CFS (After Changes)'!AG15-'CFS (Before Changes) '!AG15</f>
        <v>-5.2140319096297389</v>
      </c>
      <c r="AH15" s="327">
        <f>'CFS (After Changes)'!AH15-'CFS (Before Changes) '!AH15</f>
        <v>10.920207349348857</v>
      </c>
      <c r="AI15" s="327">
        <f>'CFS (After Changes)'!AI15-'CFS (Before Changes) '!AI15</f>
        <v>0.10475035336617111</v>
      </c>
      <c r="AJ15" s="327">
        <f>'CFS (After Changes)'!AJ15-'CFS (Before Changes) '!AJ15</f>
        <v>-21.557375077220058</v>
      </c>
      <c r="AK15" s="327">
        <f>'CFS (After Changes)'!AK15-'CFS (Before Changes) '!AK15</f>
        <v>2.1292226236407714</v>
      </c>
      <c r="AL15" s="328">
        <f>'CFS (After Changes)'!AL15-'CFS (Before Changes) '!AL15</f>
        <v>-8.4031947508642588</v>
      </c>
      <c r="AM15" s="327">
        <f>'CFS (After Changes)'!AM15-'CFS (Before Changes) '!AM15</f>
        <v>18.173506878375747</v>
      </c>
      <c r="AN15" s="327">
        <f>'CFS (After Changes)'!AN15-'CFS (Before Changes) '!AN15</f>
        <v>9.2228177029483049E-3</v>
      </c>
      <c r="AO15" s="327">
        <f>'CFS (After Changes)'!AO15-'CFS (Before Changes) '!AO15</f>
        <v>-23.375428368652365</v>
      </c>
      <c r="AP15" s="327">
        <f>'CFS (After Changes)'!AP15-'CFS (Before Changes) '!AP15</f>
        <v>2.9585493415736437</v>
      </c>
      <c r="AQ15" s="328">
        <f>'CFS (After Changes)'!AQ15-'CFS (Before Changes) '!AQ15</f>
        <v>-2.234149331000026</v>
      </c>
      <c r="AR15" s="327">
        <f>'CFS (After Changes)'!AR15-'CFS (Before Changes) '!AR15</f>
        <v>19.458245155488839</v>
      </c>
      <c r="AS15" s="327">
        <f>'CFS (After Changes)'!AS15-'CFS (Before Changes) '!AS15</f>
        <v>0.13361049524019109</v>
      </c>
      <c r="AT15" s="327">
        <f>'CFS (After Changes)'!AT15-'CFS (Before Changes) '!AT15</f>
        <v>-24.387809155049581</v>
      </c>
      <c r="AU15" s="327">
        <f>'CFS (After Changes)'!AU15-'CFS (Before Changes) '!AU15</f>
        <v>2.6032444570391817</v>
      </c>
      <c r="AV15" s="328">
        <f>'CFS (After Changes)'!AV15-'CFS (Before Changes) '!AV15</f>
        <v>-2.1927090472813688</v>
      </c>
    </row>
    <row r="16" spans="2:48" outlineLevel="1" x14ac:dyDescent="0.3">
      <c r="B16" s="325" t="s">
        <v>215</v>
      </c>
      <c r="C16" s="326"/>
      <c r="D16" s="327">
        <f>'CFS (After Changes)'!D16-'CFS (Before Changes) '!D16</f>
        <v>0</v>
      </c>
      <c r="E16" s="327">
        <f>'CFS (After Changes)'!E16-'CFS (Before Changes) '!E16</f>
        <v>0</v>
      </c>
      <c r="F16" s="327">
        <f>'CFS (After Changes)'!F16-'CFS (Before Changes) '!F16</f>
        <v>0</v>
      </c>
      <c r="G16" s="327">
        <f>'CFS (After Changes)'!G16-'CFS (Before Changes) '!G16</f>
        <v>0</v>
      </c>
      <c r="H16" s="328">
        <f>'CFS (After Changes)'!H16-'CFS (Before Changes) '!H16</f>
        <v>0</v>
      </c>
      <c r="I16" s="327">
        <f>'CFS (After Changes)'!I16-'CFS (Before Changes) '!I16</f>
        <v>0</v>
      </c>
      <c r="J16" s="327">
        <f>'CFS (After Changes)'!J16-'CFS (Before Changes) '!J16</f>
        <v>0</v>
      </c>
      <c r="K16" s="327">
        <f>'CFS (After Changes)'!K16-'CFS (Before Changes) '!K16</f>
        <v>0</v>
      </c>
      <c r="L16" s="327">
        <f>'CFS (After Changes)'!L16-'CFS (Before Changes) '!L16</f>
        <v>0</v>
      </c>
      <c r="M16" s="328">
        <f>'CFS (After Changes)'!M16-'CFS (Before Changes) '!M16</f>
        <v>0</v>
      </c>
      <c r="N16" s="327">
        <f>'CFS (After Changes)'!N16-'CFS (Before Changes) '!N16</f>
        <v>0</v>
      </c>
      <c r="O16" s="327">
        <f>'CFS (After Changes)'!O16-'CFS (Before Changes) '!O16</f>
        <v>0</v>
      </c>
      <c r="P16" s="327">
        <f>'CFS (After Changes)'!P16-'CFS (Before Changes) '!P16</f>
        <v>0</v>
      </c>
      <c r="Q16" s="327">
        <f>'CFS (After Changes)'!Q16-'CFS (Before Changes) '!Q16</f>
        <v>0</v>
      </c>
      <c r="R16" s="328">
        <f>'CFS (After Changes)'!R16-'CFS (Before Changes) '!R16</f>
        <v>0</v>
      </c>
      <c r="S16" s="327">
        <f>'CFS (After Changes)'!S16-'CFS (Before Changes) '!S16</f>
        <v>0</v>
      </c>
      <c r="T16" s="327">
        <f>'CFS (After Changes)'!T16-'CFS (Before Changes) '!T16</f>
        <v>0</v>
      </c>
      <c r="U16" s="327">
        <f>'CFS (After Changes)'!U16-'CFS (Before Changes) '!U16</f>
        <v>0</v>
      </c>
      <c r="V16" s="327">
        <f>'CFS (After Changes)'!V16-'CFS (Before Changes) '!V16</f>
        <v>0</v>
      </c>
      <c r="W16" s="328">
        <f>'CFS (After Changes)'!W16-'CFS (Before Changes) '!W16</f>
        <v>0</v>
      </c>
      <c r="X16" s="327">
        <f>'CFS (After Changes)'!X16-'CFS (Before Changes) '!X16</f>
        <v>-3.4285873333349173</v>
      </c>
      <c r="Y16" s="327">
        <f>'CFS (After Changes)'!Y16-'CFS (Before Changes) '!Y16</f>
        <v>-23.368882314356824</v>
      </c>
      <c r="Z16" s="327">
        <f>'CFS (After Changes)'!Z16-'CFS (Before Changes) '!Z16</f>
        <v>-32.825958529784657</v>
      </c>
      <c r="AA16" s="327">
        <f>'CFS (After Changes)'!AA16-'CFS (Before Changes) '!AA16</f>
        <v>-54.721165241247945</v>
      </c>
      <c r="AB16" s="328">
        <f>'CFS (After Changes)'!AB16-'CFS (Before Changes) '!AB16</f>
        <v>-114.34459341872434</v>
      </c>
      <c r="AC16" s="327">
        <f>'CFS (After Changes)'!AC16-'CFS (Before Changes) '!AC16</f>
        <v>107.25615715835238</v>
      </c>
      <c r="AD16" s="327">
        <f>'CFS (After Changes)'!AD16-'CFS (Before Changes) '!AD16</f>
        <v>19.331447699116779</v>
      </c>
      <c r="AE16" s="327">
        <f>'CFS (After Changes)'!AE16-'CFS (Before Changes) '!AE16</f>
        <v>-25.335358280599849</v>
      </c>
      <c r="AF16" s="327">
        <f>'CFS (After Changes)'!AF16-'CFS (Before Changes) '!AF16</f>
        <v>-7.4190125148406878</v>
      </c>
      <c r="AG16" s="328">
        <f>'CFS (After Changes)'!AG16-'CFS (Before Changes) '!AG16</f>
        <v>93.833234062028623</v>
      </c>
      <c r="AH16" s="327">
        <f>'CFS (After Changes)'!AH16-'CFS (Before Changes) '!AH16</f>
        <v>9.1079477107159619</v>
      </c>
      <c r="AI16" s="327">
        <f>'CFS (After Changes)'!AI16-'CFS (Before Changes) '!AI16</f>
        <v>20.7825379106539</v>
      </c>
      <c r="AJ16" s="327">
        <f>'CFS (After Changes)'!AJ16-'CFS (Before Changes) '!AJ16</f>
        <v>-29.067163982775128</v>
      </c>
      <c r="AK16" s="327">
        <f>'CFS (After Changes)'!AK16-'CFS (Before Changes) '!AK16</f>
        <v>-8.4202675253432062</v>
      </c>
      <c r="AL16" s="328">
        <f>'CFS (After Changes)'!AL16-'CFS (Before Changes) '!AL16</f>
        <v>-7.5969458867484718</v>
      </c>
      <c r="AM16" s="327">
        <f>'CFS (After Changes)'!AM16-'CFS (Before Changes) '!AM16</f>
        <v>15.667636212276648</v>
      </c>
      <c r="AN16" s="327">
        <f>'CFS (After Changes)'!AN16-'CFS (Before Changes) '!AN16</f>
        <v>22.575139667585518</v>
      </c>
      <c r="AO16" s="327">
        <f>'CFS (After Changes)'!AO16-'CFS (Before Changes) '!AO16</f>
        <v>-31.473606649527937</v>
      </c>
      <c r="AP16" s="327">
        <f>'CFS (After Changes)'!AP16-'CFS (Before Changes) '!AP16</f>
        <v>-8.5963217623311721</v>
      </c>
      <c r="AQ16" s="328">
        <f>'CFS (After Changes)'!AQ16-'CFS (Before Changes) '!AQ16</f>
        <v>-1.8271525319969442</v>
      </c>
      <c r="AR16" s="327">
        <f>'CFS (After Changes)'!AR16-'CFS (Before Changes) '!AR16</f>
        <v>16.640094693076662</v>
      </c>
      <c r="AS16" s="327">
        <f>'CFS (After Changes)'!AS16-'CFS (Before Changes) '!AS16</f>
        <v>24.041562590434296</v>
      </c>
      <c r="AT16" s="327">
        <f>'CFS (After Changes)'!AT16-'CFS (Before Changes) '!AT16</f>
        <v>-33.290425561456232</v>
      </c>
      <c r="AU16" s="327">
        <f>'CFS (After Changes)'!AU16-'CFS (Before Changes) '!AU16</f>
        <v>-9.3768150236519432</v>
      </c>
      <c r="AV16" s="328">
        <f>'CFS (After Changes)'!AV16-'CFS (Before Changes) '!AV16</f>
        <v>-1.9855833015972166</v>
      </c>
    </row>
    <row r="17" spans="2:48" outlineLevel="1" x14ac:dyDescent="0.3">
      <c r="B17" s="538" t="s">
        <v>277</v>
      </c>
      <c r="C17" s="539"/>
      <c r="D17" s="327">
        <f>'CFS (After Changes)'!D17-'CFS (Before Changes) '!D17</f>
        <v>0</v>
      </c>
      <c r="E17" s="327">
        <f>'CFS (After Changes)'!E17-'CFS (Before Changes) '!E17</f>
        <v>0</v>
      </c>
      <c r="F17" s="327">
        <f>'CFS (After Changes)'!F17-'CFS (Before Changes) '!F17</f>
        <v>0</v>
      </c>
      <c r="G17" s="327">
        <f>'CFS (After Changes)'!G17-'CFS (Before Changes) '!G17</f>
        <v>0</v>
      </c>
      <c r="H17" s="328">
        <f>'CFS (After Changes)'!H17-'CFS (Before Changes) '!H17</f>
        <v>0</v>
      </c>
      <c r="I17" s="327">
        <f>'CFS (After Changes)'!I17-'CFS (Before Changes) '!I17</f>
        <v>0</v>
      </c>
      <c r="J17" s="327">
        <f>'CFS (After Changes)'!J17-'CFS (Before Changes) '!J17</f>
        <v>0</v>
      </c>
      <c r="K17" s="327">
        <f>'CFS (After Changes)'!K17-'CFS (Before Changes) '!K17</f>
        <v>0</v>
      </c>
      <c r="L17" s="327">
        <f>'CFS (After Changes)'!L17-'CFS (Before Changes) '!L17</f>
        <v>0</v>
      </c>
      <c r="M17" s="328">
        <f>'CFS (After Changes)'!M17-'CFS (Before Changes) '!M17</f>
        <v>0</v>
      </c>
      <c r="N17" s="327">
        <f>'CFS (After Changes)'!N17-'CFS (Before Changes) '!N17</f>
        <v>0</v>
      </c>
      <c r="O17" s="327">
        <f>'CFS (After Changes)'!O17-'CFS (Before Changes) '!O17</f>
        <v>0</v>
      </c>
      <c r="P17" s="327">
        <f>'CFS (After Changes)'!P17-'CFS (Before Changes) '!P17</f>
        <v>0</v>
      </c>
      <c r="Q17" s="327">
        <f>'CFS (After Changes)'!Q17-'CFS (Before Changes) '!Q17</f>
        <v>0</v>
      </c>
      <c r="R17" s="328">
        <f>'CFS (After Changes)'!R17-'CFS (Before Changes) '!R17</f>
        <v>0</v>
      </c>
      <c r="S17" s="327">
        <f>'CFS (After Changes)'!S17-'CFS (Before Changes) '!S17</f>
        <v>0</v>
      </c>
      <c r="T17" s="327">
        <f>'CFS (After Changes)'!T17-'CFS (Before Changes) '!T17</f>
        <v>0</v>
      </c>
      <c r="U17" s="327">
        <f>'CFS (After Changes)'!U17-'CFS (Before Changes) '!U17</f>
        <v>0</v>
      </c>
      <c r="V17" s="327">
        <f>'CFS (After Changes)'!V17-'CFS (Before Changes) '!V17</f>
        <v>0</v>
      </c>
      <c r="W17" s="328">
        <f>'CFS (After Changes)'!W17-'CFS (Before Changes) '!W17</f>
        <v>0</v>
      </c>
      <c r="X17" s="327">
        <f>'CFS (After Changes)'!X17-'CFS (Before Changes) '!X17</f>
        <v>0</v>
      </c>
      <c r="Y17" s="327">
        <f>'CFS (After Changes)'!Y17-'CFS (Before Changes) '!Y17</f>
        <v>0</v>
      </c>
      <c r="Z17" s="327">
        <f>'CFS (After Changes)'!Z17-'CFS (Before Changes) '!Z17</f>
        <v>0</v>
      </c>
      <c r="AA17" s="327">
        <f>'CFS (After Changes)'!AA17-'CFS (Before Changes) '!AA17</f>
        <v>0</v>
      </c>
      <c r="AB17" s="328">
        <f>'CFS (After Changes)'!AB17-'CFS (Before Changes) '!AB17</f>
        <v>0</v>
      </c>
      <c r="AC17" s="327">
        <f>'CFS (After Changes)'!AC17-'CFS (Before Changes) '!AC17</f>
        <v>0</v>
      </c>
      <c r="AD17" s="327">
        <f>'CFS (After Changes)'!AD17-'CFS (Before Changes) '!AD17</f>
        <v>0</v>
      </c>
      <c r="AE17" s="327">
        <f>'CFS (After Changes)'!AE17-'CFS (Before Changes) '!AE17</f>
        <v>0</v>
      </c>
      <c r="AF17" s="327">
        <f>'CFS (After Changes)'!AF17-'CFS (Before Changes) '!AF17</f>
        <v>0</v>
      </c>
      <c r="AG17" s="328">
        <f>'CFS (After Changes)'!AG17-'CFS (Before Changes) '!AG17</f>
        <v>0</v>
      </c>
      <c r="AH17" s="327">
        <f>'CFS (After Changes)'!AH17-'CFS (Before Changes) '!AH17</f>
        <v>0</v>
      </c>
      <c r="AI17" s="327">
        <f>'CFS (After Changes)'!AI17-'CFS (Before Changes) '!AI17</f>
        <v>0</v>
      </c>
      <c r="AJ17" s="327">
        <f>'CFS (After Changes)'!AJ17-'CFS (Before Changes) '!AJ17</f>
        <v>0</v>
      </c>
      <c r="AK17" s="327">
        <f>'CFS (After Changes)'!AK17-'CFS (Before Changes) '!AK17</f>
        <v>0</v>
      </c>
      <c r="AL17" s="328">
        <f>'CFS (After Changes)'!AL17-'CFS (Before Changes) '!AL17</f>
        <v>0</v>
      </c>
      <c r="AM17" s="327">
        <f>'CFS (After Changes)'!AM17-'CFS (Before Changes) '!AM17</f>
        <v>0</v>
      </c>
      <c r="AN17" s="327">
        <f>'CFS (After Changes)'!AN17-'CFS (Before Changes) '!AN17</f>
        <v>0</v>
      </c>
      <c r="AO17" s="327">
        <f>'CFS (After Changes)'!AO17-'CFS (Before Changes) '!AO17</f>
        <v>0</v>
      </c>
      <c r="AP17" s="327">
        <f>'CFS (After Changes)'!AP17-'CFS (Before Changes) '!AP17</f>
        <v>0</v>
      </c>
      <c r="AQ17" s="328">
        <f>'CFS (After Changes)'!AQ17-'CFS (Before Changes) '!AQ17</f>
        <v>0</v>
      </c>
      <c r="AR17" s="327">
        <f>'CFS (After Changes)'!AR17-'CFS (Before Changes) '!AR17</f>
        <v>0</v>
      </c>
      <c r="AS17" s="327">
        <f>'CFS (After Changes)'!AS17-'CFS (Before Changes) '!AS17</f>
        <v>0</v>
      </c>
      <c r="AT17" s="327">
        <f>'CFS (After Changes)'!AT17-'CFS (Before Changes) '!AT17</f>
        <v>0</v>
      </c>
      <c r="AU17" s="327">
        <f>'CFS (After Changes)'!AU17-'CFS (Before Changes) '!AU17</f>
        <v>0</v>
      </c>
      <c r="AV17" s="328">
        <f>'CFS (After Changes)'!AV17-'CFS (Before Changes) '!AV17</f>
        <v>0</v>
      </c>
    </row>
    <row r="18" spans="2:48" outlineLevel="1" x14ac:dyDescent="0.3">
      <c r="B18" s="538" t="s">
        <v>228</v>
      </c>
      <c r="C18" s="539"/>
      <c r="D18" s="327">
        <f>'CFS (After Changes)'!D18-'CFS (Before Changes) '!D18</f>
        <v>0</v>
      </c>
      <c r="E18" s="327">
        <f>'CFS (After Changes)'!E18-'CFS (Before Changes) '!E18</f>
        <v>0</v>
      </c>
      <c r="F18" s="327">
        <f>'CFS (After Changes)'!F18-'CFS (Before Changes) '!F18</f>
        <v>0</v>
      </c>
      <c r="G18" s="327">
        <f>'CFS (After Changes)'!G18-'CFS (Before Changes) '!G18</f>
        <v>0</v>
      </c>
      <c r="H18" s="328">
        <f>'CFS (After Changes)'!H18-'CFS (Before Changes) '!H18</f>
        <v>0</v>
      </c>
      <c r="I18" s="327">
        <f>'CFS (After Changes)'!I18-'CFS (Before Changes) '!I18</f>
        <v>0</v>
      </c>
      <c r="J18" s="327">
        <f>'CFS (After Changes)'!J18-'CFS (Before Changes) '!J18</f>
        <v>0</v>
      </c>
      <c r="K18" s="327">
        <f>'CFS (After Changes)'!K18-'CFS (Before Changes) '!K18</f>
        <v>0</v>
      </c>
      <c r="L18" s="327">
        <f>'CFS (After Changes)'!L18-'CFS (Before Changes) '!L18</f>
        <v>0</v>
      </c>
      <c r="M18" s="328">
        <f>'CFS (After Changes)'!M18-'CFS (Before Changes) '!M18</f>
        <v>0</v>
      </c>
      <c r="N18" s="327">
        <f>'CFS (After Changes)'!N18-'CFS (Before Changes) '!N18</f>
        <v>0</v>
      </c>
      <c r="O18" s="327">
        <f>'CFS (After Changes)'!O18-'CFS (Before Changes) '!O18</f>
        <v>0</v>
      </c>
      <c r="P18" s="327">
        <f>'CFS (After Changes)'!P18-'CFS (Before Changes) '!P18</f>
        <v>0</v>
      </c>
      <c r="Q18" s="327">
        <f>'CFS (After Changes)'!Q18-'CFS (Before Changes) '!Q18</f>
        <v>0</v>
      </c>
      <c r="R18" s="328">
        <f>'CFS (After Changes)'!R18-'CFS (Before Changes) '!R18</f>
        <v>0</v>
      </c>
      <c r="S18" s="327">
        <f>'CFS (After Changes)'!S18-'CFS (Before Changes) '!S18</f>
        <v>0</v>
      </c>
      <c r="T18" s="327">
        <f>'CFS (After Changes)'!T18-'CFS (Before Changes) '!T18</f>
        <v>0</v>
      </c>
      <c r="U18" s="327">
        <f>'CFS (After Changes)'!U18-'CFS (Before Changes) '!U18</f>
        <v>0</v>
      </c>
      <c r="V18" s="327">
        <f>'CFS (After Changes)'!V18-'CFS (Before Changes) '!V18</f>
        <v>0</v>
      </c>
      <c r="W18" s="328">
        <f>'CFS (After Changes)'!W18-'CFS (Before Changes) '!W18</f>
        <v>0</v>
      </c>
      <c r="X18" s="327">
        <f>'CFS (After Changes)'!X18-'CFS (Before Changes) '!X18</f>
        <v>2.5978270259452074</v>
      </c>
      <c r="Y18" s="327">
        <f>'CFS (After Changes)'!Y18-'CFS (Before Changes) '!Y18</f>
        <v>15.691984874631771</v>
      </c>
      <c r="Z18" s="327">
        <f>'CFS (After Changes)'!Z18-'CFS (Before Changes) '!Z18</f>
        <v>21.058016955286575</v>
      </c>
      <c r="AA18" s="327">
        <f>'CFS (After Changes)'!AA18-'CFS (Before Changes) '!AA18</f>
        <v>39.348718976898226</v>
      </c>
      <c r="AB18" s="328">
        <f>'CFS (After Changes)'!AB18-'CFS (Before Changes) '!AB18</f>
        <v>78.69654783276178</v>
      </c>
      <c r="AC18" s="327">
        <f>'CFS (After Changes)'!AC18-'CFS (Before Changes) '!AC18</f>
        <v>-73.357702066721458</v>
      </c>
      <c r="AD18" s="327">
        <f>'CFS (After Changes)'!AD18-'CFS (Before Changes) '!AD18</f>
        <v>-13.754660432859282</v>
      </c>
      <c r="AE18" s="327">
        <f>'CFS (After Changes)'!AE18-'CFS (Before Changes) '!AE18</f>
        <v>17.531751034316585</v>
      </c>
      <c r="AF18" s="327">
        <f>'CFS (After Changes)'!AF18-'CFS (Before Changes) '!AF18</f>
        <v>5.3103180172986413</v>
      </c>
      <c r="AG18" s="328">
        <f>'CFS (After Changes)'!AG18-'CFS (Before Changes) '!AG18</f>
        <v>-64.270293447965514</v>
      </c>
      <c r="AH18" s="327">
        <f>'CFS (After Changes)'!AH18-'CFS (Before Changes) '!AH18</f>
        <v>-5.6900670397976683</v>
      </c>
      <c r="AI18" s="327">
        <f>'CFS (After Changes)'!AI18-'CFS (Before Changes) '!AI18</f>
        <v>-15.183312909095775</v>
      </c>
      <c r="AJ18" s="327">
        <f>'CFS (After Changes)'!AJ18-'CFS (Before Changes) '!AJ18</f>
        <v>19.929858469208284</v>
      </c>
      <c r="AK18" s="327">
        <f>'CFS (After Changes)'!AK18-'CFS (Before Changes) '!AK18</f>
        <v>5.7698338923589745</v>
      </c>
      <c r="AL18" s="328">
        <f>'CFS (After Changes)'!AL18-'CFS (Before Changes) '!AL18</f>
        <v>4.8263124126738148</v>
      </c>
      <c r="AM18" s="327">
        <f>'CFS (After Changes)'!AM18-'CFS (Before Changes) '!AM18</f>
        <v>-9.8101815859467933</v>
      </c>
      <c r="AN18" s="327">
        <f>'CFS (After Changes)'!AN18-'CFS (Before Changes) '!AN18</f>
        <v>-16.392130620058651</v>
      </c>
      <c r="AO18" s="327">
        <f>'CFS (After Changes)'!AO18-'CFS (Before Changes) '!AO18</f>
        <v>21.469398507999813</v>
      </c>
      <c r="AP18" s="327">
        <f>'CFS (After Changes)'!AP18-'CFS (Before Changes) '!AP18</f>
        <v>6.2017990386216297</v>
      </c>
      <c r="AQ18" s="328">
        <f>'CFS (After Changes)'!AQ18-'CFS (Before Changes) '!AQ18</f>
        <v>1.4688853406159978</v>
      </c>
      <c r="AR18" s="327">
        <f>'CFS (After Changes)'!AR18-'CFS (Before Changes) '!AR18</f>
        <v>-10.624556924737135</v>
      </c>
      <c r="AS18" s="327">
        <f>'CFS (After Changes)'!AS18-'CFS (Before Changes) '!AS18</f>
        <v>-17.477872082387648</v>
      </c>
      <c r="AT18" s="327">
        <f>'CFS (After Changes)'!AT18-'CFS (Before Changes) '!AT18</f>
        <v>22.87379102141881</v>
      </c>
      <c r="AU18" s="327">
        <f>'CFS (After Changes)'!AU18-'CFS (Before Changes) '!AU18</f>
        <v>6.6455749216238473</v>
      </c>
      <c r="AV18" s="328">
        <f>'CFS (After Changes)'!AV18-'CFS (Before Changes) '!AV18</f>
        <v>1.4169369359178745</v>
      </c>
    </row>
    <row r="19" spans="2:48" outlineLevel="1" x14ac:dyDescent="0.3">
      <c r="B19" s="325" t="s">
        <v>233</v>
      </c>
      <c r="C19" s="326"/>
      <c r="D19" s="327">
        <f>'CFS (After Changes)'!D19-'CFS (Before Changes) '!D19</f>
        <v>0</v>
      </c>
      <c r="E19" s="327">
        <f>'CFS (After Changes)'!E19-'CFS (Before Changes) '!E19</f>
        <v>0</v>
      </c>
      <c r="F19" s="327">
        <f>'CFS (After Changes)'!F19-'CFS (Before Changes) '!F19</f>
        <v>0</v>
      </c>
      <c r="G19" s="327">
        <f>'CFS (After Changes)'!G19-'CFS (Before Changes) '!G19</f>
        <v>0</v>
      </c>
      <c r="H19" s="328">
        <f>'CFS (After Changes)'!H19-'CFS (Before Changes) '!H19</f>
        <v>0</v>
      </c>
      <c r="I19" s="327">
        <f>'CFS (After Changes)'!I19-'CFS (Before Changes) '!I19</f>
        <v>0</v>
      </c>
      <c r="J19" s="327">
        <f>'CFS (After Changes)'!J19-'CFS (Before Changes) '!J19</f>
        <v>0</v>
      </c>
      <c r="K19" s="327">
        <f>'CFS (After Changes)'!K19-'CFS (Before Changes) '!K19</f>
        <v>0</v>
      </c>
      <c r="L19" s="327">
        <f>'CFS (After Changes)'!L19-'CFS (Before Changes) '!L19</f>
        <v>0</v>
      </c>
      <c r="M19" s="328">
        <f>'CFS (After Changes)'!M19-'CFS (Before Changes) '!M19</f>
        <v>0</v>
      </c>
      <c r="N19" s="327">
        <f>'CFS (After Changes)'!N19-'CFS (Before Changes) '!N19</f>
        <v>0</v>
      </c>
      <c r="O19" s="327">
        <f>'CFS (After Changes)'!O19-'CFS (Before Changes) '!O19</f>
        <v>0</v>
      </c>
      <c r="P19" s="327">
        <f>'CFS (After Changes)'!P19-'CFS (Before Changes) '!P19</f>
        <v>0</v>
      </c>
      <c r="Q19" s="327">
        <f>'CFS (After Changes)'!Q19-'CFS (Before Changes) '!Q19</f>
        <v>0</v>
      </c>
      <c r="R19" s="328">
        <f>'CFS (After Changes)'!R19-'CFS (Before Changes) '!R19</f>
        <v>0</v>
      </c>
      <c r="S19" s="327">
        <f>'CFS (After Changes)'!S19-'CFS (Before Changes) '!S19</f>
        <v>0</v>
      </c>
      <c r="T19" s="327">
        <f>'CFS (After Changes)'!T19-'CFS (Before Changes) '!T19</f>
        <v>0</v>
      </c>
      <c r="U19" s="327">
        <f>'CFS (After Changes)'!U19-'CFS (Before Changes) '!U19</f>
        <v>0</v>
      </c>
      <c r="V19" s="327">
        <f>'CFS (After Changes)'!V19-'CFS (Before Changes) '!V19</f>
        <v>0</v>
      </c>
      <c r="W19" s="328">
        <f>'CFS (After Changes)'!W19-'CFS (Before Changes) '!W19</f>
        <v>0</v>
      </c>
      <c r="X19" s="327">
        <f>'CFS (After Changes)'!X19-'CFS (Before Changes) '!X19</f>
        <v>0</v>
      </c>
      <c r="Y19" s="327">
        <f>'CFS (After Changes)'!Y19-'CFS (Before Changes) '!Y19</f>
        <v>0</v>
      </c>
      <c r="Z19" s="327">
        <f>'CFS (After Changes)'!Z19-'CFS (Before Changes) '!Z19</f>
        <v>0</v>
      </c>
      <c r="AA19" s="327">
        <f>'CFS (After Changes)'!AA19-'CFS (Before Changes) '!AA19</f>
        <v>0</v>
      </c>
      <c r="AB19" s="328">
        <f>'CFS (After Changes)'!AB19-'CFS (Before Changes) '!AB19</f>
        <v>0</v>
      </c>
      <c r="AC19" s="327">
        <f>'CFS (After Changes)'!AC19-'CFS (Before Changes) '!AC19</f>
        <v>0</v>
      </c>
      <c r="AD19" s="327">
        <f>'CFS (After Changes)'!AD19-'CFS (Before Changes) '!AD19</f>
        <v>0</v>
      </c>
      <c r="AE19" s="327">
        <f>'CFS (After Changes)'!AE19-'CFS (Before Changes) '!AE19</f>
        <v>0</v>
      </c>
      <c r="AF19" s="327">
        <f>'CFS (After Changes)'!AF19-'CFS (Before Changes) '!AF19</f>
        <v>0</v>
      </c>
      <c r="AG19" s="328">
        <f>'CFS (After Changes)'!AG19-'CFS (Before Changes) '!AG19</f>
        <v>0</v>
      </c>
      <c r="AH19" s="327">
        <f>'CFS (After Changes)'!AH19-'CFS (Before Changes) '!AH19</f>
        <v>0</v>
      </c>
      <c r="AI19" s="327">
        <f>'CFS (After Changes)'!AI19-'CFS (Before Changes) '!AI19</f>
        <v>0</v>
      </c>
      <c r="AJ19" s="327">
        <f>'CFS (After Changes)'!AJ19-'CFS (Before Changes) '!AJ19</f>
        <v>0</v>
      </c>
      <c r="AK19" s="327">
        <f>'CFS (After Changes)'!AK19-'CFS (Before Changes) '!AK19</f>
        <v>0</v>
      </c>
      <c r="AL19" s="328">
        <f>'CFS (After Changes)'!AL19-'CFS (Before Changes) '!AL19</f>
        <v>0</v>
      </c>
      <c r="AM19" s="327">
        <f>'CFS (After Changes)'!AM19-'CFS (Before Changes) '!AM19</f>
        <v>0</v>
      </c>
      <c r="AN19" s="327">
        <f>'CFS (After Changes)'!AN19-'CFS (Before Changes) '!AN19</f>
        <v>0</v>
      </c>
      <c r="AO19" s="327">
        <f>'CFS (After Changes)'!AO19-'CFS (Before Changes) '!AO19</f>
        <v>0</v>
      </c>
      <c r="AP19" s="327">
        <f>'CFS (After Changes)'!AP19-'CFS (Before Changes) '!AP19</f>
        <v>0</v>
      </c>
      <c r="AQ19" s="328">
        <f>'CFS (After Changes)'!AQ19-'CFS (Before Changes) '!AQ19</f>
        <v>0</v>
      </c>
      <c r="AR19" s="327">
        <f>'CFS (After Changes)'!AR19-'CFS (Before Changes) '!AR19</f>
        <v>0</v>
      </c>
      <c r="AS19" s="327">
        <f>'CFS (After Changes)'!AS19-'CFS (Before Changes) '!AS19</f>
        <v>0</v>
      </c>
      <c r="AT19" s="327">
        <f>'CFS (After Changes)'!AT19-'CFS (Before Changes) '!AT19</f>
        <v>0</v>
      </c>
      <c r="AU19" s="327">
        <f>'CFS (After Changes)'!AU19-'CFS (Before Changes) '!AU19</f>
        <v>0</v>
      </c>
      <c r="AV19" s="328">
        <f>'CFS (After Changes)'!AV19-'CFS (Before Changes) '!AV19</f>
        <v>0</v>
      </c>
    </row>
    <row r="20" spans="2:48" outlineLevel="1" x14ac:dyDescent="0.3">
      <c r="B20" s="325" t="s">
        <v>278</v>
      </c>
      <c r="C20" s="326"/>
      <c r="D20" s="327">
        <f>'CFS (After Changes)'!D20-'CFS (Before Changes) '!D20</f>
        <v>0</v>
      </c>
      <c r="E20" s="327">
        <f>'CFS (After Changes)'!E20-'CFS (Before Changes) '!E20</f>
        <v>0</v>
      </c>
      <c r="F20" s="327">
        <f>'CFS (After Changes)'!F20-'CFS (Before Changes) '!F20</f>
        <v>0</v>
      </c>
      <c r="G20" s="327">
        <f>'CFS (After Changes)'!G20-'CFS (Before Changes) '!G20</f>
        <v>0</v>
      </c>
      <c r="H20" s="328">
        <f>'CFS (After Changes)'!H20-'CFS (Before Changes) '!H20</f>
        <v>0</v>
      </c>
      <c r="I20" s="327">
        <f>'CFS (After Changes)'!I20-'CFS (Before Changes) '!I20</f>
        <v>0</v>
      </c>
      <c r="J20" s="327">
        <f>'CFS (After Changes)'!J20-'CFS (Before Changes) '!J20</f>
        <v>0</v>
      </c>
      <c r="K20" s="327">
        <f>'CFS (After Changes)'!K20-'CFS (Before Changes) '!K20</f>
        <v>0</v>
      </c>
      <c r="L20" s="327">
        <f>'CFS (After Changes)'!L20-'CFS (Before Changes) '!L20</f>
        <v>0</v>
      </c>
      <c r="M20" s="328">
        <f>'CFS (After Changes)'!M20-'CFS (Before Changes) '!M20</f>
        <v>0</v>
      </c>
      <c r="N20" s="327">
        <f>'CFS (After Changes)'!N20-'CFS (Before Changes) '!N20</f>
        <v>0</v>
      </c>
      <c r="O20" s="327">
        <f>'CFS (After Changes)'!O20-'CFS (Before Changes) '!O20</f>
        <v>0</v>
      </c>
      <c r="P20" s="327">
        <f>'CFS (After Changes)'!P20-'CFS (Before Changes) '!P20</f>
        <v>0</v>
      </c>
      <c r="Q20" s="327">
        <f>'CFS (After Changes)'!Q20-'CFS (Before Changes) '!Q20</f>
        <v>0</v>
      </c>
      <c r="R20" s="328">
        <f>'CFS (After Changes)'!R20-'CFS (Before Changes) '!R20</f>
        <v>0</v>
      </c>
      <c r="S20" s="327">
        <f>'CFS (After Changes)'!S20-'CFS (Before Changes) '!S20</f>
        <v>0</v>
      </c>
      <c r="T20" s="327">
        <f>'CFS (After Changes)'!T20-'CFS (Before Changes) '!T20</f>
        <v>0</v>
      </c>
      <c r="U20" s="327">
        <f>'CFS (After Changes)'!U20-'CFS (Before Changes) '!U20</f>
        <v>0</v>
      </c>
      <c r="V20" s="327">
        <f>'CFS (After Changes)'!V20-'CFS (Before Changes) '!V20</f>
        <v>0</v>
      </c>
      <c r="W20" s="328">
        <f>'CFS (After Changes)'!W20-'CFS (Before Changes) '!W20</f>
        <v>0</v>
      </c>
      <c r="X20" s="327">
        <f>'CFS (After Changes)'!X20-'CFS (Before Changes) '!X20</f>
        <v>0</v>
      </c>
      <c r="Y20" s="327">
        <f>'CFS (After Changes)'!Y20-'CFS (Before Changes) '!Y20</f>
        <v>0</v>
      </c>
      <c r="Z20" s="327">
        <f>'CFS (After Changes)'!Z20-'CFS (Before Changes) '!Z20</f>
        <v>0</v>
      </c>
      <c r="AA20" s="327">
        <f>'CFS (After Changes)'!AA20-'CFS (Before Changes) '!AA20</f>
        <v>0</v>
      </c>
      <c r="AB20" s="328">
        <f>'CFS (After Changes)'!AB20-'CFS (Before Changes) '!AB20</f>
        <v>0</v>
      </c>
      <c r="AC20" s="327">
        <f>'CFS (After Changes)'!AC20-'CFS (Before Changes) '!AC20</f>
        <v>0</v>
      </c>
      <c r="AD20" s="327">
        <f>'CFS (After Changes)'!AD20-'CFS (Before Changes) '!AD20</f>
        <v>0</v>
      </c>
      <c r="AE20" s="327">
        <f>'CFS (After Changes)'!AE20-'CFS (Before Changes) '!AE20</f>
        <v>0</v>
      </c>
      <c r="AF20" s="327">
        <f>'CFS (After Changes)'!AF20-'CFS (Before Changes) '!AF20</f>
        <v>0</v>
      </c>
      <c r="AG20" s="328">
        <f>'CFS (After Changes)'!AG20-'CFS (Before Changes) '!AG20</f>
        <v>0</v>
      </c>
      <c r="AH20" s="327">
        <f>'CFS (After Changes)'!AH20-'CFS (Before Changes) '!AH20</f>
        <v>0</v>
      </c>
      <c r="AI20" s="327">
        <f>'CFS (After Changes)'!AI20-'CFS (Before Changes) '!AI20</f>
        <v>0</v>
      </c>
      <c r="AJ20" s="327">
        <f>'CFS (After Changes)'!AJ20-'CFS (Before Changes) '!AJ20</f>
        <v>0</v>
      </c>
      <c r="AK20" s="327">
        <f>'CFS (After Changes)'!AK20-'CFS (Before Changes) '!AK20</f>
        <v>0</v>
      </c>
      <c r="AL20" s="328">
        <f>'CFS (After Changes)'!AL20-'CFS (Before Changes) '!AL20</f>
        <v>0</v>
      </c>
      <c r="AM20" s="327">
        <f>'CFS (After Changes)'!AM20-'CFS (Before Changes) '!AM20</f>
        <v>0</v>
      </c>
      <c r="AN20" s="327">
        <f>'CFS (After Changes)'!AN20-'CFS (Before Changes) '!AN20</f>
        <v>0</v>
      </c>
      <c r="AO20" s="327">
        <f>'CFS (After Changes)'!AO20-'CFS (Before Changes) '!AO20</f>
        <v>0</v>
      </c>
      <c r="AP20" s="327">
        <f>'CFS (After Changes)'!AP20-'CFS (Before Changes) '!AP20</f>
        <v>0</v>
      </c>
      <c r="AQ20" s="328">
        <f>'CFS (After Changes)'!AQ20-'CFS (Before Changes) '!AQ20</f>
        <v>0</v>
      </c>
      <c r="AR20" s="327">
        <f>'CFS (After Changes)'!AR20-'CFS (Before Changes) '!AR20</f>
        <v>0</v>
      </c>
      <c r="AS20" s="327">
        <f>'CFS (After Changes)'!AS20-'CFS (Before Changes) '!AS20</f>
        <v>0</v>
      </c>
      <c r="AT20" s="327">
        <f>'CFS (After Changes)'!AT20-'CFS (Before Changes) '!AT20</f>
        <v>0</v>
      </c>
      <c r="AU20" s="327">
        <f>'CFS (After Changes)'!AU20-'CFS (Before Changes) '!AU20</f>
        <v>0</v>
      </c>
      <c r="AV20" s="328">
        <f>'CFS (After Changes)'!AV20-'CFS (Before Changes) '!AV20</f>
        <v>0</v>
      </c>
    </row>
    <row r="21" spans="2:48" ht="16.2" outlineLevel="1" x14ac:dyDescent="0.45">
      <c r="B21" s="538" t="s">
        <v>279</v>
      </c>
      <c r="C21" s="539"/>
      <c r="D21" s="329">
        <f>'CFS (After Changes)'!D21-'CFS (Before Changes) '!D21</f>
        <v>0</v>
      </c>
      <c r="E21" s="329">
        <f>'CFS (After Changes)'!E21-'CFS (Before Changes) '!E21</f>
        <v>0</v>
      </c>
      <c r="F21" s="329">
        <f>'CFS (After Changes)'!F21-'CFS (Before Changes) '!F21</f>
        <v>0</v>
      </c>
      <c r="G21" s="329">
        <f>'CFS (After Changes)'!G21-'CFS (Before Changes) '!G21</f>
        <v>0</v>
      </c>
      <c r="H21" s="330">
        <f>'CFS (After Changes)'!H21-'CFS (Before Changes) '!H21</f>
        <v>0</v>
      </c>
      <c r="I21" s="329">
        <f>'CFS (After Changes)'!I21-'CFS (Before Changes) '!I21</f>
        <v>0</v>
      </c>
      <c r="J21" s="329">
        <f>'CFS (After Changes)'!J21-'CFS (Before Changes) '!J21</f>
        <v>0</v>
      </c>
      <c r="K21" s="329">
        <f>'CFS (After Changes)'!K21-'CFS (Before Changes) '!K21</f>
        <v>0</v>
      </c>
      <c r="L21" s="329">
        <f>'CFS (After Changes)'!L21-'CFS (Before Changes) '!L21</f>
        <v>0</v>
      </c>
      <c r="M21" s="330">
        <f>'CFS (After Changes)'!M21-'CFS (Before Changes) '!M21</f>
        <v>0</v>
      </c>
      <c r="N21" s="329">
        <f>'CFS (After Changes)'!N21-'CFS (Before Changes) '!N21</f>
        <v>0</v>
      </c>
      <c r="O21" s="329">
        <f>'CFS (After Changes)'!O21-'CFS (Before Changes) '!O21</f>
        <v>0</v>
      </c>
      <c r="P21" s="329">
        <f>'CFS (After Changes)'!P21-'CFS (Before Changes) '!P21</f>
        <v>0</v>
      </c>
      <c r="Q21" s="329">
        <f>'CFS (After Changes)'!Q21-'CFS (Before Changes) '!Q21</f>
        <v>0</v>
      </c>
      <c r="R21" s="330">
        <f>'CFS (After Changes)'!R21-'CFS (Before Changes) '!R21</f>
        <v>0</v>
      </c>
      <c r="S21" s="329">
        <f>'CFS (After Changes)'!S21-'CFS (Before Changes) '!S21</f>
        <v>0</v>
      </c>
      <c r="T21" s="329">
        <f>'CFS (After Changes)'!T21-'CFS (Before Changes) '!T21</f>
        <v>0</v>
      </c>
      <c r="U21" s="329">
        <f>'CFS (After Changes)'!U21-'CFS (Before Changes) '!U21</f>
        <v>0</v>
      </c>
      <c r="V21" s="329">
        <f>'CFS (After Changes)'!V21-'CFS (Before Changes) '!V21</f>
        <v>0</v>
      </c>
      <c r="W21" s="330">
        <f>'CFS (After Changes)'!W21-'CFS (Before Changes) '!W21</f>
        <v>0</v>
      </c>
      <c r="X21" s="329">
        <f>'CFS (After Changes)'!X21-'CFS (Before Changes) '!X21</f>
        <v>0</v>
      </c>
      <c r="Y21" s="329">
        <f>'CFS (After Changes)'!Y21-'CFS (Before Changes) '!Y21</f>
        <v>0</v>
      </c>
      <c r="Z21" s="329">
        <f>'CFS (After Changes)'!Z21-'CFS (Before Changes) '!Z21</f>
        <v>0</v>
      </c>
      <c r="AA21" s="329">
        <f>'CFS (After Changes)'!AA21-'CFS (Before Changes) '!AA21</f>
        <v>0</v>
      </c>
      <c r="AB21" s="330">
        <f>'CFS (After Changes)'!AB21-'CFS (Before Changes) '!AB21</f>
        <v>0</v>
      </c>
      <c r="AC21" s="329">
        <f>'CFS (After Changes)'!AC21-'CFS (Before Changes) '!AC21</f>
        <v>0</v>
      </c>
      <c r="AD21" s="329">
        <f>'CFS (After Changes)'!AD21-'CFS (Before Changes) '!AD21</f>
        <v>0</v>
      </c>
      <c r="AE21" s="329">
        <f>'CFS (After Changes)'!AE21-'CFS (Before Changes) '!AE21</f>
        <v>0</v>
      </c>
      <c r="AF21" s="329">
        <f>'CFS (After Changes)'!AF21-'CFS (Before Changes) '!AF21</f>
        <v>0</v>
      </c>
      <c r="AG21" s="330">
        <f>'CFS (After Changes)'!AG21-'CFS (Before Changes) '!AG21</f>
        <v>0</v>
      </c>
      <c r="AH21" s="329">
        <f>'CFS (After Changes)'!AH21-'CFS (Before Changes) '!AH21</f>
        <v>0</v>
      </c>
      <c r="AI21" s="329">
        <f>'CFS (After Changes)'!AI21-'CFS (Before Changes) '!AI21</f>
        <v>0</v>
      </c>
      <c r="AJ21" s="329">
        <f>'CFS (After Changes)'!AJ21-'CFS (Before Changes) '!AJ21</f>
        <v>0</v>
      </c>
      <c r="AK21" s="329">
        <f>'CFS (After Changes)'!AK21-'CFS (Before Changes) '!AK21</f>
        <v>0</v>
      </c>
      <c r="AL21" s="330">
        <f>'CFS (After Changes)'!AL21-'CFS (Before Changes) '!AL21</f>
        <v>0</v>
      </c>
      <c r="AM21" s="329">
        <f>'CFS (After Changes)'!AM21-'CFS (Before Changes) '!AM21</f>
        <v>0</v>
      </c>
      <c r="AN21" s="329">
        <f>'CFS (After Changes)'!AN21-'CFS (Before Changes) '!AN21</f>
        <v>0</v>
      </c>
      <c r="AO21" s="329">
        <f>'CFS (After Changes)'!AO21-'CFS (Before Changes) '!AO21</f>
        <v>0</v>
      </c>
      <c r="AP21" s="329">
        <f>'CFS (After Changes)'!AP21-'CFS (Before Changes) '!AP21</f>
        <v>0</v>
      </c>
      <c r="AQ21" s="330">
        <f>'CFS (After Changes)'!AQ21-'CFS (Before Changes) '!AQ21</f>
        <v>0</v>
      </c>
      <c r="AR21" s="329">
        <f>'CFS (After Changes)'!AR21-'CFS (Before Changes) '!AR21</f>
        <v>0</v>
      </c>
      <c r="AS21" s="329">
        <f>'CFS (After Changes)'!AS21-'CFS (Before Changes) '!AS21</f>
        <v>0</v>
      </c>
      <c r="AT21" s="329">
        <f>'CFS (After Changes)'!AT21-'CFS (Before Changes) '!AT21</f>
        <v>0</v>
      </c>
      <c r="AU21" s="329">
        <f>'CFS (After Changes)'!AU21-'CFS (Before Changes) '!AU21</f>
        <v>0</v>
      </c>
      <c r="AV21" s="330">
        <f>'CFS (After Changes)'!AV21-'CFS (Before Changes) '!AV21</f>
        <v>0</v>
      </c>
    </row>
    <row r="22" spans="2:48" outlineLevel="1" x14ac:dyDescent="0.3">
      <c r="B22" s="540" t="s">
        <v>280</v>
      </c>
      <c r="C22" s="541"/>
      <c r="D22" s="331">
        <f>'CFS (After Changes)'!D22-'CFS (Before Changes) '!D22</f>
        <v>0</v>
      </c>
      <c r="E22" s="331">
        <f>'CFS (After Changes)'!E22-'CFS (Before Changes) '!E22</f>
        <v>0</v>
      </c>
      <c r="F22" s="331">
        <f>'CFS (After Changes)'!F22-'CFS (Before Changes) '!F22</f>
        <v>0</v>
      </c>
      <c r="G22" s="331">
        <f>'CFS (After Changes)'!G22-'CFS (Before Changes) '!G22</f>
        <v>0</v>
      </c>
      <c r="H22" s="332">
        <f>'CFS (After Changes)'!H22-'CFS (Before Changes) '!H22</f>
        <v>0</v>
      </c>
      <c r="I22" s="331">
        <f>'CFS (After Changes)'!I22-'CFS (Before Changes) '!I22</f>
        <v>0</v>
      </c>
      <c r="J22" s="331">
        <f>'CFS (After Changes)'!J22-'CFS (Before Changes) '!J22</f>
        <v>0</v>
      </c>
      <c r="K22" s="331">
        <f>'CFS (After Changes)'!K22-'CFS (Before Changes) '!K22</f>
        <v>0</v>
      </c>
      <c r="L22" s="331">
        <f>'CFS (After Changes)'!L22-'CFS (Before Changes) '!L22</f>
        <v>0</v>
      </c>
      <c r="M22" s="332">
        <f>'CFS (After Changes)'!M22-'CFS (Before Changes) '!M22</f>
        <v>0</v>
      </c>
      <c r="N22" s="331">
        <f>'CFS (After Changes)'!N22-'CFS (Before Changes) '!N22</f>
        <v>0</v>
      </c>
      <c r="O22" s="331">
        <f>'CFS (After Changes)'!O22-'CFS (Before Changes) '!O22</f>
        <v>0</v>
      </c>
      <c r="P22" s="331">
        <f>'CFS (After Changes)'!P22-'CFS (Before Changes) '!P22</f>
        <v>0</v>
      </c>
      <c r="Q22" s="331">
        <f>'CFS (After Changes)'!Q22-'CFS (Before Changes) '!Q22</f>
        <v>0</v>
      </c>
      <c r="R22" s="332">
        <f>'CFS (After Changes)'!R22-'CFS (Before Changes) '!R22</f>
        <v>0</v>
      </c>
      <c r="S22" s="331">
        <f>'CFS (After Changes)'!S22-'CFS (Before Changes) '!S22</f>
        <v>0</v>
      </c>
      <c r="T22" s="331">
        <f>'CFS (After Changes)'!T22-'CFS (Before Changes) '!T22</f>
        <v>0</v>
      </c>
      <c r="U22" s="331">
        <f>'CFS (After Changes)'!U22-'CFS (Before Changes) '!U22</f>
        <v>0</v>
      </c>
      <c r="V22" s="331">
        <f>'CFS (After Changes)'!V22-'CFS (Before Changes) '!V22</f>
        <v>0</v>
      </c>
      <c r="W22" s="332">
        <f>'CFS (After Changes)'!W22-'CFS (Before Changes) '!W22</f>
        <v>0</v>
      </c>
      <c r="X22" s="331">
        <f>'CFS (After Changes)'!X22-'CFS (Before Changes) '!X22</f>
        <v>3.7940887467914308</v>
      </c>
      <c r="Y22" s="331">
        <f>'CFS (After Changes)'!Y22-'CFS (Before Changes) '!Y22</f>
        <v>-33.308267229346711</v>
      </c>
      <c r="Z22" s="331">
        <f>'CFS (After Changes)'!Z22-'CFS (Before Changes) '!Z22</f>
        <v>-4.3613624103645634</v>
      </c>
      <c r="AA22" s="331">
        <f>'CFS (After Changes)'!AA22-'CFS (Before Changes) '!AA22</f>
        <v>-98.099532571820419</v>
      </c>
      <c r="AB22" s="332">
        <f>'CFS (After Changes)'!AB22-'CFS (Before Changes) '!AB22</f>
        <v>-131.9750734647414</v>
      </c>
      <c r="AC22" s="331">
        <f>'CFS (After Changes)'!AC22-'CFS (Before Changes) '!AC22</f>
        <v>63.325012225672708</v>
      </c>
      <c r="AD22" s="331">
        <f>'CFS (After Changes)'!AD22-'CFS (Before Changes) '!AD22</f>
        <v>71.537727263355919</v>
      </c>
      <c r="AE22" s="331">
        <f>'CFS (After Changes)'!AE22-'CFS (Before Changes) '!AE22</f>
        <v>107.88091176292141</v>
      </c>
      <c r="AF22" s="331">
        <f>'CFS (After Changes)'!AF22-'CFS (Before Changes) '!AF22</f>
        <v>127.24523424456538</v>
      </c>
      <c r="AG22" s="332">
        <f>'CFS (After Changes)'!AG22-'CFS (Before Changes) '!AG22</f>
        <v>369.98888549651565</v>
      </c>
      <c r="AH22" s="331">
        <f>'CFS (After Changes)'!AH22-'CFS (Before Changes) '!AH22</f>
        <v>48.173626354348926</v>
      </c>
      <c r="AI22" s="331">
        <f>'CFS (After Changes)'!AI22-'CFS (Before Changes) '!AI22</f>
        <v>90.559726549359993</v>
      </c>
      <c r="AJ22" s="331">
        <f>'CFS (After Changes)'!AJ22-'CFS (Before Changes) '!AJ22</f>
        <v>131.90320873437736</v>
      </c>
      <c r="AK22" s="331">
        <f>'CFS (After Changes)'!AK22-'CFS (Before Changes) '!AK22</f>
        <v>155.39314293685584</v>
      </c>
      <c r="AL22" s="332">
        <f>'CFS (After Changes)'!AL22-'CFS (Before Changes) '!AL22</f>
        <v>426.02970457494121</v>
      </c>
      <c r="AM22" s="331">
        <f>'CFS (After Changes)'!AM22-'CFS (Before Changes) '!AM22</f>
        <v>63.422045382763372</v>
      </c>
      <c r="AN22" s="331">
        <f>'CFS (After Changes)'!AN22-'CFS (Before Changes) '!AN22</f>
        <v>100.99238019118661</v>
      </c>
      <c r="AO22" s="331">
        <f>'CFS (After Changes)'!AO22-'CFS (Before Changes) '!AO22</f>
        <v>145.8163684563649</v>
      </c>
      <c r="AP22" s="331">
        <f>'CFS (After Changes)'!AP22-'CFS (Before Changes) '!AP22</f>
        <v>172.58439013027737</v>
      </c>
      <c r="AQ22" s="332">
        <f>'CFS (After Changes)'!AQ22-'CFS (Before Changes) '!AQ22</f>
        <v>482.81518416059225</v>
      </c>
      <c r="AR22" s="331">
        <f>'CFS (After Changes)'!AR22-'CFS (Before Changes) '!AR22</f>
        <v>70.264031359124601</v>
      </c>
      <c r="AS22" s="331">
        <f>'CFS (After Changes)'!AS22-'CFS (Before Changes) '!AS22</f>
        <v>110.44716763269162</v>
      </c>
      <c r="AT22" s="331">
        <f>'CFS (After Changes)'!AT22-'CFS (Before Changes) '!AT22</f>
        <v>158.7895340043965</v>
      </c>
      <c r="AU22" s="331">
        <f>'CFS (After Changes)'!AU22-'CFS (Before Changes) '!AU22</f>
        <v>185.79594296187361</v>
      </c>
      <c r="AV22" s="332">
        <f>'CFS (After Changes)'!AV22-'CFS (Before Changes) '!AV22</f>
        <v>525.29667595808496</v>
      </c>
    </row>
    <row r="23" spans="2:48" outlineLevel="1" x14ac:dyDescent="0.3">
      <c r="B23" s="506" t="s">
        <v>281</v>
      </c>
      <c r="C23" s="507"/>
      <c r="D23" s="333">
        <f>'CFS (After Changes)'!D23-'CFS (Before Changes) '!D23</f>
        <v>0</v>
      </c>
      <c r="E23" s="334">
        <f>'CFS (After Changes)'!E23-'CFS (Before Changes) '!E23</f>
        <v>0</v>
      </c>
      <c r="F23" s="334">
        <f>'CFS (After Changes)'!F23-'CFS (Before Changes) '!F23</f>
        <v>0</v>
      </c>
      <c r="G23" s="334">
        <f>'CFS (After Changes)'!G23-'CFS (Before Changes) '!G23</f>
        <v>0</v>
      </c>
      <c r="H23" s="335">
        <f>'CFS (After Changes)'!H23-'CFS (Before Changes) '!H23</f>
        <v>0</v>
      </c>
      <c r="I23" s="336">
        <f>'CFS (After Changes)'!I23-'CFS (Before Changes) '!I23</f>
        <v>0</v>
      </c>
      <c r="J23" s="336">
        <f>'CFS (After Changes)'!J23-'CFS (Before Changes) '!J23</f>
        <v>0</v>
      </c>
      <c r="K23" s="334">
        <f>'CFS (After Changes)'!K23-'CFS (Before Changes) '!K23</f>
        <v>0</v>
      </c>
      <c r="L23" s="334">
        <f>'CFS (After Changes)'!L23-'CFS (Before Changes) '!L23</f>
        <v>0</v>
      </c>
      <c r="M23" s="337">
        <f>'CFS (After Changes)'!M23-'CFS (Before Changes) '!M23</f>
        <v>0</v>
      </c>
      <c r="N23" s="334">
        <f>'CFS (After Changes)'!N23-'CFS (Before Changes) '!N23</f>
        <v>0</v>
      </c>
      <c r="O23" s="334">
        <f>'CFS (After Changes)'!O23-'CFS (Before Changes) '!O23</f>
        <v>0</v>
      </c>
      <c r="P23" s="334">
        <f>'CFS (After Changes)'!P23-'CFS (Before Changes) '!P23</f>
        <v>0</v>
      </c>
      <c r="Q23" s="334">
        <f>'CFS (After Changes)'!Q23-'CFS (Before Changes) '!Q23</f>
        <v>0</v>
      </c>
      <c r="R23" s="337">
        <f>'CFS (After Changes)'!R23-'CFS (Before Changes) '!R23</f>
        <v>0</v>
      </c>
      <c r="S23" s="334">
        <f>'CFS (After Changes)'!S23-'CFS (Before Changes) '!S23</f>
        <v>0</v>
      </c>
      <c r="T23" s="334">
        <f>'CFS (After Changes)'!T23-'CFS (Before Changes) '!T23</f>
        <v>0</v>
      </c>
      <c r="U23" s="334">
        <f>'CFS (After Changes)'!U23-'CFS (Before Changes) '!U23</f>
        <v>0</v>
      </c>
      <c r="V23" s="334">
        <f>'CFS (After Changes)'!V23-'CFS (Before Changes) '!V23</f>
        <v>0</v>
      </c>
      <c r="W23" s="337">
        <f>'CFS (After Changes)'!W23-'CFS (Before Changes) '!W23</f>
        <v>0</v>
      </c>
      <c r="X23" s="334">
        <f>'CFS (After Changes)'!X23-'CFS (Before Changes) '!X23</f>
        <v>0</v>
      </c>
      <c r="Y23" s="334">
        <f>'CFS (After Changes)'!Y23-'CFS (Before Changes) '!Y23</f>
        <v>0</v>
      </c>
      <c r="Z23" s="334">
        <f>'CFS (After Changes)'!Z23-'CFS (Before Changes) '!Z23</f>
        <v>0</v>
      </c>
      <c r="AA23" s="334">
        <f>'CFS (After Changes)'!AA23-'CFS (Before Changes) '!AA23</f>
        <v>0</v>
      </c>
      <c r="AB23" s="337">
        <f>'CFS (After Changes)'!AB23-'CFS (Before Changes) '!AB23</f>
        <v>0</v>
      </c>
      <c r="AC23" s="334">
        <f>'CFS (After Changes)'!AC23-'CFS (Before Changes) '!AC23</f>
        <v>0</v>
      </c>
      <c r="AD23" s="334">
        <f>'CFS (After Changes)'!AD23-'CFS (Before Changes) '!AD23</f>
        <v>0</v>
      </c>
      <c r="AE23" s="334">
        <f>'CFS (After Changes)'!AE23-'CFS (Before Changes) '!AE23</f>
        <v>0</v>
      </c>
      <c r="AF23" s="334">
        <f>'CFS (After Changes)'!AF23-'CFS (Before Changes) '!AF23</f>
        <v>0</v>
      </c>
      <c r="AG23" s="337">
        <f>'CFS (After Changes)'!AG23-'CFS (Before Changes) '!AG23</f>
        <v>0</v>
      </c>
      <c r="AH23" s="334">
        <f>'CFS (After Changes)'!AH23-'CFS (Before Changes) '!AH23</f>
        <v>0</v>
      </c>
      <c r="AI23" s="334">
        <f>'CFS (After Changes)'!AI23-'CFS (Before Changes) '!AI23</f>
        <v>0</v>
      </c>
      <c r="AJ23" s="334">
        <f>'CFS (After Changes)'!AJ23-'CFS (Before Changes) '!AJ23</f>
        <v>0</v>
      </c>
      <c r="AK23" s="334">
        <f>'CFS (After Changes)'!AK23-'CFS (Before Changes) '!AK23</f>
        <v>0</v>
      </c>
      <c r="AL23" s="337">
        <f>'CFS (After Changes)'!AL23-'CFS (Before Changes) '!AL23</f>
        <v>0</v>
      </c>
      <c r="AM23" s="334">
        <f>'CFS (After Changes)'!AM23-'CFS (Before Changes) '!AM23</f>
        <v>0</v>
      </c>
      <c r="AN23" s="334">
        <f>'CFS (After Changes)'!AN23-'CFS (Before Changes) '!AN23</f>
        <v>0</v>
      </c>
      <c r="AO23" s="334">
        <f>'CFS (After Changes)'!AO23-'CFS (Before Changes) '!AO23</f>
        <v>0</v>
      </c>
      <c r="AP23" s="334">
        <f>'CFS (After Changes)'!AP23-'CFS (Before Changes) '!AP23</f>
        <v>0</v>
      </c>
      <c r="AQ23" s="337">
        <f>'CFS (After Changes)'!AQ23-'CFS (Before Changes) '!AQ23</f>
        <v>0</v>
      </c>
      <c r="AR23" s="334">
        <f>'CFS (After Changes)'!AR23-'CFS (Before Changes) '!AR23</f>
        <v>0</v>
      </c>
      <c r="AS23" s="334">
        <f>'CFS (After Changes)'!AS23-'CFS (Before Changes) '!AS23</f>
        <v>0</v>
      </c>
      <c r="AT23" s="334">
        <f>'CFS (After Changes)'!AT23-'CFS (Before Changes) '!AT23</f>
        <v>0</v>
      </c>
      <c r="AU23" s="334">
        <f>'CFS (After Changes)'!AU23-'CFS (Before Changes) '!AU23</f>
        <v>0</v>
      </c>
      <c r="AV23" s="337">
        <f>'CFS (After Changes)'!AV23-'CFS (Before Changes) '!AV23</f>
        <v>0</v>
      </c>
    </row>
    <row r="24" spans="2:48" outlineLevel="1" x14ac:dyDescent="0.3">
      <c r="B24" s="200" t="s">
        <v>282</v>
      </c>
      <c r="C24" s="201"/>
      <c r="D24" s="16">
        <f>'CFS (After Changes)'!D24-'CFS (Before Changes) '!D24</f>
        <v>0</v>
      </c>
      <c r="E24" s="16">
        <f>'CFS (After Changes)'!E24-'CFS (Before Changes) '!E24</f>
        <v>0</v>
      </c>
      <c r="F24" s="16">
        <f>'CFS (After Changes)'!F24-'CFS (Before Changes) '!F24</f>
        <v>0</v>
      </c>
      <c r="G24" s="16">
        <f>'CFS (After Changes)'!G24-'CFS (Before Changes) '!G24</f>
        <v>0</v>
      </c>
      <c r="H24" s="17">
        <f>'CFS (After Changes)'!H24-'CFS (Before Changes) '!H24</f>
        <v>0</v>
      </c>
      <c r="I24" s="16">
        <f>'CFS (After Changes)'!I24-'CFS (Before Changes) '!I24</f>
        <v>0</v>
      </c>
      <c r="J24" s="16">
        <f>'CFS (After Changes)'!J24-'CFS (Before Changes) '!J24</f>
        <v>0</v>
      </c>
      <c r="K24" s="16">
        <f>'CFS (After Changes)'!K24-'CFS (Before Changes) '!K24</f>
        <v>0</v>
      </c>
      <c r="L24" s="16">
        <f>'CFS (After Changes)'!L24-'CFS (Before Changes) '!L24</f>
        <v>0</v>
      </c>
      <c r="M24" s="17">
        <f>'CFS (After Changes)'!M24-'CFS (Before Changes) '!M24</f>
        <v>0</v>
      </c>
      <c r="N24" s="16">
        <f>'CFS (After Changes)'!N24-'CFS (Before Changes) '!N24</f>
        <v>0</v>
      </c>
      <c r="O24" s="16">
        <f>'CFS (After Changes)'!O24-'CFS (Before Changes) '!O24</f>
        <v>0</v>
      </c>
      <c r="P24" s="16">
        <f>'CFS (After Changes)'!P24-'CFS (Before Changes) '!P24</f>
        <v>0</v>
      </c>
      <c r="Q24" s="16">
        <f>'CFS (After Changes)'!Q24-'CFS (Before Changes) '!Q24</f>
        <v>0</v>
      </c>
      <c r="R24" s="17">
        <f>'CFS (After Changes)'!R24-'CFS (Before Changes) '!R24</f>
        <v>0</v>
      </c>
      <c r="S24" s="16">
        <f>'CFS (After Changes)'!S24-'CFS (Before Changes) '!S24</f>
        <v>0</v>
      </c>
      <c r="T24" s="16">
        <f>'CFS (After Changes)'!T24-'CFS (Before Changes) '!T24</f>
        <v>0</v>
      </c>
      <c r="U24" s="16">
        <f>'CFS (After Changes)'!U24-'CFS (Before Changes) '!U24</f>
        <v>0</v>
      </c>
      <c r="V24" s="16">
        <f>'CFS (After Changes)'!V24-'CFS (Before Changes) '!V24</f>
        <v>0</v>
      </c>
      <c r="W24" s="17">
        <f>'CFS (After Changes)'!W24-'CFS (Before Changes) '!W24</f>
        <v>0</v>
      </c>
      <c r="X24" s="16">
        <f>'CFS (After Changes)'!X24-'CFS (Before Changes) '!X24</f>
        <v>-0.17024619653793138</v>
      </c>
      <c r="Y24" s="16">
        <f>'CFS (After Changes)'!Y24-'CFS (Before Changes) '!Y24</f>
        <v>0.1549230859713191</v>
      </c>
      <c r="Z24" s="16">
        <f>'CFS (After Changes)'!Z24-'CFS (Before Changes) '!Z24</f>
        <v>-0.77930516340256872</v>
      </c>
      <c r="AA24" s="16">
        <f>'CFS (After Changes)'!AA24-'CFS (Before Changes) '!AA24</f>
        <v>0.79296511751812204</v>
      </c>
      <c r="AB24" s="17">
        <f>'CFS (After Changes)'!AB24-'CFS (Before Changes) '!AB24</f>
        <v>-1.6631564510589669E-3</v>
      </c>
      <c r="AC24" s="16">
        <f>'CFS (After Changes)'!AC24-'CFS (Before Changes) '!AC24</f>
        <v>0.93477479835129884</v>
      </c>
      <c r="AD24" s="16">
        <f>'CFS (After Changes)'!AD24-'CFS (Before Changes) '!AD24</f>
        <v>-0.83788826135332783</v>
      </c>
      <c r="AE24" s="16">
        <f>'CFS (After Changes)'!AE24-'CFS (Before Changes) '!AE24</f>
        <v>-2.5493268996310405</v>
      </c>
      <c r="AF24" s="16">
        <f>'CFS (After Changes)'!AF24-'CFS (Before Changes) '!AF24</f>
        <v>-2.2434565252232801</v>
      </c>
      <c r="AG24" s="17">
        <f>'CFS (After Changes)'!AG24-'CFS (Before Changes) '!AG24</f>
        <v>-4.6958968878563496</v>
      </c>
      <c r="AH24" s="16">
        <f>'CFS (After Changes)'!AH24-'CFS (Before Changes) '!AH24</f>
        <v>-0.37218272822329368</v>
      </c>
      <c r="AI24" s="16">
        <f>'CFS (After Changes)'!AI24-'CFS (Before Changes) '!AI24</f>
        <v>-1.1531871598098462</v>
      </c>
      <c r="AJ24" s="16">
        <f>'CFS (After Changes)'!AJ24-'CFS (Before Changes) '!AJ24</f>
        <v>-3.0614906668672006</v>
      </c>
      <c r="AK24" s="16">
        <f>'CFS (After Changes)'!AK24-'CFS (Before Changes) '!AK24</f>
        <v>-2.6747400972796811</v>
      </c>
      <c r="AL24" s="17">
        <f>'CFS (After Changes)'!AL24-'CFS (Before Changes) '!AL24</f>
        <v>-7.2616006521800216</v>
      </c>
      <c r="AM24" s="16">
        <f>'CFS (After Changes)'!AM24-'CFS (Before Changes) '!AM24</f>
        <v>-0.40462742688532671</v>
      </c>
      <c r="AN24" s="16">
        <f>'CFS (After Changes)'!AN24-'CFS (Before Changes) '!AN24</f>
        <v>-1.2637630715051955</v>
      </c>
      <c r="AO24" s="16">
        <f>'CFS (After Changes)'!AO24-'CFS (Before Changes) '!AO24</f>
        <v>-3.330826755653078</v>
      </c>
      <c r="AP24" s="16">
        <f>'CFS (After Changes)'!AP24-'CFS (Before Changes) '!AP24</f>
        <v>-2.9302102898402609</v>
      </c>
      <c r="AQ24" s="17">
        <f>'CFS (After Changes)'!AQ24-'CFS (Before Changes) '!AQ24</f>
        <v>-7.9294275438838611</v>
      </c>
      <c r="AR24" s="16">
        <f>'CFS (After Changes)'!AR24-'CFS (Before Changes) '!AR24</f>
        <v>-0.47109329546765366</v>
      </c>
      <c r="AS24" s="16">
        <f>'CFS (After Changes)'!AS24-'CFS (Before Changes) '!AS24</f>
        <v>-1.3633072929183072</v>
      </c>
      <c r="AT24" s="16">
        <f>'CFS (After Changes)'!AT24-'CFS (Before Changes) '!AT24</f>
        <v>-3.5722203669988914</v>
      </c>
      <c r="AU24" s="16">
        <f>'CFS (After Changes)'!AU24-'CFS (Before Changes) '!AU24</f>
        <v>-3.1531676300120068</v>
      </c>
      <c r="AV24" s="17">
        <f>'CFS (After Changes)'!AV24-'CFS (Before Changes) '!AV24</f>
        <v>-8.5597885853968592</v>
      </c>
    </row>
    <row r="25" spans="2:48" outlineLevel="1" x14ac:dyDescent="0.3">
      <c r="B25" s="486" t="s">
        <v>283</v>
      </c>
      <c r="C25" s="487"/>
      <c r="D25" s="16">
        <f>'CFS (After Changes)'!D25-'CFS (Before Changes) '!D25</f>
        <v>0</v>
      </c>
      <c r="E25" s="16">
        <f>'CFS (After Changes)'!E25-'CFS (Before Changes) '!E25</f>
        <v>0</v>
      </c>
      <c r="F25" s="16">
        <f>'CFS (After Changes)'!F25-'CFS (Before Changes) '!F25</f>
        <v>0</v>
      </c>
      <c r="G25" s="16">
        <f>'CFS (After Changes)'!G25-'CFS (Before Changes) '!G25</f>
        <v>0</v>
      </c>
      <c r="H25" s="169">
        <f>'CFS (After Changes)'!H25-'CFS (Before Changes) '!H25</f>
        <v>0</v>
      </c>
      <c r="I25" s="16">
        <f>'CFS (After Changes)'!I25-'CFS (Before Changes) '!I25</f>
        <v>0</v>
      </c>
      <c r="J25" s="16">
        <f>'CFS (After Changes)'!J25-'CFS (Before Changes) '!J25</f>
        <v>0</v>
      </c>
      <c r="K25" s="16">
        <f>'CFS (After Changes)'!K25-'CFS (Before Changes) '!K25</f>
        <v>0</v>
      </c>
      <c r="L25" s="16">
        <f>'CFS (After Changes)'!L25-'CFS (Before Changes) '!L25</f>
        <v>0</v>
      </c>
      <c r="M25" s="169">
        <f>'CFS (After Changes)'!M25-'CFS (Before Changes) '!M25</f>
        <v>0</v>
      </c>
      <c r="N25" s="16">
        <f>'CFS (After Changes)'!N25-'CFS (Before Changes) '!N25</f>
        <v>0</v>
      </c>
      <c r="O25" s="16">
        <f>'CFS (After Changes)'!O25-'CFS (Before Changes) '!O25</f>
        <v>0</v>
      </c>
      <c r="P25" s="16">
        <f>'CFS (After Changes)'!P25-'CFS (Before Changes) '!P25</f>
        <v>0</v>
      </c>
      <c r="Q25" s="16">
        <f>'CFS (After Changes)'!Q25-'CFS (Before Changes) '!Q25</f>
        <v>0</v>
      </c>
      <c r="R25" s="169">
        <f>'CFS (After Changes)'!R25-'CFS (Before Changes) '!R25</f>
        <v>0</v>
      </c>
      <c r="S25" s="16">
        <f>'CFS (After Changes)'!S25-'CFS (Before Changes) '!S25</f>
        <v>0</v>
      </c>
      <c r="T25" s="16">
        <f>'CFS (After Changes)'!T25-'CFS (Before Changes) '!T25</f>
        <v>0</v>
      </c>
      <c r="U25" s="16">
        <f>'CFS (After Changes)'!U25-'CFS (Before Changes) '!U25</f>
        <v>0</v>
      </c>
      <c r="V25" s="16">
        <f>'CFS (After Changes)'!V25-'CFS (Before Changes) '!V25</f>
        <v>0</v>
      </c>
      <c r="W25" s="169">
        <f>'CFS (After Changes)'!W25-'CFS (Before Changes) '!W25</f>
        <v>0</v>
      </c>
      <c r="X25" s="16">
        <f>'CFS (After Changes)'!X25-'CFS (Before Changes) '!X25</f>
        <v>-2.0102293896308083</v>
      </c>
      <c r="Y25" s="16">
        <f>'CFS (After Changes)'!Y25-'CFS (Before Changes) '!Y25</f>
        <v>-1.9053971100645413</v>
      </c>
      <c r="Z25" s="16">
        <f>'CFS (After Changes)'!Z25-'CFS (Before Changes) '!Z25</f>
        <v>-10.066648087274871</v>
      </c>
      <c r="AA25" s="16">
        <f>'CFS (After Changes)'!AA25-'CFS (Before Changes) '!AA25</f>
        <v>-10.06211074627106</v>
      </c>
      <c r="AB25" s="418">
        <f>'CFS (After Changes)'!AB25-'CFS (Before Changes) '!AB25</f>
        <v>-24.04438533324128</v>
      </c>
      <c r="AC25" s="16">
        <f>'CFS (After Changes)'!AC25-'CFS (Before Changes) '!AC25</f>
        <v>-4.3185667328252748</v>
      </c>
      <c r="AD25" s="16">
        <f>'CFS (After Changes)'!AD25-'CFS (Before Changes) '!AD25</f>
        <v>-4.0972481862545465</v>
      </c>
      <c r="AE25" s="16">
        <f>'CFS (After Changes)'!AE25-'CFS (Before Changes) '!AE25</f>
        <v>-13.099173804396855</v>
      </c>
      <c r="AF25" s="16">
        <f>'CFS (After Changes)'!AF25-'CFS (Before Changes) '!AF25</f>
        <v>-13.106627777503263</v>
      </c>
      <c r="AG25" s="418">
        <f>'CFS (After Changes)'!AG25-'CFS (Before Changes) '!AG25</f>
        <v>-34.621616500980053</v>
      </c>
      <c r="AH25" s="16">
        <f>'CFS (After Changes)'!AH25-'CFS (Before Changes) '!AH25</f>
        <v>-6.4076191553593844</v>
      </c>
      <c r="AI25" s="16">
        <f>'CFS (After Changes)'!AI25-'CFS (Before Changes) '!AI25</f>
        <v>-6.0859337054636171</v>
      </c>
      <c r="AJ25" s="16">
        <f>'CFS (After Changes)'!AJ25-'CFS (Before Changes) '!AJ25</f>
        <v>-15.230310274977228</v>
      </c>
      <c r="AK25" s="16">
        <f>'CFS (After Changes)'!AK25-'CFS (Before Changes) '!AK25</f>
        <v>-15.253850214043041</v>
      </c>
      <c r="AL25" s="418">
        <f>'CFS (After Changes)'!AL25-'CFS (Before Changes) '!AL25</f>
        <v>-42.97771334984327</v>
      </c>
      <c r="AM25" s="16">
        <f>'CFS (After Changes)'!AM25-'CFS (Before Changes) '!AM25</f>
        <v>-6.9455955203630992</v>
      </c>
      <c r="AN25" s="16">
        <f>'CFS (After Changes)'!AN25-'CFS (Before Changes) '!AN25</f>
        <v>-6.6011426560926338</v>
      </c>
      <c r="AO25" s="16">
        <f>'CFS (After Changes)'!AO25-'CFS (Before Changes) '!AO25</f>
        <v>-16.530089376798855</v>
      </c>
      <c r="AP25" s="16">
        <f>'CFS (After Changes)'!AP25-'CFS (Before Changes) '!AP25</f>
        <v>-16.565938117330916</v>
      </c>
      <c r="AQ25" s="17">
        <f>'CFS (After Changes)'!AQ25-'CFS (Before Changes) '!AQ25</f>
        <v>-46.642765670585504</v>
      </c>
      <c r="AR25" s="16">
        <f>'CFS (After Changes)'!AR25-'CFS (Before Changes) '!AR25</f>
        <v>-7.4005632010740783</v>
      </c>
      <c r="AS25" s="16">
        <f>'CFS (After Changes)'!AS25-'CFS (Before Changes) '!AS25</f>
        <v>-7.0315446772613086</v>
      </c>
      <c r="AT25" s="16">
        <f>'CFS (After Changes)'!AT25-'CFS (Before Changes) '!AT25</f>
        <v>-17.602940606488914</v>
      </c>
      <c r="AU25" s="16">
        <f>'CFS (After Changes)'!AU25-'CFS (Before Changes) '!AU25</f>
        <v>-17.636258914347991</v>
      </c>
      <c r="AV25" s="17">
        <f>'CFS (After Changes)'!AV25-'CFS (Before Changes) '!AV25</f>
        <v>-49.671307399171837</v>
      </c>
    </row>
    <row r="26" spans="2:48" ht="16.2" outlineLevel="1" x14ac:dyDescent="0.45">
      <c r="B26" s="486" t="s">
        <v>284</v>
      </c>
      <c r="C26" s="487"/>
      <c r="D26" s="260">
        <f>'CFS (After Changes)'!D26-'CFS (Before Changes) '!D26</f>
        <v>0</v>
      </c>
      <c r="E26" s="260">
        <f>'CFS (After Changes)'!E26-'CFS (Before Changes) '!E26</f>
        <v>0</v>
      </c>
      <c r="F26" s="260">
        <f>'CFS (After Changes)'!F26-'CFS (Before Changes) '!F26</f>
        <v>0</v>
      </c>
      <c r="G26" s="260">
        <f>'CFS (After Changes)'!G26-'CFS (Before Changes) '!G26</f>
        <v>0</v>
      </c>
      <c r="H26" s="261">
        <f>'CFS (After Changes)'!H26-'CFS (Before Changes) '!H26</f>
        <v>0</v>
      </c>
      <c r="I26" s="260">
        <f>'CFS (After Changes)'!I26-'CFS (Before Changes) '!I26</f>
        <v>0</v>
      </c>
      <c r="J26" s="260">
        <f>'CFS (After Changes)'!J26-'CFS (Before Changes) '!J26</f>
        <v>0</v>
      </c>
      <c r="K26" s="260">
        <f>'CFS (After Changes)'!K26-'CFS (Before Changes) '!K26</f>
        <v>0</v>
      </c>
      <c r="L26" s="260">
        <f>'CFS (After Changes)'!L26-'CFS (Before Changes) '!L26</f>
        <v>0</v>
      </c>
      <c r="M26" s="261">
        <f>'CFS (After Changes)'!M26-'CFS (Before Changes) '!M26</f>
        <v>0</v>
      </c>
      <c r="N26" s="260">
        <f>'CFS (After Changes)'!N26-'CFS (Before Changes) '!N26</f>
        <v>0</v>
      </c>
      <c r="O26" s="260">
        <f>'CFS (After Changes)'!O26-'CFS (Before Changes) '!O26</f>
        <v>0</v>
      </c>
      <c r="P26" s="260">
        <f>'CFS (After Changes)'!P26-'CFS (Before Changes) '!P26</f>
        <v>0</v>
      </c>
      <c r="Q26" s="260">
        <f>'CFS (After Changes)'!Q26-'CFS (Before Changes) '!Q26</f>
        <v>0</v>
      </c>
      <c r="R26" s="261">
        <f>'CFS (After Changes)'!R26-'CFS (Before Changes) '!R26</f>
        <v>0</v>
      </c>
      <c r="S26" s="260">
        <f>'CFS (After Changes)'!S26-'CFS (Before Changes) '!S26</f>
        <v>0</v>
      </c>
      <c r="T26" s="260">
        <f>'CFS (After Changes)'!T26-'CFS (Before Changes) '!T26</f>
        <v>0</v>
      </c>
      <c r="U26" s="260">
        <f>'CFS (After Changes)'!U26-'CFS (Before Changes) '!U26</f>
        <v>0</v>
      </c>
      <c r="V26" s="260">
        <f>'CFS (After Changes)'!V26-'CFS (Before Changes) '!V26</f>
        <v>0</v>
      </c>
      <c r="W26" s="261">
        <f>'CFS (After Changes)'!W26-'CFS (Before Changes) '!W26</f>
        <v>0</v>
      </c>
      <c r="X26" s="260">
        <f>'CFS (After Changes)'!X26-'CFS (Before Changes) '!X26</f>
        <v>-0.21681391192566934</v>
      </c>
      <c r="Y26" s="260">
        <f>'CFS (After Changes)'!Y26-'CFS (Before Changes) '!Y26</f>
        <v>0.19794601972773762</v>
      </c>
      <c r="Z26" s="260">
        <f>'CFS (After Changes)'!Z26-'CFS (Before Changes) '!Z26</f>
        <v>-0.91025040941883617</v>
      </c>
      <c r="AA26" s="260">
        <f>'CFS (After Changes)'!AA26-'CFS (Before Changes) '!AA26</f>
        <v>0.92727746376351661</v>
      </c>
      <c r="AB26" s="261">
        <f>'CFS (After Changes)'!AB26-'CFS (Before Changes) '!AB26</f>
        <v>-1.840837853251287E-3</v>
      </c>
      <c r="AC26" s="260">
        <f>'CFS (After Changes)'!AC26-'CFS (Before Changes) '!AC26</f>
        <v>1.1139881486481045</v>
      </c>
      <c r="AD26" s="260">
        <f>'CFS (After Changes)'!AD26-'CFS (Before Changes) '!AD26</f>
        <v>-1.000444140513423</v>
      </c>
      <c r="AE26" s="260">
        <f>'CFS (After Changes)'!AE26-'CFS (Before Changes) '!AE26</f>
        <v>-2.9568642207868834</v>
      </c>
      <c r="AF26" s="260">
        <f>'CFS (After Changes)'!AF26-'CFS (Before Changes) '!AF26</f>
        <v>-2.5894434783344877</v>
      </c>
      <c r="AG26" s="261">
        <f>'CFS (After Changes)'!AG26-'CFS (Before Changes) '!AG26</f>
        <v>-5.4327636909866897</v>
      </c>
      <c r="AH26" s="260">
        <f>'CFS (After Changes)'!AH26-'CFS (Before Changes) '!AH26</f>
        <v>-0.49766175753961761</v>
      </c>
      <c r="AI26" s="260">
        <f>'CFS (After Changes)'!AI26-'CFS (Before Changes) '!AI26</f>
        <v>-1.3163299004725104</v>
      </c>
      <c r="AJ26" s="260">
        <f>'CFS (After Changes)'!AJ26-'CFS (Before Changes) '!AJ26</f>
        <v>-3.5471194840239377</v>
      </c>
      <c r="AK26" s="260">
        <f>'CFS (After Changes)'!AK26-'CFS (Before Changes) '!AK26</f>
        <v>-3.1204179319510104</v>
      </c>
      <c r="AL26" s="261">
        <f>'CFS (After Changes)'!AL26-'CFS (Before Changes) '!AL26</f>
        <v>-8.4815290739870761</v>
      </c>
      <c r="AM26" s="260">
        <f>'CFS (After Changes)'!AM26-'CFS (Before Changes) '!AM26</f>
        <v>-0.49182022079492071</v>
      </c>
      <c r="AN26" s="260">
        <f>'CFS (After Changes)'!AN26-'CFS (Before Changes) '!AN26</f>
        <v>-1.4564490126915643</v>
      </c>
      <c r="AO26" s="260">
        <f>'CFS (After Changes)'!AO26-'CFS (Before Changes) '!AO26</f>
        <v>-3.8746799286499254</v>
      </c>
      <c r="AP26" s="260">
        <f>'CFS (After Changes)'!AP26-'CFS (Before Changes) '!AP26</f>
        <v>-3.4166320740456513</v>
      </c>
      <c r="AQ26" s="261">
        <f>'CFS (After Changes)'!AQ26-'CFS (Before Changes) '!AQ26</f>
        <v>-9.2395812361820617</v>
      </c>
      <c r="AR26" s="260">
        <f>'CFS (After Changes)'!AR26-'CFS (Before Changes) '!AR26</f>
        <v>-0.55170680088383506</v>
      </c>
      <c r="AS26" s="260">
        <f>'CFS (After Changes)'!AS26-'CFS (Before Changes) '!AS26</f>
        <v>-1.5825656084784896</v>
      </c>
      <c r="AT26" s="260">
        <f>'CFS (After Changes)'!AT26-'CFS (Before Changes) '!AT26</f>
        <v>-4.1591847331543477</v>
      </c>
      <c r="AU26" s="260">
        <f>'CFS (After Changes)'!AU26-'CFS (Before Changes) '!AU26</f>
        <v>-3.6727360245936325</v>
      </c>
      <c r="AV26" s="261">
        <f>'CFS (After Changes)'!AV26-'CFS (Before Changes) '!AV26</f>
        <v>-9.9661931671102977</v>
      </c>
    </row>
    <row r="27" spans="2:48" outlineLevel="1" x14ac:dyDescent="0.3">
      <c r="B27" s="500" t="s">
        <v>285</v>
      </c>
      <c r="C27" s="501"/>
      <c r="D27" s="21">
        <f>'CFS (After Changes)'!D27-'CFS (Before Changes) '!D27</f>
        <v>0</v>
      </c>
      <c r="E27" s="21">
        <f>'CFS (After Changes)'!E27-'CFS (Before Changes) '!E27</f>
        <v>0</v>
      </c>
      <c r="F27" s="21">
        <f>'CFS (After Changes)'!F27-'CFS (Before Changes) '!F27</f>
        <v>0</v>
      </c>
      <c r="G27" s="21">
        <f>'CFS (After Changes)'!G27-'CFS (Before Changes) '!G27</f>
        <v>0</v>
      </c>
      <c r="H27" s="22">
        <f>'CFS (After Changes)'!H27-'CFS (Before Changes) '!H27</f>
        <v>0</v>
      </c>
      <c r="I27" s="21">
        <f>'CFS (After Changes)'!I27-'CFS (Before Changes) '!I27</f>
        <v>0</v>
      </c>
      <c r="J27" s="21">
        <f>'CFS (After Changes)'!J27-'CFS (Before Changes) '!J27</f>
        <v>0</v>
      </c>
      <c r="K27" s="21">
        <f>'CFS (After Changes)'!K27-'CFS (Before Changes) '!K27</f>
        <v>0</v>
      </c>
      <c r="L27" s="21">
        <f>'CFS (After Changes)'!L27-'CFS (Before Changes) '!L27</f>
        <v>0</v>
      </c>
      <c r="M27" s="22">
        <f>'CFS (After Changes)'!M27-'CFS (Before Changes) '!M27</f>
        <v>0</v>
      </c>
      <c r="N27" s="21">
        <f>'CFS (After Changes)'!N27-'CFS (Before Changes) '!N27</f>
        <v>0</v>
      </c>
      <c r="O27" s="21">
        <f>'CFS (After Changes)'!O27-'CFS (Before Changes) '!O27</f>
        <v>0</v>
      </c>
      <c r="P27" s="21">
        <f>'CFS (After Changes)'!P27-'CFS (Before Changes) '!P27</f>
        <v>0</v>
      </c>
      <c r="Q27" s="21">
        <f>'CFS (After Changes)'!Q27-'CFS (Before Changes) '!Q27</f>
        <v>0</v>
      </c>
      <c r="R27" s="22">
        <f>'CFS (After Changes)'!R27-'CFS (Before Changes) '!R27</f>
        <v>0</v>
      </c>
      <c r="S27" s="21">
        <f>'CFS (After Changes)'!S27-'CFS (Before Changes) '!S27</f>
        <v>0</v>
      </c>
      <c r="T27" s="21">
        <f>'CFS (After Changes)'!T27-'CFS (Before Changes) '!T27</f>
        <v>0</v>
      </c>
      <c r="U27" s="21">
        <f>'CFS (After Changes)'!U27-'CFS (Before Changes) '!U27</f>
        <v>0</v>
      </c>
      <c r="V27" s="21">
        <f>'CFS (After Changes)'!V27-'CFS (Before Changes) '!V27</f>
        <v>0</v>
      </c>
      <c r="W27" s="22">
        <f>'CFS (After Changes)'!W27-'CFS (Before Changes) '!W27</f>
        <v>0</v>
      </c>
      <c r="X27" s="21">
        <f>'CFS (After Changes)'!X27-'CFS (Before Changes) '!X27</f>
        <v>-2.3972894980944375</v>
      </c>
      <c r="Y27" s="21">
        <f>'CFS (After Changes)'!Y27-'CFS (Before Changes) '!Y27</f>
        <v>-1.552528004365513</v>
      </c>
      <c r="Z27" s="21">
        <f>'CFS (After Changes)'!Z27-'CFS (Before Changes) '!Z27</f>
        <v>-11.756203660096276</v>
      </c>
      <c r="AA27" s="21">
        <f>'CFS (After Changes)'!AA27-'CFS (Before Changes) '!AA27</f>
        <v>-8.3418681649894779</v>
      </c>
      <c r="AB27" s="22">
        <f>'CFS (After Changes)'!AB27-'CFS (Before Changes) '!AB27</f>
        <v>-24.047889327545818</v>
      </c>
      <c r="AC27" s="21">
        <f>'CFS (After Changes)'!AC27-'CFS (Before Changes) '!AC27</f>
        <v>-2.2698037858258431</v>
      </c>
      <c r="AD27" s="21">
        <f>'CFS (After Changes)'!AD27-'CFS (Before Changes) '!AD27</f>
        <v>-5.9355805881212973</v>
      </c>
      <c r="AE27" s="21">
        <f>'CFS (After Changes)'!AE27-'CFS (Before Changes) '!AE27</f>
        <v>-18.605364924814694</v>
      </c>
      <c r="AF27" s="21">
        <f>'CFS (After Changes)'!AF27-'CFS (Before Changes) '!AF27</f>
        <v>-17.939527781060974</v>
      </c>
      <c r="AG27" s="22">
        <f>'CFS (After Changes)'!AG27-'CFS (Before Changes) '!AG27</f>
        <v>-44.750277079823263</v>
      </c>
      <c r="AH27" s="21">
        <f>'CFS (After Changes)'!AH27-'CFS (Before Changes) '!AH27</f>
        <v>-7.277463641122381</v>
      </c>
      <c r="AI27" s="21">
        <f>'CFS (After Changes)'!AI27-'CFS (Before Changes) '!AI27</f>
        <v>-8.5554507657459453</v>
      </c>
      <c r="AJ27" s="21">
        <f>'CFS (After Changes)'!AJ27-'CFS (Before Changes) '!AJ27</f>
        <v>-21.838920425868423</v>
      </c>
      <c r="AK27" s="21">
        <f>'CFS (After Changes)'!AK27-'CFS (Before Changes) '!AK27</f>
        <v>-21.049008243273875</v>
      </c>
      <c r="AL27" s="22">
        <f>'CFS (After Changes)'!AL27-'CFS (Before Changes) '!AL27</f>
        <v>-58.720843076010624</v>
      </c>
      <c r="AM27" s="21">
        <f>'CFS (After Changes)'!AM27-'CFS (Before Changes) '!AM27</f>
        <v>-7.8420431680433467</v>
      </c>
      <c r="AN27" s="21">
        <f>'CFS (After Changes)'!AN27-'CFS (Before Changes) '!AN27</f>
        <v>-9.3213547402895074</v>
      </c>
      <c r="AO27" s="21">
        <f>'CFS (After Changes)'!AO27-'CFS (Before Changes) '!AO27</f>
        <v>-23.735596061101887</v>
      </c>
      <c r="AP27" s="21">
        <f>'CFS (After Changes)'!AP27-'CFS (Before Changes) '!AP27</f>
        <v>-22.912780481216828</v>
      </c>
      <c r="AQ27" s="22">
        <f>'CFS (After Changes)'!AQ27-'CFS (Before Changes) '!AQ27</f>
        <v>-63.811774450651228</v>
      </c>
      <c r="AR27" s="21">
        <f>'CFS (After Changes)'!AR27-'CFS (Before Changes) '!AR27</f>
        <v>-8.4233632974256807</v>
      </c>
      <c r="AS27" s="21">
        <f>'CFS (After Changes)'!AS27-'CFS (Before Changes) '!AS27</f>
        <v>-9.9774175786581054</v>
      </c>
      <c r="AT27" s="21">
        <f>'CFS (After Changes)'!AT27-'CFS (Before Changes) '!AT27</f>
        <v>-25.334345706642125</v>
      </c>
      <c r="AU27" s="21">
        <f>'CFS (After Changes)'!AU27-'CFS (Before Changes) '!AU27</f>
        <v>-24.462162568953659</v>
      </c>
      <c r="AV27" s="22">
        <f>'CFS (After Changes)'!AV27-'CFS (Before Changes) '!AV27</f>
        <v>-68.197289151678888</v>
      </c>
    </row>
    <row r="28" spans="2:48" outlineLevel="1" x14ac:dyDescent="0.3">
      <c r="B28" s="542" t="s">
        <v>286</v>
      </c>
      <c r="C28" s="543"/>
      <c r="D28" s="321">
        <f>'CFS (After Changes)'!D28-'CFS (Before Changes) '!D28</f>
        <v>0</v>
      </c>
      <c r="E28" s="323">
        <f>'CFS (After Changes)'!E28-'CFS (Before Changes) '!E28</f>
        <v>0</v>
      </c>
      <c r="F28" s="323">
        <f>'CFS (After Changes)'!F28-'CFS (Before Changes) '!F28</f>
        <v>0</v>
      </c>
      <c r="G28" s="323">
        <f>'CFS (After Changes)'!G28-'CFS (Before Changes) '!G28</f>
        <v>0</v>
      </c>
      <c r="H28" s="324">
        <f>'CFS (After Changes)'!H28-'CFS (Before Changes) '!H28</f>
        <v>0</v>
      </c>
      <c r="I28" s="323">
        <f>'CFS (After Changes)'!I28-'CFS (Before Changes) '!I28</f>
        <v>0</v>
      </c>
      <c r="J28" s="323">
        <f>'CFS (After Changes)'!J28-'CFS (Before Changes) '!J28</f>
        <v>0</v>
      </c>
      <c r="K28" s="323">
        <f>'CFS (After Changes)'!K28-'CFS (Before Changes) '!K28</f>
        <v>0</v>
      </c>
      <c r="L28" s="323">
        <f>'CFS (After Changes)'!L28-'CFS (Before Changes) '!L28</f>
        <v>0</v>
      </c>
      <c r="M28" s="324">
        <f>'CFS (After Changes)'!M28-'CFS (Before Changes) '!M28</f>
        <v>0</v>
      </c>
      <c r="N28" s="323">
        <f>'CFS (After Changes)'!N28-'CFS (Before Changes) '!N28</f>
        <v>0</v>
      </c>
      <c r="O28" s="323">
        <f>'CFS (After Changes)'!O28-'CFS (Before Changes) '!O28</f>
        <v>0</v>
      </c>
      <c r="P28" s="323">
        <f>'CFS (After Changes)'!P28-'CFS (Before Changes) '!P28</f>
        <v>0</v>
      </c>
      <c r="Q28" s="323">
        <f>'CFS (After Changes)'!Q28-'CFS (Before Changes) '!Q28</f>
        <v>0</v>
      </c>
      <c r="R28" s="324">
        <f>'CFS (After Changes)'!R28-'CFS (Before Changes) '!R28</f>
        <v>0</v>
      </c>
      <c r="S28" s="323">
        <f>'CFS (After Changes)'!S28-'CFS (Before Changes) '!S28</f>
        <v>0</v>
      </c>
      <c r="T28" s="323">
        <f>'CFS (After Changes)'!T28-'CFS (Before Changes) '!T28</f>
        <v>0</v>
      </c>
      <c r="U28" s="323">
        <f>'CFS (After Changes)'!U28-'CFS (Before Changes) '!U28</f>
        <v>0</v>
      </c>
      <c r="V28" s="323">
        <f>'CFS (After Changes)'!V28-'CFS (Before Changes) '!V28</f>
        <v>0</v>
      </c>
      <c r="W28" s="324">
        <f>'CFS (After Changes)'!W28-'CFS (Before Changes) '!W28</f>
        <v>0</v>
      </c>
      <c r="X28" s="323">
        <f>'CFS (After Changes)'!X28-'CFS (Before Changes) '!X28</f>
        <v>0</v>
      </c>
      <c r="Y28" s="323">
        <f>'CFS (After Changes)'!Y28-'CFS (Before Changes) '!Y28</f>
        <v>0</v>
      </c>
      <c r="Z28" s="323">
        <f>'CFS (After Changes)'!Z28-'CFS (Before Changes) '!Z28</f>
        <v>0</v>
      </c>
      <c r="AA28" s="323">
        <f>'CFS (After Changes)'!AA28-'CFS (Before Changes) '!AA28</f>
        <v>0</v>
      </c>
      <c r="AB28" s="324">
        <f>'CFS (After Changes)'!AB28-'CFS (Before Changes) '!AB28</f>
        <v>0</v>
      </c>
      <c r="AC28" s="323">
        <f>'CFS (After Changes)'!AC28-'CFS (Before Changes) '!AC28</f>
        <v>0</v>
      </c>
      <c r="AD28" s="323">
        <f>'CFS (After Changes)'!AD28-'CFS (Before Changes) '!AD28</f>
        <v>0</v>
      </c>
      <c r="AE28" s="323">
        <f>'CFS (After Changes)'!AE28-'CFS (Before Changes) '!AE28</f>
        <v>0</v>
      </c>
      <c r="AF28" s="323">
        <f>'CFS (After Changes)'!AF28-'CFS (Before Changes) '!AF28</f>
        <v>0</v>
      </c>
      <c r="AG28" s="324">
        <f>'CFS (After Changes)'!AG28-'CFS (Before Changes) '!AG28</f>
        <v>0</v>
      </c>
      <c r="AH28" s="323">
        <f>'CFS (After Changes)'!AH28-'CFS (Before Changes) '!AH28</f>
        <v>0</v>
      </c>
      <c r="AI28" s="323">
        <f>'CFS (After Changes)'!AI28-'CFS (Before Changes) '!AI28</f>
        <v>0</v>
      </c>
      <c r="AJ28" s="323">
        <f>'CFS (After Changes)'!AJ28-'CFS (Before Changes) '!AJ28</f>
        <v>0</v>
      </c>
      <c r="AK28" s="323">
        <f>'CFS (After Changes)'!AK28-'CFS (Before Changes) '!AK28</f>
        <v>0</v>
      </c>
      <c r="AL28" s="324">
        <f>'CFS (After Changes)'!AL28-'CFS (Before Changes) '!AL28</f>
        <v>0</v>
      </c>
      <c r="AM28" s="323">
        <f>'CFS (After Changes)'!AM28-'CFS (Before Changes) '!AM28</f>
        <v>0</v>
      </c>
      <c r="AN28" s="323">
        <f>'CFS (After Changes)'!AN28-'CFS (Before Changes) '!AN28</f>
        <v>0</v>
      </c>
      <c r="AO28" s="323">
        <f>'CFS (After Changes)'!AO28-'CFS (Before Changes) '!AO28</f>
        <v>0</v>
      </c>
      <c r="AP28" s="323">
        <f>'CFS (After Changes)'!AP28-'CFS (Before Changes) '!AP28</f>
        <v>0</v>
      </c>
      <c r="AQ28" s="324">
        <f>'CFS (After Changes)'!AQ28-'CFS (Before Changes) '!AQ28</f>
        <v>0</v>
      </c>
      <c r="AR28" s="323">
        <f>'CFS (After Changes)'!AR28-'CFS (Before Changes) '!AR28</f>
        <v>0</v>
      </c>
      <c r="AS28" s="323">
        <f>'CFS (After Changes)'!AS28-'CFS (Before Changes) '!AS28</f>
        <v>0</v>
      </c>
      <c r="AT28" s="323">
        <f>'CFS (After Changes)'!AT28-'CFS (Before Changes) '!AT28</f>
        <v>0</v>
      </c>
      <c r="AU28" s="323">
        <f>'CFS (After Changes)'!AU28-'CFS (Before Changes) '!AU28</f>
        <v>0</v>
      </c>
      <c r="AV28" s="324">
        <f>'CFS (After Changes)'!AV28-'CFS (Before Changes) '!AV28</f>
        <v>0</v>
      </c>
    </row>
    <row r="29" spans="2:48" outlineLevel="1" x14ac:dyDescent="0.3">
      <c r="B29" s="538" t="s">
        <v>263</v>
      </c>
      <c r="C29" s="539"/>
      <c r="D29" s="327">
        <f>'CFS (After Changes)'!D29-'CFS (Before Changes) '!D29</f>
        <v>0</v>
      </c>
      <c r="E29" s="327">
        <f>'CFS (After Changes)'!E29-'CFS (Before Changes) '!E29</f>
        <v>0</v>
      </c>
      <c r="F29" s="327">
        <f>'CFS (After Changes)'!F29-'CFS (Before Changes) '!F29</f>
        <v>0</v>
      </c>
      <c r="G29" s="327">
        <f>'CFS (After Changes)'!G29-'CFS (Before Changes) '!G29</f>
        <v>0</v>
      </c>
      <c r="H29" s="328">
        <f>'CFS (After Changes)'!H29-'CFS (Before Changes) '!H29</f>
        <v>0</v>
      </c>
      <c r="I29" s="327">
        <f>'CFS (After Changes)'!I29-'CFS (Before Changes) '!I29</f>
        <v>0</v>
      </c>
      <c r="J29" s="327">
        <f>'CFS (After Changes)'!J29-'CFS (Before Changes) '!J29</f>
        <v>0</v>
      </c>
      <c r="K29" s="327">
        <f>'CFS (After Changes)'!K29-'CFS (Before Changes) '!K29</f>
        <v>0</v>
      </c>
      <c r="L29" s="327">
        <f>'CFS (After Changes)'!L29-'CFS (Before Changes) '!L29</f>
        <v>0</v>
      </c>
      <c r="M29" s="328">
        <f>'CFS (After Changes)'!M29-'CFS (Before Changes) '!M29</f>
        <v>0</v>
      </c>
      <c r="N29" s="327">
        <f>'CFS (After Changes)'!N29-'CFS (Before Changes) '!N29</f>
        <v>0</v>
      </c>
      <c r="O29" s="327">
        <f>'CFS (After Changes)'!O29-'CFS (Before Changes) '!O29</f>
        <v>0</v>
      </c>
      <c r="P29" s="327">
        <f>'CFS (After Changes)'!P29-'CFS (Before Changes) '!P29</f>
        <v>0</v>
      </c>
      <c r="Q29" s="327">
        <f>'CFS (After Changes)'!Q29-'CFS (Before Changes) '!Q29</f>
        <v>0</v>
      </c>
      <c r="R29" s="328">
        <f>'CFS (After Changes)'!R29-'CFS (Before Changes) '!R29</f>
        <v>0</v>
      </c>
      <c r="S29" s="327">
        <f>'CFS (After Changes)'!S29-'CFS (Before Changes) '!S29</f>
        <v>0</v>
      </c>
      <c r="T29" s="327">
        <f>'CFS (After Changes)'!T29-'CFS (Before Changes) '!T29</f>
        <v>0</v>
      </c>
      <c r="U29" s="327">
        <f>'CFS (After Changes)'!U29-'CFS (Before Changes) '!U29</f>
        <v>0</v>
      </c>
      <c r="V29" s="327">
        <f>'CFS (After Changes)'!V29-'CFS (Before Changes) '!V29</f>
        <v>0</v>
      </c>
      <c r="W29" s="328">
        <f>'CFS (After Changes)'!W29-'CFS (Before Changes) '!W29</f>
        <v>0</v>
      </c>
      <c r="X29" s="327">
        <f>'CFS (After Changes)'!X29-'CFS (Before Changes) '!X29</f>
        <v>0</v>
      </c>
      <c r="Y29" s="327">
        <f>'CFS (After Changes)'!Y29-'CFS (Before Changes) '!Y29</f>
        <v>0</v>
      </c>
      <c r="Z29" s="327">
        <f>'CFS (After Changes)'!Z29-'CFS (Before Changes) '!Z29</f>
        <v>0</v>
      </c>
      <c r="AA29" s="327">
        <f>'CFS (After Changes)'!AA29-'CFS (Before Changes) '!AA29</f>
        <v>0</v>
      </c>
      <c r="AB29" s="328">
        <f>'CFS (After Changes)'!AB29-'CFS (Before Changes) '!AB29</f>
        <v>0</v>
      </c>
      <c r="AC29" s="327">
        <f>'CFS (After Changes)'!AC29-'CFS (Before Changes) '!AC29</f>
        <v>0</v>
      </c>
      <c r="AD29" s="327">
        <f>'CFS (After Changes)'!AD29-'CFS (Before Changes) '!AD29</f>
        <v>0</v>
      </c>
      <c r="AE29" s="327">
        <f>'CFS (After Changes)'!AE29-'CFS (Before Changes) '!AE29</f>
        <v>0</v>
      </c>
      <c r="AF29" s="327">
        <f>'CFS (After Changes)'!AF29-'CFS (Before Changes) '!AF29</f>
        <v>0</v>
      </c>
      <c r="AG29" s="328">
        <f>'CFS (After Changes)'!AG29-'CFS (Before Changes) '!AG29</f>
        <v>0</v>
      </c>
      <c r="AH29" s="327">
        <f>'CFS (After Changes)'!AH29-'CFS (Before Changes) '!AH29</f>
        <v>0</v>
      </c>
      <c r="AI29" s="327">
        <f>'CFS (After Changes)'!AI29-'CFS (Before Changes) '!AI29</f>
        <v>0</v>
      </c>
      <c r="AJ29" s="327">
        <f>'CFS (After Changes)'!AJ29-'CFS (Before Changes) '!AJ29</f>
        <v>0</v>
      </c>
      <c r="AK29" s="327">
        <f>'CFS (After Changes)'!AK29-'CFS (Before Changes) '!AK29</f>
        <v>0</v>
      </c>
      <c r="AL29" s="328">
        <f>'CFS (After Changes)'!AL29-'CFS (Before Changes) '!AL29</f>
        <v>0</v>
      </c>
      <c r="AM29" s="327">
        <f>'CFS (After Changes)'!AM29-'CFS (Before Changes) '!AM29</f>
        <v>0</v>
      </c>
      <c r="AN29" s="327">
        <f>'CFS (After Changes)'!AN29-'CFS (Before Changes) '!AN29</f>
        <v>0</v>
      </c>
      <c r="AO29" s="327">
        <f>'CFS (After Changes)'!AO29-'CFS (Before Changes) '!AO29</f>
        <v>0</v>
      </c>
      <c r="AP29" s="327">
        <f>'CFS (After Changes)'!AP29-'CFS (Before Changes) '!AP29</f>
        <v>0</v>
      </c>
      <c r="AQ29" s="328">
        <f>'CFS (After Changes)'!AQ29-'CFS (Before Changes) '!AQ29</f>
        <v>0</v>
      </c>
      <c r="AR29" s="327">
        <f>'CFS (After Changes)'!AR29-'CFS (Before Changes) '!AR29</f>
        <v>0</v>
      </c>
      <c r="AS29" s="327">
        <f>'CFS (After Changes)'!AS29-'CFS (Before Changes) '!AS29</f>
        <v>0</v>
      </c>
      <c r="AT29" s="327">
        <f>'CFS (After Changes)'!AT29-'CFS (Before Changes) '!AT29</f>
        <v>0</v>
      </c>
      <c r="AU29" s="327">
        <f>'CFS (After Changes)'!AU29-'CFS (Before Changes) '!AU29</f>
        <v>0</v>
      </c>
      <c r="AV29" s="328">
        <f>'CFS (After Changes)'!AV29-'CFS (Before Changes) '!AV29</f>
        <v>0</v>
      </c>
    </row>
    <row r="30" spans="2:48" outlineLevel="1" x14ac:dyDescent="0.3">
      <c r="B30" s="325" t="s">
        <v>287</v>
      </c>
      <c r="C30" s="326"/>
      <c r="D30" s="327">
        <f>'CFS (After Changes)'!D30-'CFS (Before Changes) '!D30</f>
        <v>0</v>
      </c>
      <c r="E30" s="327">
        <f>'CFS (After Changes)'!E30-'CFS (Before Changes) '!E30</f>
        <v>0</v>
      </c>
      <c r="F30" s="327">
        <f>'CFS (After Changes)'!F30-'CFS (Before Changes) '!F30</f>
        <v>0</v>
      </c>
      <c r="G30" s="327">
        <f>'CFS (After Changes)'!G30-'CFS (Before Changes) '!G30</f>
        <v>0</v>
      </c>
      <c r="H30" s="328">
        <f>'CFS (After Changes)'!H30-'CFS (Before Changes) '!H30</f>
        <v>0</v>
      </c>
      <c r="I30" s="327">
        <f>'CFS (After Changes)'!I30-'CFS (Before Changes) '!I30</f>
        <v>0</v>
      </c>
      <c r="J30" s="327">
        <f>'CFS (After Changes)'!J30-'CFS (Before Changes) '!J30</f>
        <v>0</v>
      </c>
      <c r="K30" s="327">
        <f>'CFS (After Changes)'!K30-'CFS (Before Changes) '!K30</f>
        <v>0</v>
      </c>
      <c r="L30" s="327">
        <f>'CFS (After Changes)'!L30-'CFS (Before Changes) '!L30</f>
        <v>0</v>
      </c>
      <c r="M30" s="328">
        <f>'CFS (After Changes)'!M30-'CFS (Before Changes) '!M30</f>
        <v>0</v>
      </c>
      <c r="N30" s="327">
        <f>'CFS (After Changes)'!N30-'CFS (Before Changes) '!N30</f>
        <v>0</v>
      </c>
      <c r="O30" s="327">
        <f>'CFS (After Changes)'!O30-'CFS (Before Changes) '!O30</f>
        <v>0</v>
      </c>
      <c r="P30" s="327">
        <f>'CFS (After Changes)'!P30-'CFS (Before Changes) '!P30</f>
        <v>0</v>
      </c>
      <c r="Q30" s="327">
        <f>'CFS (After Changes)'!Q30-'CFS (Before Changes) '!Q30</f>
        <v>0</v>
      </c>
      <c r="R30" s="328">
        <f>'CFS (After Changes)'!R30-'CFS (Before Changes) '!R30</f>
        <v>0</v>
      </c>
      <c r="S30" s="327">
        <f>'CFS (After Changes)'!S30-'CFS (Before Changes) '!S30</f>
        <v>0</v>
      </c>
      <c r="T30" s="327">
        <f>'CFS (After Changes)'!T30-'CFS (Before Changes) '!T30</f>
        <v>0</v>
      </c>
      <c r="U30" s="327">
        <f>'CFS (After Changes)'!U30-'CFS (Before Changes) '!U30</f>
        <v>0</v>
      </c>
      <c r="V30" s="327">
        <f>'CFS (After Changes)'!V30-'CFS (Before Changes) '!V30</f>
        <v>0</v>
      </c>
      <c r="W30" s="328">
        <f>'CFS (After Changes)'!W30-'CFS (Before Changes) '!W30</f>
        <v>0</v>
      </c>
      <c r="X30" s="327">
        <f>'CFS (After Changes)'!X30-'CFS (Before Changes) '!X30</f>
        <v>0</v>
      </c>
      <c r="Y30" s="327">
        <f>'CFS (After Changes)'!Y30-'CFS (Before Changes) '!Y30</f>
        <v>0</v>
      </c>
      <c r="Z30" s="327">
        <f>'CFS (After Changes)'!Z30-'CFS (Before Changes) '!Z30</f>
        <v>0</v>
      </c>
      <c r="AA30" s="327">
        <f>'CFS (After Changes)'!AA30-'CFS (Before Changes) '!AA30</f>
        <v>0</v>
      </c>
      <c r="AB30" s="328">
        <f>'CFS (After Changes)'!AB30-'CFS (Before Changes) '!AB30</f>
        <v>0</v>
      </c>
      <c r="AC30" s="327">
        <f>'CFS (After Changes)'!AC30-'CFS (Before Changes) '!AC30</f>
        <v>0</v>
      </c>
      <c r="AD30" s="327">
        <f>'CFS (After Changes)'!AD30-'CFS (Before Changes) '!AD30</f>
        <v>0</v>
      </c>
      <c r="AE30" s="327">
        <f>'CFS (After Changes)'!AE30-'CFS (Before Changes) '!AE30</f>
        <v>0</v>
      </c>
      <c r="AF30" s="327">
        <f>'CFS (After Changes)'!AF30-'CFS (Before Changes) '!AF30</f>
        <v>0</v>
      </c>
      <c r="AG30" s="328">
        <f>'CFS (After Changes)'!AG30-'CFS (Before Changes) '!AG30</f>
        <v>0</v>
      </c>
      <c r="AH30" s="327">
        <f>'CFS (After Changes)'!AH30-'CFS (Before Changes) '!AH30</f>
        <v>0</v>
      </c>
      <c r="AI30" s="327">
        <f>'CFS (After Changes)'!AI30-'CFS (Before Changes) '!AI30</f>
        <v>0</v>
      </c>
      <c r="AJ30" s="327">
        <f>'CFS (After Changes)'!AJ30-'CFS (Before Changes) '!AJ30</f>
        <v>0</v>
      </c>
      <c r="AK30" s="327">
        <f>'CFS (After Changes)'!AK30-'CFS (Before Changes) '!AK30</f>
        <v>0</v>
      </c>
      <c r="AL30" s="328">
        <f>'CFS (After Changes)'!AL30-'CFS (Before Changes) '!AL30</f>
        <v>0</v>
      </c>
      <c r="AM30" s="327">
        <f>'CFS (After Changes)'!AM30-'CFS (Before Changes) '!AM30</f>
        <v>0</v>
      </c>
      <c r="AN30" s="327">
        <f>'CFS (After Changes)'!AN30-'CFS (Before Changes) '!AN30</f>
        <v>0</v>
      </c>
      <c r="AO30" s="327">
        <f>'CFS (After Changes)'!AO30-'CFS (Before Changes) '!AO30</f>
        <v>0</v>
      </c>
      <c r="AP30" s="327">
        <f>'CFS (After Changes)'!AP30-'CFS (Before Changes) '!AP30</f>
        <v>0</v>
      </c>
      <c r="AQ30" s="328">
        <f>'CFS (After Changes)'!AQ30-'CFS (Before Changes) '!AQ30</f>
        <v>0</v>
      </c>
      <c r="AR30" s="327">
        <f>'CFS (After Changes)'!AR30-'CFS (Before Changes) '!AR30</f>
        <v>0</v>
      </c>
      <c r="AS30" s="327">
        <f>'CFS (After Changes)'!AS30-'CFS (Before Changes) '!AS30</f>
        <v>0</v>
      </c>
      <c r="AT30" s="327">
        <f>'CFS (After Changes)'!AT30-'CFS (Before Changes) '!AT30</f>
        <v>0</v>
      </c>
      <c r="AU30" s="327">
        <f>'CFS (After Changes)'!AU30-'CFS (Before Changes) '!AU30</f>
        <v>0</v>
      </c>
      <c r="AV30" s="328">
        <f>'CFS (After Changes)'!AV30-'CFS (Before Changes) '!AV30</f>
        <v>0</v>
      </c>
    </row>
    <row r="31" spans="2:48" outlineLevel="1" x14ac:dyDescent="0.3">
      <c r="B31" s="325" t="s">
        <v>288</v>
      </c>
      <c r="C31" s="326"/>
      <c r="D31" s="327">
        <f>'CFS (After Changes)'!D31-'CFS (Before Changes) '!D31</f>
        <v>0</v>
      </c>
      <c r="E31" s="327">
        <f>'CFS (After Changes)'!E31-'CFS (Before Changes) '!E31</f>
        <v>0</v>
      </c>
      <c r="F31" s="327">
        <f>'CFS (After Changes)'!F31-'CFS (Before Changes) '!F31</f>
        <v>0</v>
      </c>
      <c r="G31" s="327">
        <f>'CFS (After Changes)'!G31-'CFS (Before Changes) '!G31</f>
        <v>0</v>
      </c>
      <c r="H31" s="328">
        <f>'CFS (After Changes)'!H31-'CFS (Before Changes) '!H31</f>
        <v>0</v>
      </c>
      <c r="I31" s="327">
        <f>'CFS (After Changes)'!I31-'CFS (Before Changes) '!I31</f>
        <v>0</v>
      </c>
      <c r="J31" s="327">
        <f>'CFS (After Changes)'!J31-'CFS (Before Changes) '!J31</f>
        <v>0</v>
      </c>
      <c r="K31" s="327">
        <f>'CFS (After Changes)'!K31-'CFS (Before Changes) '!K31</f>
        <v>0</v>
      </c>
      <c r="L31" s="327">
        <f>'CFS (After Changes)'!L31-'CFS (Before Changes) '!L31</f>
        <v>0</v>
      </c>
      <c r="M31" s="328">
        <f>'CFS (After Changes)'!M31-'CFS (Before Changes) '!M31</f>
        <v>0</v>
      </c>
      <c r="N31" s="327">
        <f>'CFS (After Changes)'!N31-'CFS (Before Changes) '!N31</f>
        <v>0</v>
      </c>
      <c r="O31" s="327">
        <f>'CFS (After Changes)'!O31-'CFS (Before Changes) '!O31</f>
        <v>0</v>
      </c>
      <c r="P31" s="327">
        <f>'CFS (After Changes)'!P31-'CFS (Before Changes) '!P31</f>
        <v>0</v>
      </c>
      <c r="Q31" s="327">
        <f>'CFS (After Changes)'!Q31-'CFS (Before Changes) '!Q31</f>
        <v>0</v>
      </c>
      <c r="R31" s="328">
        <f>'CFS (After Changes)'!R31-'CFS (Before Changes) '!R31</f>
        <v>0</v>
      </c>
      <c r="S31" s="327">
        <f>'CFS (After Changes)'!S31-'CFS (Before Changes) '!S31</f>
        <v>0</v>
      </c>
      <c r="T31" s="327">
        <f>'CFS (After Changes)'!T31-'CFS (Before Changes) '!T31</f>
        <v>0</v>
      </c>
      <c r="U31" s="327">
        <f>'CFS (After Changes)'!U31-'CFS (Before Changes) '!U31</f>
        <v>0</v>
      </c>
      <c r="V31" s="327">
        <f>'CFS (After Changes)'!V31-'CFS (Before Changes) '!V31</f>
        <v>0</v>
      </c>
      <c r="W31" s="328">
        <f>'CFS (After Changes)'!W31-'CFS (Before Changes) '!W31</f>
        <v>0</v>
      </c>
      <c r="X31" s="327">
        <f>'CFS (After Changes)'!X31-'CFS (Before Changes) '!X31</f>
        <v>0</v>
      </c>
      <c r="Y31" s="327">
        <f>'CFS (After Changes)'!Y31-'CFS (Before Changes) '!Y31</f>
        <v>0</v>
      </c>
      <c r="Z31" s="327">
        <f>'CFS (After Changes)'!Z31-'CFS (Before Changes) '!Z31</f>
        <v>0</v>
      </c>
      <c r="AA31" s="327">
        <f>'CFS (After Changes)'!AA31-'CFS (Before Changes) '!AA31</f>
        <v>0</v>
      </c>
      <c r="AB31" s="328">
        <f>'CFS (After Changes)'!AB31-'CFS (Before Changes) '!AB31</f>
        <v>0</v>
      </c>
      <c r="AC31" s="327">
        <f>'CFS (After Changes)'!AC31-'CFS (Before Changes) '!AC31</f>
        <v>0</v>
      </c>
      <c r="AD31" s="327">
        <f>'CFS (After Changes)'!AD31-'CFS (Before Changes) '!AD31</f>
        <v>0</v>
      </c>
      <c r="AE31" s="327">
        <f>'CFS (After Changes)'!AE31-'CFS (Before Changes) '!AE31</f>
        <v>0</v>
      </c>
      <c r="AF31" s="327">
        <f>'CFS (After Changes)'!AF31-'CFS (Before Changes) '!AF31</f>
        <v>0</v>
      </c>
      <c r="AG31" s="328">
        <f>'CFS (After Changes)'!AG31-'CFS (Before Changes) '!AG31</f>
        <v>0</v>
      </c>
      <c r="AH31" s="327">
        <f>'CFS (After Changes)'!AH31-'CFS (Before Changes) '!AH31</f>
        <v>0</v>
      </c>
      <c r="AI31" s="327">
        <f>'CFS (After Changes)'!AI31-'CFS (Before Changes) '!AI31</f>
        <v>0</v>
      </c>
      <c r="AJ31" s="327">
        <f>'CFS (After Changes)'!AJ31-'CFS (Before Changes) '!AJ31</f>
        <v>0</v>
      </c>
      <c r="AK31" s="327">
        <f>'CFS (After Changes)'!AK31-'CFS (Before Changes) '!AK31</f>
        <v>0</v>
      </c>
      <c r="AL31" s="328">
        <f>'CFS (After Changes)'!AL31-'CFS (Before Changes) '!AL31</f>
        <v>0</v>
      </c>
      <c r="AM31" s="327">
        <f>'CFS (After Changes)'!AM31-'CFS (Before Changes) '!AM31</f>
        <v>0</v>
      </c>
      <c r="AN31" s="327">
        <f>'CFS (After Changes)'!AN31-'CFS (Before Changes) '!AN31</f>
        <v>0</v>
      </c>
      <c r="AO31" s="327">
        <f>'CFS (After Changes)'!AO31-'CFS (Before Changes) '!AO31</f>
        <v>0</v>
      </c>
      <c r="AP31" s="327">
        <f>'CFS (After Changes)'!AP31-'CFS (Before Changes) '!AP31</f>
        <v>0</v>
      </c>
      <c r="AQ31" s="328">
        <f>'CFS (After Changes)'!AQ31-'CFS (Before Changes) '!AQ31</f>
        <v>0</v>
      </c>
      <c r="AR31" s="327">
        <f>'CFS (After Changes)'!AR31-'CFS (Before Changes) '!AR31</f>
        <v>0</v>
      </c>
      <c r="AS31" s="327">
        <f>'CFS (After Changes)'!AS31-'CFS (Before Changes) '!AS31</f>
        <v>0</v>
      </c>
      <c r="AT31" s="327">
        <f>'CFS (After Changes)'!AT31-'CFS (Before Changes) '!AT31</f>
        <v>0</v>
      </c>
      <c r="AU31" s="327">
        <f>'CFS (After Changes)'!AU31-'CFS (Before Changes) '!AU31</f>
        <v>0</v>
      </c>
      <c r="AV31" s="328">
        <f>'CFS (After Changes)'!AV31-'CFS (Before Changes) '!AV31</f>
        <v>0</v>
      </c>
    </row>
    <row r="32" spans="2:48" outlineLevel="1" x14ac:dyDescent="0.3">
      <c r="B32" s="325" t="s">
        <v>289</v>
      </c>
      <c r="C32" s="326"/>
      <c r="D32" s="327">
        <f>'CFS (After Changes)'!D32-'CFS (Before Changes) '!D32</f>
        <v>0</v>
      </c>
      <c r="E32" s="327">
        <f>'CFS (After Changes)'!E32-'CFS (Before Changes) '!E32</f>
        <v>0</v>
      </c>
      <c r="F32" s="327">
        <f>'CFS (After Changes)'!F32-'CFS (Before Changes) '!F32</f>
        <v>0</v>
      </c>
      <c r="G32" s="327">
        <f>'CFS (After Changes)'!G32-'CFS (Before Changes) '!G32</f>
        <v>0</v>
      </c>
      <c r="H32" s="328">
        <f>'CFS (After Changes)'!H32-'CFS (Before Changes) '!H32</f>
        <v>0</v>
      </c>
      <c r="I32" s="327">
        <f>'CFS (After Changes)'!I32-'CFS (Before Changes) '!I32</f>
        <v>0</v>
      </c>
      <c r="J32" s="327">
        <f>'CFS (After Changes)'!J32-'CFS (Before Changes) '!J32</f>
        <v>0</v>
      </c>
      <c r="K32" s="327">
        <f>'CFS (After Changes)'!K32-'CFS (Before Changes) '!K32</f>
        <v>0</v>
      </c>
      <c r="L32" s="327">
        <f>'CFS (After Changes)'!L32-'CFS (Before Changes) '!L32</f>
        <v>0</v>
      </c>
      <c r="M32" s="328">
        <f>'CFS (After Changes)'!M32-'CFS (Before Changes) '!M32</f>
        <v>0</v>
      </c>
      <c r="N32" s="327">
        <f>'CFS (After Changes)'!N32-'CFS (Before Changes) '!N32</f>
        <v>0</v>
      </c>
      <c r="O32" s="327">
        <f>'CFS (After Changes)'!O32-'CFS (Before Changes) '!O32</f>
        <v>0</v>
      </c>
      <c r="P32" s="327">
        <f>'CFS (After Changes)'!P32-'CFS (Before Changes) '!P32</f>
        <v>0</v>
      </c>
      <c r="Q32" s="327">
        <f>'CFS (After Changes)'!Q32-'CFS (Before Changes) '!Q32</f>
        <v>0</v>
      </c>
      <c r="R32" s="328">
        <f>'CFS (After Changes)'!R32-'CFS (Before Changes) '!R32</f>
        <v>0</v>
      </c>
      <c r="S32" s="327">
        <f>'CFS (After Changes)'!S32-'CFS (Before Changes) '!S32</f>
        <v>0</v>
      </c>
      <c r="T32" s="327">
        <f>'CFS (After Changes)'!T32-'CFS (Before Changes) '!T32</f>
        <v>0</v>
      </c>
      <c r="U32" s="327">
        <f>'CFS (After Changes)'!U32-'CFS (Before Changes) '!U32</f>
        <v>0</v>
      </c>
      <c r="V32" s="327">
        <f>'CFS (After Changes)'!V32-'CFS (Before Changes) '!V32</f>
        <v>0</v>
      </c>
      <c r="W32" s="328">
        <f>'CFS (After Changes)'!W32-'CFS (Before Changes) '!W32</f>
        <v>0</v>
      </c>
      <c r="X32" s="327">
        <f>'CFS (After Changes)'!X32-'CFS (Before Changes) '!X32</f>
        <v>0</v>
      </c>
      <c r="Y32" s="327">
        <f>'CFS (After Changes)'!Y32-'CFS (Before Changes) '!Y32</f>
        <v>0</v>
      </c>
      <c r="Z32" s="327">
        <f>'CFS (After Changes)'!Z32-'CFS (Before Changes) '!Z32</f>
        <v>0</v>
      </c>
      <c r="AA32" s="327">
        <f>'CFS (After Changes)'!AA32-'CFS (Before Changes) '!AA32</f>
        <v>0</v>
      </c>
      <c r="AB32" s="328">
        <f>'CFS (After Changes)'!AB32-'CFS (Before Changes) '!AB32</f>
        <v>0</v>
      </c>
      <c r="AC32" s="327">
        <f>'CFS (After Changes)'!AC32-'CFS (Before Changes) '!AC32</f>
        <v>0</v>
      </c>
      <c r="AD32" s="327">
        <f>'CFS (After Changes)'!AD32-'CFS (Before Changes) '!AD32</f>
        <v>0</v>
      </c>
      <c r="AE32" s="327">
        <f>'CFS (After Changes)'!AE32-'CFS (Before Changes) '!AE32</f>
        <v>0</v>
      </c>
      <c r="AF32" s="327">
        <f>'CFS (After Changes)'!AF32-'CFS (Before Changes) '!AF32</f>
        <v>0</v>
      </c>
      <c r="AG32" s="328">
        <f>'CFS (After Changes)'!AG32-'CFS (Before Changes) '!AG32</f>
        <v>0</v>
      </c>
      <c r="AH32" s="327">
        <f>'CFS (After Changes)'!AH32-'CFS (Before Changes) '!AH32</f>
        <v>0</v>
      </c>
      <c r="AI32" s="327">
        <f>'CFS (After Changes)'!AI32-'CFS (Before Changes) '!AI32</f>
        <v>0</v>
      </c>
      <c r="AJ32" s="327">
        <f>'CFS (After Changes)'!AJ32-'CFS (Before Changes) '!AJ32</f>
        <v>0</v>
      </c>
      <c r="AK32" s="327">
        <f>'CFS (After Changes)'!AK32-'CFS (Before Changes) '!AK32</f>
        <v>0</v>
      </c>
      <c r="AL32" s="328">
        <f>'CFS (After Changes)'!AL32-'CFS (Before Changes) '!AL32</f>
        <v>0</v>
      </c>
      <c r="AM32" s="327">
        <f>'CFS (After Changes)'!AM32-'CFS (Before Changes) '!AM32</f>
        <v>0</v>
      </c>
      <c r="AN32" s="327">
        <f>'CFS (After Changes)'!AN32-'CFS (Before Changes) '!AN32</f>
        <v>0</v>
      </c>
      <c r="AO32" s="327">
        <f>'CFS (After Changes)'!AO32-'CFS (Before Changes) '!AO32</f>
        <v>0</v>
      </c>
      <c r="AP32" s="327">
        <f>'CFS (After Changes)'!AP32-'CFS (Before Changes) '!AP32</f>
        <v>0</v>
      </c>
      <c r="AQ32" s="328">
        <f>'CFS (After Changes)'!AQ32-'CFS (Before Changes) '!AQ32</f>
        <v>0</v>
      </c>
      <c r="AR32" s="327">
        <f>'CFS (After Changes)'!AR32-'CFS (Before Changes) '!AR32</f>
        <v>0</v>
      </c>
      <c r="AS32" s="327">
        <f>'CFS (After Changes)'!AS32-'CFS (Before Changes) '!AS32</f>
        <v>0</v>
      </c>
      <c r="AT32" s="327">
        <f>'CFS (After Changes)'!AT32-'CFS (Before Changes) '!AT32</f>
        <v>0</v>
      </c>
      <c r="AU32" s="327">
        <f>'CFS (After Changes)'!AU32-'CFS (Before Changes) '!AU32</f>
        <v>0</v>
      </c>
      <c r="AV32" s="328">
        <f>'CFS (After Changes)'!AV32-'CFS (Before Changes) '!AV32</f>
        <v>0</v>
      </c>
    </row>
    <row r="33" spans="2:48" outlineLevel="1" x14ac:dyDescent="0.3">
      <c r="B33" s="325" t="s">
        <v>290</v>
      </c>
      <c r="C33" s="326"/>
      <c r="D33" s="327">
        <f>'CFS (After Changes)'!D33-'CFS (Before Changes) '!D33</f>
        <v>0</v>
      </c>
      <c r="E33" s="327">
        <f>'CFS (After Changes)'!E33-'CFS (Before Changes) '!E33</f>
        <v>0</v>
      </c>
      <c r="F33" s="327">
        <f>'CFS (After Changes)'!F33-'CFS (Before Changes) '!F33</f>
        <v>0</v>
      </c>
      <c r="G33" s="327">
        <f>'CFS (After Changes)'!G33-'CFS (Before Changes) '!G33</f>
        <v>0</v>
      </c>
      <c r="H33" s="328">
        <f>'CFS (After Changes)'!H33-'CFS (Before Changes) '!H33</f>
        <v>0</v>
      </c>
      <c r="I33" s="327">
        <f>'CFS (After Changes)'!I33-'CFS (Before Changes) '!I33</f>
        <v>0</v>
      </c>
      <c r="J33" s="327">
        <f>'CFS (After Changes)'!J33-'CFS (Before Changes) '!J33</f>
        <v>0</v>
      </c>
      <c r="K33" s="327">
        <f>'CFS (After Changes)'!K33-'CFS (Before Changes) '!K33</f>
        <v>0</v>
      </c>
      <c r="L33" s="327">
        <f>'CFS (After Changes)'!L33-'CFS (Before Changes) '!L33</f>
        <v>0</v>
      </c>
      <c r="M33" s="328">
        <f>'CFS (After Changes)'!M33-'CFS (Before Changes) '!M33</f>
        <v>0</v>
      </c>
      <c r="N33" s="327">
        <f>'CFS (After Changes)'!N33-'CFS (Before Changes) '!N33</f>
        <v>0</v>
      </c>
      <c r="O33" s="327">
        <f>'CFS (After Changes)'!O33-'CFS (Before Changes) '!O33</f>
        <v>0</v>
      </c>
      <c r="P33" s="327">
        <f>'CFS (After Changes)'!P33-'CFS (Before Changes) '!P33</f>
        <v>0</v>
      </c>
      <c r="Q33" s="327">
        <f>'CFS (After Changes)'!Q33-'CFS (Before Changes) '!Q33</f>
        <v>0</v>
      </c>
      <c r="R33" s="328">
        <f>'CFS (After Changes)'!R33-'CFS (Before Changes) '!R33</f>
        <v>0</v>
      </c>
      <c r="S33" s="327">
        <f>'CFS (After Changes)'!S33-'CFS (Before Changes) '!S33</f>
        <v>0</v>
      </c>
      <c r="T33" s="327">
        <f>'CFS (After Changes)'!T33-'CFS (Before Changes) '!T33</f>
        <v>0</v>
      </c>
      <c r="U33" s="327">
        <f>'CFS (After Changes)'!U33-'CFS (Before Changes) '!U33</f>
        <v>0</v>
      </c>
      <c r="V33" s="327">
        <f>'CFS (After Changes)'!V33-'CFS (Before Changes) '!V33</f>
        <v>0</v>
      </c>
      <c r="W33" s="328">
        <f>'CFS (After Changes)'!W33-'CFS (Before Changes) '!W33</f>
        <v>0</v>
      </c>
      <c r="X33" s="327">
        <f>'CFS (After Changes)'!X33-'CFS (Before Changes) '!X33</f>
        <v>0</v>
      </c>
      <c r="Y33" s="327">
        <f>'CFS (After Changes)'!Y33-'CFS (Before Changes) '!Y33</f>
        <v>0</v>
      </c>
      <c r="Z33" s="327">
        <f>'CFS (After Changes)'!Z33-'CFS (Before Changes) '!Z33</f>
        <v>0</v>
      </c>
      <c r="AA33" s="327">
        <f>'CFS (After Changes)'!AA33-'CFS (Before Changes) '!AA33</f>
        <v>0</v>
      </c>
      <c r="AB33" s="328">
        <f>'CFS (After Changes)'!AB33-'CFS (Before Changes) '!AB33</f>
        <v>0</v>
      </c>
      <c r="AC33" s="327">
        <f>'CFS (After Changes)'!AC33-'CFS (Before Changes) '!AC33</f>
        <v>0</v>
      </c>
      <c r="AD33" s="327">
        <f>'CFS (After Changes)'!AD33-'CFS (Before Changes) '!AD33</f>
        <v>0</v>
      </c>
      <c r="AE33" s="327">
        <f>'CFS (After Changes)'!AE33-'CFS (Before Changes) '!AE33</f>
        <v>0</v>
      </c>
      <c r="AF33" s="327">
        <f>'CFS (After Changes)'!AF33-'CFS (Before Changes) '!AF33</f>
        <v>0</v>
      </c>
      <c r="AG33" s="328">
        <f>'CFS (After Changes)'!AG33-'CFS (Before Changes) '!AG33</f>
        <v>0</v>
      </c>
      <c r="AH33" s="327">
        <f>'CFS (After Changes)'!AH33-'CFS (Before Changes) '!AH33</f>
        <v>0</v>
      </c>
      <c r="AI33" s="327">
        <f>'CFS (After Changes)'!AI33-'CFS (Before Changes) '!AI33</f>
        <v>0</v>
      </c>
      <c r="AJ33" s="327">
        <f>'CFS (After Changes)'!AJ33-'CFS (Before Changes) '!AJ33</f>
        <v>0</v>
      </c>
      <c r="AK33" s="327">
        <f>'CFS (After Changes)'!AK33-'CFS (Before Changes) '!AK33</f>
        <v>0</v>
      </c>
      <c r="AL33" s="328">
        <f>'CFS (After Changes)'!AL33-'CFS (Before Changes) '!AL33</f>
        <v>0</v>
      </c>
      <c r="AM33" s="327">
        <f>'CFS (After Changes)'!AM33-'CFS (Before Changes) '!AM33</f>
        <v>0</v>
      </c>
      <c r="AN33" s="327">
        <f>'CFS (After Changes)'!AN33-'CFS (Before Changes) '!AN33</f>
        <v>0</v>
      </c>
      <c r="AO33" s="327">
        <f>'CFS (After Changes)'!AO33-'CFS (Before Changes) '!AO33</f>
        <v>0</v>
      </c>
      <c r="AP33" s="327">
        <f>'CFS (After Changes)'!AP33-'CFS (Before Changes) '!AP33</f>
        <v>0</v>
      </c>
      <c r="AQ33" s="328">
        <f>'CFS (After Changes)'!AQ33-'CFS (Before Changes) '!AQ33</f>
        <v>0</v>
      </c>
      <c r="AR33" s="327">
        <f>'CFS (After Changes)'!AR33-'CFS (Before Changes) '!AR33</f>
        <v>0</v>
      </c>
      <c r="AS33" s="327">
        <f>'CFS (After Changes)'!AS33-'CFS (Before Changes) '!AS33</f>
        <v>0</v>
      </c>
      <c r="AT33" s="327">
        <f>'CFS (After Changes)'!AT33-'CFS (Before Changes) '!AT33</f>
        <v>0</v>
      </c>
      <c r="AU33" s="327">
        <f>'CFS (After Changes)'!AU33-'CFS (Before Changes) '!AU33</f>
        <v>0</v>
      </c>
      <c r="AV33" s="328">
        <f>'CFS (After Changes)'!AV33-'CFS (Before Changes) '!AV33</f>
        <v>0</v>
      </c>
    </row>
    <row r="34" spans="2:48" outlineLevel="1" x14ac:dyDescent="0.3">
      <c r="B34" s="325" t="s">
        <v>291</v>
      </c>
      <c r="C34" s="338"/>
      <c r="D34" s="327">
        <f>'CFS (After Changes)'!D34-'CFS (Before Changes) '!D34</f>
        <v>0</v>
      </c>
      <c r="E34" s="327">
        <f>'CFS (After Changes)'!E34-'CFS (Before Changes) '!E34</f>
        <v>0</v>
      </c>
      <c r="F34" s="327">
        <f>'CFS (After Changes)'!F34-'CFS (Before Changes) '!F34</f>
        <v>0</v>
      </c>
      <c r="G34" s="327">
        <f>'CFS (After Changes)'!G34-'CFS (Before Changes) '!G34</f>
        <v>0</v>
      </c>
      <c r="H34" s="328">
        <f>'CFS (After Changes)'!H34-'CFS (Before Changes) '!H34</f>
        <v>0</v>
      </c>
      <c r="I34" s="327">
        <f>'CFS (After Changes)'!I34-'CFS (Before Changes) '!I34</f>
        <v>0</v>
      </c>
      <c r="J34" s="327">
        <f>'CFS (After Changes)'!J34-'CFS (Before Changes) '!J34</f>
        <v>0</v>
      </c>
      <c r="K34" s="327">
        <f>'CFS (After Changes)'!K34-'CFS (Before Changes) '!K34</f>
        <v>0</v>
      </c>
      <c r="L34" s="327">
        <f>'CFS (After Changes)'!L34-'CFS (Before Changes) '!L34</f>
        <v>0</v>
      </c>
      <c r="M34" s="328">
        <f>'CFS (After Changes)'!M34-'CFS (Before Changes) '!M34</f>
        <v>0</v>
      </c>
      <c r="N34" s="327">
        <f>'CFS (After Changes)'!N34-'CFS (Before Changes) '!N34</f>
        <v>0</v>
      </c>
      <c r="O34" s="327">
        <f>'CFS (After Changes)'!O34-'CFS (Before Changes) '!O34</f>
        <v>0</v>
      </c>
      <c r="P34" s="327">
        <f>'CFS (After Changes)'!P34-'CFS (Before Changes) '!P34</f>
        <v>0</v>
      </c>
      <c r="Q34" s="327">
        <f>'CFS (After Changes)'!Q34-'CFS (Before Changes) '!Q34</f>
        <v>0</v>
      </c>
      <c r="R34" s="328">
        <f>'CFS (After Changes)'!R34-'CFS (Before Changes) '!R34</f>
        <v>0</v>
      </c>
      <c r="S34" s="327">
        <f>'CFS (After Changes)'!S34-'CFS (Before Changes) '!S34</f>
        <v>0</v>
      </c>
      <c r="T34" s="327">
        <f>'CFS (After Changes)'!T34-'CFS (Before Changes) '!T34</f>
        <v>0</v>
      </c>
      <c r="U34" s="327">
        <f>'CFS (After Changes)'!U34-'CFS (Before Changes) '!U34</f>
        <v>0</v>
      </c>
      <c r="V34" s="327">
        <f>'CFS (After Changes)'!V34-'CFS (Before Changes) '!V34</f>
        <v>0</v>
      </c>
      <c r="W34" s="328">
        <f>'CFS (After Changes)'!W34-'CFS (Before Changes) '!W34</f>
        <v>0</v>
      </c>
      <c r="X34" s="327">
        <f>'CFS (After Changes)'!X34-'CFS (Before Changes) '!X34</f>
        <v>0</v>
      </c>
      <c r="Y34" s="327">
        <f>'CFS (After Changes)'!Y34-'CFS (Before Changes) '!Y34</f>
        <v>0</v>
      </c>
      <c r="Z34" s="327">
        <f>'CFS (After Changes)'!Z34-'CFS (Before Changes) '!Z34</f>
        <v>0</v>
      </c>
      <c r="AA34" s="327">
        <f>'CFS (After Changes)'!AA34-'CFS (Before Changes) '!AA34</f>
        <v>0</v>
      </c>
      <c r="AB34" s="328">
        <f>'CFS (After Changes)'!AB34-'CFS (Before Changes) '!AB34</f>
        <v>0</v>
      </c>
      <c r="AC34" s="327">
        <f>'CFS (After Changes)'!AC34-'CFS (Before Changes) '!AC34</f>
        <v>0</v>
      </c>
      <c r="AD34" s="327">
        <f>'CFS (After Changes)'!AD34-'CFS (Before Changes) '!AD34</f>
        <v>0</v>
      </c>
      <c r="AE34" s="327">
        <f>'CFS (After Changes)'!AE34-'CFS (Before Changes) '!AE34</f>
        <v>0</v>
      </c>
      <c r="AF34" s="327">
        <f>'CFS (After Changes)'!AF34-'CFS (Before Changes) '!AF34</f>
        <v>0</v>
      </c>
      <c r="AG34" s="328">
        <f>'CFS (After Changes)'!AG34-'CFS (Before Changes) '!AG34</f>
        <v>0</v>
      </c>
      <c r="AH34" s="327">
        <f>'CFS (After Changes)'!AH34-'CFS (Before Changes) '!AH34</f>
        <v>0</v>
      </c>
      <c r="AI34" s="327">
        <f>'CFS (After Changes)'!AI34-'CFS (Before Changes) '!AI34</f>
        <v>0</v>
      </c>
      <c r="AJ34" s="327">
        <f>'CFS (After Changes)'!AJ34-'CFS (Before Changes) '!AJ34</f>
        <v>0</v>
      </c>
      <c r="AK34" s="327">
        <f>'CFS (After Changes)'!AK34-'CFS (Before Changes) '!AK34</f>
        <v>0</v>
      </c>
      <c r="AL34" s="328">
        <f>'CFS (After Changes)'!AL34-'CFS (Before Changes) '!AL34</f>
        <v>0</v>
      </c>
      <c r="AM34" s="327">
        <f>'CFS (After Changes)'!AM34-'CFS (Before Changes) '!AM34</f>
        <v>0</v>
      </c>
      <c r="AN34" s="327">
        <f>'CFS (After Changes)'!AN34-'CFS (Before Changes) '!AN34</f>
        <v>0</v>
      </c>
      <c r="AO34" s="327">
        <f>'CFS (After Changes)'!AO34-'CFS (Before Changes) '!AO34</f>
        <v>0</v>
      </c>
      <c r="AP34" s="327">
        <f>'CFS (After Changes)'!AP34-'CFS (Before Changes) '!AP34</f>
        <v>0</v>
      </c>
      <c r="AQ34" s="328">
        <f>'CFS (After Changes)'!AQ34-'CFS (Before Changes) '!AQ34</f>
        <v>0</v>
      </c>
      <c r="AR34" s="327">
        <f>'CFS (After Changes)'!AR34-'CFS (Before Changes) '!AR34</f>
        <v>0</v>
      </c>
      <c r="AS34" s="327">
        <f>'CFS (After Changes)'!AS34-'CFS (Before Changes) '!AS34</f>
        <v>0</v>
      </c>
      <c r="AT34" s="327">
        <f>'CFS (After Changes)'!AT34-'CFS (Before Changes) '!AT34</f>
        <v>0</v>
      </c>
      <c r="AU34" s="327">
        <f>'CFS (After Changes)'!AU34-'CFS (Before Changes) '!AU34</f>
        <v>0</v>
      </c>
      <c r="AV34" s="328">
        <f>'CFS (After Changes)'!AV34-'CFS (Before Changes) '!AV34</f>
        <v>0</v>
      </c>
    </row>
    <row r="35" spans="2:48" outlineLevel="1" x14ac:dyDescent="0.3">
      <c r="B35" s="325" t="s">
        <v>292</v>
      </c>
      <c r="C35" s="339"/>
      <c r="D35" s="327">
        <f>'CFS (After Changes)'!D35-'CFS (Before Changes) '!D35</f>
        <v>0</v>
      </c>
      <c r="E35" s="327">
        <f>'CFS (After Changes)'!E35-'CFS (Before Changes) '!E35</f>
        <v>0</v>
      </c>
      <c r="F35" s="327">
        <f>'CFS (After Changes)'!F35-'CFS (Before Changes) '!F35</f>
        <v>0</v>
      </c>
      <c r="G35" s="327">
        <f>'CFS (After Changes)'!G35-'CFS (Before Changes) '!G35</f>
        <v>0</v>
      </c>
      <c r="H35" s="328">
        <f>'CFS (After Changes)'!H35-'CFS (Before Changes) '!H35</f>
        <v>0</v>
      </c>
      <c r="I35" s="327">
        <f>'CFS (After Changes)'!I35-'CFS (Before Changes) '!I35</f>
        <v>0</v>
      </c>
      <c r="J35" s="327">
        <f>'CFS (After Changes)'!J35-'CFS (Before Changes) '!J35</f>
        <v>0</v>
      </c>
      <c r="K35" s="327">
        <f>'CFS (After Changes)'!K35-'CFS (Before Changes) '!K35</f>
        <v>0</v>
      </c>
      <c r="L35" s="327">
        <f>'CFS (After Changes)'!L35-'CFS (Before Changes) '!L35</f>
        <v>0</v>
      </c>
      <c r="M35" s="328">
        <f>'CFS (After Changes)'!M35-'CFS (Before Changes) '!M35</f>
        <v>0</v>
      </c>
      <c r="N35" s="327">
        <f>'CFS (After Changes)'!N35-'CFS (Before Changes) '!N35</f>
        <v>0</v>
      </c>
      <c r="O35" s="327">
        <f>'CFS (After Changes)'!O35-'CFS (Before Changes) '!O35</f>
        <v>0</v>
      </c>
      <c r="P35" s="327">
        <f>'CFS (After Changes)'!P35-'CFS (Before Changes) '!P35</f>
        <v>0</v>
      </c>
      <c r="Q35" s="327">
        <f>'CFS (After Changes)'!Q35-'CFS (Before Changes) '!Q35</f>
        <v>0</v>
      </c>
      <c r="R35" s="328">
        <f>'CFS (After Changes)'!R35-'CFS (Before Changes) '!R35</f>
        <v>0</v>
      </c>
      <c r="S35" s="327">
        <f>'CFS (After Changes)'!S35-'CFS (Before Changes) '!S35</f>
        <v>0</v>
      </c>
      <c r="T35" s="327">
        <f>'CFS (After Changes)'!T35-'CFS (Before Changes) '!T35</f>
        <v>0</v>
      </c>
      <c r="U35" s="327">
        <f>'CFS (After Changes)'!U35-'CFS (Before Changes) '!U35</f>
        <v>0</v>
      </c>
      <c r="V35" s="327">
        <f>'CFS (After Changes)'!V35-'CFS (Before Changes) '!V35</f>
        <v>0</v>
      </c>
      <c r="W35" s="328">
        <f>'CFS (After Changes)'!W35-'CFS (Before Changes) '!W35</f>
        <v>0</v>
      </c>
      <c r="X35" s="327">
        <f>'CFS (After Changes)'!X35-'CFS (Before Changes) '!X35</f>
        <v>-1.387382005781479E-2</v>
      </c>
      <c r="Y35" s="327">
        <f>'CFS (After Changes)'!Y35-'CFS (Before Changes) '!Y35</f>
        <v>-1.1787337613169413E-2</v>
      </c>
      <c r="Z35" s="327">
        <f>'CFS (After Changes)'!Z35-'CFS (Before Changes) '!Z35</f>
        <v>-6.3404449175445521E-2</v>
      </c>
      <c r="AA35" s="327">
        <f>'CFS (After Changes)'!AA35-'CFS (Before Changes) '!AA35</f>
        <v>-6.4685053019621463E-2</v>
      </c>
      <c r="AB35" s="328">
        <f>'CFS (After Changes)'!AB35-'CFS (Before Changes) '!AB35</f>
        <v>-0.15375065986605208</v>
      </c>
      <c r="AC35" s="327">
        <f>'CFS (After Changes)'!AC35-'CFS (Before Changes) '!AC35</f>
        <v>-2.7972841959674533E-2</v>
      </c>
      <c r="AD35" s="327">
        <f>'CFS (After Changes)'!AD35-'CFS (Before Changes) '!AD35</f>
        <v>-2.6078844144542757E-2</v>
      </c>
      <c r="AE35" s="327">
        <f>'CFS (After Changes)'!AE35-'CFS (Before Changes) '!AE35</f>
        <v>-8.3886812696464474E-2</v>
      </c>
      <c r="AF35" s="327">
        <f>'CFS (After Changes)'!AF35-'CFS (Before Changes) '!AF35</f>
        <v>-8.4204775139423482E-2</v>
      </c>
      <c r="AG35" s="328">
        <f>'CFS (After Changes)'!AG35-'CFS (Before Changes) '!AG35</f>
        <v>-0.22214327394010169</v>
      </c>
      <c r="AH35" s="327">
        <f>'CFS (After Changes)'!AH35-'CFS (Before Changes) '!AH35</f>
        <v>-4.5856550736163904E-2</v>
      </c>
      <c r="AI35" s="327">
        <f>'CFS (After Changes)'!AI35-'CFS (Before Changes) '!AI35</f>
        <v>-4.3453227699465913E-2</v>
      </c>
      <c r="AJ35" s="327">
        <f>'CFS (After Changes)'!AJ35-'CFS (Before Changes) '!AJ35</f>
        <v>-0.10890427101182354</v>
      </c>
      <c r="AK35" s="327">
        <f>'CFS (After Changes)'!AK35-'CFS (Before Changes) '!AK35</f>
        <v>-0.10910788678744598</v>
      </c>
      <c r="AL35" s="328">
        <f>'CFS (After Changes)'!AL35-'CFS (Before Changes) '!AL35</f>
        <v>-0.30732193623489934</v>
      </c>
      <c r="AM35" s="327">
        <f>'CFS (After Changes)'!AM35-'CFS (Before Changes) '!AM35</f>
        <v>-4.9660688542053855E-2</v>
      </c>
      <c r="AN35" s="327">
        <f>'CFS (After Changes)'!AN35-'CFS (Before Changes) '!AN35</f>
        <v>-4.7186954384316415E-2</v>
      </c>
      <c r="AO35" s="327">
        <f>'CFS (After Changes)'!AO35-'CFS (Before Changes) '!AO35</f>
        <v>-0.11819658782141218</v>
      </c>
      <c r="AP35" s="327">
        <f>'CFS (After Changes)'!AP35-'CFS (Before Changes) '!AP35</f>
        <v>-0.11845248227506389</v>
      </c>
      <c r="AQ35" s="328">
        <f>'CFS (After Changes)'!AQ35-'CFS (Before Changes) '!AQ35</f>
        <v>-0.33349671302284634</v>
      </c>
      <c r="AR35" s="327">
        <f>'CFS (After Changes)'!AR35-'CFS (Before Changes) '!AR35</f>
        <v>-5.2912192982661033E-2</v>
      </c>
      <c r="AS35" s="327">
        <f>'CFS (After Changes)'!AS35-'CFS (Before Changes) '!AS35</f>
        <v>-5.0273447212805245E-2</v>
      </c>
      <c r="AT35" s="327">
        <f>'CFS (After Changes)'!AT35-'CFS (Before Changes) '!AT35</f>
        <v>-0.12586193954256508</v>
      </c>
      <c r="AU35" s="327">
        <f>'CFS (After Changes)'!AU35-'CFS (Before Changes) '!AU35</f>
        <v>-0.12609867607825276</v>
      </c>
      <c r="AV35" s="328">
        <f>'CFS (After Changes)'!AV35-'CFS (Before Changes) '!AV35</f>
        <v>-0.35514625581627968</v>
      </c>
    </row>
    <row r="36" spans="2:48" ht="16.2" outlineLevel="1" x14ac:dyDescent="0.45">
      <c r="B36" s="538" t="s">
        <v>293</v>
      </c>
      <c r="C36" s="539"/>
      <c r="D36" s="329">
        <f>'CFS (After Changes)'!D36-'CFS (Before Changes) '!D36</f>
        <v>0</v>
      </c>
      <c r="E36" s="329">
        <f>'CFS (After Changes)'!E36-'CFS (Before Changes) '!E36</f>
        <v>0</v>
      </c>
      <c r="F36" s="329">
        <f>'CFS (After Changes)'!F36-'CFS (Before Changes) '!F36</f>
        <v>0</v>
      </c>
      <c r="G36" s="329">
        <f>'CFS (After Changes)'!G36-'CFS (Before Changes) '!G36</f>
        <v>0</v>
      </c>
      <c r="H36" s="330">
        <f>'CFS (After Changes)'!H36-'CFS (Before Changes) '!H36</f>
        <v>0</v>
      </c>
      <c r="I36" s="329">
        <f>'CFS (After Changes)'!I36-'CFS (Before Changes) '!I36</f>
        <v>0</v>
      </c>
      <c r="J36" s="329">
        <f>'CFS (After Changes)'!J36-'CFS (Before Changes) '!J36</f>
        <v>0</v>
      </c>
      <c r="K36" s="329">
        <f>'CFS (After Changes)'!K36-'CFS (Before Changes) '!K36</f>
        <v>0</v>
      </c>
      <c r="L36" s="329">
        <f>'CFS (After Changes)'!L36-'CFS (Before Changes) '!L36</f>
        <v>0</v>
      </c>
      <c r="M36" s="330">
        <f>'CFS (After Changes)'!M36-'CFS (Before Changes) '!M36</f>
        <v>0</v>
      </c>
      <c r="N36" s="329">
        <f>'CFS (After Changes)'!N36-'CFS (Before Changes) '!N36</f>
        <v>0</v>
      </c>
      <c r="O36" s="329">
        <f>'CFS (After Changes)'!O36-'CFS (Before Changes) '!O36</f>
        <v>0</v>
      </c>
      <c r="P36" s="329">
        <f>'CFS (After Changes)'!P36-'CFS (Before Changes) '!P36</f>
        <v>0</v>
      </c>
      <c r="Q36" s="329">
        <f>'CFS (After Changes)'!Q36-'CFS (Before Changes) '!Q36</f>
        <v>0</v>
      </c>
      <c r="R36" s="330">
        <f>'CFS (After Changes)'!R36-'CFS (Before Changes) '!R36</f>
        <v>0</v>
      </c>
      <c r="S36" s="329">
        <f>'CFS (After Changes)'!S36-'CFS (Before Changes) '!S36</f>
        <v>0</v>
      </c>
      <c r="T36" s="329">
        <f>'CFS (After Changes)'!T36-'CFS (Before Changes) '!T36</f>
        <v>0</v>
      </c>
      <c r="U36" s="329">
        <f>'CFS (After Changes)'!U36-'CFS (Before Changes) '!U36</f>
        <v>0</v>
      </c>
      <c r="V36" s="329">
        <f>'CFS (After Changes)'!V36-'CFS (Before Changes) '!V36</f>
        <v>0</v>
      </c>
      <c r="W36" s="330">
        <f>'CFS (After Changes)'!W36-'CFS (Before Changes) '!W36</f>
        <v>0</v>
      </c>
      <c r="X36" s="329">
        <f>'CFS (After Changes)'!X36-'CFS (Before Changes) '!X36</f>
        <v>0</v>
      </c>
      <c r="Y36" s="329">
        <f>'CFS (After Changes)'!Y36-'CFS (Before Changes) '!Y36</f>
        <v>0</v>
      </c>
      <c r="Z36" s="329">
        <f>'CFS (After Changes)'!Z36-'CFS (Before Changes) '!Z36</f>
        <v>0</v>
      </c>
      <c r="AA36" s="329">
        <f>'CFS (After Changes)'!AA36-'CFS (Before Changes) '!AA36</f>
        <v>0</v>
      </c>
      <c r="AB36" s="330">
        <f>'CFS (After Changes)'!AB36-'CFS (Before Changes) '!AB36</f>
        <v>0</v>
      </c>
      <c r="AC36" s="329">
        <f>'CFS (After Changes)'!AC36-'CFS (Before Changes) '!AC36</f>
        <v>0</v>
      </c>
      <c r="AD36" s="329">
        <f>'CFS (After Changes)'!AD36-'CFS (Before Changes) '!AD36</f>
        <v>0</v>
      </c>
      <c r="AE36" s="329">
        <f>'CFS (After Changes)'!AE36-'CFS (Before Changes) '!AE36</f>
        <v>0</v>
      </c>
      <c r="AF36" s="329">
        <f>'CFS (After Changes)'!AF36-'CFS (Before Changes) '!AF36</f>
        <v>0</v>
      </c>
      <c r="AG36" s="330">
        <f>'CFS (After Changes)'!AG36-'CFS (Before Changes) '!AG36</f>
        <v>0</v>
      </c>
      <c r="AH36" s="329">
        <f>'CFS (After Changes)'!AH36-'CFS (Before Changes) '!AH36</f>
        <v>0</v>
      </c>
      <c r="AI36" s="329">
        <f>'CFS (After Changes)'!AI36-'CFS (Before Changes) '!AI36</f>
        <v>0</v>
      </c>
      <c r="AJ36" s="329">
        <f>'CFS (After Changes)'!AJ36-'CFS (Before Changes) '!AJ36</f>
        <v>0</v>
      </c>
      <c r="AK36" s="329">
        <f>'CFS (After Changes)'!AK36-'CFS (Before Changes) '!AK36</f>
        <v>0</v>
      </c>
      <c r="AL36" s="330">
        <f>'CFS (After Changes)'!AL36-'CFS (Before Changes) '!AL36</f>
        <v>0</v>
      </c>
      <c r="AM36" s="329">
        <f>'CFS (After Changes)'!AM36-'CFS (Before Changes) '!AM36</f>
        <v>0</v>
      </c>
      <c r="AN36" s="329">
        <f>'CFS (After Changes)'!AN36-'CFS (Before Changes) '!AN36</f>
        <v>0</v>
      </c>
      <c r="AO36" s="329">
        <f>'CFS (After Changes)'!AO36-'CFS (Before Changes) '!AO36</f>
        <v>0</v>
      </c>
      <c r="AP36" s="329">
        <f>'CFS (After Changes)'!AP36-'CFS (Before Changes) '!AP36</f>
        <v>0</v>
      </c>
      <c r="AQ36" s="330">
        <f>'CFS (After Changes)'!AQ36-'CFS (Before Changes) '!AQ36</f>
        <v>0</v>
      </c>
      <c r="AR36" s="329">
        <f>'CFS (After Changes)'!AR36-'CFS (Before Changes) '!AR36</f>
        <v>0</v>
      </c>
      <c r="AS36" s="329">
        <f>'CFS (After Changes)'!AS36-'CFS (Before Changes) '!AS36</f>
        <v>0</v>
      </c>
      <c r="AT36" s="329">
        <f>'CFS (After Changes)'!AT36-'CFS (Before Changes) '!AT36</f>
        <v>0</v>
      </c>
      <c r="AU36" s="329">
        <f>'CFS (After Changes)'!AU36-'CFS (Before Changes) '!AU36</f>
        <v>0</v>
      </c>
      <c r="AV36" s="330">
        <f>'CFS (After Changes)'!AV36-'CFS (Before Changes) '!AV36</f>
        <v>0</v>
      </c>
    </row>
    <row r="37" spans="2:48" outlineLevel="1" x14ac:dyDescent="0.3">
      <c r="B37" s="540" t="s">
        <v>294</v>
      </c>
      <c r="C37" s="541"/>
      <c r="D37" s="331">
        <f>'CFS (After Changes)'!D37-'CFS (Before Changes) '!D37</f>
        <v>0</v>
      </c>
      <c r="E37" s="331">
        <f>'CFS (After Changes)'!E37-'CFS (Before Changes) '!E37</f>
        <v>0</v>
      </c>
      <c r="F37" s="331">
        <f>'CFS (After Changes)'!F37-'CFS (Before Changes) '!F37</f>
        <v>0</v>
      </c>
      <c r="G37" s="331">
        <f>'CFS (After Changes)'!G37-'CFS (Before Changes) '!G37</f>
        <v>0</v>
      </c>
      <c r="H37" s="332">
        <f>'CFS (After Changes)'!H37-'CFS (Before Changes) '!H37</f>
        <v>0</v>
      </c>
      <c r="I37" s="331">
        <f>'CFS (After Changes)'!I37-'CFS (Before Changes) '!I37</f>
        <v>0</v>
      </c>
      <c r="J37" s="331">
        <f>'CFS (After Changes)'!J37-'CFS (Before Changes) '!J37</f>
        <v>0</v>
      </c>
      <c r="K37" s="331">
        <f>'CFS (After Changes)'!K37-'CFS (Before Changes) '!K37</f>
        <v>0</v>
      </c>
      <c r="L37" s="331">
        <f>'CFS (After Changes)'!L37-'CFS (Before Changes) '!L37</f>
        <v>0</v>
      </c>
      <c r="M37" s="332">
        <f>'CFS (After Changes)'!M37-'CFS (Before Changes) '!M37</f>
        <v>0</v>
      </c>
      <c r="N37" s="331">
        <f>'CFS (After Changes)'!N37-'CFS (Before Changes) '!N37</f>
        <v>0</v>
      </c>
      <c r="O37" s="331">
        <f>'CFS (After Changes)'!O37-'CFS (Before Changes) '!O37</f>
        <v>0</v>
      </c>
      <c r="P37" s="331">
        <f>'CFS (After Changes)'!P37-'CFS (Before Changes) '!P37</f>
        <v>0</v>
      </c>
      <c r="Q37" s="331">
        <f>'CFS (After Changes)'!Q37-'CFS (Before Changes) '!Q37</f>
        <v>0</v>
      </c>
      <c r="R37" s="332">
        <f>'CFS (After Changes)'!R37-'CFS (Before Changes) '!R37</f>
        <v>0</v>
      </c>
      <c r="S37" s="331">
        <f>'CFS (After Changes)'!S37-'CFS (Before Changes) '!S37</f>
        <v>0</v>
      </c>
      <c r="T37" s="331">
        <f>'CFS (After Changes)'!T37-'CFS (Before Changes) '!T37</f>
        <v>0</v>
      </c>
      <c r="U37" s="331">
        <f>'CFS (After Changes)'!U37-'CFS (Before Changes) '!U37</f>
        <v>0</v>
      </c>
      <c r="V37" s="331">
        <f>'CFS (After Changes)'!V37-'CFS (Before Changes) '!V37</f>
        <v>0</v>
      </c>
      <c r="W37" s="332">
        <f>'CFS (After Changes)'!W37-'CFS (Before Changes) '!W37</f>
        <v>0</v>
      </c>
      <c r="X37" s="331">
        <f>'CFS (After Changes)'!X37-'CFS (Before Changes) '!X37</f>
        <v>-1.387382005782456E-2</v>
      </c>
      <c r="Y37" s="331">
        <f>'CFS (After Changes)'!Y37-'CFS (Before Changes) '!Y37</f>
        <v>-1.1787337613100135E-2</v>
      </c>
      <c r="Z37" s="331">
        <f>'CFS (After Changes)'!Z37-'CFS (Before Changes) '!Z37</f>
        <v>-6.3404449175436639E-2</v>
      </c>
      <c r="AA37" s="331">
        <f>'CFS (After Changes)'!AA37-'CFS (Before Changes) '!AA37</f>
        <v>-6.4685053019616134E-2</v>
      </c>
      <c r="AB37" s="332">
        <f>'CFS (After Changes)'!AB37-'CFS (Before Changes) '!AB37</f>
        <v>-0.15375065986609115</v>
      </c>
      <c r="AC37" s="331">
        <f>'CFS (After Changes)'!AC37-'CFS (Before Changes) '!AC37</f>
        <v>-2.7972841959694961E-2</v>
      </c>
      <c r="AD37" s="331">
        <f>'CFS (After Changes)'!AD37-'CFS (Before Changes) '!AD37</f>
        <v>-2.6078844144535651E-2</v>
      </c>
      <c r="AE37" s="331">
        <f>'CFS (After Changes)'!AE37-'CFS (Before Changes) '!AE37</f>
        <v>-8.3886812696505331E-2</v>
      </c>
      <c r="AF37" s="331">
        <f>'CFS (After Changes)'!AF37-'CFS (Before Changes) '!AF37</f>
        <v>-8.420477513948299E-2</v>
      </c>
      <c r="AG37" s="332">
        <f>'CFS (After Changes)'!AG37-'CFS (Before Changes) '!AG37</f>
        <v>-0.22214327394021893</v>
      </c>
      <c r="AH37" s="331">
        <f>'CFS (After Changes)'!AH37-'CFS (Before Changes) '!AH37</f>
        <v>-4.5856550736061763E-2</v>
      </c>
      <c r="AI37" s="331">
        <f>'CFS (After Changes)'!AI37-'CFS (Before Changes) '!AI37</f>
        <v>-4.345322769950144E-2</v>
      </c>
      <c r="AJ37" s="331">
        <f>'CFS (After Changes)'!AJ37-'CFS (Before Changes) '!AJ37</f>
        <v>-0.10890427101185196</v>
      </c>
      <c r="AK37" s="331">
        <f>'CFS (After Changes)'!AK37-'CFS (Before Changes) '!AK37</f>
        <v>-0.10910788678756944</v>
      </c>
      <c r="AL37" s="332">
        <f>'CFS (After Changes)'!AL37-'CFS (Before Changes) '!AL37</f>
        <v>-0.30732193623498461</v>
      </c>
      <c r="AM37" s="331">
        <f>'CFS (After Changes)'!AM37-'CFS (Before Changes) '!AM37</f>
        <v>-4.9660688542076059E-2</v>
      </c>
      <c r="AN37" s="331">
        <f>'CFS (After Changes)'!AN37-'CFS (Before Changes) '!AN37</f>
        <v>-4.7186954384301316E-2</v>
      </c>
      <c r="AO37" s="331">
        <f>'CFS (After Changes)'!AO37-'CFS (Before Changes) '!AO37</f>
        <v>-0.11819658782133047</v>
      </c>
      <c r="AP37" s="331">
        <f>'CFS (After Changes)'!AP37-'CFS (Before Changes) '!AP37</f>
        <v>-0.11845248227507454</v>
      </c>
      <c r="AQ37" s="332">
        <f>'CFS (After Changes)'!AQ37-'CFS (Before Changes) '!AQ37</f>
        <v>-0.3334967130226687</v>
      </c>
      <c r="AR37" s="331">
        <f>'CFS (After Changes)'!AR37-'CFS (Before Changes) '!AR37</f>
        <v>-5.2912192982603301E-2</v>
      </c>
      <c r="AS37" s="331">
        <f>'CFS (After Changes)'!AS37-'CFS (Before Changes) '!AS37</f>
        <v>-5.0273447212816791E-2</v>
      </c>
      <c r="AT37" s="331">
        <f>'CFS (After Changes)'!AT37-'CFS (Before Changes) '!AT37</f>
        <v>-0.12586193954257396</v>
      </c>
      <c r="AU37" s="331">
        <f>'CFS (After Changes)'!AU37-'CFS (Before Changes) '!AU37</f>
        <v>-0.12609867607829983</v>
      </c>
      <c r="AV37" s="332">
        <f>'CFS (After Changes)'!AV37-'CFS (Before Changes) '!AV37</f>
        <v>-0.35514625581663495</v>
      </c>
    </row>
    <row r="38" spans="2:48" outlineLevel="1" x14ac:dyDescent="0.3">
      <c r="B38" s="248" t="s">
        <v>295</v>
      </c>
      <c r="C38" s="249"/>
      <c r="D38" s="333">
        <f>'CFS (After Changes)'!D38-'CFS (Before Changes) '!D38</f>
        <v>0</v>
      </c>
      <c r="E38" s="340">
        <f>'CFS (After Changes)'!E38-'CFS (Before Changes) '!E38</f>
        <v>0</v>
      </c>
      <c r="F38" s="340">
        <f>'CFS (After Changes)'!F38-'CFS (Before Changes) '!F38</f>
        <v>0</v>
      </c>
      <c r="G38" s="340">
        <f>'CFS (After Changes)'!G38-'CFS (Before Changes) '!G38</f>
        <v>0</v>
      </c>
      <c r="H38" s="337">
        <f>'CFS (After Changes)'!H38-'CFS (Before Changes) '!H38</f>
        <v>0</v>
      </c>
      <c r="I38" s="340">
        <f>'CFS (After Changes)'!I38-'CFS (Before Changes) '!I38</f>
        <v>0</v>
      </c>
      <c r="J38" s="340">
        <f>'CFS (After Changes)'!J38-'CFS (Before Changes) '!J38</f>
        <v>0</v>
      </c>
      <c r="K38" s="340">
        <f>'CFS (After Changes)'!K38-'CFS (Before Changes) '!K38</f>
        <v>0</v>
      </c>
      <c r="L38" s="340">
        <f>'CFS (After Changes)'!L38-'CFS (Before Changes) '!L38</f>
        <v>0</v>
      </c>
      <c r="M38" s="337">
        <f>'CFS (After Changes)'!M38-'CFS (Before Changes) '!M38</f>
        <v>0</v>
      </c>
      <c r="N38" s="340">
        <f>'CFS (After Changes)'!N38-'CFS (Before Changes) '!N38</f>
        <v>0</v>
      </c>
      <c r="O38" s="340">
        <f>'CFS (After Changes)'!O38-'CFS (Before Changes) '!O38</f>
        <v>0</v>
      </c>
      <c r="P38" s="340">
        <f>'CFS (After Changes)'!P38-'CFS (Before Changes) '!P38</f>
        <v>0</v>
      </c>
      <c r="Q38" s="340">
        <f>'CFS (After Changes)'!Q38-'CFS (Before Changes) '!Q38</f>
        <v>0</v>
      </c>
      <c r="R38" s="337">
        <f>'CFS (After Changes)'!R38-'CFS (Before Changes) '!R38</f>
        <v>0</v>
      </c>
      <c r="S38" s="340">
        <f>'CFS (After Changes)'!S38-'CFS (Before Changes) '!S38</f>
        <v>0</v>
      </c>
      <c r="T38" s="340">
        <f>'CFS (After Changes)'!T38-'CFS (Before Changes) '!T38</f>
        <v>0</v>
      </c>
      <c r="U38" s="340">
        <f>'CFS (After Changes)'!U38-'CFS (Before Changes) '!U38</f>
        <v>0</v>
      </c>
      <c r="V38" s="340">
        <f>'CFS (After Changes)'!V38-'CFS (Before Changes) '!V38</f>
        <v>0</v>
      </c>
      <c r="W38" s="337">
        <f>'CFS (After Changes)'!W38-'CFS (Before Changes) '!W38</f>
        <v>0</v>
      </c>
      <c r="X38" s="341">
        <f>'CFS (After Changes)'!X38-'CFS (Before Changes) '!X38</f>
        <v>0</v>
      </c>
      <c r="Y38" s="341">
        <f>'CFS (After Changes)'!Y38-'CFS (Before Changes) '!Y38</f>
        <v>0</v>
      </c>
      <c r="Z38" s="341">
        <f>'CFS (After Changes)'!Z38-'CFS (Before Changes) '!Z38</f>
        <v>0</v>
      </c>
      <c r="AA38" s="341">
        <f>'CFS (After Changes)'!AA38-'CFS (Before Changes) '!AA38</f>
        <v>0</v>
      </c>
      <c r="AB38" s="337">
        <f>'CFS (After Changes)'!AB38-'CFS (Before Changes) '!AB38</f>
        <v>0</v>
      </c>
      <c r="AC38" s="341">
        <f>'CFS (After Changes)'!AC38-'CFS (Before Changes) '!AC38</f>
        <v>0</v>
      </c>
      <c r="AD38" s="341">
        <f>'CFS (After Changes)'!AD38-'CFS (Before Changes) '!AD38</f>
        <v>0</v>
      </c>
      <c r="AE38" s="341">
        <f>'CFS (After Changes)'!AE38-'CFS (Before Changes) '!AE38</f>
        <v>0</v>
      </c>
      <c r="AF38" s="341">
        <f>'CFS (After Changes)'!AF38-'CFS (Before Changes) '!AF38</f>
        <v>0</v>
      </c>
      <c r="AG38" s="337">
        <f>'CFS (After Changes)'!AG38-'CFS (Before Changes) '!AG38</f>
        <v>0</v>
      </c>
      <c r="AH38" s="341">
        <f>'CFS (After Changes)'!AH38-'CFS (Before Changes) '!AH38</f>
        <v>0</v>
      </c>
      <c r="AI38" s="341">
        <f>'CFS (After Changes)'!AI38-'CFS (Before Changes) '!AI38</f>
        <v>0</v>
      </c>
      <c r="AJ38" s="341">
        <f>'CFS (After Changes)'!AJ38-'CFS (Before Changes) '!AJ38</f>
        <v>0</v>
      </c>
      <c r="AK38" s="341">
        <f>'CFS (After Changes)'!AK38-'CFS (Before Changes) '!AK38</f>
        <v>0</v>
      </c>
      <c r="AL38" s="337">
        <f>'CFS (After Changes)'!AL38-'CFS (Before Changes) '!AL38</f>
        <v>0</v>
      </c>
      <c r="AM38" s="341">
        <f>'CFS (After Changes)'!AM38-'CFS (Before Changes) '!AM38</f>
        <v>0</v>
      </c>
      <c r="AN38" s="341">
        <f>'CFS (After Changes)'!AN38-'CFS (Before Changes) '!AN38</f>
        <v>0</v>
      </c>
      <c r="AO38" s="341">
        <f>'CFS (After Changes)'!AO38-'CFS (Before Changes) '!AO38</f>
        <v>0</v>
      </c>
      <c r="AP38" s="341">
        <f>'CFS (After Changes)'!AP38-'CFS (Before Changes) '!AP38</f>
        <v>0</v>
      </c>
      <c r="AQ38" s="337">
        <f>'CFS (After Changes)'!AQ38-'CFS (Before Changes) '!AQ38</f>
        <v>0</v>
      </c>
      <c r="AR38" s="341">
        <f>'CFS (After Changes)'!AR38-'CFS (Before Changes) '!AR38</f>
        <v>0</v>
      </c>
      <c r="AS38" s="341">
        <f>'CFS (After Changes)'!AS38-'CFS (Before Changes) '!AS38</f>
        <v>0</v>
      </c>
      <c r="AT38" s="341">
        <f>'CFS (After Changes)'!AT38-'CFS (Before Changes) '!AT38</f>
        <v>0</v>
      </c>
      <c r="AU38" s="341">
        <f>'CFS (After Changes)'!AU38-'CFS (Before Changes) '!AU38</f>
        <v>0</v>
      </c>
      <c r="AV38" s="337">
        <f>'CFS (After Changes)'!AV38-'CFS (Before Changes) '!AV38</f>
        <v>0</v>
      </c>
    </row>
    <row r="39" spans="2:48" ht="16.2" outlineLevel="1" x14ac:dyDescent="0.45">
      <c r="B39" s="486" t="s">
        <v>296</v>
      </c>
      <c r="C39" s="487"/>
      <c r="D39" s="260">
        <f>'CFS (After Changes)'!D39-'CFS (Before Changes) '!D39</f>
        <v>0</v>
      </c>
      <c r="E39" s="260">
        <f>'CFS (After Changes)'!E39-'CFS (Before Changes) '!E39</f>
        <v>0</v>
      </c>
      <c r="F39" s="260">
        <f>'CFS (After Changes)'!F39-'CFS (Before Changes) '!F39</f>
        <v>0</v>
      </c>
      <c r="G39" s="260">
        <f>'CFS (After Changes)'!G39-'CFS (Before Changes) '!G39</f>
        <v>0</v>
      </c>
      <c r="H39" s="261">
        <f>'CFS (After Changes)'!H39-'CFS (Before Changes) '!H39</f>
        <v>0</v>
      </c>
      <c r="I39" s="260">
        <f>'CFS (After Changes)'!I39-'CFS (Before Changes) '!I39</f>
        <v>0</v>
      </c>
      <c r="J39" s="260">
        <f>'CFS (After Changes)'!J39-'CFS (Before Changes) '!J39</f>
        <v>0</v>
      </c>
      <c r="K39" s="260">
        <f>'CFS (After Changes)'!K39-'CFS (Before Changes) '!K39</f>
        <v>0</v>
      </c>
      <c r="L39" s="260">
        <f>'CFS (After Changes)'!L39-'CFS (Before Changes) '!L39</f>
        <v>0</v>
      </c>
      <c r="M39" s="261">
        <f>'CFS (After Changes)'!M39-'CFS (Before Changes) '!M39</f>
        <v>0</v>
      </c>
      <c r="N39" s="260">
        <f>'CFS (After Changes)'!N39-'CFS (Before Changes) '!N39</f>
        <v>0</v>
      </c>
      <c r="O39" s="260">
        <f>'CFS (After Changes)'!O39-'CFS (Before Changes) '!O39</f>
        <v>0</v>
      </c>
      <c r="P39" s="260">
        <f>'CFS (After Changes)'!P39-'CFS (Before Changes) '!P39</f>
        <v>0</v>
      </c>
      <c r="Q39" s="260">
        <f>'CFS (After Changes)'!Q39-'CFS (Before Changes) '!Q39</f>
        <v>0</v>
      </c>
      <c r="R39" s="261">
        <f>'CFS (After Changes)'!R39-'CFS (Before Changes) '!R39</f>
        <v>0</v>
      </c>
      <c r="S39" s="260">
        <f>'CFS (After Changes)'!S39-'CFS (Before Changes) '!S39</f>
        <v>0</v>
      </c>
      <c r="T39" s="260">
        <f>'CFS (After Changes)'!T39-'CFS (Before Changes) '!T39</f>
        <v>0</v>
      </c>
      <c r="U39" s="260">
        <f>'CFS (After Changes)'!U39-'CFS (Before Changes) '!U39</f>
        <v>0</v>
      </c>
      <c r="V39" s="260">
        <f>'CFS (After Changes)'!V39-'CFS (Before Changes) '!V39</f>
        <v>0</v>
      </c>
      <c r="W39" s="261">
        <f>'CFS (After Changes)'!W39-'CFS (Before Changes) '!W39</f>
        <v>0</v>
      </c>
      <c r="X39" s="260">
        <f>'CFS (After Changes)'!X39-'CFS (Before Changes) '!X39</f>
        <v>1.3829254286391688</v>
      </c>
      <c r="Y39" s="260">
        <f>'CFS (After Changes)'!Y39-'CFS (Before Changes) '!Y39</f>
        <v>-34.872582571325438</v>
      </c>
      <c r="Z39" s="260">
        <f>'CFS (After Changes)'!Z39-'CFS (Before Changes) '!Z39</f>
        <v>-16.180970519636276</v>
      </c>
      <c r="AA39" s="260">
        <f>'CFS (After Changes)'!AA39-'CFS (Before Changes) '!AA39</f>
        <v>-106.50608578982951</v>
      </c>
      <c r="AB39" s="261">
        <f>'CFS (After Changes)'!AB39-'CFS (Before Changes) '!AB39</f>
        <v>-156.17671345215331</v>
      </c>
      <c r="AC39" s="260">
        <f>'CFS (After Changes)'!AC39-'CFS (Before Changes) '!AC39</f>
        <v>61.027235597887056</v>
      </c>
      <c r="AD39" s="260">
        <f>'CFS (After Changes)'!AD39-'CFS (Before Changes) '!AD39</f>
        <v>65.576067831090086</v>
      </c>
      <c r="AE39" s="260">
        <f>'CFS (After Changes)'!AE39-'CFS (Before Changes) '!AE39</f>
        <v>89.191660025410329</v>
      </c>
      <c r="AF39" s="260">
        <f>'CFS (After Changes)'!AF39-'CFS (Before Changes) '!AF39</f>
        <v>109.22150168836492</v>
      </c>
      <c r="AG39" s="261">
        <f>'CFS (After Changes)'!AG39-'CFS (Before Changes) '!AG39</f>
        <v>325.01646514275217</v>
      </c>
      <c r="AH39" s="260">
        <f>'CFS (After Changes)'!AH39-'CFS (Before Changes) '!AH39</f>
        <v>40.850306162490597</v>
      </c>
      <c r="AI39" s="260">
        <f>'CFS (After Changes)'!AI39-'CFS (Before Changes) '!AI39</f>
        <v>81.960822555914774</v>
      </c>
      <c r="AJ39" s="260">
        <f>'CFS (After Changes)'!AJ39-'CFS (Before Changes) '!AJ39</f>
        <v>109.9553840374972</v>
      </c>
      <c r="AK39" s="260">
        <f>'CFS (After Changes)'!AK39-'CFS (Before Changes) '!AK39</f>
        <v>134.23502680679485</v>
      </c>
      <c r="AL39" s="261">
        <f>'CFS (After Changes)'!AL39-'CFS (Before Changes) '!AL39</f>
        <v>367.00153956269605</v>
      </c>
      <c r="AM39" s="260">
        <f>'CFS (After Changes)'!AM39-'CFS (Before Changes) '!AM39</f>
        <v>55.530341526178063</v>
      </c>
      <c r="AN39" s="260">
        <f>'CFS (After Changes)'!AN39-'CFS (Before Changes) '!AN39</f>
        <v>91.623838496512917</v>
      </c>
      <c r="AO39" s="260">
        <f>'CFS (After Changes)'!AO39-'CFS (Before Changes) '!AO39</f>
        <v>121.96257580744191</v>
      </c>
      <c r="AP39" s="260">
        <f>'CFS (After Changes)'!AP39-'CFS (Before Changes) '!AP39</f>
        <v>149.5531571667857</v>
      </c>
      <c r="AQ39" s="261">
        <f>'CFS (After Changes)'!AQ39-'CFS (Before Changes) '!AQ39</f>
        <v>418.66991299691836</v>
      </c>
      <c r="AR39" s="260">
        <f>'CFS (After Changes)'!AR39-'CFS (Before Changes) '!AR39</f>
        <v>61.787755868716204</v>
      </c>
      <c r="AS39" s="260">
        <f>'CFS (After Changes)'!AS39-'CFS (Before Changes) '!AS39</f>
        <v>100.41947660682058</v>
      </c>
      <c r="AT39" s="260">
        <f>'CFS (After Changes)'!AT39-'CFS (Before Changes) '!AT39</f>
        <v>133.3293263582118</v>
      </c>
      <c r="AU39" s="260">
        <f>'CFS (After Changes)'!AU39-'CFS (Before Changes) '!AU39</f>
        <v>161.20768171684176</v>
      </c>
      <c r="AV39" s="261">
        <f>'CFS (After Changes)'!AV39-'CFS (Before Changes) '!AV39</f>
        <v>456.74424055058989</v>
      </c>
    </row>
    <row r="40" spans="2:48" ht="16.2" outlineLevel="1" x14ac:dyDescent="0.45">
      <c r="B40" s="486" t="s">
        <v>297</v>
      </c>
      <c r="C40" s="487"/>
      <c r="D40" s="260">
        <f>'CFS (After Changes)'!D40-'CFS (Before Changes) '!D40</f>
        <v>0</v>
      </c>
      <c r="E40" s="260">
        <f>'CFS (After Changes)'!E40-'CFS (Before Changes) '!E40</f>
        <v>0</v>
      </c>
      <c r="F40" s="260">
        <f>'CFS (After Changes)'!F40-'CFS (Before Changes) '!F40</f>
        <v>0</v>
      </c>
      <c r="G40" s="260">
        <f>'CFS (After Changes)'!G40-'CFS (Before Changes) '!G40</f>
        <v>0</v>
      </c>
      <c r="H40" s="261">
        <f>'CFS (After Changes)'!H40-'CFS (Before Changes) '!H40</f>
        <v>0</v>
      </c>
      <c r="I40" s="112">
        <f>'CFS (After Changes)'!I40-'CFS (Before Changes) '!I40</f>
        <v>0</v>
      </c>
      <c r="J40" s="260">
        <f>'CFS (After Changes)'!J40-'CFS (Before Changes) '!J40</f>
        <v>0</v>
      </c>
      <c r="K40" s="260">
        <f>'CFS (After Changes)'!K40-'CFS (Before Changes) '!K40</f>
        <v>0</v>
      </c>
      <c r="L40" s="260">
        <f>'CFS (After Changes)'!L40-'CFS (Before Changes) '!L40</f>
        <v>0</v>
      </c>
      <c r="M40" s="261">
        <f>'CFS (After Changes)'!M40-'CFS (Before Changes) '!M40</f>
        <v>0</v>
      </c>
      <c r="N40" s="260">
        <f>'CFS (After Changes)'!N40-'CFS (Before Changes) '!N40</f>
        <v>0</v>
      </c>
      <c r="O40" s="260">
        <f>'CFS (After Changes)'!O40-'CFS (Before Changes) '!O40</f>
        <v>0</v>
      </c>
      <c r="P40" s="260">
        <f>'CFS (After Changes)'!P40-'CFS (Before Changes) '!P40</f>
        <v>0</v>
      </c>
      <c r="Q40" s="260">
        <f>'CFS (After Changes)'!Q40-'CFS (Before Changes) '!Q40</f>
        <v>0</v>
      </c>
      <c r="R40" s="261">
        <f>'CFS (After Changes)'!R40-'CFS (Before Changes) '!R40</f>
        <v>0</v>
      </c>
      <c r="S40" s="260">
        <f>'CFS (After Changes)'!S40-'CFS (Before Changes) '!S40</f>
        <v>0</v>
      </c>
      <c r="T40" s="260">
        <f>'CFS (After Changes)'!T40-'CFS (Before Changes) '!T40</f>
        <v>0</v>
      </c>
      <c r="U40" s="260">
        <f>'CFS (After Changes)'!U40-'CFS (Before Changes) '!U40</f>
        <v>0</v>
      </c>
      <c r="V40" s="260">
        <f>'CFS (After Changes)'!V40-'CFS (Before Changes) '!V40</f>
        <v>0</v>
      </c>
      <c r="W40" s="261">
        <f>'CFS (After Changes)'!W40-'CFS (Before Changes) '!W40</f>
        <v>0</v>
      </c>
      <c r="X40" s="260">
        <f>'CFS (After Changes)'!X40-'CFS (Before Changes) '!X40</f>
        <v>0</v>
      </c>
      <c r="Y40" s="260">
        <f>'CFS (After Changes)'!Y40-'CFS (Before Changes) '!Y40</f>
        <v>1.3829254286392825</v>
      </c>
      <c r="Z40" s="260">
        <f>'CFS (After Changes)'!Z40-'CFS (Before Changes) '!Z40</f>
        <v>-33.489657142686156</v>
      </c>
      <c r="AA40" s="260">
        <f>'CFS (After Changes)'!AA40-'CFS (Before Changes) '!AA40</f>
        <v>-49.670627662322204</v>
      </c>
      <c r="AB40" s="261">
        <f>'CFS (After Changes)'!AB40-'CFS (Before Changes) '!AB40</f>
        <v>0</v>
      </c>
      <c r="AC40" s="260">
        <f>'CFS (After Changes)'!AC40-'CFS (Before Changes) '!AC40</f>
        <v>-156.17671345215331</v>
      </c>
      <c r="AD40" s="260">
        <f>'CFS (After Changes)'!AD40-'CFS (Before Changes) '!AD40</f>
        <v>-95.149477854266479</v>
      </c>
      <c r="AE40" s="260">
        <f>'CFS (After Changes)'!AE40-'CFS (Before Changes) '!AE40</f>
        <v>-29.573410023176621</v>
      </c>
      <c r="AF40" s="260">
        <f>'CFS (After Changes)'!AF40-'CFS (Before Changes) '!AF40</f>
        <v>59.618250002234163</v>
      </c>
      <c r="AG40" s="261">
        <f>'CFS (After Changes)'!AG40-'CFS (Before Changes) '!AG40</f>
        <v>-156.17671345215331</v>
      </c>
      <c r="AH40" s="260">
        <f>'CFS (After Changes)'!AH40-'CFS (Before Changes) '!AH40</f>
        <v>168.83975169059886</v>
      </c>
      <c r="AI40" s="260">
        <f>'CFS (After Changes)'!AI40-'CFS (Before Changes) '!AI40</f>
        <v>209.69005785308946</v>
      </c>
      <c r="AJ40" s="260">
        <f>'CFS (After Changes)'!AJ40-'CFS (Before Changes) '!AJ40</f>
        <v>291.65088040900446</v>
      </c>
      <c r="AK40" s="260">
        <f>'CFS (After Changes)'!AK40-'CFS (Before Changes) '!AK40</f>
        <v>401.60626444650097</v>
      </c>
      <c r="AL40" s="261">
        <f>'CFS (After Changes)'!AL40-'CFS (Before Changes) '!AL40</f>
        <v>168.83975169059886</v>
      </c>
      <c r="AM40" s="260">
        <f>'CFS (After Changes)'!AM40-'CFS (Before Changes) '!AM40</f>
        <v>535.84129125329491</v>
      </c>
      <c r="AN40" s="260">
        <f>'CFS (After Changes)'!AN40-'CFS (Before Changes) '!AN40</f>
        <v>591.3716327794732</v>
      </c>
      <c r="AO40" s="260">
        <f>'CFS (After Changes)'!AO40-'CFS (Before Changes) '!AO40</f>
        <v>682.99547127598635</v>
      </c>
      <c r="AP40" s="260">
        <f>'CFS (After Changes)'!AP40-'CFS (Before Changes) '!AP40</f>
        <v>804.95804708342803</v>
      </c>
      <c r="AQ40" s="261">
        <f>'CFS (After Changes)'!AQ40-'CFS (Before Changes) '!AQ40</f>
        <v>535.84129125329491</v>
      </c>
      <c r="AR40" s="260">
        <f>'CFS (After Changes)'!AR40-'CFS (Before Changes) '!AR40</f>
        <v>954.51120425021327</v>
      </c>
      <c r="AS40" s="260">
        <f>'CFS (After Changes)'!AS40-'CFS (Before Changes) '!AS40</f>
        <v>1016.2989601189292</v>
      </c>
      <c r="AT40" s="260">
        <f>'CFS (After Changes)'!AT40-'CFS (Before Changes) '!AT40</f>
        <v>1116.7184367257496</v>
      </c>
      <c r="AU40" s="260">
        <f>'CFS (After Changes)'!AU40-'CFS (Before Changes) '!AU40</f>
        <v>1250.0477630839614</v>
      </c>
      <c r="AV40" s="261">
        <f>'CFS (After Changes)'!AV40-'CFS (Before Changes) '!AV40</f>
        <v>954.51120425021327</v>
      </c>
    </row>
    <row r="41" spans="2:48" outlineLevel="1" x14ac:dyDescent="0.3">
      <c r="B41" s="529" t="s">
        <v>298</v>
      </c>
      <c r="C41" s="530"/>
      <c r="D41" s="116">
        <f>'CFS (After Changes)'!D41-'CFS (Before Changes) '!D41</f>
        <v>0</v>
      </c>
      <c r="E41" s="116">
        <f>'CFS (After Changes)'!E41-'CFS (Before Changes) '!E41</f>
        <v>0</v>
      </c>
      <c r="F41" s="116">
        <f>'CFS (After Changes)'!F41-'CFS (Before Changes) '!F41</f>
        <v>0</v>
      </c>
      <c r="G41" s="116">
        <f>'CFS (After Changes)'!G41-'CFS (Before Changes) '!G41</f>
        <v>0</v>
      </c>
      <c r="H41" s="150">
        <f>'CFS (After Changes)'!H41-'CFS (Before Changes) '!H41</f>
        <v>0</v>
      </c>
      <c r="I41" s="116">
        <f>'CFS (After Changes)'!I41-'CFS (Before Changes) '!I41</f>
        <v>0</v>
      </c>
      <c r="J41" s="116">
        <f>'CFS (After Changes)'!J41-'CFS (Before Changes) '!J41</f>
        <v>0</v>
      </c>
      <c r="K41" s="116">
        <f>'CFS (After Changes)'!K41-'CFS (Before Changes) '!K41</f>
        <v>0</v>
      </c>
      <c r="L41" s="21">
        <f>'CFS (After Changes)'!L41-'CFS (Before Changes) '!L41</f>
        <v>0</v>
      </c>
      <c r="M41" s="22">
        <f>'CFS (After Changes)'!M41-'CFS (Before Changes) '!M41</f>
        <v>0</v>
      </c>
      <c r="N41" s="21">
        <f>'CFS (After Changes)'!N41-'CFS (Before Changes) '!N41</f>
        <v>0</v>
      </c>
      <c r="O41" s="21">
        <f>'CFS (After Changes)'!O41-'CFS (Before Changes) '!O41</f>
        <v>0</v>
      </c>
      <c r="P41" s="21">
        <f>'CFS (After Changes)'!P41-'CFS (Before Changes) '!P41</f>
        <v>0</v>
      </c>
      <c r="Q41" s="21">
        <f>'CFS (After Changes)'!Q41-'CFS (Before Changes) '!Q41</f>
        <v>0</v>
      </c>
      <c r="R41" s="22">
        <f>'CFS (After Changes)'!R41-'CFS (Before Changes) '!R41</f>
        <v>0</v>
      </c>
      <c r="S41" s="21">
        <f>'CFS (After Changes)'!S41-'CFS (Before Changes) '!S41</f>
        <v>0</v>
      </c>
      <c r="T41" s="21">
        <f>'CFS (After Changes)'!T41-'CFS (Before Changes) '!T41</f>
        <v>0</v>
      </c>
      <c r="U41" s="21">
        <f>'CFS (After Changes)'!U41-'CFS (Before Changes) '!U41</f>
        <v>0</v>
      </c>
      <c r="V41" s="21">
        <f>'CFS (After Changes)'!V41-'CFS (Before Changes) '!V41</f>
        <v>0</v>
      </c>
      <c r="W41" s="22">
        <f>'CFS (After Changes)'!W41-'CFS (Before Changes) '!W41</f>
        <v>0</v>
      </c>
      <c r="X41" s="21">
        <f>'CFS (After Changes)'!X41-'CFS (Before Changes) '!X41</f>
        <v>1.3829254286392825</v>
      </c>
      <c r="Y41" s="21">
        <f>'CFS (After Changes)'!Y41-'CFS (Before Changes) '!Y41</f>
        <v>-33.489657142686156</v>
      </c>
      <c r="Z41" s="21">
        <f>'CFS (After Changes)'!Z41-'CFS (Before Changes) '!Z41</f>
        <v>-49.670627662322204</v>
      </c>
      <c r="AA41" s="21">
        <f>'CFS (After Changes)'!AA41-'CFS (Before Changes) '!AA41</f>
        <v>-156.17671345215149</v>
      </c>
      <c r="AB41" s="22">
        <f>'CFS (After Changes)'!AB41-'CFS (Before Changes) '!AB41</f>
        <v>-156.17671345215331</v>
      </c>
      <c r="AC41" s="21">
        <f>'CFS (After Changes)'!AC41-'CFS (Before Changes) '!AC41</f>
        <v>-95.149477854266479</v>
      </c>
      <c r="AD41" s="21">
        <f>'CFS (After Changes)'!AD41-'CFS (Before Changes) '!AD41</f>
        <v>-29.573410023176621</v>
      </c>
      <c r="AE41" s="21">
        <f>'CFS (After Changes)'!AE41-'CFS (Before Changes) '!AE41</f>
        <v>59.618250002234163</v>
      </c>
      <c r="AF41" s="21">
        <f>'CFS (After Changes)'!AF41-'CFS (Before Changes) '!AF41</f>
        <v>168.83975169059977</v>
      </c>
      <c r="AG41" s="22">
        <f>'CFS (After Changes)'!AG41-'CFS (Before Changes) '!AG41</f>
        <v>168.83975169059886</v>
      </c>
      <c r="AH41" s="21">
        <f>'CFS (After Changes)'!AH41-'CFS (Before Changes) '!AH41</f>
        <v>209.69005785308946</v>
      </c>
      <c r="AI41" s="21">
        <f>'CFS (After Changes)'!AI41-'CFS (Before Changes) '!AI41</f>
        <v>291.65088040900446</v>
      </c>
      <c r="AJ41" s="21">
        <f>'CFS (After Changes)'!AJ41-'CFS (Before Changes) '!AJ41</f>
        <v>401.60626444650097</v>
      </c>
      <c r="AK41" s="21">
        <f>'CFS (After Changes)'!AK41-'CFS (Before Changes) '!AK41</f>
        <v>535.84129125329582</v>
      </c>
      <c r="AL41" s="22">
        <f>'CFS (After Changes)'!AL41-'CFS (Before Changes) '!AL41</f>
        <v>535.84129125329491</v>
      </c>
      <c r="AM41" s="21">
        <f>'CFS (After Changes)'!AM41-'CFS (Before Changes) '!AM41</f>
        <v>591.3716327794732</v>
      </c>
      <c r="AN41" s="21">
        <f>'CFS (After Changes)'!AN41-'CFS (Before Changes) '!AN41</f>
        <v>682.99547127598635</v>
      </c>
      <c r="AO41" s="21">
        <f>'CFS (After Changes)'!AO41-'CFS (Before Changes) '!AO41</f>
        <v>804.95804708342803</v>
      </c>
      <c r="AP41" s="21">
        <f>'CFS (After Changes)'!AP41-'CFS (Before Changes) '!AP41</f>
        <v>954.51120425021372</v>
      </c>
      <c r="AQ41" s="22">
        <f>'CFS (After Changes)'!AQ41-'CFS (Before Changes) '!AQ41</f>
        <v>954.51120425021327</v>
      </c>
      <c r="AR41" s="21">
        <f>'CFS (After Changes)'!AR41-'CFS (Before Changes) '!AR41</f>
        <v>1016.2989601189292</v>
      </c>
      <c r="AS41" s="21">
        <f>'CFS (After Changes)'!AS41-'CFS (Before Changes) '!AS41</f>
        <v>1116.7184367257496</v>
      </c>
      <c r="AT41" s="21">
        <f>'CFS (After Changes)'!AT41-'CFS (Before Changes) '!AT41</f>
        <v>1250.0477630839614</v>
      </c>
      <c r="AU41" s="21">
        <f>'CFS (After Changes)'!AU41-'CFS (Before Changes) '!AU41</f>
        <v>1411.2554448008032</v>
      </c>
      <c r="AV41" s="22">
        <f>'CFS (After Changes)'!AV41-'CFS (Before Changes) '!AV41</f>
        <v>1411.2554448008032</v>
      </c>
    </row>
    <row r="42" spans="2:48" s="23" customFormat="1" outlineLevel="1" x14ac:dyDescent="0.3">
      <c r="B42" s="531" t="s">
        <v>299</v>
      </c>
      <c r="C42" s="532"/>
      <c r="D42" s="321">
        <f>'CFS (After Changes)'!D42-'CFS (Before Changes) '!D42</f>
        <v>0</v>
      </c>
      <c r="E42" s="321">
        <f>'CFS (After Changes)'!E42-'CFS (Before Changes) '!E42</f>
        <v>3.5527136788005009E-14</v>
      </c>
      <c r="F42" s="321">
        <f>'CFS (After Changes)'!F42-'CFS (Before Changes) '!F42</f>
        <v>0</v>
      </c>
      <c r="G42" s="321">
        <f>'CFS (After Changes)'!G42-'CFS (Before Changes) '!G42</f>
        <v>0</v>
      </c>
      <c r="H42" s="342">
        <f>'CFS (After Changes)'!H42-'CFS (Before Changes) '!H42</f>
        <v>0</v>
      </c>
      <c r="I42" s="321">
        <f>'CFS (After Changes)'!I42-'CFS (Before Changes) '!I42</f>
        <v>0</v>
      </c>
      <c r="J42" s="321">
        <f>'CFS (After Changes)'!J42-'CFS (Before Changes) '!J42</f>
        <v>0</v>
      </c>
      <c r="K42" s="321">
        <f>'CFS (After Changes)'!K42-'CFS (Before Changes) '!K42</f>
        <v>0</v>
      </c>
      <c r="L42" s="321">
        <f>'CFS (After Changes)'!L42-'CFS (Before Changes) '!L42</f>
        <v>0</v>
      </c>
      <c r="M42" s="342">
        <f>'CFS (After Changes)'!M42-'CFS (Before Changes) '!M42</f>
        <v>0</v>
      </c>
      <c r="N42" s="321">
        <f>'CFS (After Changes)'!N42-'CFS (Before Changes) '!N42</f>
        <v>0</v>
      </c>
      <c r="O42" s="321">
        <f>'CFS (After Changes)'!O42-'CFS (Before Changes) '!O42</f>
        <v>0</v>
      </c>
      <c r="P42" s="321">
        <f>'CFS (After Changes)'!P42-'CFS (Before Changes) '!P42</f>
        <v>0</v>
      </c>
      <c r="Q42" s="321">
        <f>'CFS (After Changes)'!Q42-'CFS (Before Changes) '!Q42</f>
        <v>0</v>
      </c>
      <c r="R42" s="342">
        <f>'CFS (After Changes)'!R42-'CFS (Before Changes) '!R42</f>
        <v>0</v>
      </c>
      <c r="S42" s="321">
        <f>'CFS (After Changes)'!S42-'CFS (Before Changes) '!S42</f>
        <v>0</v>
      </c>
      <c r="T42" s="321">
        <f>'CFS (After Changes)'!T42-'CFS (Before Changes) '!T42</f>
        <v>0</v>
      </c>
      <c r="U42" s="321">
        <f>'CFS (After Changes)'!U42-'CFS (Before Changes) '!U42</f>
        <v>0</v>
      </c>
      <c r="V42" s="321">
        <f>'CFS (After Changes)'!V42-'CFS (Before Changes) '!V42</f>
        <v>0</v>
      </c>
      <c r="W42" s="342">
        <f>'CFS (After Changes)'!W42-'CFS (Before Changes) '!W42</f>
        <v>0</v>
      </c>
      <c r="X42" s="321">
        <f>'CFS (After Changes)'!X42-'CFS (Before Changes) '!X42</f>
        <v>1.7838593571609636</v>
      </c>
      <c r="Y42" s="321">
        <f>'CFS (After Changes)'!Y42-'CFS (Before Changes) '!Y42</f>
        <v>-35.213664339411196</v>
      </c>
      <c r="Z42" s="321">
        <f>'CFS (After Changes)'!Z42-'CFS (Before Changes) '!Z42</f>
        <v>-14.428010497639434</v>
      </c>
      <c r="AA42" s="321">
        <f>'CFS (After Changes)'!AA42-'CFS (Before Changes) '!AA42</f>
        <v>-108.16164331809114</v>
      </c>
      <c r="AB42" s="342">
        <f>'CFS (After Changes)'!AB42-'CFS (Before Changes) '!AB42</f>
        <v>-156.01945879798132</v>
      </c>
      <c r="AC42" s="321">
        <f>'CFS (After Changes)'!AC42-'CFS (Before Changes) '!AC42</f>
        <v>59.006445492847661</v>
      </c>
      <c r="AD42" s="321">
        <f>'CFS (After Changes)'!AD42-'CFS (Before Changes) '!AD42</f>
        <v>67.440479077101429</v>
      </c>
      <c r="AE42" s="321">
        <f>'CFS (After Changes)'!AE42-'CFS (Before Changes) '!AE42</f>
        <v>94.781737958524673</v>
      </c>
      <c r="AF42" s="321">
        <f>'CFS (After Changes)'!AF42-'CFS (Before Changes) '!AF42</f>
        <v>114.13860646706189</v>
      </c>
      <c r="AG42" s="342">
        <f>'CFS (After Changes)'!AG42-'CFS (Before Changes) '!AG42</f>
        <v>335.36726899553651</v>
      </c>
      <c r="AH42" s="321">
        <f>'CFS (After Changes)'!AH42-'CFS (Before Changes) '!AH42</f>
        <v>41.766007198989428</v>
      </c>
      <c r="AI42" s="321">
        <f>'CFS (After Changes)'!AI42-'CFS (Before Changes) '!AI42</f>
        <v>84.47379284389649</v>
      </c>
      <c r="AJ42" s="321">
        <f>'CFS (After Changes)'!AJ42-'CFS (Before Changes) '!AJ42</f>
        <v>116.67289845940036</v>
      </c>
      <c r="AK42" s="321">
        <f>'CFS (After Changes)'!AK42-'CFS (Before Changes) '!AK42</f>
        <v>140.13929272281302</v>
      </c>
      <c r="AL42" s="342">
        <f>'CFS (After Changes)'!AL42-'CFS (Before Changes) '!AL42</f>
        <v>383.05199122510021</v>
      </c>
      <c r="AM42" s="321">
        <f>'CFS (After Changes)'!AM42-'CFS (Before Changes) '!AM42</f>
        <v>56.476449862399932</v>
      </c>
      <c r="AN42" s="321">
        <f>'CFS (After Changes)'!AN42-'CFS (Before Changes) '!AN42</f>
        <v>94.391237535093978</v>
      </c>
      <c r="AO42" s="321">
        <f>'CFS (After Changes)'!AO42-'CFS (Before Changes) '!AO42</f>
        <v>129.28627907956616</v>
      </c>
      <c r="AP42" s="321">
        <f>'CFS (After Changes)'!AP42-'CFS (Before Changes) '!AP42</f>
        <v>156.01845201294668</v>
      </c>
      <c r="AQ42" s="342">
        <f>'CFS (After Changes)'!AQ42-'CFS (Before Changes) '!AQ42</f>
        <v>436.17241849000766</v>
      </c>
      <c r="AR42" s="321">
        <f>'CFS (After Changes)'!AR42-'CFS (Before Changes) '!AR42</f>
        <v>62.863468158050637</v>
      </c>
      <c r="AS42" s="321">
        <f>'CFS (After Changes)'!AS42-'CFS (Before Changes) '!AS42</f>
        <v>103.41562295543042</v>
      </c>
      <c r="AT42" s="321">
        <f>'CFS (After Changes)'!AT42-'CFS (Before Changes) '!AT42</f>
        <v>141.1865933979077</v>
      </c>
      <c r="AU42" s="321">
        <f>'CFS (After Changes)'!AU42-'CFS (Before Changes) '!AU42</f>
        <v>168.15968404752584</v>
      </c>
      <c r="AV42" s="342">
        <f>'CFS (After Changes)'!AV42-'CFS (Before Changes) '!AV42</f>
        <v>475.6253685589154</v>
      </c>
    </row>
    <row r="43" spans="2:48" s="23" customFormat="1" outlineLevel="1" x14ac:dyDescent="0.3">
      <c r="B43" s="325" t="s">
        <v>300</v>
      </c>
      <c r="C43" s="326"/>
      <c r="D43" s="327">
        <f>'CFS (After Changes)'!D43-'CFS (Before Changes) '!D43</f>
        <v>0</v>
      </c>
      <c r="E43" s="327">
        <f>'CFS (After Changes)'!E43-'CFS (Before Changes) '!E43</f>
        <v>0</v>
      </c>
      <c r="F43" s="343">
        <f>'CFS (After Changes)'!F43-'CFS (Before Changes) '!F43</f>
        <v>0</v>
      </c>
      <c r="G43" s="327">
        <f>'CFS (After Changes)'!G43-'CFS (Before Changes) '!G43</f>
        <v>0</v>
      </c>
      <c r="H43" s="328">
        <f>'CFS (After Changes)'!H43-'CFS (Before Changes) '!H43</f>
        <v>0</v>
      </c>
      <c r="I43" s="327">
        <f>'CFS (After Changes)'!I43-'CFS (Before Changes) '!I43</f>
        <v>0</v>
      </c>
      <c r="J43" s="327">
        <f>'CFS (After Changes)'!J43-'CFS (Before Changes) '!J43</f>
        <v>0</v>
      </c>
      <c r="K43" s="327">
        <f>'CFS (After Changes)'!K43-'CFS (Before Changes) '!K43</f>
        <v>0</v>
      </c>
      <c r="L43" s="327">
        <f>'CFS (After Changes)'!L43-'CFS (Before Changes) '!L43</f>
        <v>0</v>
      </c>
      <c r="M43" s="328">
        <f>'CFS (After Changes)'!M43-'CFS (Before Changes) '!M43</f>
        <v>0</v>
      </c>
      <c r="N43" s="327">
        <f>'CFS (After Changes)'!N43-'CFS (Before Changes) '!N43</f>
        <v>0</v>
      </c>
      <c r="O43" s="327">
        <f>'CFS (After Changes)'!O43-'CFS (Before Changes) '!O43</f>
        <v>0</v>
      </c>
      <c r="P43" s="327">
        <f>'CFS (After Changes)'!P43-'CFS (Before Changes) '!P43</f>
        <v>0</v>
      </c>
      <c r="Q43" s="327">
        <f>'CFS (After Changes)'!Q43-'CFS (Before Changes) '!Q43</f>
        <v>0</v>
      </c>
      <c r="R43" s="328">
        <f>'CFS (After Changes)'!R43-'CFS (Before Changes) '!R43</f>
        <v>0</v>
      </c>
      <c r="S43" s="327">
        <f>'CFS (After Changes)'!S43-'CFS (Before Changes) '!S43</f>
        <v>0</v>
      </c>
      <c r="T43" s="327">
        <f>'CFS (After Changes)'!T43-'CFS (Before Changes) '!T43</f>
        <v>0</v>
      </c>
      <c r="U43" s="327">
        <f>'CFS (After Changes)'!U43-'CFS (Before Changes) '!U43</f>
        <v>0</v>
      </c>
      <c r="V43" s="327">
        <f>'CFS (After Changes)'!V43-'CFS (Before Changes) '!V43</f>
        <v>0</v>
      </c>
      <c r="W43" s="328">
        <f>'CFS (After Changes)'!W43-'CFS (Before Changes) '!W43</f>
        <v>0</v>
      </c>
      <c r="X43" s="327">
        <f>'CFS (After Changes)'!X43-'CFS (Before Changes) '!X43</f>
        <v>0</v>
      </c>
      <c r="Y43" s="327">
        <f>'CFS (After Changes)'!Y43-'CFS (Before Changes) '!Y43</f>
        <v>0</v>
      </c>
      <c r="Z43" s="327">
        <f>'CFS (After Changes)'!Z43-'CFS (Before Changes) '!Z43</f>
        <v>0</v>
      </c>
      <c r="AA43" s="327">
        <f>'CFS (After Changes)'!AA43-'CFS (Before Changes) '!AA43</f>
        <v>0</v>
      </c>
      <c r="AB43" s="328">
        <f>'CFS (After Changes)'!AB43-'CFS (Before Changes) '!AB43</f>
        <v>0</v>
      </c>
      <c r="AC43" s="327">
        <f>'CFS (After Changes)'!AC43-'CFS (Before Changes) '!AC43</f>
        <v>0</v>
      </c>
      <c r="AD43" s="327">
        <f>'CFS (After Changes)'!AD43-'CFS (Before Changes) '!AD43</f>
        <v>0</v>
      </c>
      <c r="AE43" s="327">
        <f>'CFS (After Changes)'!AE43-'CFS (Before Changes) '!AE43</f>
        <v>0</v>
      </c>
      <c r="AF43" s="327">
        <f>'CFS (After Changes)'!AF43-'CFS (Before Changes) '!AF43</f>
        <v>0</v>
      </c>
      <c r="AG43" s="328">
        <f>'CFS (After Changes)'!AG43-'CFS (Before Changes) '!AG43</f>
        <v>0</v>
      </c>
      <c r="AH43" s="327">
        <f>'CFS (After Changes)'!AH43-'CFS (Before Changes) '!AH43</f>
        <v>0</v>
      </c>
      <c r="AI43" s="327">
        <f>'CFS (After Changes)'!AI43-'CFS (Before Changes) '!AI43</f>
        <v>0</v>
      </c>
      <c r="AJ43" s="327">
        <f>'CFS (After Changes)'!AJ43-'CFS (Before Changes) '!AJ43</f>
        <v>0</v>
      </c>
      <c r="AK43" s="327">
        <f>'CFS (After Changes)'!AK43-'CFS (Before Changes) '!AK43</f>
        <v>0</v>
      </c>
      <c r="AL43" s="328">
        <f>'CFS (After Changes)'!AL43-'CFS (Before Changes) '!AL43</f>
        <v>0</v>
      </c>
      <c r="AM43" s="327">
        <f>'CFS (After Changes)'!AM43-'CFS (Before Changes) '!AM43</f>
        <v>0</v>
      </c>
      <c r="AN43" s="327">
        <f>'CFS (After Changes)'!AN43-'CFS (Before Changes) '!AN43</f>
        <v>0</v>
      </c>
      <c r="AO43" s="327">
        <f>'CFS (After Changes)'!AO43-'CFS (Before Changes) '!AO43</f>
        <v>0</v>
      </c>
      <c r="AP43" s="327">
        <f>'CFS (After Changes)'!AP43-'CFS (Before Changes) '!AP43</f>
        <v>0</v>
      </c>
      <c r="AQ43" s="328">
        <f>'CFS (After Changes)'!AQ43-'CFS (Before Changes) '!AQ43</f>
        <v>0</v>
      </c>
      <c r="AR43" s="327">
        <f>'CFS (After Changes)'!AR43-'CFS (Before Changes) '!AR43</f>
        <v>0</v>
      </c>
      <c r="AS43" s="327">
        <f>'CFS (After Changes)'!AS43-'CFS (Before Changes) '!AS43</f>
        <v>0</v>
      </c>
      <c r="AT43" s="327">
        <f>'CFS (After Changes)'!AT43-'CFS (Before Changes) '!AT43</f>
        <v>0</v>
      </c>
      <c r="AU43" s="327">
        <f>'CFS (After Changes)'!AU43-'CFS (Before Changes) '!AU43</f>
        <v>0</v>
      </c>
      <c r="AV43" s="328">
        <f>'CFS (After Changes)'!AV43-'CFS (Before Changes) '!AV43</f>
        <v>0</v>
      </c>
    </row>
    <row r="44" spans="2:48" s="23" customFormat="1" outlineLevel="1" x14ac:dyDescent="0.3">
      <c r="B44" s="533" t="s">
        <v>301</v>
      </c>
      <c r="C44" s="534"/>
      <c r="D44" s="344">
        <f>'CFS (After Changes)'!D44-'CFS (Before Changes) '!D44</f>
        <v>0</v>
      </c>
      <c r="E44" s="344">
        <f>'CFS (After Changes)'!E44-'CFS (Before Changes) '!E44</f>
        <v>0</v>
      </c>
      <c r="F44" s="344">
        <f>'CFS (After Changes)'!F44-'CFS (Before Changes) '!F44</f>
        <v>0</v>
      </c>
      <c r="G44" s="344">
        <f>'CFS (After Changes)'!G44-'CFS (Before Changes) '!G44</f>
        <v>0</v>
      </c>
      <c r="H44" s="345">
        <f>'CFS (After Changes)'!H44-'CFS (Before Changes) '!H44</f>
        <v>0</v>
      </c>
      <c r="I44" s="344">
        <f>'CFS (After Changes)'!I44-'CFS (Before Changes) '!I44</f>
        <v>0</v>
      </c>
      <c r="J44" s="344">
        <f>'CFS (After Changes)'!J44-'CFS (Before Changes) '!J44</f>
        <v>0</v>
      </c>
      <c r="K44" s="344">
        <f>'CFS (After Changes)'!K44-'CFS (Before Changes) '!K44</f>
        <v>0</v>
      </c>
      <c r="L44" s="344">
        <f>'CFS (After Changes)'!L44-'CFS (Before Changes) '!L44</f>
        <v>0</v>
      </c>
      <c r="M44" s="345">
        <f>'CFS (After Changes)'!M44-'CFS (Before Changes) '!M44</f>
        <v>0</v>
      </c>
      <c r="N44" s="344">
        <f>'CFS (After Changes)'!N44-'CFS (Before Changes) '!N44</f>
        <v>0</v>
      </c>
      <c r="O44" s="344">
        <f>'CFS (After Changes)'!O44-'CFS (Before Changes) '!O44</f>
        <v>0</v>
      </c>
      <c r="P44" s="344">
        <f>'CFS (After Changes)'!P44-'CFS (Before Changes) '!P44</f>
        <v>0</v>
      </c>
      <c r="Q44" s="344">
        <f>'CFS (After Changes)'!Q44-'CFS (Before Changes) '!Q44</f>
        <v>0</v>
      </c>
      <c r="R44" s="345">
        <f>'CFS (After Changes)'!R44-'CFS (Before Changes) '!R44</f>
        <v>0</v>
      </c>
      <c r="S44" s="344">
        <f>'CFS (After Changes)'!S44-'CFS (Before Changes) '!S44</f>
        <v>0</v>
      </c>
      <c r="T44" s="344">
        <f>'CFS (After Changes)'!T44-'CFS (Before Changes) '!T44</f>
        <v>0</v>
      </c>
      <c r="U44" s="344">
        <f>'CFS (After Changes)'!U44-'CFS (Before Changes) '!U44</f>
        <v>0</v>
      </c>
      <c r="V44" s="344">
        <f>'CFS (After Changes)'!V44-'CFS (Before Changes) '!V44</f>
        <v>0</v>
      </c>
      <c r="W44" s="345">
        <f>'CFS (After Changes)'!W44-'CFS (Before Changes) '!W44</f>
        <v>0</v>
      </c>
      <c r="X44" s="344">
        <f>'CFS (After Changes)'!X44-'CFS (Before Changes) '!X44</f>
        <v>0</v>
      </c>
      <c r="Y44" s="344">
        <f>'CFS (After Changes)'!Y44-'CFS (Before Changes) '!Y44</f>
        <v>0</v>
      </c>
      <c r="Z44" s="344">
        <f>'CFS (After Changes)'!Z44-'CFS (Before Changes) '!Z44</f>
        <v>0</v>
      </c>
      <c r="AA44" s="344">
        <f>'CFS (After Changes)'!AA44-'CFS (Before Changes) '!AA44</f>
        <v>0</v>
      </c>
      <c r="AB44" s="345">
        <f>'CFS (After Changes)'!AB44-'CFS (Before Changes) '!AB44</f>
        <v>-140.97845741527863</v>
      </c>
      <c r="AC44" s="344">
        <f>'CFS (After Changes)'!AC44-'CFS (Before Changes) '!AC44</f>
        <v>0</v>
      </c>
      <c r="AD44" s="344">
        <f>'CFS (After Changes)'!AD44-'CFS (Before Changes) '!AD44</f>
        <v>0</v>
      </c>
      <c r="AE44" s="344">
        <f>'CFS (After Changes)'!AE44-'CFS (Before Changes) '!AE44</f>
        <v>0</v>
      </c>
      <c r="AF44" s="344">
        <f>'CFS (After Changes)'!AF44-'CFS (Before Changes) '!AF44</f>
        <v>0</v>
      </c>
      <c r="AG44" s="345">
        <f>'CFS (After Changes)'!AG44-'CFS (Before Changes) '!AG44</f>
        <v>267.57388247912195</v>
      </c>
      <c r="AH44" s="344">
        <f>'CFS (After Changes)'!AH44-'CFS (Before Changes) '!AH44</f>
        <v>0</v>
      </c>
      <c r="AI44" s="344">
        <f>'CFS (After Changes)'!AI44-'CFS (Before Changes) '!AI44</f>
        <v>0</v>
      </c>
      <c r="AJ44" s="344">
        <f>'CFS (After Changes)'!AJ44-'CFS (Before Changes) '!AJ44</f>
        <v>0</v>
      </c>
      <c r="AK44" s="344">
        <f>'CFS (After Changes)'!AK44-'CFS (Before Changes) '!AK44</f>
        <v>0</v>
      </c>
      <c r="AL44" s="345">
        <f>'CFS (After Changes)'!AL44-'CFS (Before Changes) '!AL44</f>
        <v>272.80252522526052</v>
      </c>
      <c r="AM44" s="344">
        <f>'CFS (After Changes)'!AM44-'CFS (Before Changes) '!AM44</f>
        <v>0</v>
      </c>
      <c r="AN44" s="344">
        <f>'CFS (After Changes)'!AN44-'CFS (Before Changes) '!AN44</f>
        <v>0</v>
      </c>
      <c r="AO44" s="344">
        <f>'CFS (After Changes)'!AO44-'CFS (Before Changes) '!AO44</f>
        <v>0</v>
      </c>
      <c r="AP44" s="344">
        <f>'CFS (After Changes)'!AP44-'CFS (Before Changes) '!AP44</f>
        <v>0</v>
      </c>
      <c r="AQ44" s="345">
        <f>'CFS (After Changes)'!AQ44-'CFS (Before Changes) '!AQ44</f>
        <v>277.40703216687007</v>
      </c>
      <c r="AR44" s="344">
        <f>'CFS (After Changes)'!AR44-'CFS (Before Changes) '!AR44</f>
        <v>0</v>
      </c>
      <c r="AS44" s="344">
        <f>'CFS (After Changes)'!AS44-'CFS (Before Changes) '!AS44</f>
        <v>0</v>
      </c>
      <c r="AT44" s="344">
        <f>'CFS (After Changes)'!AT44-'CFS (Before Changes) '!AT44</f>
        <v>0</v>
      </c>
      <c r="AU44" s="344">
        <f>'CFS (After Changes)'!AU44-'CFS (Before Changes) '!AU44</f>
        <v>0</v>
      </c>
      <c r="AV44" s="345">
        <f>'CFS (After Changes)'!AV44-'CFS (Before Changes) '!AV44</f>
        <v>270.21166436097883</v>
      </c>
    </row>
    <row r="45" spans="2:48" outlineLevel="1" x14ac:dyDescent="0.3">
      <c r="B45" s="250" t="s">
        <v>302</v>
      </c>
      <c r="C45" s="249"/>
      <c r="D45" s="334">
        <f>'CFS (After Changes)'!D45-'CFS (Before Changes) '!D45</f>
        <v>0</v>
      </c>
      <c r="E45" s="334">
        <f>'CFS (After Changes)'!E45-'CFS (Before Changes) '!E45</f>
        <v>0</v>
      </c>
      <c r="F45" s="334">
        <f>'CFS (After Changes)'!F45-'CFS (Before Changes) '!F45</f>
        <v>0</v>
      </c>
      <c r="G45" s="334">
        <f>'CFS (After Changes)'!G45-'CFS (Before Changes) '!G45</f>
        <v>0</v>
      </c>
      <c r="H45" s="335">
        <f>'CFS (After Changes)'!H45-'CFS (Before Changes) '!H45</f>
        <v>0</v>
      </c>
      <c r="I45" s="334">
        <f>'CFS (After Changes)'!I45-'CFS (Before Changes) '!I45</f>
        <v>0</v>
      </c>
      <c r="J45" s="334">
        <f>'CFS (After Changes)'!J45-'CFS (Before Changes) '!J45</f>
        <v>0</v>
      </c>
      <c r="K45" s="334">
        <f>'CFS (After Changes)'!K45-'CFS (Before Changes) '!K45</f>
        <v>0</v>
      </c>
      <c r="L45" s="334">
        <f>'CFS (After Changes)'!L45-'CFS (Before Changes) '!L45</f>
        <v>0</v>
      </c>
      <c r="M45" s="335">
        <f>'CFS (After Changes)'!M45-'CFS (Before Changes) '!M45</f>
        <v>0</v>
      </c>
      <c r="N45" s="334">
        <f>'CFS (After Changes)'!N45-'CFS (Before Changes) '!N45</f>
        <v>0</v>
      </c>
      <c r="O45" s="334">
        <f>'CFS (After Changes)'!O45-'CFS (Before Changes) '!O45</f>
        <v>0</v>
      </c>
      <c r="P45" s="334">
        <f>'CFS (After Changes)'!P45-'CFS (Before Changes) '!P45</f>
        <v>0</v>
      </c>
      <c r="Q45" s="334">
        <f>'CFS (After Changes)'!Q45-'CFS (Before Changes) '!Q45</f>
        <v>0</v>
      </c>
      <c r="R45" s="335">
        <f>'CFS (After Changes)'!R45-'CFS (Before Changes) '!R45</f>
        <v>0</v>
      </c>
      <c r="S45" s="334">
        <f>'CFS (After Changes)'!S45-'CFS (Before Changes) '!S45</f>
        <v>0</v>
      </c>
      <c r="T45" s="334">
        <f>'CFS (After Changes)'!T45-'CFS (Before Changes) '!T45</f>
        <v>0</v>
      </c>
      <c r="U45" s="334">
        <f>'CFS (After Changes)'!U45-'CFS (Before Changes) '!U45</f>
        <v>0</v>
      </c>
      <c r="V45" s="334">
        <f>'CFS (After Changes)'!V45-'CFS (Before Changes) '!V45</f>
        <v>0</v>
      </c>
      <c r="W45" s="335">
        <f>'CFS (After Changes)'!W45-'CFS (Before Changes) '!W45</f>
        <v>0</v>
      </c>
      <c r="X45" s="334">
        <f>'CFS (After Changes)'!X45-'CFS (Before Changes) '!X45</f>
        <v>0</v>
      </c>
      <c r="Y45" s="334">
        <f>'CFS (After Changes)'!Y45-'CFS (Before Changes) '!Y45</f>
        <v>0</v>
      </c>
      <c r="Z45" s="334">
        <f>'CFS (After Changes)'!Z45-'CFS (Before Changes) '!Z45</f>
        <v>0</v>
      </c>
      <c r="AA45" s="334">
        <f>'CFS (After Changes)'!AA45-'CFS (Before Changes) '!AA45</f>
        <v>0</v>
      </c>
      <c r="AB45" s="335">
        <f>'CFS (After Changes)'!AB45-'CFS (Before Changes) '!AB45</f>
        <v>0</v>
      </c>
      <c r="AC45" s="334">
        <f>'CFS (After Changes)'!AC45-'CFS (Before Changes) '!AC45</f>
        <v>0</v>
      </c>
      <c r="AD45" s="334">
        <f>'CFS (After Changes)'!AD45-'CFS (Before Changes) '!AD45</f>
        <v>0</v>
      </c>
      <c r="AE45" s="334">
        <f>'CFS (After Changes)'!AE45-'CFS (Before Changes) '!AE45</f>
        <v>0</v>
      </c>
      <c r="AF45" s="334">
        <f>'CFS (After Changes)'!AF45-'CFS (Before Changes) '!AF45</f>
        <v>0</v>
      </c>
      <c r="AG45" s="335">
        <f>'CFS (After Changes)'!AG45-'CFS (Before Changes) '!AG45</f>
        <v>0</v>
      </c>
      <c r="AH45" s="334">
        <f>'CFS (After Changes)'!AH45-'CFS (Before Changes) '!AH45</f>
        <v>0</v>
      </c>
      <c r="AI45" s="334">
        <f>'CFS (After Changes)'!AI45-'CFS (Before Changes) '!AI45</f>
        <v>0</v>
      </c>
      <c r="AJ45" s="334">
        <f>'CFS (After Changes)'!AJ45-'CFS (Before Changes) '!AJ45</f>
        <v>0</v>
      </c>
      <c r="AK45" s="334">
        <f>'CFS (After Changes)'!AK45-'CFS (Before Changes) '!AK45</f>
        <v>0</v>
      </c>
      <c r="AL45" s="335">
        <f>'CFS (After Changes)'!AL45-'CFS (Before Changes) '!AL45</f>
        <v>0</v>
      </c>
      <c r="AM45" s="334">
        <f>'CFS (After Changes)'!AM45-'CFS (Before Changes) '!AM45</f>
        <v>0</v>
      </c>
      <c r="AN45" s="334">
        <f>'CFS (After Changes)'!AN45-'CFS (Before Changes) '!AN45</f>
        <v>0</v>
      </c>
      <c r="AO45" s="334">
        <f>'CFS (After Changes)'!AO45-'CFS (Before Changes) '!AO45</f>
        <v>0</v>
      </c>
      <c r="AP45" s="334">
        <f>'CFS (After Changes)'!AP45-'CFS (Before Changes) '!AP45</f>
        <v>0</v>
      </c>
      <c r="AQ45" s="335">
        <f>'CFS (After Changes)'!AQ45-'CFS (Before Changes) '!AQ45</f>
        <v>0</v>
      </c>
      <c r="AR45" s="334">
        <f>'CFS (After Changes)'!AR45-'CFS (Before Changes) '!AR45</f>
        <v>0</v>
      </c>
      <c r="AS45" s="334">
        <f>'CFS (After Changes)'!AS45-'CFS (Before Changes) '!AS45</f>
        <v>0</v>
      </c>
      <c r="AT45" s="334">
        <f>'CFS (After Changes)'!AT45-'CFS (Before Changes) '!AT45</f>
        <v>0</v>
      </c>
      <c r="AU45" s="334">
        <f>'CFS (After Changes)'!AU45-'CFS (Before Changes) '!AU45</f>
        <v>0</v>
      </c>
      <c r="AV45" s="335">
        <f>'CFS (After Changes)'!AV45-'CFS (Before Changes) '!AV45</f>
        <v>0</v>
      </c>
    </row>
    <row r="46" spans="2:48" outlineLevel="1" x14ac:dyDescent="0.3">
      <c r="B46" s="200" t="s">
        <v>303</v>
      </c>
      <c r="C46" s="201"/>
      <c r="D46" s="16">
        <f>'CFS (After Changes)'!D46-'CFS (Before Changes) '!D46</f>
        <v>0</v>
      </c>
      <c r="E46" s="16">
        <f>'CFS (After Changes)'!E46-'CFS (Before Changes) '!E46</f>
        <v>0</v>
      </c>
      <c r="F46" s="16">
        <f>'CFS (After Changes)'!F46-'CFS (Before Changes) '!F46</f>
        <v>0</v>
      </c>
      <c r="G46" s="16">
        <f>'CFS (After Changes)'!G46-'CFS (Before Changes) '!G46</f>
        <v>0</v>
      </c>
      <c r="H46" s="17">
        <f>'CFS (After Changes)'!H46-'CFS (Before Changes) '!H46</f>
        <v>0</v>
      </c>
      <c r="I46" s="16">
        <f>'CFS (After Changes)'!I46-'CFS (Before Changes) '!I46</f>
        <v>0</v>
      </c>
      <c r="J46" s="16">
        <f>'CFS (After Changes)'!J46-'CFS (Before Changes) '!J46</f>
        <v>0</v>
      </c>
      <c r="K46" s="16">
        <f>'CFS (After Changes)'!K46-'CFS (Before Changes) '!K46</f>
        <v>0</v>
      </c>
      <c r="L46" s="16">
        <f>'CFS (After Changes)'!L46-'CFS (Before Changes) '!L46</f>
        <v>0</v>
      </c>
      <c r="M46" s="17">
        <f>'CFS (After Changes)'!M46-'CFS (Before Changes) '!M46</f>
        <v>0</v>
      </c>
      <c r="N46" s="16">
        <f>'CFS (After Changes)'!N46-'CFS (Before Changes) '!N46</f>
        <v>0</v>
      </c>
      <c r="O46" s="16">
        <f>'CFS (After Changes)'!O46-'CFS (Before Changes) '!O46</f>
        <v>0</v>
      </c>
      <c r="P46" s="16">
        <f>'CFS (After Changes)'!P46-'CFS (Before Changes) '!P46</f>
        <v>0</v>
      </c>
      <c r="Q46" s="16">
        <f>'CFS (After Changes)'!Q46-'CFS (Before Changes) '!Q46</f>
        <v>0</v>
      </c>
      <c r="R46" s="17">
        <f>'CFS (After Changes)'!R46-'CFS (Before Changes) '!R46</f>
        <v>0</v>
      </c>
      <c r="S46" s="16">
        <f>'CFS (After Changes)'!S46-'CFS (Before Changes) '!S46</f>
        <v>0</v>
      </c>
      <c r="T46" s="16">
        <f>'CFS (After Changes)'!T46-'CFS (Before Changes) '!T46</f>
        <v>0</v>
      </c>
      <c r="U46" s="16">
        <f>'CFS (After Changes)'!U46-'CFS (Before Changes) '!U46</f>
        <v>0</v>
      </c>
      <c r="V46" s="16">
        <f>'CFS (After Changes)'!V46-'CFS (Before Changes) '!V46</f>
        <v>0</v>
      </c>
      <c r="W46" s="17">
        <f>'CFS (After Changes)'!W46-'CFS (Before Changes) '!W46</f>
        <v>0</v>
      </c>
      <c r="X46" s="16">
        <f>'CFS (After Changes)'!X46-'CFS (Before Changes) '!X46</f>
        <v>1.5531716251771286</v>
      </c>
      <c r="Y46" s="16">
        <f>'CFS (After Changes)'!Y46-'CFS (Before Changes) '!Y46</f>
        <v>-33.474334032119714</v>
      </c>
      <c r="Z46" s="16">
        <f>'CFS (After Changes)'!Z46-'CFS (Before Changes) '!Z46</f>
        <v>-48.875999388352739</v>
      </c>
      <c r="AA46" s="16">
        <f>'CFS (After Changes)'!AA46-'CFS (Before Changes) '!AA46</f>
        <v>-156.1750502957002</v>
      </c>
      <c r="AB46" s="17">
        <f>'CFS (After Changes)'!AB46-'CFS (Before Changes) '!AB46</f>
        <v>-156.1750502957002</v>
      </c>
      <c r="AC46" s="16">
        <f>'CFS (After Changes)'!AC46-'CFS (Before Changes) '!AC46</f>
        <v>-96.082589496167202</v>
      </c>
      <c r="AD46" s="16">
        <f>'CFS (After Changes)'!AD46-'CFS (Before Changes) '!AD46</f>
        <v>-29.668633403724016</v>
      </c>
      <c r="AE46" s="16">
        <f>'CFS (After Changes)'!AE46-'CFS (Before Changes) '!AE46</f>
        <v>62.072353521319201</v>
      </c>
      <c r="AF46" s="16">
        <f>'CFS (After Changes)'!AF46-'CFS (Before Changes) '!AF46</f>
        <v>173.53731173490633</v>
      </c>
      <c r="AG46" s="17">
        <f>'CFS (After Changes)'!AG46-'CFS (Before Changes) '!AG46</f>
        <v>173.53731173490633</v>
      </c>
      <c r="AH46" s="16">
        <f>'CFS (After Changes)'!AH46-'CFS (Before Changes) '!AH46</f>
        <v>214.7598006256203</v>
      </c>
      <c r="AI46" s="16">
        <f>'CFS (After Changes)'!AI46-'CFS (Before Changes) '!AI46</f>
        <v>297.87381034134432</v>
      </c>
      <c r="AJ46" s="16">
        <f>'CFS (After Changes)'!AJ46-'CFS (Before Changes) '!AJ46</f>
        <v>410.89068504570878</v>
      </c>
      <c r="AK46" s="16">
        <f>'CFS (After Changes)'!AK46-'CFS (Before Changes) '!AK46</f>
        <v>547.80045194978311</v>
      </c>
      <c r="AL46" s="17">
        <f>'CFS (After Changes)'!AL46-'CFS (Before Changes) '!AL46</f>
        <v>547.80045194978311</v>
      </c>
      <c r="AM46" s="16">
        <f>'CFS (After Changes)'!AM46-'CFS (Before Changes) '!AM46</f>
        <v>603.73542090284582</v>
      </c>
      <c r="AN46" s="16">
        <f>'CFS (After Changes)'!AN46-'CFS (Before Changes) '!AN46</f>
        <v>696.62302247086473</v>
      </c>
      <c r="AO46" s="16">
        <f>'CFS (After Changes)'!AO46-'CFS (Before Changes) '!AO46</f>
        <v>821.91642503395906</v>
      </c>
      <c r="AP46" s="16">
        <f>'CFS (After Changes)'!AP46-'CFS (Before Changes) '!AP46</f>
        <v>974.39979249058524</v>
      </c>
      <c r="AQ46" s="17">
        <f>'CFS (After Changes)'!AQ46-'CFS (Before Changes) '!AQ46</f>
        <v>974.39979249058524</v>
      </c>
      <c r="AR46" s="16">
        <f>'CFS (After Changes)'!AR46-'CFS (Before Changes) '!AR46</f>
        <v>1036.658641654768</v>
      </c>
      <c r="AS46" s="16">
        <f>'CFS (After Changes)'!AS46-'CFS (Before Changes) '!AS46</f>
        <v>1138.4414255545071</v>
      </c>
      <c r="AT46" s="16">
        <f>'CFS (After Changes)'!AT46-'CFS (Before Changes) '!AT46</f>
        <v>1275.3429722797182</v>
      </c>
      <c r="AU46" s="16">
        <f>'CFS (After Changes)'!AU46-'CFS (Before Changes) '!AU46</f>
        <v>1439.703821626571</v>
      </c>
      <c r="AV46" s="17">
        <f>'CFS (After Changes)'!AV46-'CFS (Before Changes) '!AV46</f>
        <v>1439.703821626571</v>
      </c>
    </row>
    <row r="47" spans="2:48" outlineLevel="1" x14ac:dyDescent="0.3">
      <c r="B47" s="200" t="s">
        <v>304</v>
      </c>
      <c r="C47" s="201"/>
      <c r="D47" s="16">
        <f>'CFS (After Changes)'!D47-'CFS (Before Changes) '!D47</f>
        <v>0</v>
      </c>
      <c r="E47" s="16">
        <f>'CFS (After Changes)'!E47-'CFS (Before Changes) '!E47</f>
        <v>0</v>
      </c>
      <c r="F47" s="16">
        <f>'CFS (After Changes)'!F47-'CFS (Before Changes) '!F47</f>
        <v>0</v>
      </c>
      <c r="G47" s="16">
        <f>'CFS (After Changes)'!G47-'CFS (Before Changes) '!G47</f>
        <v>0</v>
      </c>
      <c r="H47" s="17">
        <f>'CFS (After Changes)'!H47-'CFS (Before Changes) '!H47</f>
        <v>0</v>
      </c>
      <c r="I47" s="16">
        <f>'CFS (After Changes)'!I47-'CFS (Before Changes) '!I47</f>
        <v>0</v>
      </c>
      <c r="J47" s="16">
        <f>'CFS (After Changes)'!J47-'CFS (Before Changes) '!J47</f>
        <v>0</v>
      </c>
      <c r="K47" s="16">
        <f>'CFS (After Changes)'!K47-'CFS (Before Changes) '!K47</f>
        <v>0</v>
      </c>
      <c r="L47" s="16">
        <f>'CFS (After Changes)'!L47-'CFS (Before Changes) '!L47</f>
        <v>0</v>
      </c>
      <c r="M47" s="17">
        <f>'CFS (After Changes)'!M47-'CFS (Before Changes) '!M47</f>
        <v>0</v>
      </c>
      <c r="N47" s="16">
        <f>'CFS (After Changes)'!N47-'CFS (Before Changes) '!N47</f>
        <v>0</v>
      </c>
      <c r="O47" s="16">
        <f>'CFS (After Changes)'!O47-'CFS (Before Changes) '!O47</f>
        <v>0</v>
      </c>
      <c r="P47" s="16">
        <f>'CFS (After Changes)'!P47-'CFS (Before Changes) '!P47</f>
        <v>0</v>
      </c>
      <c r="Q47" s="16">
        <f>'CFS (After Changes)'!Q47-'CFS (Before Changes) '!Q47</f>
        <v>0</v>
      </c>
      <c r="R47" s="17">
        <f>'CFS (After Changes)'!R47-'CFS (Before Changes) '!R47</f>
        <v>0</v>
      </c>
      <c r="S47" s="16">
        <f>'CFS (After Changes)'!S47-'CFS (Before Changes) '!S47</f>
        <v>0</v>
      </c>
      <c r="T47" s="16">
        <f>'CFS (After Changes)'!T47-'CFS (Before Changes) '!T47</f>
        <v>0</v>
      </c>
      <c r="U47" s="16">
        <f>'CFS (After Changes)'!U47-'CFS (Before Changes) '!U47</f>
        <v>0</v>
      </c>
      <c r="V47" s="16">
        <f>'CFS (After Changes)'!V47-'CFS (Before Changes) '!V47</f>
        <v>0</v>
      </c>
      <c r="W47" s="17">
        <f>'CFS (After Changes)'!W47-'CFS (Before Changes) '!W47</f>
        <v>0</v>
      </c>
      <c r="X47" s="16">
        <f>'CFS (After Changes)'!X47-'CFS (Before Changes) '!X47</f>
        <v>0</v>
      </c>
      <c r="Y47" s="16">
        <f>'CFS (After Changes)'!Y47-'CFS (Before Changes) '!Y47</f>
        <v>0</v>
      </c>
      <c r="Z47" s="16">
        <f>'CFS (After Changes)'!Z47-'CFS (Before Changes) '!Z47</f>
        <v>0</v>
      </c>
      <c r="AA47" s="16">
        <f>'CFS (After Changes)'!AA47-'CFS (Before Changes) '!AA47</f>
        <v>0</v>
      </c>
      <c r="AB47" s="17">
        <f>'CFS (After Changes)'!AB47-'CFS (Before Changes) '!AB47</f>
        <v>0</v>
      </c>
      <c r="AC47" s="16">
        <f>'CFS (After Changes)'!AC47-'CFS (Before Changes) '!AC47</f>
        <v>0</v>
      </c>
      <c r="AD47" s="16">
        <f>'CFS (After Changes)'!AD47-'CFS (Before Changes) '!AD47</f>
        <v>0</v>
      </c>
      <c r="AE47" s="16">
        <f>'CFS (After Changes)'!AE47-'CFS (Before Changes) '!AE47</f>
        <v>0</v>
      </c>
      <c r="AF47" s="16">
        <f>'CFS (After Changes)'!AF47-'CFS (Before Changes) '!AF47</f>
        <v>0</v>
      </c>
      <c r="AG47" s="17">
        <f>'CFS (After Changes)'!AG47-'CFS (Before Changes) '!AG47</f>
        <v>0</v>
      </c>
      <c r="AH47" s="16">
        <f>'CFS (After Changes)'!AH47-'CFS (Before Changes) '!AH47</f>
        <v>0</v>
      </c>
      <c r="AI47" s="16">
        <f>'CFS (After Changes)'!AI47-'CFS (Before Changes) '!AI47</f>
        <v>0</v>
      </c>
      <c r="AJ47" s="16">
        <f>'CFS (After Changes)'!AJ47-'CFS (Before Changes) '!AJ47</f>
        <v>0</v>
      </c>
      <c r="AK47" s="16">
        <f>'CFS (After Changes)'!AK47-'CFS (Before Changes) '!AK47</f>
        <v>0</v>
      </c>
      <c r="AL47" s="17">
        <f>'CFS (After Changes)'!AL47-'CFS (Before Changes) '!AL47</f>
        <v>0</v>
      </c>
      <c r="AM47" s="16">
        <f>'CFS (After Changes)'!AM47-'CFS (Before Changes) '!AM47</f>
        <v>0</v>
      </c>
      <c r="AN47" s="16">
        <f>'CFS (After Changes)'!AN47-'CFS (Before Changes) '!AN47</f>
        <v>0</v>
      </c>
      <c r="AO47" s="16">
        <f>'CFS (After Changes)'!AO47-'CFS (Before Changes) '!AO47</f>
        <v>0</v>
      </c>
      <c r="AP47" s="16">
        <f>'CFS (After Changes)'!AP47-'CFS (Before Changes) '!AP47</f>
        <v>0</v>
      </c>
      <c r="AQ47" s="17">
        <f>'CFS (After Changes)'!AQ47-'CFS (Before Changes) '!AQ47</f>
        <v>0</v>
      </c>
      <c r="AR47" s="16">
        <f>'CFS (After Changes)'!AR47-'CFS (Before Changes) '!AR47</f>
        <v>0</v>
      </c>
      <c r="AS47" s="16">
        <f>'CFS (After Changes)'!AS47-'CFS (Before Changes) '!AS47</f>
        <v>0</v>
      </c>
      <c r="AT47" s="16">
        <f>'CFS (After Changes)'!AT47-'CFS (Before Changes) '!AT47</f>
        <v>0</v>
      </c>
      <c r="AU47" s="16">
        <f>'CFS (After Changes)'!AU47-'CFS (Before Changes) '!AU47</f>
        <v>0</v>
      </c>
      <c r="AV47" s="17">
        <f>'CFS (After Changes)'!AV47-'CFS (Before Changes) '!AV47</f>
        <v>0</v>
      </c>
    </row>
    <row r="48" spans="2:48" outlineLevel="1" x14ac:dyDescent="0.3">
      <c r="B48" s="535" t="s">
        <v>305</v>
      </c>
      <c r="C48" s="536"/>
      <c r="D48" s="346">
        <f>'CFS (After Changes)'!D48-'CFS (Before Changes) '!D48</f>
        <v>0</v>
      </c>
      <c r="E48" s="346">
        <f>'CFS (After Changes)'!E48-'CFS (Before Changes) '!E48</f>
        <v>0</v>
      </c>
      <c r="F48" s="346">
        <f>'CFS (After Changes)'!F48-'CFS (Before Changes) '!F48</f>
        <v>0</v>
      </c>
      <c r="G48" s="346">
        <f>'CFS (After Changes)'!G48-'CFS (Before Changes) '!G48</f>
        <v>0</v>
      </c>
      <c r="H48" s="347">
        <f>'CFS (After Changes)'!H48-'CFS (Before Changes) '!H48</f>
        <v>0</v>
      </c>
      <c r="I48" s="346">
        <f>'CFS (After Changes)'!I48-'CFS (Before Changes) '!I48</f>
        <v>0</v>
      </c>
      <c r="J48" s="346">
        <f>'CFS (After Changes)'!J48-'CFS (Before Changes) '!J48</f>
        <v>0</v>
      </c>
      <c r="K48" s="346">
        <f>'CFS (After Changes)'!K48-'CFS (Before Changes) '!K48</f>
        <v>0</v>
      </c>
      <c r="L48" s="346">
        <f>'CFS (After Changes)'!L48-'CFS (Before Changes) '!L48</f>
        <v>0</v>
      </c>
      <c r="M48" s="347">
        <f>'CFS (After Changes)'!M48-'CFS (Before Changes) '!M48</f>
        <v>0</v>
      </c>
      <c r="N48" s="346">
        <f>'CFS (After Changes)'!N48-'CFS (Before Changes) '!N48</f>
        <v>0</v>
      </c>
      <c r="O48" s="346">
        <f>'CFS (After Changes)'!O48-'CFS (Before Changes) '!O48</f>
        <v>0</v>
      </c>
      <c r="P48" s="346">
        <f>'CFS (After Changes)'!P48-'CFS (Before Changes) '!P48</f>
        <v>0</v>
      </c>
      <c r="Q48" s="346">
        <f>'CFS (After Changes)'!Q48-'CFS (Before Changes) '!Q48</f>
        <v>0</v>
      </c>
      <c r="R48" s="347">
        <f>'CFS (After Changes)'!R48-'CFS (Before Changes) '!R48</f>
        <v>0</v>
      </c>
      <c r="S48" s="346">
        <f>'CFS (After Changes)'!S48-'CFS (Before Changes) '!S48</f>
        <v>0</v>
      </c>
      <c r="T48" s="346">
        <f>'CFS (After Changes)'!T48-'CFS (Before Changes) '!T48</f>
        <v>0</v>
      </c>
      <c r="U48" s="346">
        <f>'CFS (After Changes)'!U48-'CFS (Before Changes) '!U48</f>
        <v>0</v>
      </c>
      <c r="V48" s="346">
        <f>'CFS (After Changes)'!V48-'CFS (Before Changes) '!V48</f>
        <v>0</v>
      </c>
      <c r="W48" s="347">
        <f>'CFS (After Changes)'!W48-'CFS (Before Changes) '!W48</f>
        <v>0</v>
      </c>
      <c r="X48" s="346">
        <f>'CFS (After Changes)'!X48-'CFS (Before Changes) '!X48</f>
        <v>1.3463080305182729E-3</v>
      </c>
      <c r="Y48" s="346">
        <f>'CFS (After Changes)'!Y48-'CFS (Before Changes) '!Y48</f>
        <v>-2.8986972367313513E-2</v>
      </c>
      <c r="Z48" s="346">
        <f>'CFS (After Changes)'!Z48-'CFS (Before Changes) '!Z48</f>
        <v>-4.2281704258705588E-2</v>
      </c>
      <c r="AA48" s="346">
        <f>'CFS (After Changes)'!AA48-'CFS (Before Changes) '!AA48</f>
        <v>-0.13496911820128155</v>
      </c>
      <c r="AB48" s="347">
        <f>'CFS (After Changes)'!AB48-'CFS (Before Changes) '!AB48</f>
        <v>-0.13541040124268555</v>
      </c>
      <c r="AC48" s="346">
        <f>'CFS (After Changes)'!AC48-'CFS (Before Changes) '!AC48</f>
        <v>-8.295324462590159E-2</v>
      </c>
      <c r="AD48" s="346">
        <f>'CFS (After Changes)'!AD48-'CFS (Before Changes) '!AD48</f>
        <v>-2.5588931008146076E-2</v>
      </c>
      <c r="AE48" s="346">
        <f>'CFS (After Changes)'!AE48-'CFS (Before Changes) '!AE48</f>
        <v>5.3524290781838957E-2</v>
      </c>
      <c r="AF48" s="346">
        <f>'CFS (After Changes)'!AF48-'CFS (Before Changes) '!AF48</f>
        <v>0.14960413751949986</v>
      </c>
      <c r="AG48" s="347">
        <f>'CFS (After Changes)'!AG48-'CFS (Before Changes) '!AG48</f>
        <v>0.14984406331252131</v>
      </c>
      <c r="AH48" s="346">
        <f>'CFS (After Changes)'!AH48-'CFS (Before Changes) '!AH48</f>
        <v>0.1850912407677674</v>
      </c>
      <c r="AI48" s="346">
        <f>'CFS (After Changes)'!AI48-'CFS (Before Changes) '!AI48</f>
        <v>0.25665353187296791</v>
      </c>
      <c r="AJ48" s="346">
        <f>'CFS (After Changes)'!AJ48-'CFS (Before Changes) '!AJ48</f>
        <v>0.36825559302134359</v>
      </c>
      <c r="AK48" s="346">
        <f>'CFS (After Changes)'!AK48-'CFS (Before Changes) '!AK48</f>
        <v>0.51153273216561601</v>
      </c>
      <c r="AL48" s="347">
        <f>'CFS (After Changes)'!AL48-'CFS (Before Changes) '!AL48</f>
        <v>0.47280741605455034</v>
      </c>
      <c r="AM48" s="346">
        <f>'CFS (After Changes)'!AM48-'CFS (Before Changes) '!AM48</f>
        <v>0.56426835931972086</v>
      </c>
      <c r="AN48" s="346">
        <f>'CFS (After Changes)'!AN48-'CFS (Before Changes) '!AN48</f>
        <v>0.65166680622246176</v>
      </c>
      <c r="AO48" s="346">
        <f>'CFS (After Changes)'!AO48-'CFS (Before Changes) '!AO48</f>
        <v>0.76956429285305816</v>
      </c>
      <c r="AP48" s="346">
        <f>'CFS (After Changes)'!AP48-'CFS (Before Changes) '!AP48</f>
        <v>0.91315529968526121</v>
      </c>
      <c r="AQ48" s="347">
        <f>'CFS (After Changes)'!AQ48-'CFS (Before Changes) '!AQ48</f>
        <v>0.91147008385872041</v>
      </c>
      <c r="AR48" s="346">
        <f>'CFS (After Changes)'!AR48-'CFS (Before Changes) '!AR48</f>
        <v>0.97233964834976661</v>
      </c>
      <c r="AS48" s="346">
        <f>'CFS (After Changes)'!AS48-'CFS (Before Changes) '!AS48</f>
        <v>1.0687309178940918</v>
      </c>
      <c r="AT48" s="346">
        <f>'CFS (After Changes)'!AT48-'CFS (Before Changes) '!AT48</f>
        <v>1.1982869720659615</v>
      </c>
      <c r="AU48" s="346">
        <f>'CFS (After Changes)'!AU48-'CFS (Before Changes) '!AU48</f>
        <v>1.3538915126651379</v>
      </c>
      <c r="AV48" s="347">
        <f>'CFS (After Changes)'!AV48-'CFS (Before Changes) '!AV48</f>
        <v>1.3517730667442045</v>
      </c>
    </row>
    <row r="49" spans="2:48" x14ac:dyDescent="0.3">
      <c r="B49" s="537"/>
      <c r="C49" s="5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494" t="s">
        <v>306</v>
      </c>
      <c r="C50" s="495"/>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12"/>
      <c r="C51" s="513"/>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510" t="s">
        <v>307</v>
      </c>
      <c r="C52" s="511"/>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'CFS (After Changes)'!D53-'CFS (Before Changes) '!D53</f>
        <v>0</v>
      </c>
      <c r="E53" s="281">
        <f>'CFS (After Changes)'!E53-'CFS (Before Changes) '!E53</f>
        <v>0</v>
      </c>
      <c r="F53" s="113">
        <f>'CFS (After Changes)'!F53-'CFS (Before Changes) '!F53</f>
        <v>0</v>
      </c>
      <c r="G53" s="113">
        <f>'CFS (After Changes)'!G53-'CFS (Before Changes) '!G53</f>
        <v>0</v>
      </c>
      <c r="H53" s="125">
        <f>'CFS (After Changes)'!H53-'CFS (Before Changes) '!H53</f>
        <v>0</v>
      </c>
      <c r="I53" s="113">
        <f>'CFS (After Changes)'!I53-'CFS (Before Changes) '!I53</f>
        <v>0</v>
      </c>
      <c r="J53" s="113">
        <f>'CFS (After Changes)'!J53-'CFS (Before Changes) '!J53</f>
        <v>0</v>
      </c>
      <c r="K53" s="113">
        <f>'CFS (After Changes)'!K53-'CFS (Before Changes) '!K53</f>
        <v>0</v>
      </c>
      <c r="L53" s="113">
        <f>'CFS (After Changes)'!L53-'CFS (Before Changes) '!L53</f>
        <v>0</v>
      </c>
      <c r="M53" s="282">
        <f>'CFS (After Changes)'!M53-'CFS (Before Changes) '!M53</f>
        <v>0</v>
      </c>
      <c r="N53" s="113">
        <f>'CFS (After Changes)'!N53-'CFS (Before Changes) '!N53</f>
        <v>0</v>
      </c>
      <c r="O53" s="113">
        <f>'CFS (After Changes)'!O53-'CFS (Before Changes) '!O53</f>
        <v>0</v>
      </c>
      <c r="P53" s="113">
        <f>'CFS (After Changes)'!P53-'CFS (Before Changes) '!P53</f>
        <v>0</v>
      </c>
      <c r="Q53" s="113">
        <f>'CFS (After Changes)'!Q53-'CFS (Before Changes) '!Q53</f>
        <v>0</v>
      </c>
      <c r="R53" s="282">
        <f>'CFS (After Changes)'!R53-'CFS (Before Changes) '!R53</f>
        <v>0</v>
      </c>
      <c r="S53" s="113">
        <f>'CFS (After Changes)'!S53-'CFS (Before Changes) '!S53</f>
        <v>0</v>
      </c>
      <c r="T53" s="113">
        <f>'CFS (After Changes)'!T53-'CFS (Before Changes) '!T53</f>
        <v>0</v>
      </c>
      <c r="U53" s="113">
        <f>'CFS (After Changes)'!U53-'CFS (Before Changes) '!U53</f>
        <v>0</v>
      </c>
      <c r="V53" s="113">
        <f>'CFS (After Changes)'!V53-'CFS (Before Changes) '!V53</f>
        <v>0</v>
      </c>
      <c r="W53" s="282">
        <f>'CFS (After Changes)'!W53-'CFS (Before Changes) '!W53</f>
        <v>0</v>
      </c>
      <c r="X53" s="35">
        <f>'CFS (After Changes)'!X53-'CFS (Before Changes) '!X53</f>
        <v>0</v>
      </c>
      <c r="Y53" s="35">
        <f>'CFS (After Changes)'!Y53-'CFS (Before Changes) '!Y53</f>
        <v>0</v>
      </c>
      <c r="Z53" s="35">
        <f>'CFS (After Changes)'!Z53-'CFS (Before Changes) '!Z53</f>
        <v>0</v>
      </c>
      <c r="AA53" s="35">
        <f>'CFS (After Changes)'!AA53-'CFS (Before Changes) '!AA53</f>
        <v>0</v>
      </c>
      <c r="AB53" s="282">
        <f>'CFS (After Changes)'!AB53-'CFS (Before Changes) '!AB53</f>
        <v>0</v>
      </c>
      <c r="AC53" s="35">
        <f>'CFS (After Changes)'!AC53-'CFS (Before Changes) '!AC53</f>
        <v>0</v>
      </c>
      <c r="AD53" s="35">
        <f>'CFS (After Changes)'!AD53-'CFS (Before Changes) '!AD53</f>
        <v>0</v>
      </c>
      <c r="AE53" s="35">
        <f>'CFS (After Changes)'!AE53-'CFS (Before Changes) '!AE53</f>
        <v>0</v>
      </c>
      <c r="AF53" s="35">
        <f>'CFS (After Changes)'!AF53-'CFS (Before Changes) '!AF53</f>
        <v>0</v>
      </c>
      <c r="AG53" s="282">
        <f>'CFS (After Changes)'!AG53-'CFS (Before Changes) '!AG53</f>
        <v>0</v>
      </c>
      <c r="AH53" s="35">
        <f>'CFS (After Changes)'!AH53-'CFS (Before Changes) '!AH53</f>
        <v>0</v>
      </c>
      <c r="AI53" s="35">
        <f>'CFS (After Changes)'!AI53-'CFS (Before Changes) '!AI53</f>
        <v>0</v>
      </c>
      <c r="AJ53" s="35">
        <f>'CFS (After Changes)'!AJ53-'CFS (Before Changes) '!AJ53</f>
        <v>0</v>
      </c>
      <c r="AK53" s="35">
        <f>'CFS (After Changes)'!AK53-'CFS (Before Changes) '!AK53</f>
        <v>0</v>
      </c>
      <c r="AL53" s="282">
        <f>'CFS (After Changes)'!AL53-'CFS (Before Changes) '!AL53</f>
        <v>0</v>
      </c>
      <c r="AM53" s="35">
        <f>'CFS (After Changes)'!AM53-'CFS (Before Changes) '!AM53</f>
        <v>0</v>
      </c>
      <c r="AN53" s="35">
        <f>'CFS (After Changes)'!AN53-'CFS (Before Changes) '!AN53</f>
        <v>0</v>
      </c>
      <c r="AO53" s="35">
        <f>'CFS (After Changes)'!AO53-'CFS (Before Changes) '!AO53</f>
        <v>0</v>
      </c>
      <c r="AP53" s="35">
        <f>'CFS (After Changes)'!AP53-'CFS (Before Changes) '!AP53</f>
        <v>0</v>
      </c>
      <c r="AQ53" s="282">
        <f>'CFS (After Changes)'!AQ53-'CFS (Before Changes) '!AQ53</f>
        <v>0</v>
      </c>
      <c r="AR53" s="35">
        <f>'CFS (After Changes)'!AR53-'CFS (Before Changes) '!AR53</f>
        <v>0</v>
      </c>
      <c r="AS53" s="35">
        <f>'CFS (After Changes)'!AS53-'CFS (Before Changes) '!AS53</f>
        <v>0</v>
      </c>
      <c r="AT53" s="35">
        <f>'CFS (After Changes)'!AT53-'CFS (Before Changes) '!AT53</f>
        <v>0</v>
      </c>
      <c r="AU53" s="35">
        <f>'CFS (After Changes)'!AU53-'CFS (Before Changes) '!AU53</f>
        <v>0</v>
      </c>
      <c r="AV53" s="282">
        <f>'CFS (After Changes)'!AV53-'CFS (Before Changes) '!AV53</f>
        <v>0</v>
      </c>
    </row>
    <row r="54" spans="2:48" s="23" customFormat="1" outlineLevel="1" x14ac:dyDescent="0.3">
      <c r="B54" s="200" t="s">
        <v>309</v>
      </c>
      <c r="C54" s="201"/>
      <c r="D54" s="351">
        <f>'CFS (After Changes)'!D54-'CFS (Before Changes) '!D54</f>
        <v>0</v>
      </c>
      <c r="E54" s="351">
        <f>'CFS (After Changes)'!E54-'CFS (Before Changes) '!E54</f>
        <v>0</v>
      </c>
      <c r="F54" s="113">
        <f>'CFS (After Changes)'!F54-'CFS (Before Changes) '!F54</f>
        <v>0</v>
      </c>
      <c r="G54" s="113">
        <f>'CFS (After Changes)'!G54-'CFS (Before Changes) '!G54</f>
        <v>0</v>
      </c>
      <c r="H54" s="125">
        <f>'CFS (After Changes)'!H54-'CFS (Before Changes) '!H54</f>
        <v>0</v>
      </c>
      <c r="I54" s="113">
        <f>'CFS (After Changes)'!I54-'CFS (Before Changes) '!I54</f>
        <v>0</v>
      </c>
      <c r="J54" s="113">
        <f>'CFS (After Changes)'!J54-'CFS (Before Changes) '!J54</f>
        <v>0</v>
      </c>
      <c r="K54" s="113">
        <f>'CFS (After Changes)'!K54-'CFS (Before Changes) '!K54</f>
        <v>0</v>
      </c>
      <c r="L54" s="113">
        <f>'CFS (After Changes)'!L54-'CFS (Before Changes) '!L54</f>
        <v>0</v>
      </c>
      <c r="M54" s="282">
        <f>'CFS (After Changes)'!M54-'CFS (Before Changes) '!M54</f>
        <v>0</v>
      </c>
      <c r="N54" s="113">
        <f>'CFS (After Changes)'!N54-'CFS (Before Changes) '!N54</f>
        <v>0</v>
      </c>
      <c r="O54" s="113">
        <f>'CFS (After Changes)'!O54-'CFS (Before Changes) '!O54</f>
        <v>0</v>
      </c>
      <c r="P54" s="113">
        <f>'CFS (After Changes)'!P54-'CFS (Before Changes) '!P54</f>
        <v>0</v>
      </c>
      <c r="Q54" s="113">
        <f>'CFS (After Changes)'!Q54-'CFS (Before Changes) '!Q54</f>
        <v>0</v>
      </c>
      <c r="R54" s="282">
        <f>'CFS (After Changes)'!R54-'CFS (Before Changes) '!R54</f>
        <v>0</v>
      </c>
      <c r="S54" s="113">
        <f>'CFS (After Changes)'!S54-'CFS (Before Changes) '!S54</f>
        <v>0</v>
      </c>
      <c r="T54" s="113">
        <f>'CFS (After Changes)'!T54-'CFS (Before Changes) '!T54</f>
        <v>0</v>
      </c>
      <c r="U54" s="113">
        <f>'CFS (After Changes)'!U54-'CFS (Before Changes) '!U54</f>
        <v>0</v>
      </c>
      <c r="V54" s="113">
        <f>'CFS (After Changes)'!V54-'CFS (Before Changes) '!V54</f>
        <v>0</v>
      </c>
      <c r="W54" s="282">
        <f>'CFS (After Changes)'!W54-'CFS (Before Changes) '!W54</f>
        <v>0</v>
      </c>
      <c r="X54" s="35">
        <f>'CFS (After Changes)'!X54-'CFS (Before Changes) '!X54</f>
        <v>0</v>
      </c>
      <c r="Y54" s="35">
        <f>'CFS (After Changes)'!Y54-'CFS (Before Changes) '!Y54</f>
        <v>0</v>
      </c>
      <c r="Z54" s="35">
        <f>'CFS (After Changes)'!Z54-'CFS (Before Changes) '!Z54</f>
        <v>0</v>
      </c>
      <c r="AA54" s="35">
        <f>'CFS (After Changes)'!AA54-'CFS (Before Changes) '!AA54</f>
        <v>0</v>
      </c>
      <c r="AB54" s="282">
        <f>'CFS (After Changes)'!AB54-'CFS (Before Changes) '!AB54</f>
        <v>0</v>
      </c>
      <c r="AC54" s="35">
        <f>'CFS (After Changes)'!AC54-'CFS (Before Changes) '!AC54</f>
        <v>0</v>
      </c>
      <c r="AD54" s="35">
        <f>'CFS (After Changes)'!AD54-'CFS (Before Changes) '!AD54</f>
        <v>0</v>
      </c>
      <c r="AE54" s="35">
        <f>'CFS (After Changes)'!AE54-'CFS (Before Changes) '!AE54</f>
        <v>0</v>
      </c>
      <c r="AF54" s="35">
        <f>'CFS (After Changes)'!AF54-'CFS (Before Changes) '!AF54</f>
        <v>0</v>
      </c>
      <c r="AG54" s="282">
        <f>'CFS (After Changes)'!AG54-'CFS (Before Changes) '!AG54</f>
        <v>0</v>
      </c>
      <c r="AH54" s="35">
        <f>'CFS (After Changes)'!AH54-'CFS (Before Changes) '!AH54</f>
        <v>0</v>
      </c>
      <c r="AI54" s="35">
        <f>'CFS (After Changes)'!AI54-'CFS (Before Changes) '!AI54</f>
        <v>0</v>
      </c>
      <c r="AJ54" s="35">
        <f>'CFS (After Changes)'!AJ54-'CFS (Before Changes) '!AJ54</f>
        <v>0</v>
      </c>
      <c r="AK54" s="35">
        <f>'CFS (After Changes)'!AK54-'CFS (Before Changes) '!AK54</f>
        <v>0</v>
      </c>
      <c r="AL54" s="282">
        <f>'CFS (After Changes)'!AL54-'CFS (Before Changes) '!AL54</f>
        <v>0</v>
      </c>
      <c r="AM54" s="35">
        <f>'CFS (After Changes)'!AM54-'CFS (Before Changes) '!AM54</f>
        <v>0</v>
      </c>
      <c r="AN54" s="35">
        <f>'CFS (After Changes)'!AN54-'CFS (Before Changes) '!AN54</f>
        <v>0</v>
      </c>
      <c r="AO54" s="35">
        <f>'CFS (After Changes)'!AO54-'CFS (Before Changes) '!AO54</f>
        <v>0</v>
      </c>
      <c r="AP54" s="35">
        <f>'CFS (After Changes)'!AP54-'CFS (Before Changes) '!AP54</f>
        <v>0</v>
      </c>
      <c r="AQ54" s="282">
        <f>'CFS (After Changes)'!AQ54-'CFS (Before Changes) '!AQ54</f>
        <v>0</v>
      </c>
      <c r="AR54" s="35">
        <f>'CFS (After Changes)'!AR54-'CFS (Before Changes) '!AR54</f>
        <v>0</v>
      </c>
      <c r="AS54" s="35">
        <f>'CFS (After Changes)'!AS54-'CFS (Before Changes) '!AS54</f>
        <v>0</v>
      </c>
      <c r="AT54" s="35">
        <f>'CFS (After Changes)'!AT54-'CFS (Before Changes) '!AT54</f>
        <v>0</v>
      </c>
      <c r="AU54" s="35">
        <f>'CFS (After Changes)'!AU54-'CFS (Before Changes) '!AU54</f>
        <v>0</v>
      </c>
      <c r="AV54" s="282">
        <f>'CFS (After Changes)'!AV54-'CFS (Before Changes) '!AV54</f>
        <v>0</v>
      </c>
    </row>
    <row r="55" spans="2:48" s="23" customFormat="1" outlineLevel="1" x14ac:dyDescent="0.3">
      <c r="B55" s="486" t="s">
        <v>310</v>
      </c>
      <c r="C55" s="487"/>
      <c r="D55" s="352">
        <f>'CFS (After Changes)'!D55-'CFS (Before Changes) '!D55</f>
        <v>0</v>
      </c>
      <c r="E55" s="352">
        <f>'CFS (After Changes)'!E55-'CFS (Before Changes) '!E55</f>
        <v>0</v>
      </c>
      <c r="F55" s="352">
        <f>'CFS (After Changes)'!F55-'CFS (Before Changes) '!F55</f>
        <v>0</v>
      </c>
      <c r="G55" s="352">
        <f>'CFS (After Changes)'!G55-'CFS (Before Changes) '!G55</f>
        <v>0</v>
      </c>
      <c r="H55" s="353">
        <f>'CFS (After Changes)'!H55-'CFS (Before Changes) '!H55</f>
        <v>0</v>
      </c>
      <c r="I55" s="352">
        <f>'CFS (After Changes)'!I55-'CFS (Before Changes) '!I55</f>
        <v>0</v>
      </c>
      <c r="J55" s="352">
        <f>'CFS (After Changes)'!J55-'CFS (Before Changes) '!J55</f>
        <v>0</v>
      </c>
      <c r="K55" s="352">
        <f>'CFS (After Changes)'!K55-'CFS (Before Changes) '!K55</f>
        <v>0</v>
      </c>
      <c r="L55" s="352">
        <f>'CFS (After Changes)'!L55-'CFS (Before Changes) '!L55</f>
        <v>0</v>
      </c>
      <c r="M55" s="353">
        <f>'CFS (After Changes)'!M55-'CFS (Before Changes) '!M55</f>
        <v>0</v>
      </c>
      <c r="N55" s="352">
        <f>'CFS (After Changes)'!N55-'CFS (Before Changes) '!N55</f>
        <v>0</v>
      </c>
      <c r="O55" s="352">
        <f>'CFS (After Changes)'!O55-'CFS (Before Changes) '!O55</f>
        <v>0</v>
      </c>
      <c r="P55" s="352">
        <f>'CFS (After Changes)'!P55-'CFS (Before Changes) '!P55</f>
        <v>0</v>
      </c>
      <c r="Q55" s="352">
        <f>'CFS (After Changes)'!Q55-'CFS (Before Changes) '!Q55</f>
        <v>0</v>
      </c>
      <c r="R55" s="353">
        <f>'CFS (After Changes)'!R55-'CFS (Before Changes) '!R55</f>
        <v>0</v>
      </c>
      <c r="S55" s="352">
        <f>'CFS (After Changes)'!S55-'CFS (Before Changes) '!S55</f>
        <v>0</v>
      </c>
      <c r="T55" s="352">
        <f>'CFS (After Changes)'!T55-'CFS (Before Changes) '!T55</f>
        <v>0</v>
      </c>
      <c r="U55" s="352">
        <f>'CFS (After Changes)'!U55-'CFS (Before Changes) '!U55</f>
        <v>0</v>
      </c>
      <c r="V55" s="352">
        <f>'CFS (After Changes)'!V55-'CFS (Before Changes) '!V55</f>
        <v>0</v>
      </c>
      <c r="W55" s="353">
        <f>'CFS (After Changes)'!W55-'CFS (Before Changes) '!W55</f>
        <v>0</v>
      </c>
      <c r="X55" s="352">
        <f>'CFS (After Changes)'!X55-'CFS (Before Changes) '!X55</f>
        <v>2.0279484455565377E-3</v>
      </c>
      <c r="Y55" s="352">
        <f>'CFS (After Changes)'!Y55-'CFS (Before Changes) '!Y55</f>
        <v>-0.20573358387490259</v>
      </c>
      <c r="Z55" s="352">
        <f>'CFS (After Changes)'!Z55-'CFS (Before Changes) '!Z55</f>
        <v>-3.4482625002881795E-3</v>
      </c>
      <c r="AA55" s="352">
        <f>'CFS (After Changes)'!AA55-'CFS (Before Changes) '!AA55</f>
        <v>-8.921383464152477E-2</v>
      </c>
      <c r="AB55" s="353">
        <f>'CFS (After Changes)'!AB55-'CFS (Before Changes) '!AB55</f>
        <v>-3.001343433656456E-2</v>
      </c>
      <c r="AC55" s="352">
        <f>'CFS (After Changes)'!AC55-'CFS (Before Changes) '!AC55</f>
        <v>2.9178930883990484E-2</v>
      </c>
      <c r="AD55" s="352">
        <f>'CFS (After Changes)'!AD55-'CFS (Before Changes) '!AD55</f>
        <v>0.16114967231405242</v>
      </c>
      <c r="AE55" s="352">
        <f>'CFS (After Changes)'!AE55-'CFS (Before Changes) '!AE55</f>
        <v>0.10323603338385268</v>
      </c>
      <c r="AF55" s="352">
        <f>'CFS (After Changes)'!AF55-'CFS (Before Changes) '!AF55</f>
        <v>0.12329661146093707</v>
      </c>
      <c r="AG55" s="353">
        <f>'CFS (After Changes)'!AG55-'CFS (Before Changes) '!AG55</f>
        <v>9.1986497663940403E-2</v>
      </c>
      <c r="AH55" s="352">
        <f>'CFS (After Changes)'!AH55-'CFS (Before Changes) '!AH55</f>
        <v>-9.8102880832828809E-3</v>
      </c>
      <c r="AI55" s="352">
        <f>'CFS (After Changes)'!AI55-'CFS (Before Changes) '!AI55</f>
        <v>8.1776189037399138E-3</v>
      </c>
      <c r="AJ55" s="352">
        <f>'CFS (After Changes)'!AJ55-'CFS (Before Changes) '!AJ55</f>
        <v>6.8783622767008001E-3</v>
      </c>
      <c r="AK55" s="352">
        <f>'CFS (After Changes)'!AK55-'CFS (Before Changes) '!AK55</f>
        <v>6.7194497250064877E-3</v>
      </c>
      <c r="AL55" s="353">
        <f>'CFS (After Changes)'!AL55-'CFS (Before Changes) '!AL55</f>
        <v>1.611867094719166E-3</v>
      </c>
      <c r="AM55" s="352">
        <f>'CFS (After Changes)'!AM55-'CFS (Before Changes) '!AM55</f>
        <v>3.398116697670206E-3</v>
      </c>
      <c r="AN55" s="352">
        <f>'CFS (After Changes)'!AN55-'CFS (Before Changes) '!AN55</f>
        <v>2.280181495803113E-3</v>
      </c>
      <c r="AO55" s="352">
        <f>'CFS (After Changes)'!AO55-'CFS (Before Changes) '!AO55</f>
        <v>2.9653205170767638E-3</v>
      </c>
      <c r="AP55" s="352">
        <f>'CFS (After Changes)'!AP55-'CFS (Before Changes) '!AP55</f>
        <v>-1.2932495699025104E-3</v>
      </c>
      <c r="AQ55" s="353">
        <f>'CFS (After Changes)'!AQ55-'CFS (Before Changes) '!AQ55</f>
        <v>1.2596820080024163E-3</v>
      </c>
      <c r="AR55" s="352">
        <f>'CFS (After Changes)'!AR55-'CFS (Before Changes) '!AR55</f>
        <v>8.0667009188273298E-4</v>
      </c>
      <c r="AS55" s="352">
        <f>'CFS (After Changes)'!AS55-'CFS (Before Changes) '!AS55</f>
        <v>4.9600494400614537E-7</v>
      </c>
      <c r="AT55" s="352">
        <f>'CFS (After Changes)'!AT55-'CFS (Before Changes) '!AT55</f>
        <v>-1.2962129318894178E-3</v>
      </c>
      <c r="AU55" s="352">
        <f>'CFS (After Changes)'!AU55-'CFS (Before Changes) '!AU55</f>
        <v>1.8620914767457641E-3</v>
      </c>
      <c r="AV55" s="353">
        <f>'CFS (After Changes)'!AV55-'CFS (Before Changes) '!AV55</f>
        <v>6.4969474190679222E-4</v>
      </c>
    </row>
    <row r="56" spans="2:48" outlineLevel="1" x14ac:dyDescent="0.3">
      <c r="B56" s="200" t="s">
        <v>311</v>
      </c>
      <c r="C56" s="356"/>
      <c r="D56" s="351">
        <f>'CFS (After Changes)'!D56-'CFS (Before Changes) '!D56</f>
        <v>0</v>
      </c>
      <c r="E56" s="351">
        <f>'CFS (After Changes)'!E56-'CFS (Before Changes) '!E56</f>
        <v>0</v>
      </c>
      <c r="F56" s="113">
        <f>'CFS (After Changes)'!F56-'CFS (Before Changes) '!F56</f>
        <v>0</v>
      </c>
      <c r="G56" s="113">
        <f>'CFS (After Changes)'!G56-'CFS (Before Changes) '!G56</f>
        <v>0</v>
      </c>
      <c r="H56" s="363">
        <f>'CFS (After Changes)'!H56-'CFS (Before Changes) '!H56</f>
        <v>0</v>
      </c>
      <c r="I56" s="354">
        <f>'CFS (After Changes)'!I56-'CFS (Before Changes) '!I56</f>
        <v>0</v>
      </c>
      <c r="J56" s="118">
        <f>'CFS (After Changes)'!J56-'CFS (Before Changes) '!J56</f>
        <v>0</v>
      </c>
      <c r="K56" s="118">
        <f>'CFS (After Changes)'!K56-'CFS (Before Changes) '!K56</f>
        <v>0</v>
      </c>
      <c r="L56" s="113">
        <f>'CFS (After Changes)'!L56-'CFS (Before Changes) '!L56</f>
        <v>0</v>
      </c>
      <c r="M56" s="353">
        <f>'CFS (After Changes)'!M56-'CFS (Before Changes) '!M56</f>
        <v>0</v>
      </c>
      <c r="N56" s="354">
        <f>'CFS (After Changes)'!N56-'CFS (Before Changes) '!N56</f>
        <v>0</v>
      </c>
      <c r="O56" s="118">
        <f>'CFS (After Changes)'!O56-'CFS (Before Changes) '!O56</f>
        <v>0</v>
      </c>
      <c r="P56" s="118">
        <f>'CFS (After Changes)'!P56-'CFS (Before Changes) '!P56</f>
        <v>0</v>
      </c>
      <c r="Q56" s="118">
        <f>'CFS (After Changes)'!Q56-'CFS (Before Changes) '!Q56</f>
        <v>0</v>
      </c>
      <c r="R56" s="353">
        <f>'CFS (After Changes)'!R56-'CFS (Before Changes) '!R56</f>
        <v>0</v>
      </c>
      <c r="S56" s="354">
        <f>'CFS (After Changes)'!S56-'CFS (Before Changes) '!S56</f>
        <v>0</v>
      </c>
      <c r="T56" s="118">
        <f>'CFS (After Changes)'!T56-'CFS (Before Changes) '!T56</f>
        <v>0</v>
      </c>
      <c r="U56" s="118">
        <f>'CFS (After Changes)'!U56-'CFS (Before Changes) '!U56</f>
        <v>0</v>
      </c>
      <c r="V56" s="118">
        <f>'CFS (After Changes)'!V56-'CFS (Before Changes) '!V56</f>
        <v>0</v>
      </c>
      <c r="W56" s="353">
        <f>'CFS (After Changes)'!W56-'CFS (Before Changes) '!W56</f>
        <v>0</v>
      </c>
      <c r="X56" s="355">
        <f>'CFS (After Changes)'!X56-'CFS (Before Changes) '!X56</f>
        <v>0</v>
      </c>
      <c r="Y56" s="355">
        <f>'CFS (After Changes)'!Y56-'CFS (Before Changes) '!Y56</f>
        <v>0</v>
      </c>
      <c r="Z56" s="355">
        <f>'CFS (After Changes)'!Z56-'CFS (Before Changes) '!Z56</f>
        <v>0</v>
      </c>
      <c r="AA56" s="355">
        <f>'CFS (After Changes)'!AA56-'CFS (Before Changes) '!AA56</f>
        <v>0</v>
      </c>
      <c r="AB56" s="353">
        <f>'CFS (After Changes)'!AB56-'CFS (Before Changes) '!AB56</f>
        <v>0</v>
      </c>
      <c r="AC56" s="355">
        <f>'CFS (After Changes)'!AC56-'CFS (Before Changes) '!AC56</f>
        <v>0</v>
      </c>
      <c r="AD56" s="35">
        <f>'CFS (After Changes)'!AD56-'CFS (Before Changes) '!AD56</f>
        <v>0</v>
      </c>
      <c r="AE56" s="35">
        <f>'CFS (After Changes)'!AE56-'CFS (Before Changes) '!AE56</f>
        <v>0</v>
      </c>
      <c r="AF56" s="35">
        <f>'CFS (After Changes)'!AF56-'CFS (Before Changes) '!AF56</f>
        <v>0</v>
      </c>
      <c r="AG56" s="353">
        <f>'CFS (After Changes)'!AG56-'CFS (Before Changes) '!AG56</f>
        <v>0</v>
      </c>
      <c r="AH56" s="355">
        <f>'CFS (After Changes)'!AH56-'CFS (Before Changes) '!AH56</f>
        <v>0</v>
      </c>
      <c r="AI56" s="35">
        <f>'CFS (After Changes)'!AI56-'CFS (Before Changes) '!AI56</f>
        <v>0</v>
      </c>
      <c r="AJ56" s="35">
        <f>'CFS (After Changes)'!AJ56-'CFS (Before Changes) '!AJ56</f>
        <v>0</v>
      </c>
      <c r="AK56" s="35">
        <f>'CFS (After Changes)'!AK56-'CFS (Before Changes) '!AK56</f>
        <v>0</v>
      </c>
      <c r="AL56" s="353">
        <f>'CFS (After Changes)'!AL56-'CFS (Before Changes) '!AL56</f>
        <v>0</v>
      </c>
      <c r="AM56" s="355">
        <f>'CFS (After Changes)'!AM56-'CFS (Before Changes) '!AM56</f>
        <v>0</v>
      </c>
      <c r="AN56" s="35">
        <f>'CFS (After Changes)'!AN56-'CFS (Before Changes) '!AN56</f>
        <v>0</v>
      </c>
      <c r="AO56" s="35">
        <f>'CFS (After Changes)'!AO56-'CFS (Before Changes) '!AO56</f>
        <v>0</v>
      </c>
      <c r="AP56" s="35">
        <f>'CFS (After Changes)'!AP56-'CFS (Before Changes) '!AP56</f>
        <v>0</v>
      </c>
      <c r="AQ56" s="353">
        <f>'CFS (After Changes)'!AQ56-'CFS (Before Changes) '!AQ56</f>
        <v>0</v>
      </c>
      <c r="AR56" s="355">
        <f>'CFS (After Changes)'!AR56-'CFS (Before Changes) '!AR56</f>
        <v>0</v>
      </c>
      <c r="AS56" s="35">
        <f>'CFS (After Changes)'!AS56-'CFS (Before Changes) '!AS56</f>
        <v>0</v>
      </c>
      <c r="AT56" s="35">
        <f>'CFS (After Changes)'!AT56-'CFS (Before Changes) '!AT56</f>
        <v>0</v>
      </c>
      <c r="AU56" s="35">
        <f>'CFS (After Changes)'!AU56-'CFS (Before Changes) '!AU56</f>
        <v>0</v>
      </c>
      <c r="AV56" s="353">
        <f>'CFS (After Changes)'!AV56-'CFS (Before Changes) '!AV56</f>
        <v>0</v>
      </c>
    </row>
    <row r="57" spans="2:48" outlineLevel="1" x14ac:dyDescent="0.3">
      <c r="B57" s="200" t="s">
        <v>312</v>
      </c>
      <c r="C57" s="356"/>
      <c r="D57" s="299">
        <f>'CFS (After Changes)'!D57-'CFS (Before Changes) '!D57</f>
        <v>0</v>
      </c>
      <c r="E57" s="299">
        <f>'CFS (After Changes)'!E57-'CFS (Before Changes) '!E57</f>
        <v>0</v>
      </c>
      <c r="F57" s="146">
        <f>'CFS (After Changes)'!F57-'CFS (Before Changes) '!F57</f>
        <v>0</v>
      </c>
      <c r="G57" s="146">
        <f>'CFS (After Changes)'!G57-'CFS (Before Changes) '!G57</f>
        <v>0</v>
      </c>
      <c r="H57" s="122">
        <f>'CFS (After Changes)'!H57-'CFS (Before Changes) '!H57</f>
        <v>0</v>
      </c>
      <c r="I57" s="299">
        <f>'CFS (After Changes)'!I57-'CFS (Before Changes) '!I57</f>
        <v>0</v>
      </c>
      <c r="J57" s="146">
        <f>'CFS (After Changes)'!J57-'CFS (Before Changes) '!J57</f>
        <v>0</v>
      </c>
      <c r="K57" s="146">
        <f>'CFS (After Changes)'!K57-'CFS (Before Changes) '!K57</f>
        <v>0</v>
      </c>
      <c r="L57" s="146">
        <f>'CFS (After Changes)'!L57-'CFS (Before Changes) '!L57</f>
        <v>0</v>
      </c>
      <c r="M57" s="122">
        <f>'CFS (After Changes)'!M57-'CFS (Before Changes) '!M57</f>
        <v>0</v>
      </c>
      <c r="N57" s="299">
        <f>'CFS (After Changes)'!N57-'CFS (Before Changes) '!N57</f>
        <v>0</v>
      </c>
      <c r="O57" s="146">
        <f>'CFS (After Changes)'!O57-'CFS (Before Changes) '!O57</f>
        <v>0</v>
      </c>
      <c r="P57" s="146">
        <f>'CFS (After Changes)'!P57-'CFS (Before Changes) '!P57</f>
        <v>0</v>
      </c>
      <c r="Q57" s="146">
        <f>'CFS (After Changes)'!Q57-'CFS (Before Changes) '!Q57</f>
        <v>0</v>
      </c>
      <c r="R57" s="122">
        <f>'CFS (After Changes)'!R57-'CFS (Before Changes) '!R57</f>
        <v>0</v>
      </c>
      <c r="S57" s="299">
        <f>'CFS (After Changes)'!S57-'CFS (Before Changes) '!S57</f>
        <v>0</v>
      </c>
      <c r="T57" s="146">
        <f>'CFS (After Changes)'!T57-'CFS (Before Changes) '!T57</f>
        <v>0</v>
      </c>
      <c r="U57" s="146">
        <f>'CFS (After Changes)'!U57-'CFS (Before Changes) '!U57</f>
        <v>0</v>
      </c>
      <c r="V57" s="146">
        <f>'CFS (After Changes)'!V57-'CFS (Before Changes) '!V57</f>
        <v>0</v>
      </c>
      <c r="W57" s="122">
        <f>'CFS (After Changes)'!W57-'CFS (Before Changes) '!W57</f>
        <v>0</v>
      </c>
      <c r="X57" s="299">
        <f>'CFS (After Changes)'!X57-'CFS (Before Changes) '!X57</f>
        <v>0</v>
      </c>
      <c r="Y57" s="299">
        <f>'CFS (After Changes)'!Y57-'CFS (Before Changes) '!Y57</f>
        <v>0</v>
      </c>
      <c r="Z57" s="299">
        <f>'CFS (After Changes)'!Z57-'CFS (Before Changes) '!Z57</f>
        <v>0</v>
      </c>
      <c r="AA57" s="299">
        <f>'CFS (After Changes)'!AA57-'CFS (Before Changes) '!AA57</f>
        <v>0</v>
      </c>
      <c r="AB57" s="166">
        <f>'CFS (After Changes)'!AB57-'CFS (Before Changes) '!AB57</f>
        <v>0</v>
      </c>
      <c r="AC57" s="299">
        <f>'CFS (After Changes)'!AC57-'CFS (Before Changes) '!AC57</f>
        <v>0</v>
      </c>
      <c r="AD57" s="146">
        <f>'CFS (After Changes)'!AD57-'CFS (Before Changes) '!AD57</f>
        <v>0</v>
      </c>
      <c r="AE57" s="146">
        <f>'CFS (After Changes)'!AE57-'CFS (Before Changes) '!AE57</f>
        <v>0</v>
      </c>
      <c r="AF57" s="146">
        <f>'CFS (After Changes)'!AF57-'CFS (Before Changes) '!AF57</f>
        <v>0</v>
      </c>
      <c r="AG57" s="166">
        <f>'CFS (After Changes)'!AG57-'CFS (Before Changes) '!AG57</f>
        <v>0</v>
      </c>
      <c r="AH57" s="299">
        <f>'CFS (After Changes)'!AH57-'CFS (Before Changes) '!AH57</f>
        <v>0</v>
      </c>
      <c r="AI57" s="146">
        <f>'CFS (After Changes)'!AI57-'CFS (Before Changes) '!AI57</f>
        <v>0</v>
      </c>
      <c r="AJ57" s="146">
        <f>'CFS (After Changes)'!AJ57-'CFS (Before Changes) '!AJ57</f>
        <v>0</v>
      </c>
      <c r="AK57" s="146">
        <f>'CFS (After Changes)'!AK57-'CFS (Before Changes) '!AK57</f>
        <v>0</v>
      </c>
      <c r="AL57" s="122">
        <f>'CFS (After Changes)'!AL57-'CFS (Before Changes) '!AL57</f>
        <v>0</v>
      </c>
      <c r="AM57" s="299">
        <f>'CFS (After Changes)'!AM57-'CFS (Before Changes) '!AM57</f>
        <v>0</v>
      </c>
      <c r="AN57" s="146">
        <f>'CFS (After Changes)'!AN57-'CFS (Before Changes) '!AN57</f>
        <v>0</v>
      </c>
      <c r="AO57" s="146">
        <f>'CFS (After Changes)'!AO57-'CFS (Before Changes) '!AO57</f>
        <v>0</v>
      </c>
      <c r="AP57" s="146">
        <f>'CFS (After Changes)'!AP57-'CFS (Before Changes) '!AP57</f>
        <v>0</v>
      </c>
      <c r="AQ57" s="122">
        <f>'CFS (After Changes)'!AQ57-'CFS (Before Changes) '!AQ57</f>
        <v>0</v>
      </c>
      <c r="AR57" s="299">
        <f>'CFS (After Changes)'!AR57-'CFS (Before Changes) '!AR57</f>
        <v>0</v>
      </c>
      <c r="AS57" s="146">
        <f>'CFS (After Changes)'!AS57-'CFS (Before Changes) '!AS57</f>
        <v>0</v>
      </c>
      <c r="AT57" s="146">
        <f>'CFS (After Changes)'!AT57-'CFS (Before Changes) '!AT57</f>
        <v>0</v>
      </c>
      <c r="AU57" s="146">
        <f>'CFS (After Changes)'!AU57-'CFS (Before Changes) '!AU57</f>
        <v>0</v>
      </c>
      <c r="AV57" s="122">
        <f>'CFS (After Changes)'!AV57-'CFS (Before Changes) '!AV57</f>
        <v>0</v>
      </c>
    </row>
    <row r="58" spans="2:48" outlineLevel="1" x14ac:dyDescent="0.3">
      <c r="B58" s="203" t="s">
        <v>313</v>
      </c>
      <c r="C58" s="364"/>
      <c r="D58" s="365">
        <f>'CFS (After Changes)'!D58-'CFS (Before Changes) '!D58</f>
        <v>0</v>
      </c>
      <c r="E58" s="365">
        <f>'CFS (After Changes)'!E58-'CFS (Before Changes) '!E58</f>
        <v>0</v>
      </c>
      <c r="F58" s="366">
        <f>'CFS (After Changes)'!F58-'CFS (Before Changes) '!F58</f>
        <v>0</v>
      </c>
      <c r="G58" s="366">
        <f>'CFS (After Changes)'!G58-'CFS (Before Changes) '!G58</f>
        <v>0</v>
      </c>
      <c r="H58" s="367">
        <f>'CFS (After Changes)'!H58-'CFS (Before Changes) '!H58</f>
        <v>0</v>
      </c>
      <c r="I58" s="365">
        <f>'CFS (After Changes)'!I58-'CFS (Before Changes) '!I58</f>
        <v>0</v>
      </c>
      <c r="J58" s="366">
        <f>'CFS (After Changes)'!J58-'CFS (Before Changes) '!J58</f>
        <v>0</v>
      </c>
      <c r="K58" s="366">
        <f>'CFS (After Changes)'!K58-'CFS (Before Changes) '!K58</f>
        <v>0</v>
      </c>
      <c r="L58" s="366">
        <f>'CFS (After Changes)'!L58-'CFS (Before Changes) '!L58</f>
        <v>0</v>
      </c>
      <c r="M58" s="367">
        <f>'CFS (After Changes)'!M58-'CFS (Before Changes) '!M58</f>
        <v>0</v>
      </c>
      <c r="N58" s="365">
        <f>'CFS (After Changes)'!N58-'CFS (Before Changes) '!N58</f>
        <v>0</v>
      </c>
      <c r="O58" s="366">
        <f>'CFS (After Changes)'!O58-'CFS (Before Changes) '!O58</f>
        <v>0</v>
      </c>
      <c r="P58" s="366">
        <f>'CFS (After Changes)'!P58-'CFS (Before Changes) '!P58</f>
        <v>0</v>
      </c>
      <c r="Q58" s="366">
        <f>'CFS (After Changes)'!Q58-'CFS (Before Changes) '!Q58</f>
        <v>0</v>
      </c>
      <c r="R58" s="367">
        <f>'CFS (After Changes)'!R58-'CFS (Before Changes) '!R58</f>
        <v>0</v>
      </c>
      <c r="S58" s="365">
        <f>'CFS (After Changes)'!S58-'CFS (Before Changes) '!S58</f>
        <v>0</v>
      </c>
      <c r="T58" s="366">
        <f>'CFS (After Changes)'!T58-'CFS (Before Changes) '!T58</f>
        <v>0</v>
      </c>
      <c r="U58" s="366">
        <f>'CFS (After Changes)'!U58-'CFS (Before Changes) '!U58</f>
        <v>0</v>
      </c>
      <c r="V58" s="366">
        <f>'CFS (After Changes)'!V58-'CFS (Before Changes) '!V58</f>
        <v>0</v>
      </c>
      <c r="W58" s="367">
        <f>'CFS (After Changes)'!W58-'CFS (Before Changes) '!W58</f>
        <v>0</v>
      </c>
      <c r="X58" s="365">
        <f>'CFS (After Changes)'!X58-'CFS (Before Changes) '!X58</f>
        <v>0</v>
      </c>
      <c r="Y58" s="365">
        <f>'CFS (After Changes)'!Y58-'CFS (Before Changes) '!Y58</f>
        <v>0</v>
      </c>
      <c r="Z58" s="365">
        <f>'CFS (After Changes)'!Z58-'CFS (Before Changes) '!Z58</f>
        <v>0</v>
      </c>
      <c r="AA58" s="365">
        <f>'CFS (After Changes)'!AA58-'CFS (Before Changes) '!AA58</f>
        <v>0</v>
      </c>
      <c r="AB58" s="368">
        <f>'CFS (After Changes)'!AB58-'CFS (Before Changes) '!AB58</f>
        <v>0</v>
      </c>
      <c r="AC58" s="365">
        <f>'CFS (After Changes)'!AC58-'CFS (Before Changes) '!AC58</f>
        <v>0</v>
      </c>
      <c r="AD58" s="365">
        <f>'CFS (After Changes)'!AD58-'CFS (Before Changes) '!AD58</f>
        <v>0</v>
      </c>
      <c r="AE58" s="365">
        <f>'CFS (After Changes)'!AE58-'CFS (Before Changes) '!AE58</f>
        <v>0</v>
      </c>
      <c r="AF58" s="365">
        <f>'CFS (After Changes)'!AF58-'CFS (Before Changes) '!AF58</f>
        <v>0</v>
      </c>
      <c r="AG58" s="368">
        <f>'CFS (After Changes)'!AG58-'CFS (Before Changes) '!AG58</f>
        <v>0</v>
      </c>
      <c r="AH58" s="365">
        <f>'CFS (After Changes)'!AH58-'CFS (Before Changes) '!AH58</f>
        <v>0</v>
      </c>
      <c r="AI58" s="365">
        <f>'CFS (After Changes)'!AI58-'CFS (Before Changes) '!AI58</f>
        <v>0</v>
      </c>
      <c r="AJ58" s="365">
        <f>'CFS (After Changes)'!AJ58-'CFS (Before Changes) '!AJ58</f>
        <v>0</v>
      </c>
      <c r="AK58" s="365">
        <f>'CFS (After Changes)'!AK58-'CFS (Before Changes) '!AK58</f>
        <v>0</v>
      </c>
      <c r="AL58" s="394">
        <f>'CFS (After Changes)'!AL58-'CFS (Before Changes) '!AL58</f>
        <v>0</v>
      </c>
      <c r="AM58" s="365">
        <f>'CFS (After Changes)'!AM58-'CFS (Before Changes) '!AM58</f>
        <v>0</v>
      </c>
      <c r="AN58" s="366">
        <f>'CFS (After Changes)'!AN58-'CFS (Before Changes) '!AN58</f>
        <v>0</v>
      </c>
      <c r="AO58" s="366">
        <f>'CFS (After Changes)'!AO58-'CFS (Before Changes) '!AO58</f>
        <v>0</v>
      </c>
      <c r="AP58" s="366">
        <f>'CFS (After Changes)'!AP58-'CFS (Before Changes) '!AP58</f>
        <v>0</v>
      </c>
      <c r="AQ58" s="367">
        <f>'CFS (After Changes)'!AQ58-'CFS (Before Changes) '!AQ58</f>
        <v>0</v>
      </c>
      <c r="AR58" s="365">
        <f>'CFS (After Changes)'!AR58-'CFS (Before Changes) '!AR58</f>
        <v>0</v>
      </c>
      <c r="AS58" s="366">
        <f>'CFS (After Changes)'!AS58-'CFS (Before Changes) '!AS58</f>
        <v>0</v>
      </c>
      <c r="AT58" s="366">
        <f>'CFS (After Changes)'!AT58-'CFS (Before Changes) '!AT58</f>
        <v>0</v>
      </c>
      <c r="AU58" s="366">
        <f>'CFS (After Changes)'!AU58-'CFS (Before Changes) '!AU58</f>
        <v>0</v>
      </c>
      <c r="AV58" s="367">
        <f>'CFS (After Changes)'!AV58-'CFS (Before Changes) '!AV58</f>
        <v>0</v>
      </c>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'CFS (After Changes)'!AL59-'CFS (Before Changes) '!AL59</f>
        <v>2.9742655326836731E-2</v>
      </c>
    </row>
    <row r="60" spans="2:48" x14ac:dyDescent="0.3">
      <c r="B60" s="308" t="s">
        <v>330</v>
      </c>
      <c r="D60" s="399"/>
      <c r="E60" s="399"/>
      <c r="I60" s="399"/>
      <c r="J60" s="399"/>
      <c r="N60" s="399"/>
      <c r="O60" s="399"/>
      <c r="S60" s="399"/>
      <c r="T60" s="399"/>
      <c r="X60" s="399"/>
      <c r="Y60" s="399"/>
      <c r="AC60" s="399"/>
      <c r="AD60" s="399"/>
      <c r="AH60" s="399"/>
      <c r="AI60" s="399"/>
      <c r="AL60" s="29">
        <f>'CFS (After Changes)'!AL60-'CFS (Before Changes) '!AL60</f>
        <v>0</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'CFS (After Changes)'!AL61-'CFS (Before Changes) '!AL61</f>
        <v>2.9742655326836731E-2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'CFS (After Changes)'!AL62-'CFS (Before Changes) '!AL62</f>
        <v>0</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'CFS (After Changes)'!AL63-'CFS (Before Changes) '!AL63</f>
        <v>0</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'CFS (After Changes)'!AL64-'CFS (Before Changes) '!AL64</f>
        <v>0</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'CFS (After Changes)'!AL65-'CFS (Before Changes) '!AL65</f>
        <v>5.7606029827881322E-3</v>
      </c>
      <c r="AM65" s="48"/>
      <c r="AN65" s="48"/>
      <c r="AO65" s="309"/>
      <c r="AP65" s="309"/>
      <c r="AQ65" s="309"/>
      <c r="AR65" s="48"/>
      <c r="AS65" s="48"/>
      <c r="AT65" s="309"/>
      <c r="AU65" s="309"/>
      <c r="AV65" s="309"/>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F1636-53A5-475A-9D30-CA74346C06A7}">
  <sheetPr>
    <tabColor theme="4" tint="0.39997558519241921"/>
    <pageSetUpPr fitToPage="1"/>
  </sheetPr>
  <dimension ref="A1:AV67"/>
  <sheetViews>
    <sheetView showGridLines="0" zoomScaleNormal="100" workbookViewId="0">
      <pane xSplit="3" ySplit="5" topLeftCell="R6" activePane="bottomRight" state="frozen"/>
      <selection activeCell="Q59" sqref="Q59"/>
      <selection pane="topRight" activeCell="Q59" sqref="Q59"/>
      <selection pane="bottomLeft" activeCell="Q59" sqref="Q59"/>
      <selection pane="bottomRight" activeCell="B1" sqref="B1"/>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494" t="s">
        <v>249</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494" t="s">
        <v>211</v>
      </c>
      <c r="C5" s="495"/>
      <c r="D5" s="13"/>
      <c r="E5" s="13"/>
      <c r="F5" s="13"/>
      <c r="G5" s="258"/>
      <c r="H5" s="259"/>
      <c r="I5" s="258"/>
      <c r="J5" s="13"/>
      <c r="K5" s="13"/>
      <c r="L5" s="258"/>
      <c r="M5" s="259"/>
      <c r="N5" s="258"/>
      <c r="O5" s="13"/>
      <c r="P5" s="13"/>
      <c r="Q5" s="258"/>
      <c r="R5" s="259"/>
      <c r="S5" s="258"/>
      <c r="T5" s="13"/>
      <c r="U5" s="13"/>
      <c r="V5" s="258"/>
      <c r="W5" s="259"/>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486" t="s">
        <v>212</v>
      </c>
      <c r="C6" s="487"/>
      <c r="D6" s="16">
        <f>'CFS (After Changes)'!D41</f>
        <v>4761.6000000000004</v>
      </c>
      <c r="E6" s="16">
        <f>'CFS (After Changes)'!E41</f>
        <v>2055.1000000000004</v>
      </c>
      <c r="F6" s="16">
        <f>'CFS (After Changes)'!F41</f>
        <v>4763.4000000000015</v>
      </c>
      <c r="G6" s="101">
        <f>'CFS (After Changes)'!G41</f>
        <v>2686.6000000000022</v>
      </c>
      <c r="H6" s="17">
        <f>G6</f>
        <v>2686.6000000000022</v>
      </c>
      <c r="I6" s="16">
        <f>'CFS (After Changes)'!I41</f>
        <v>3040.5000000000036</v>
      </c>
      <c r="J6" s="16">
        <f>'CFS (After Changes)'!J41</f>
        <v>2572.3000000000029</v>
      </c>
      <c r="K6" s="16">
        <f>'CFS (After Changes)'!K41</f>
        <v>3965.9000000000042</v>
      </c>
      <c r="L6" s="101">
        <f>'CFS (After Changes)'!L41</f>
        <v>4350.900000000006</v>
      </c>
      <c r="M6" s="17">
        <f>L6</f>
        <v>4350.900000000006</v>
      </c>
      <c r="N6" s="16">
        <f>'CFS (After Changes)'!N41</f>
        <v>5028.00000000001</v>
      </c>
      <c r="O6" s="16">
        <f>'CFS (After Changes)'!O41</f>
        <v>3880.6000000000104</v>
      </c>
      <c r="P6" s="16">
        <f>'CFS (After Changes)'!P41</f>
        <v>4753.1000000000095</v>
      </c>
      <c r="Q6" s="16">
        <f>'CFS (After Changes)'!Q41</f>
        <v>6455.7000000000089</v>
      </c>
      <c r="R6" s="17">
        <f>Q6</f>
        <v>6455.7000000000089</v>
      </c>
      <c r="S6" s="16">
        <f>'CFS (After Changes)'!S41</f>
        <v>3969.4000000000078</v>
      </c>
      <c r="T6" s="16">
        <f>'CFS (After Changes)'!T41</f>
        <v>3913.4000000000083</v>
      </c>
      <c r="U6" s="16">
        <f>'CFS (After Changes)'!U41</f>
        <v>3177.5000000000073</v>
      </c>
      <c r="V6" s="16">
        <f>'CFS (After Changes)'!V41</f>
        <v>2818.3000000000061</v>
      </c>
      <c r="W6" s="17">
        <f>V6</f>
        <v>2818.3000000000061</v>
      </c>
      <c r="X6" s="16">
        <f>'CFS (After Changes)'!X41</f>
        <v>3821.900021390868</v>
      </c>
      <c r="Y6" s="16">
        <f>'CFS (After Changes)'!Y41</f>
        <v>3346.2084967685814</v>
      </c>
      <c r="Z6" s="16">
        <f>'CFS (After Changes)'!Z41</f>
        <v>3140.6981676845212</v>
      </c>
      <c r="AA6" s="16">
        <f>'CFS (After Changes)'!AA41</f>
        <v>3580.5897381494533</v>
      </c>
      <c r="AB6" s="17">
        <f>AA6</f>
        <v>3580.5897381494533</v>
      </c>
      <c r="AC6" s="16">
        <f>'CFS (After Changes)'!AC41</f>
        <v>4577.234162083344</v>
      </c>
      <c r="AD6" s="16">
        <f>'CFS (After Changes)'!AD41</f>
        <v>4419.2782221757952</v>
      </c>
      <c r="AE6" s="16">
        <f>'CFS (After Changes)'!AE41</f>
        <v>4548.3596114268294</v>
      </c>
      <c r="AF6" s="16">
        <f>'CFS (After Changes)'!AF41</f>
        <v>5073.2897438167383</v>
      </c>
      <c r="AG6" s="17">
        <f>AF6</f>
        <v>5073.2897438167383</v>
      </c>
      <c r="AH6" s="16">
        <f>'CFS (After Changes)'!AH41</f>
        <v>6130.3456725854703</v>
      </c>
      <c r="AI6" s="16">
        <f>'CFS (After Changes)'!AI41</f>
        <v>5999.9281449812797</v>
      </c>
      <c r="AJ6" s="16">
        <f>'CFS (After Changes)'!AJ41</f>
        <v>6479.316617020444</v>
      </c>
      <c r="AK6" s="16">
        <f>'CFS (After Changes)'!AK41</f>
        <v>1958.9417253837391</v>
      </c>
      <c r="AL6" s="17">
        <f>AK6</f>
        <v>1958.9417253837391</v>
      </c>
      <c r="AM6" s="16">
        <f>'CFS (After Changes)'!AM41</f>
        <v>3114.9342393734032</v>
      </c>
      <c r="AN6" s="16">
        <f>'CFS (After Changes)'!AN41</f>
        <v>2851.8418617790358</v>
      </c>
      <c r="AO6" s="16">
        <f>'CFS (After Changes)'!AO41</f>
        <v>3037.0744173473122</v>
      </c>
      <c r="AP6" s="16">
        <f>'CFS (After Changes)'!AP41</f>
        <v>3740.6030095911688</v>
      </c>
      <c r="AQ6" s="17">
        <f>AP6</f>
        <v>3740.6030095911688</v>
      </c>
      <c r="AR6" s="16">
        <f>'CFS (After Changes)'!AR41</f>
        <v>5065.311178877012</v>
      </c>
      <c r="AS6" s="16">
        <f>'CFS (After Changes)'!AS41</f>
        <v>4900.528952809771</v>
      </c>
      <c r="AT6" s="16">
        <f>'CFS (After Changes)'!AT41</f>
        <v>5223.8442999548606</v>
      </c>
      <c r="AU6" s="16">
        <f>'CFS (After Changes)'!AU41</f>
        <v>5983.8552386221554</v>
      </c>
      <c r="AV6" s="17">
        <f>AU6</f>
        <v>5983.8552386221554</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6">
        <f>+X53*X42*X54</f>
        <v>136.44671098275828</v>
      </c>
      <c r="Y7" s="16">
        <f>+Y53*Y42*Y54</f>
        <v>149.68257062019353</v>
      </c>
      <c r="Z7" s="16">
        <f>+Z53*Z42*Z54</f>
        <v>174.29330827861671</v>
      </c>
      <c r="AA7" s="16">
        <f>+AA53*AA42*AA54</f>
        <v>205.2825732408908</v>
      </c>
      <c r="AB7" s="17">
        <f>+AA7</f>
        <v>205.2825732408908</v>
      </c>
      <c r="AC7" s="16">
        <f>+AC53*AC42*AC54</f>
        <v>174.72153252785404</v>
      </c>
      <c r="AD7" s="16">
        <f>+AD53*AD42*AD54</f>
        <v>182.55786137232016</v>
      </c>
      <c r="AE7" s="16">
        <f>+AE53*AE42*AE54</f>
        <v>193.33461910187515</v>
      </c>
      <c r="AF7" s="16">
        <f>+AF53*AF42*AF54</f>
        <v>198.59526423681487</v>
      </c>
      <c r="AG7" s="17">
        <f>+AF7</f>
        <v>198.59526423681487</v>
      </c>
      <c r="AH7" s="16">
        <f>+AH53*AH42*AH54</f>
        <v>200.0312754849289</v>
      </c>
      <c r="AI7" s="16">
        <f>+AI53*AI42*AI54</f>
        <v>202.98885262186371</v>
      </c>
      <c r="AJ7" s="16">
        <f>+AJ53*AJ42*AJ54</f>
        <v>212.18517860876759</v>
      </c>
      <c r="AK7" s="16">
        <f>+AK53*AK42*AK54</f>
        <v>183.69144827678906</v>
      </c>
      <c r="AL7" s="17">
        <f>+AK7</f>
        <v>183.69144827678906</v>
      </c>
      <c r="AM7" s="16">
        <f>+AM53*AM42*AM54</f>
        <v>189.95037224295632</v>
      </c>
      <c r="AN7" s="16">
        <f>+AN53*AN42*AN54</f>
        <v>190.06265945832982</v>
      </c>
      <c r="AO7" s="16">
        <f>+AO53*AO42*AO54</f>
        <v>196.91065609127583</v>
      </c>
      <c r="AP7" s="16">
        <f>+AP53*AP42*AP54</f>
        <v>200.98043837394928</v>
      </c>
      <c r="AQ7" s="17">
        <f>+AP7</f>
        <v>200.98043837394928</v>
      </c>
      <c r="AR7" s="16">
        <f>+AR53*AR42*AR54</f>
        <v>208.92314643604689</v>
      </c>
      <c r="AS7" s="16">
        <f>+AS53*AS42*AS54</f>
        <v>209.15182545371223</v>
      </c>
      <c r="AT7" s="16">
        <f>+AT53*AT42*AT54</f>
        <v>216.71352550430359</v>
      </c>
      <c r="AU7" s="16">
        <f>+AU53*AU42*AU54</f>
        <v>221.57531244890032</v>
      </c>
      <c r="AV7" s="17">
        <f>+AU7</f>
        <v>221.57531244890032</v>
      </c>
    </row>
    <row r="8" spans="1:48" s="23" customFormat="1" ht="14.55" customHeight="1" outlineLevel="1" x14ac:dyDescent="0.3">
      <c r="A8" s="161"/>
      <c r="B8" s="486" t="s">
        <v>214</v>
      </c>
      <c r="C8" s="487"/>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6">
        <f>'IS (After Changes)'!X8/X47</f>
        <v>1130.9657703568696</v>
      </c>
      <c r="Y8" s="16">
        <f>'IS (After Changes)'!Y8/Y47</f>
        <v>1178.8841496714731</v>
      </c>
      <c r="Z8" s="16">
        <f>'IS (After Changes)'!Z8/Z47</f>
        <v>1400.2121070695887</v>
      </c>
      <c r="AA8" s="16">
        <f>'IS (After Changes)'!AA8/AA47</f>
        <v>1273.2008736461896</v>
      </c>
      <c r="AB8" s="17">
        <f>AA8</f>
        <v>1273.2008736461896</v>
      </c>
      <c r="AC8" s="16">
        <f>'IS (After Changes)'!AC8/AC47</f>
        <v>1277.9330278859095</v>
      </c>
      <c r="AD8" s="16">
        <f>'IS (After Changes)'!AD8/AD47</f>
        <v>1249.2959514152344</v>
      </c>
      <c r="AE8" s="16">
        <f>'IS (After Changes)'!AE8/AE47</f>
        <v>1407.0444983272062</v>
      </c>
      <c r="AF8" s="16">
        <f>'IS (After Changes)'!AF8/AF47</f>
        <v>1368.6841929866832</v>
      </c>
      <c r="AG8" s="17">
        <f>AF8</f>
        <v>1368.6841929866832</v>
      </c>
      <c r="AH8" s="16">
        <f>'IS (After Changes)'!AH8/AH47</f>
        <v>1422.0284973046687</v>
      </c>
      <c r="AI8" s="16">
        <f>'IS (After Changes)'!AI8/AI47</f>
        <v>1403.224266281986</v>
      </c>
      <c r="AJ8" s="16">
        <f>'IS (After Changes)'!AJ8/AJ47</f>
        <v>1638.4469569687192</v>
      </c>
      <c r="AK8" s="16">
        <f>'IS (After Changes)'!AK8/AK47</f>
        <v>1590.5470809524356</v>
      </c>
      <c r="AL8" s="17">
        <f>AK8</f>
        <v>1590.5470809524356</v>
      </c>
      <c r="AM8" s="16">
        <f>'IS (After Changes)'!AM8/AM47</f>
        <v>1567.2768150652275</v>
      </c>
      <c r="AN8" s="16">
        <f>'IS (After Changes)'!AN8/AN47</f>
        <v>1549.0751571142309</v>
      </c>
      <c r="AO8" s="16">
        <f>'IS (After Changes)'!AO8/AO47</f>
        <v>1790.8187565937108</v>
      </c>
      <c r="AP8" s="16">
        <f>'IS (After Changes)'!AP8/AP47</f>
        <v>1700.4105795970208</v>
      </c>
      <c r="AQ8" s="17">
        <f>AP8</f>
        <v>1700.4105795970208</v>
      </c>
      <c r="AR8" s="16">
        <f>'IS (After Changes)'!AR8/AR47</f>
        <v>1669.1654762312926</v>
      </c>
      <c r="AS8" s="16">
        <f>'IS (After Changes)'!AS8/AS47</f>
        <v>1635.81920821726</v>
      </c>
      <c r="AT8" s="16">
        <f>'IS (After Changes)'!AT8/AT47</f>
        <v>1876.0103473752158</v>
      </c>
      <c r="AU8" s="16">
        <f>'IS (After Changes)'!AU8/AU47</f>
        <v>1805.9748883084678</v>
      </c>
      <c r="AV8" s="17">
        <f>AU8</f>
        <v>1805.9748883084678</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6">
        <f>'IS (After Changes)'!X9/X49</f>
        <v>1866.8228429443886</v>
      </c>
      <c r="Y9" s="16">
        <f>'IS (After Changes)'!Y9/Y49</f>
        <v>2077.9502166617981</v>
      </c>
      <c r="Z9" s="16">
        <f>'IS (After Changes)'!Z9/Z49</f>
        <v>2529.579226300079</v>
      </c>
      <c r="AA9" s="16">
        <f>'IS (After Changes)'!AA9/AA49</f>
        <v>2304.4234939987564</v>
      </c>
      <c r="AB9" s="17">
        <f>AA9</f>
        <v>2304.4234939987564</v>
      </c>
      <c r="AC9" s="16">
        <f>'IS (After Changes)'!AC9/AC49</f>
        <v>2060.352424211957</v>
      </c>
      <c r="AD9" s="16">
        <f>'IS (After Changes)'!AD9/AD49</f>
        <v>2206.5136208212884</v>
      </c>
      <c r="AE9" s="16">
        <f>'IS (After Changes)'!AE9/AE49</f>
        <v>2524.0062107317449</v>
      </c>
      <c r="AF9" s="16">
        <f>'IS (After Changes)'!AF9/AF49</f>
        <v>2430.8721056213008</v>
      </c>
      <c r="AG9" s="17">
        <f>AF9</f>
        <v>2430.8721056213008</v>
      </c>
      <c r="AH9" s="16">
        <f>'IS (After Changes)'!AH9/AH49</f>
        <v>2240.8744076741054</v>
      </c>
      <c r="AI9" s="16">
        <f>'IS (After Changes)'!AI9/AI49</f>
        <v>2453.2222972969603</v>
      </c>
      <c r="AJ9" s="16">
        <f>'IS (After Changes)'!AJ9/AJ49</f>
        <v>2884.4250975671357</v>
      </c>
      <c r="AK9" s="16">
        <f>'IS (After Changes)'!AK9/AK49</f>
        <v>2814.7757973836306</v>
      </c>
      <c r="AL9" s="17">
        <f>AK9</f>
        <v>2814.7757973836306</v>
      </c>
      <c r="AM9" s="16">
        <f>'IS (After Changes)'!AM9/AM49</f>
        <v>2477.9782135706741</v>
      </c>
      <c r="AN9" s="16">
        <f>'IS (After Changes)'!AN9/AN49</f>
        <v>2663.89972510911</v>
      </c>
      <c r="AO9" s="16">
        <f>'IS (After Changes)'!AO9/AO49</f>
        <v>3130.3125053247536</v>
      </c>
      <c r="AP9" s="16">
        <f>'IS (After Changes)'!AP9/AP49</f>
        <v>2989.5662344682382</v>
      </c>
      <c r="AQ9" s="17">
        <f>AP9</f>
        <v>2989.5662344682382</v>
      </c>
      <c r="AR9" s="16">
        <f>'IS (After Changes)'!AR9/AR49</f>
        <v>2639.6556211841648</v>
      </c>
      <c r="AS9" s="16">
        <f>'IS (After Changes)'!AS9/AS49</f>
        <v>2834.8833194987023</v>
      </c>
      <c r="AT9" s="16">
        <f>'IS (After Changes)'!AT9/AT49</f>
        <v>3288.7197965977052</v>
      </c>
      <c r="AU9" s="16">
        <f>'IS (After Changes)'!AU9/AU49</f>
        <v>3176.6920729150484</v>
      </c>
      <c r="AV9" s="17">
        <f>AU9</f>
        <v>3176.6920729150484</v>
      </c>
    </row>
    <row r="10" spans="1:48" ht="16.2" customHeight="1" outlineLevel="1" x14ac:dyDescent="0.45">
      <c r="A10" s="161"/>
      <c r="B10" s="486" t="s">
        <v>216</v>
      </c>
      <c r="C10" s="487"/>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32">
        <f>V10*1.01</f>
        <v>488.53699999999998</v>
      </c>
      <c r="Y10" s="32">
        <f>X10*1.01</f>
        <v>493.42237</v>
      </c>
      <c r="Z10" s="32">
        <f>Y10*1.01</f>
        <v>498.35659370000002</v>
      </c>
      <c r="AA10" s="32">
        <f>Z10*1.01</f>
        <v>503.340159637</v>
      </c>
      <c r="AB10" s="261">
        <f>AA10</f>
        <v>503.340159637</v>
      </c>
      <c r="AC10" s="32">
        <f>AA10*1.01</f>
        <v>508.37356123337003</v>
      </c>
      <c r="AD10" s="32">
        <f>AC10*1.01</f>
        <v>513.45729684570369</v>
      </c>
      <c r="AE10" s="32">
        <f>AD10*1.01</f>
        <v>518.59186981416076</v>
      </c>
      <c r="AF10" s="32">
        <f>AE10*1.01</f>
        <v>523.77778851230232</v>
      </c>
      <c r="AG10" s="261">
        <f>AF10</f>
        <v>523.77778851230232</v>
      </c>
      <c r="AH10" s="32">
        <f>AF10*1.01</f>
        <v>529.01556639742535</v>
      </c>
      <c r="AI10" s="32">
        <f>AH10*1.01</f>
        <v>534.30572206139959</v>
      </c>
      <c r="AJ10" s="32">
        <f>AI10*1.01</f>
        <v>539.64877928201361</v>
      </c>
      <c r="AK10" s="32">
        <f>AJ10*1.01</f>
        <v>545.04526707483376</v>
      </c>
      <c r="AL10" s="261">
        <f>AK10</f>
        <v>545.04526707483376</v>
      </c>
      <c r="AM10" s="32">
        <f>AK10*1.01</f>
        <v>550.49571974558205</v>
      </c>
      <c r="AN10" s="32">
        <f>AM10*1.01</f>
        <v>556.00067694303789</v>
      </c>
      <c r="AO10" s="32">
        <f>AN10*1.01</f>
        <v>561.56068371246829</v>
      </c>
      <c r="AP10" s="32">
        <f>AO10*1.01</f>
        <v>567.17629054959298</v>
      </c>
      <c r="AQ10" s="261">
        <f>AP10</f>
        <v>567.17629054959298</v>
      </c>
      <c r="AR10" s="32">
        <f>AP10*1.01</f>
        <v>572.84805345508892</v>
      </c>
      <c r="AS10" s="32">
        <f>AR10*1.01</f>
        <v>578.57653398963976</v>
      </c>
      <c r="AT10" s="32">
        <f>AS10*1.01</f>
        <v>584.3622993295362</v>
      </c>
      <c r="AU10" s="32">
        <f>AT10*1.01</f>
        <v>590.20592232283161</v>
      </c>
      <c r="AV10" s="261">
        <f>AU10</f>
        <v>590.20592232283161</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21">
        <f t="shared" si="0"/>
        <v>7444.672345674885</v>
      </c>
      <c r="Y11" s="21">
        <f t="shared" si="0"/>
        <v>7246.1478037220459</v>
      </c>
      <c r="Z11" s="21">
        <f t="shared" si="0"/>
        <v>7743.1394030328065</v>
      </c>
      <c r="AA11" s="21">
        <f t="shared" si="0"/>
        <v>7866.8368386722905</v>
      </c>
      <c r="AB11" s="22">
        <f t="shared" si="0"/>
        <v>7866.8368386722905</v>
      </c>
      <c r="AC11" s="21">
        <f t="shared" si="0"/>
        <v>8598.6147079424336</v>
      </c>
      <c r="AD11" s="21">
        <f t="shared" si="0"/>
        <v>8571.102952630341</v>
      </c>
      <c r="AE11" s="21">
        <f t="shared" si="0"/>
        <v>9191.3368094018169</v>
      </c>
      <c r="AF11" s="21">
        <f t="shared" si="0"/>
        <v>9595.2190951738412</v>
      </c>
      <c r="AG11" s="22">
        <f t="shared" si="0"/>
        <v>9595.2190951738412</v>
      </c>
      <c r="AH11" s="21">
        <f t="shared" si="0"/>
        <v>10522.2954194466</v>
      </c>
      <c r="AI11" s="21">
        <f t="shared" si="0"/>
        <v>10593.669283243489</v>
      </c>
      <c r="AJ11" s="21">
        <f t="shared" si="0"/>
        <v>11754.022629447079</v>
      </c>
      <c r="AK11" s="21">
        <f t="shared" si="0"/>
        <v>7093.001319071428</v>
      </c>
      <c r="AL11" s="22">
        <f t="shared" si="0"/>
        <v>7093.001319071428</v>
      </c>
      <c r="AM11" s="21">
        <f t="shared" si="0"/>
        <v>7900.6353599978429</v>
      </c>
      <c r="AN11" s="21">
        <f t="shared" si="0"/>
        <v>7810.8800804037455</v>
      </c>
      <c r="AO11" s="21">
        <f t="shared" si="0"/>
        <v>8716.6770190695206</v>
      </c>
      <c r="AP11" s="21">
        <f t="shared" si="0"/>
        <v>9198.7365525799705</v>
      </c>
      <c r="AQ11" s="22">
        <f t="shared" si="0"/>
        <v>9198.7365525799705</v>
      </c>
      <c r="AR11" s="21">
        <f t="shared" si="0"/>
        <v>10155.903476183606</v>
      </c>
      <c r="AS11" s="21">
        <f t="shared" si="0"/>
        <v>10158.959839969084</v>
      </c>
      <c r="AT11" s="21">
        <f t="shared" si="0"/>
        <v>11189.650268761621</v>
      </c>
      <c r="AU11" s="21">
        <f t="shared" si="0"/>
        <v>11778.303434617403</v>
      </c>
      <c r="AV11" s="22">
        <f t="shared" si="0"/>
        <v>11778.303434617403</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6">
        <f>+X53*X42*(1-X54)</f>
        <v>309.58853533440657</v>
      </c>
      <c r="Y12" s="16">
        <f>+Y53*Y42*(1-Y54)</f>
        <v>309.56820865294611</v>
      </c>
      <c r="Z12" s="16">
        <f>+Z53*Z42*(1-Z54)</f>
        <v>321.43594387730838</v>
      </c>
      <c r="AA12" s="16">
        <f>+AA53*AA42*(1-AA54)</f>
        <v>324.55644255600583</v>
      </c>
      <c r="AB12" s="17">
        <f>+AA12</f>
        <v>324.55644255600583</v>
      </c>
      <c r="AC12" s="16">
        <f>+AC53*AC42*(1-AC54)</f>
        <v>335.09024090988981</v>
      </c>
      <c r="AD12" s="16">
        <f>+AD53*AD42*(1-AD54)</f>
        <v>336.19088256053868</v>
      </c>
      <c r="AE12" s="16">
        <f>+AE53*AE42*(1-AE54)</f>
        <v>346.07701805846915</v>
      </c>
      <c r="AF12" s="16">
        <f>+AF53*AF42*(1-AF54)</f>
        <v>352.86744440732059</v>
      </c>
      <c r="AG12" s="17">
        <f>+AF12</f>
        <v>352.86744440732059</v>
      </c>
      <c r="AH12" s="16">
        <f>+AH53*AH42*(1-AH54)</f>
        <v>366.15660346746591</v>
      </c>
      <c r="AI12" s="16">
        <f>+AI53*AI42*(1-AI54)</f>
        <v>367.30201429114487</v>
      </c>
      <c r="AJ12" s="16">
        <f>+AJ53*AJ42*(1-AJ54)</f>
        <v>382.2642346413611</v>
      </c>
      <c r="AK12" s="16">
        <f>+AK53*AK42*(1-AK54)</f>
        <v>331.46275043177951</v>
      </c>
      <c r="AL12" s="17">
        <f>+AK12</f>
        <v>331.46275043177951</v>
      </c>
      <c r="AM12" s="16">
        <f>+AM53*AM42*(1-AM54)</f>
        <v>344.08546772380981</v>
      </c>
      <c r="AN12" s="16">
        <f>+AN53*AN42*(1-AN54)</f>
        <v>343.39141716001063</v>
      </c>
      <c r="AO12" s="16">
        <f>+AO53*AO42*(1-AO54)</f>
        <v>355.62908839296409</v>
      </c>
      <c r="AP12" s="16">
        <f>+AP53*AP42*(1-AP54)</f>
        <v>363.20500595917144</v>
      </c>
      <c r="AQ12" s="17">
        <f>+AP12</f>
        <v>363.20500595917144</v>
      </c>
      <c r="AR12" s="16">
        <f>+AR53*AR42*(1-AR54)</f>
        <v>377.70062157690649</v>
      </c>
      <c r="AS12" s="16">
        <f>+AS53*AS42*(1-AS54)</f>
        <v>377.92586748585438</v>
      </c>
      <c r="AT12" s="16">
        <f>+AT53*AT42*(1-AT54)</f>
        <v>391.60123976746252</v>
      </c>
      <c r="AU12" s="16">
        <f>+AU53*AU42*(1-AU54)</f>
        <v>400.43950188077486</v>
      </c>
      <c r="AV12" s="17">
        <f>+AU12</f>
        <v>400.43950188077486</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33">
        <f>V13</f>
        <v>311.2</v>
      </c>
      <c r="Y13" s="33">
        <f>X13</f>
        <v>311.2</v>
      </c>
      <c r="Z13" s="33">
        <f>Y13</f>
        <v>311.2</v>
      </c>
      <c r="AA13" s="33">
        <f>Z13</f>
        <v>311.2</v>
      </c>
      <c r="AB13" s="17">
        <f>+AA13</f>
        <v>311.2</v>
      </c>
      <c r="AC13" s="33">
        <f>AA13</f>
        <v>311.2</v>
      </c>
      <c r="AD13" s="33">
        <f>AC13</f>
        <v>311.2</v>
      </c>
      <c r="AE13" s="33">
        <f>AD13</f>
        <v>311.2</v>
      </c>
      <c r="AF13" s="33">
        <f>AE13</f>
        <v>311.2</v>
      </c>
      <c r="AG13" s="17">
        <f>+AF13</f>
        <v>311.2</v>
      </c>
      <c r="AH13" s="33">
        <f>AF13</f>
        <v>311.2</v>
      </c>
      <c r="AI13" s="33">
        <f>AH13</f>
        <v>311.2</v>
      </c>
      <c r="AJ13" s="33">
        <f>AI13</f>
        <v>311.2</v>
      </c>
      <c r="AK13" s="33">
        <f>AJ13</f>
        <v>311.2</v>
      </c>
      <c r="AL13" s="17">
        <f>+AK13</f>
        <v>311.2</v>
      </c>
      <c r="AM13" s="33">
        <f>AK13</f>
        <v>311.2</v>
      </c>
      <c r="AN13" s="33">
        <f>AM13</f>
        <v>311.2</v>
      </c>
      <c r="AO13" s="33">
        <f>AN13</f>
        <v>311.2</v>
      </c>
      <c r="AP13" s="33">
        <f>AO13</f>
        <v>311.2</v>
      </c>
      <c r="AQ13" s="17">
        <f>+AP13</f>
        <v>311.2</v>
      </c>
      <c r="AR13" s="33">
        <f>AP13</f>
        <v>311.2</v>
      </c>
      <c r="AS13" s="33">
        <f>AR13</f>
        <v>311.2</v>
      </c>
      <c r="AT13" s="33">
        <f>AS13</f>
        <v>311.2</v>
      </c>
      <c r="AU13" s="33">
        <f>AT13</f>
        <v>311.2</v>
      </c>
      <c r="AV13" s="17">
        <f>+AU13</f>
        <v>311.2</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6">
        <f>+V14-'CFS (After Changes)'!X25-'CFS (After Changes)'!X7</f>
        <v>6778.8996524012055</v>
      </c>
      <c r="Y14" s="16">
        <f>+X14-'CFS (After Changes)'!Y25-'CFS (After Changes)'!Y7</f>
        <v>6966.7278468184877</v>
      </c>
      <c r="Z14" s="16">
        <f>+Y14-'CFS (After Changes)'!Z25-'CFS (After Changes)'!Z7</f>
        <v>7210.3060596503392</v>
      </c>
      <c r="AA14" s="16">
        <f>+Z14-'CFS (After Changes)'!AA25-'CFS (After Changes)'!AA7</f>
        <v>7464.1755017453415</v>
      </c>
      <c r="AB14" s="17">
        <f>+AA14</f>
        <v>7464.1755017453415</v>
      </c>
      <c r="AC14" s="16">
        <f>+AA14-'CFS (After Changes)'!AC25-'CFS (After Changes)'!AC7</f>
        <v>7707.2730819116232</v>
      </c>
      <c r="AD14" s="16">
        <f>+AC14-'CFS (After Changes)'!AD25-'CFS (After Changes)'!AD7</f>
        <v>7899.787486803757</v>
      </c>
      <c r="AE14" s="16">
        <f>+AD14-'CFS (After Changes)'!AE25-'CFS (After Changes)'!AE7</f>
        <v>8152.3227459949303</v>
      </c>
      <c r="AF14" s="16">
        <f>+AE14-'CFS (After Changes)'!AF25-'CFS (After Changes)'!AF7</f>
        <v>8414.6705293907762</v>
      </c>
      <c r="AG14" s="17">
        <f>+AF14</f>
        <v>8414.6705293907762</v>
      </c>
      <c r="AH14" s="16">
        <f>+AF14-'CFS (After Changes)'!AH25-'CFS (After Changes)'!AH7</f>
        <v>8605.0695661295977</v>
      </c>
      <c r="AI14" s="16">
        <f>+AH14-'CFS (After Changes)'!AI25-'CFS (After Changes)'!AI7</f>
        <v>8746.7403244087327</v>
      </c>
      <c r="AJ14" s="16">
        <f>+AI14-'CFS (After Changes)'!AJ25-'CFS (After Changes)'!AJ7</f>
        <v>8951.2905247007438</v>
      </c>
      <c r="AK14" s="16">
        <f>+AJ14-'CFS (After Changes)'!AK25-'CFS (After Changes)'!AK7</f>
        <v>9169.4156782489881</v>
      </c>
      <c r="AL14" s="17">
        <f>+AK14</f>
        <v>9169.4156782489881</v>
      </c>
      <c r="AM14" s="16">
        <f>+AK14-'CFS (After Changes)'!AM25-'CFS (After Changes)'!AM7</f>
        <v>9384.0417784221372</v>
      </c>
      <c r="AN14" s="16">
        <f>+AM14-'CFS (After Changes)'!AN25-'CFS (After Changes)'!AN7</f>
        <v>9540.9510564651118</v>
      </c>
      <c r="AO14" s="16">
        <f>+AN14-'CFS (After Changes)'!AO25-'CFS (After Changes)'!AO7</f>
        <v>9763.5549607338417</v>
      </c>
      <c r="AP14" s="16">
        <f>+AO14-'CFS (After Changes)'!AP25-'CFS (After Changes)'!AP7</f>
        <v>9998.3682368147784</v>
      </c>
      <c r="AQ14" s="17">
        <f>+AP14</f>
        <v>9998.3682368147784</v>
      </c>
      <c r="AR14" s="16">
        <f>+AP14-'CFS (After Changes)'!AR25-'CFS (After Changes)'!AR7</f>
        <v>10213.220669257356</v>
      </c>
      <c r="AS14" s="16">
        <f>+AR14-'CFS (After Changes)'!AS25-'CFS (After Changes)'!AS7</f>
        <v>10366.810797442013</v>
      </c>
      <c r="AT14" s="16">
        <f>+AS14-'CFS (After Changes)'!AT25-'CFS (After Changes)'!AT7</f>
        <v>10590.914079511138</v>
      </c>
      <c r="AU14" s="16">
        <f>+AT14-'CFS (After Changes)'!AU25-'CFS (After Changes)'!AU7</f>
        <v>10828.70508417264</v>
      </c>
      <c r="AV14" s="17">
        <f>+AU14</f>
        <v>10828.70508417264</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33">
        <f>V15*0.996</f>
        <v>7983.5376000000006</v>
      </c>
      <c r="Y15" s="33">
        <f>X15*0.996</f>
        <v>7951.6034496000002</v>
      </c>
      <c r="Z15" s="33">
        <f>Y15*0.996</f>
        <v>7919.7970358016</v>
      </c>
      <c r="AA15" s="33">
        <f>Z15*0.996</f>
        <v>7888.1178476583937</v>
      </c>
      <c r="AB15" s="17">
        <f>AA15</f>
        <v>7888.1178476583937</v>
      </c>
      <c r="AC15" s="33">
        <f>AA15*0.996</f>
        <v>7856.5653762677603</v>
      </c>
      <c r="AD15" s="33">
        <f>AC15*0.996</f>
        <v>7825.1391147626891</v>
      </c>
      <c r="AE15" s="33">
        <f>AD15*0.996</f>
        <v>7793.8385583036379</v>
      </c>
      <c r="AF15" s="33">
        <f>AE15*0.996</f>
        <v>7762.6632040704235</v>
      </c>
      <c r="AG15" s="17">
        <f>AF15</f>
        <v>7762.6632040704235</v>
      </c>
      <c r="AH15" s="33">
        <f>AF15*0.996</f>
        <v>7731.6125512541421</v>
      </c>
      <c r="AI15" s="33">
        <f>AH15*0.996</f>
        <v>7700.6861010491257</v>
      </c>
      <c r="AJ15" s="33">
        <f>AI15*0.996</f>
        <v>7669.8833566449293</v>
      </c>
      <c r="AK15" s="33">
        <f>AJ15*0.996</f>
        <v>7639.2038232183495</v>
      </c>
      <c r="AL15" s="17">
        <f>AK15</f>
        <v>7639.2038232183495</v>
      </c>
      <c r="AM15" s="33">
        <f>AK15*0.996</f>
        <v>7608.6470079254759</v>
      </c>
      <c r="AN15" s="33">
        <f>AM15*0.996</f>
        <v>7578.2124198937736</v>
      </c>
      <c r="AO15" s="33">
        <f>AN15*0.996</f>
        <v>7547.8995702141983</v>
      </c>
      <c r="AP15" s="33">
        <f>AO15*0.996</f>
        <v>7517.7079719333415</v>
      </c>
      <c r="AQ15" s="17">
        <f>AP15</f>
        <v>7517.7079719333415</v>
      </c>
      <c r="AR15" s="33">
        <f>AP15*0.996</f>
        <v>7487.6371400456082</v>
      </c>
      <c r="AS15" s="33">
        <f>AR15*0.996</f>
        <v>7457.6865914854261</v>
      </c>
      <c r="AT15" s="33">
        <f>AS15*0.996</f>
        <v>7427.855845119484</v>
      </c>
      <c r="AU15" s="33">
        <f>AT15*0.996</f>
        <v>7398.1444217390062</v>
      </c>
      <c r="AV15" s="17">
        <f>AU15</f>
        <v>7398.1444217390062</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f>X55*(X27+X33)</f>
        <v>1854.1357676639595</v>
      </c>
      <c r="Y16" s="101">
        <f>Y55*(Y27+Y33)</f>
        <v>1782.1684146999512</v>
      </c>
      <c r="Z16" s="101">
        <f>Z55*(Z27+Z33)</f>
        <v>1771.7556232533093</v>
      </c>
      <c r="AA16" s="101">
        <f>AA55*(AA27+AA33)</f>
        <v>1769.5874673304418</v>
      </c>
      <c r="AB16" s="169">
        <f>+AA16</f>
        <v>1769.5874673304418</v>
      </c>
      <c r="AC16" s="101">
        <f>AC55*(AC27+AC33)</f>
        <v>1873.0077881027214</v>
      </c>
      <c r="AD16" s="101">
        <f>AD55*(AD27+AD33)</f>
        <v>1790.9207316040574</v>
      </c>
      <c r="AE16" s="101">
        <f>AE55*(AE27+AE33)</f>
        <v>1780.4579889965057</v>
      </c>
      <c r="AF16" s="101">
        <f>AF55*(AF27+AF33)</f>
        <v>1770.1047595292312</v>
      </c>
      <c r="AG16" s="169">
        <f>+AF16</f>
        <v>1770.1047595292312</v>
      </c>
      <c r="AH16" s="101">
        <f>AH55*(AH27+AH33)</f>
        <v>1890.5151782618418</v>
      </c>
      <c r="AI16" s="101">
        <f>AI55*(AI27+AI33)</f>
        <v>1800.8335728725806</v>
      </c>
      <c r="AJ16" s="101">
        <f>AJ55*(AJ27+AJ33)</f>
        <v>1789.5997973163708</v>
      </c>
      <c r="AK16" s="101">
        <f>AK55*(AK27+AK33)</f>
        <v>1778.3099230138571</v>
      </c>
      <c r="AL16" s="169">
        <f>+AK16</f>
        <v>1778.3099230138571</v>
      </c>
      <c r="AM16" s="101">
        <f>AM55*(AM27+AM33)</f>
        <v>1910.6520617541839</v>
      </c>
      <c r="AN16" s="101">
        <f>AN55*(AN27+AN33)</f>
        <v>1813.8041804663651</v>
      </c>
      <c r="AO16" s="101">
        <f>AO55*(AO27+AO33)</f>
        <v>1802.1876882343788</v>
      </c>
      <c r="AP16" s="101">
        <f>AP55*(AP27+AP33)</f>
        <v>1790.6243822122271</v>
      </c>
      <c r="AQ16" s="169">
        <f>+AP16</f>
        <v>1790.6243822122271</v>
      </c>
      <c r="AR16" s="101">
        <f>AR55*(AR27+AR33)</f>
        <v>1934.8080691777147</v>
      </c>
      <c r="AS16" s="101">
        <f>AS55*(AS27+AS33)</f>
        <v>1830.4981697273856</v>
      </c>
      <c r="AT16" s="101">
        <f>AT55*(AT27+AT33)</f>
        <v>1818.5706164393935</v>
      </c>
      <c r="AU16" s="101">
        <f>AU55*(AU27+AU33)</f>
        <v>1806.726707186674</v>
      </c>
      <c r="AV16" s="17">
        <f>+AU16</f>
        <v>1806.726707186674</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33">
        <f>+V17*(X42/V42)</f>
        <v>568.03998313808472</v>
      </c>
      <c r="Y17" s="33">
        <f>+X17*(Y42/X42)</f>
        <v>565.49185346343938</v>
      </c>
      <c r="Z17" s="33">
        <f>+Y17*(Z42/Y42)</f>
        <v>579.63092418567078</v>
      </c>
      <c r="AA17" s="33">
        <f>+Z17*(AA42/Z42)</f>
        <v>586.44375621634742</v>
      </c>
      <c r="AB17" s="17">
        <f>+AA17</f>
        <v>586.44375621634742</v>
      </c>
      <c r="AC17" s="33">
        <f>+AA17*(AC42/AA42)</f>
        <v>607.62910607966865</v>
      </c>
      <c r="AD17" s="33">
        <f>+AC17*(AD42/AC42)</f>
        <v>608.5257522270075</v>
      </c>
      <c r="AE17" s="33">
        <f>+AD17*(AE42/AD42)</f>
        <v>625.36603215930461</v>
      </c>
      <c r="AF17" s="33">
        <f>+AE17*(AF42/AE42)</f>
        <v>637.98689226238548</v>
      </c>
      <c r="AG17" s="17">
        <f>+AF17</f>
        <v>637.98689226238548</v>
      </c>
      <c r="AH17" s="33">
        <f>+AF17*(AH42/AF42)</f>
        <v>662.51433588794623</v>
      </c>
      <c r="AI17" s="33">
        <f>+AH17*(AI42/AH42)</f>
        <v>664.28647731010892</v>
      </c>
      <c r="AJ17" s="33">
        <f>+AI17*(AJ42/AI42)</f>
        <v>691.21242166850573</v>
      </c>
      <c r="AK17" s="33">
        <f>+AJ17*(AK42/AJ42)</f>
        <v>599.45299149557457</v>
      </c>
      <c r="AL17" s="17">
        <f>+AK17</f>
        <v>599.45299149557457</v>
      </c>
      <c r="AM17" s="33">
        <f>+AK17*(AM42/AK42)</f>
        <v>622.3306033411219</v>
      </c>
      <c r="AN17" s="33">
        <f>+AM17*(AN42/AM42)</f>
        <v>621.01622258647899</v>
      </c>
      <c r="AO17" s="33">
        <f>+AN17*(AO42/AN42)</f>
        <v>643.14097604863025</v>
      </c>
      <c r="AP17" s="33">
        <f>+AO17*(AP42/AO42)</f>
        <v>656.86498746948882</v>
      </c>
      <c r="AQ17" s="17">
        <f>+AP17</f>
        <v>656.86498746948882</v>
      </c>
      <c r="AR17" s="33">
        <f>+AP17*(AR42/AP42)</f>
        <v>683.08224702752875</v>
      </c>
      <c r="AS17" s="33">
        <f>+AR17*(AS42/AR42)</f>
        <v>683.47811092135987</v>
      </c>
      <c r="AT17" s="33">
        <f>+AS17*(AT42/AS42)</f>
        <v>708.21181998349016</v>
      </c>
      <c r="AU17" s="33">
        <f>+AT17*(AU42/AT42)</f>
        <v>724.20010409906286</v>
      </c>
      <c r="AV17" s="17">
        <f>+AU17</f>
        <v>724.20010409906286</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33">
        <f>+V18*0.92</f>
        <v>143.428</v>
      </c>
      <c r="Y18" s="33">
        <f>+X18*0.92</f>
        <v>131.95376000000002</v>
      </c>
      <c r="Z18" s="33">
        <f>+Y18*0.92</f>
        <v>121.39745920000001</v>
      </c>
      <c r="AA18" s="33">
        <f>+Z18*0.92</f>
        <v>111.68566246400002</v>
      </c>
      <c r="AB18" s="17">
        <f>+AA18</f>
        <v>111.68566246400002</v>
      </c>
      <c r="AC18" s="33">
        <f>+AA18*0.92</f>
        <v>102.75080946688001</v>
      </c>
      <c r="AD18" s="33">
        <f>+AC18*0.92</f>
        <v>94.530744709529614</v>
      </c>
      <c r="AE18" s="33">
        <f>+AD18*0.92</f>
        <v>86.968285132767249</v>
      </c>
      <c r="AF18" s="33">
        <f>+AE18*0.92</f>
        <v>80.01082232214587</v>
      </c>
      <c r="AG18" s="17">
        <f>+AF18</f>
        <v>80.01082232214587</v>
      </c>
      <c r="AH18" s="33">
        <f>+AF18*0.92</f>
        <v>73.609956536374199</v>
      </c>
      <c r="AI18" s="33">
        <f>+AH18*0.92</f>
        <v>67.721160013464271</v>
      </c>
      <c r="AJ18" s="33">
        <f>+AI18*0.92</f>
        <v>62.303467212387133</v>
      </c>
      <c r="AK18" s="33">
        <f>+AJ18*0.92</f>
        <v>57.319189835396166</v>
      </c>
      <c r="AL18" s="17">
        <f>+AK18</f>
        <v>57.319189835396166</v>
      </c>
      <c r="AM18" s="33">
        <f>+AK18*0.92</f>
        <v>52.733654648564475</v>
      </c>
      <c r="AN18" s="33">
        <f>+AM18*0.92</f>
        <v>48.51496227667932</v>
      </c>
      <c r="AO18" s="33">
        <f>+AN18*0.92</f>
        <v>44.633765294544979</v>
      </c>
      <c r="AP18" s="33">
        <f>+AO18*0.92</f>
        <v>41.063064070981383</v>
      </c>
      <c r="AQ18" s="17">
        <f>+AP18</f>
        <v>41.063064070981383</v>
      </c>
      <c r="AR18" s="33">
        <f>+AP18*0.92</f>
        <v>37.778018945302875</v>
      </c>
      <c r="AS18" s="33">
        <f>+AR18*0.92</f>
        <v>34.755777429678645</v>
      </c>
      <c r="AT18" s="33">
        <f>+AS18*0.92</f>
        <v>31.975315235304354</v>
      </c>
      <c r="AU18" s="33">
        <f>+AT18*0.92</f>
        <v>29.417290016480006</v>
      </c>
      <c r="AV18" s="17">
        <f>+AU18</f>
        <v>29.417290016480006</v>
      </c>
    </row>
    <row r="19" spans="1:48" ht="16.2" outlineLevel="1" x14ac:dyDescent="0.45">
      <c r="A19" s="161"/>
      <c r="B19" s="486" t="s">
        <v>225</v>
      </c>
      <c r="C19" s="487"/>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32">
        <f>+V19</f>
        <v>3283.5</v>
      </c>
      <c r="Y19" s="32">
        <f>+X19</f>
        <v>3283.5</v>
      </c>
      <c r="Z19" s="32">
        <f>+Y19</f>
        <v>3283.5</v>
      </c>
      <c r="AA19" s="32">
        <f>+Z19</f>
        <v>3283.5</v>
      </c>
      <c r="AB19" s="261">
        <f>AA19</f>
        <v>3283.5</v>
      </c>
      <c r="AC19" s="32">
        <f>+AA19</f>
        <v>3283.5</v>
      </c>
      <c r="AD19" s="32">
        <f>+AC19</f>
        <v>3283.5</v>
      </c>
      <c r="AE19" s="32">
        <f>+AD19</f>
        <v>3283.5</v>
      </c>
      <c r="AF19" s="32">
        <f>+AE19</f>
        <v>3283.5</v>
      </c>
      <c r="AG19" s="261">
        <f>AF19</f>
        <v>3283.5</v>
      </c>
      <c r="AH19" s="32">
        <f>+AF19</f>
        <v>3283.5</v>
      </c>
      <c r="AI19" s="32">
        <f>+AH19</f>
        <v>3283.5</v>
      </c>
      <c r="AJ19" s="32">
        <f>+AI19</f>
        <v>3283.5</v>
      </c>
      <c r="AK19" s="32">
        <f>+AJ19</f>
        <v>3283.5</v>
      </c>
      <c r="AL19" s="261">
        <f>AK19</f>
        <v>3283.5</v>
      </c>
      <c r="AM19" s="32">
        <f>+AK19</f>
        <v>3283.5</v>
      </c>
      <c r="AN19" s="32">
        <f>+AM19</f>
        <v>3283.5</v>
      </c>
      <c r="AO19" s="32">
        <f>+AN19</f>
        <v>3283.5</v>
      </c>
      <c r="AP19" s="32">
        <f>+AO19</f>
        <v>3283.5</v>
      </c>
      <c r="AQ19" s="261">
        <f>AP19</f>
        <v>3283.5</v>
      </c>
      <c r="AR19" s="32">
        <f>+AP19</f>
        <v>3283.5</v>
      </c>
      <c r="AS19" s="32">
        <f>+AR19</f>
        <v>3283.5</v>
      </c>
      <c r="AT19" s="32">
        <f>+AS19</f>
        <v>3283.5</v>
      </c>
      <c r="AU19" s="32">
        <f>+AT19</f>
        <v>3283.5</v>
      </c>
      <c r="AV19" s="261">
        <f>AU19</f>
        <v>3283.5</v>
      </c>
    </row>
    <row r="20" spans="1:48" outlineLevel="1" x14ac:dyDescent="0.3">
      <c r="A20" s="161"/>
      <c r="B20" s="525" t="s">
        <v>226</v>
      </c>
      <c r="C20" s="526"/>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 t="shared" si="2"/>
        <v>28677.001884212543</v>
      </c>
      <c r="Y20" s="21">
        <f t="shared" si="2"/>
        <v>28548.361336956867</v>
      </c>
      <c r="Z20" s="21">
        <f t="shared" si="2"/>
        <v>29262.162449001036</v>
      </c>
      <c r="AA20" s="21">
        <f t="shared" si="2"/>
        <v>29606.103516642823</v>
      </c>
      <c r="AB20" s="22">
        <f t="shared" si="2"/>
        <v>29606.103516642823</v>
      </c>
      <c r="AC20" s="21">
        <f t="shared" si="2"/>
        <v>30675.631110680977</v>
      </c>
      <c r="AD20" s="21">
        <f t="shared" si="2"/>
        <v>30720.897665297918</v>
      </c>
      <c r="AE20" s="21">
        <f t="shared" si="2"/>
        <v>31571.067438047434</v>
      </c>
      <c r="AF20" s="21">
        <f t="shared" si="2"/>
        <v>32208.222747156127</v>
      </c>
      <c r="AG20" s="22">
        <f t="shared" si="2"/>
        <v>32208.222747156127</v>
      </c>
      <c r="AH20" s="21">
        <f t="shared" si="2"/>
        <v>33446.473610983965</v>
      </c>
      <c r="AI20" s="21">
        <f t="shared" si="2"/>
        <v>33535.938933188649</v>
      </c>
      <c r="AJ20" s="21">
        <f t="shared" si="2"/>
        <v>34895.276431631377</v>
      </c>
      <c r="AK20" s="21">
        <f t="shared" si="2"/>
        <v>30262.865675315374</v>
      </c>
      <c r="AL20" s="22">
        <f t="shared" si="2"/>
        <v>30262.865675315374</v>
      </c>
      <c r="AM20" s="21">
        <f t="shared" si="2"/>
        <v>31417.825933813132</v>
      </c>
      <c r="AN20" s="21">
        <f t="shared" si="2"/>
        <v>31351.47033925217</v>
      </c>
      <c r="AO20" s="21">
        <f t="shared" si="2"/>
        <v>32468.423067988078</v>
      </c>
      <c r="AP20" s="21">
        <f t="shared" si="2"/>
        <v>33161.270201039966</v>
      </c>
      <c r="AQ20" s="22">
        <f t="shared" si="2"/>
        <v>33161.270201039966</v>
      </c>
      <c r="AR20" s="21">
        <f t="shared" si="2"/>
        <v>34484.830242214026</v>
      </c>
      <c r="AS20" s="21">
        <f t="shared" si="2"/>
        <v>34504.815154460797</v>
      </c>
      <c r="AT20" s="21">
        <f t="shared" si="2"/>
        <v>35753.479184817894</v>
      </c>
      <c r="AU20" s="21">
        <f t="shared" si="2"/>
        <v>36560.63654371204</v>
      </c>
      <c r="AV20" s="22">
        <f t="shared" si="2"/>
        <v>36560.63654371204</v>
      </c>
    </row>
    <row r="21" spans="1:48" ht="17.399999999999999" x14ac:dyDescent="0.45">
      <c r="A21" s="161"/>
      <c r="B21" s="494" t="s">
        <v>227</v>
      </c>
      <c r="C21" s="495"/>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486" t="s">
        <v>228</v>
      </c>
      <c r="C22" s="487"/>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f>('IS (After Changes)'!X9/X51)</f>
        <v>1414.4842649628069</v>
      </c>
      <c r="Y22" s="101">
        <f>('IS (After Changes)'!Y9/Y51)</f>
        <v>1418.2428080399327</v>
      </c>
      <c r="Z22" s="101">
        <f>('IS (After Changes)'!Z9/Z51)</f>
        <v>1669.3681245152384</v>
      </c>
      <c r="AA22" s="101">
        <f>('IS (After Changes)'!AA9/AA51)</f>
        <v>1585.9969264862193</v>
      </c>
      <c r="AB22" s="169">
        <f t="shared" ref="AB22:AB29" si="7">AA22</f>
        <v>1585.9969264862193</v>
      </c>
      <c r="AC22" s="101">
        <f>('IS (After Changes)'!AC9/AC51)</f>
        <v>1551.8096534281715</v>
      </c>
      <c r="AD22" s="101">
        <f>('IS (After Changes)'!AD9/AD51)</f>
        <v>1516.7518045338231</v>
      </c>
      <c r="AE22" s="101">
        <f>('IS (After Changes)'!AE9/AE51)</f>
        <v>1757.4144869614277</v>
      </c>
      <c r="AF22" s="101">
        <f>('IS (After Changes)'!AF9/AF51)</f>
        <v>1709.7052790482301</v>
      </c>
      <c r="AG22" s="169">
        <f t="shared" ref="AG22:AG29" si="8">AF22</f>
        <v>1709.7052790482301</v>
      </c>
      <c r="AH22" s="101">
        <f>('IS (After Changes)'!AH9/AH51)</f>
        <v>1716.7405027385676</v>
      </c>
      <c r="AI22" s="101">
        <f>('IS (After Changes)'!AI9/AI51)</f>
        <v>1686.322557239384</v>
      </c>
      <c r="AJ22" s="101">
        <f>('IS (After Changes)'!AJ9/AJ51)</f>
        <v>1975.3077341751216</v>
      </c>
      <c r="AK22" s="101">
        <f>('IS (After Changes)'!AK9/AK51)</f>
        <v>1927.9589640741463</v>
      </c>
      <c r="AL22" s="169">
        <f t="shared" ref="AL22:AL29" si="9">AK22</f>
        <v>1927.9589640741463</v>
      </c>
      <c r="AM22" s="101">
        <f>('IS (After Changes)'!AM9/AM51)</f>
        <v>1880.7690148880426</v>
      </c>
      <c r="AN22" s="101">
        <f>('IS (After Changes)'!AN9/AN51)</f>
        <v>1826.7776924478019</v>
      </c>
      <c r="AO22" s="101">
        <f>('IS (After Changes)'!AO9/AO51)</f>
        <v>2129.9387024060843</v>
      </c>
      <c r="AP22" s="101">
        <f>('IS (After Changes)'!AP9/AP51)</f>
        <v>2069.3905570401462</v>
      </c>
      <c r="AQ22" s="169">
        <f t="shared" ref="AQ22:AQ29" si="10">AP22</f>
        <v>2069.3905570401462</v>
      </c>
      <c r="AR22" s="101">
        <f>('IS (After Changes)'!AR9/AR51)</f>
        <v>2004.6331974022191</v>
      </c>
      <c r="AS22" s="101">
        <f>('IS (After Changes)'!AS9/AS51)</f>
        <v>1947.1263484295735</v>
      </c>
      <c r="AT22" s="101">
        <f>('IS (After Changes)'!AT9/AT51)</f>
        <v>2260.0698062237807</v>
      </c>
      <c r="AU22" s="101">
        <f>('IS (After Changes)'!AU9/AU51)</f>
        <v>2203.1501074407356</v>
      </c>
      <c r="AV22" s="169">
        <f t="shared" ref="AV22:AV29" si="11">AU22</f>
        <v>2203.1501074407356</v>
      </c>
    </row>
    <row r="23" spans="1:48" outlineLevel="1" x14ac:dyDescent="0.3">
      <c r="A23" s="161"/>
      <c r="B23" s="486" t="s">
        <v>229</v>
      </c>
      <c r="C23" s="487"/>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33">
        <f>V23</f>
        <v>2137.1</v>
      </c>
      <c r="Y23" s="33">
        <f>X23</f>
        <v>2137.1</v>
      </c>
      <c r="Z23" s="33">
        <f>Y23</f>
        <v>2137.1</v>
      </c>
      <c r="AA23" s="33">
        <f>Z23</f>
        <v>2137.1</v>
      </c>
      <c r="AB23" s="169">
        <f t="shared" si="7"/>
        <v>2137.1</v>
      </c>
      <c r="AC23" s="33">
        <f>AA23</f>
        <v>2137.1</v>
      </c>
      <c r="AD23" s="33">
        <f>AC23</f>
        <v>2137.1</v>
      </c>
      <c r="AE23" s="33">
        <f>AD23</f>
        <v>2137.1</v>
      </c>
      <c r="AF23" s="33">
        <f>AE23</f>
        <v>2137.1</v>
      </c>
      <c r="AG23" s="169">
        <f t="shared" si="8"/>
        <v>2137.1</v>
      </c>
      <c r="AH23" s="33">
        <f>AF23</f>
        <v>2137.1</v>
      </c>
      <c r="AI23" s="33">
        <f>AH23</f>
        <v>2137.1</v>
      </c>
      <c r="AJ23" s="33">
        <f>AI23</f>
        <v>2137.1</v>
      </c>
      <c r="AK23" s="33">
        <f>AJ23</f>
        <v>2137.1</v>
      </c>
      <c r="AL23" s="169">
        <f t="shared" si="9"/>
        <v>2137.1</v>
      </c>
      <c r="AM23" s="33">
        <f>AK23</f>
        <v>2137.1</v>
      </c>
      <c r="AN23" s="33">
        <f>AM23</f>
        <v>2137.1</v>
      </c>
      <c r="AO23" s="33">
        <f>AN23</f>
        <v>2137.1</v>
      </c>
      <c r="AP23" s="33">
        <f>AO23</f>
        <v>2137.1</v>
      </c>
      <c r="AQ23" s="169">
        <f t="shared" si="10"/>
        <v>2137.1</v>
      </c>
      <c r="AR23" s="33">
        <f>AP23</f>
        <v>2137.1</v>
      </c>
      <c r="AS23" s="33">
        <f>AR23</f>
        <v>2137.1</v>
      </c>
      <c r="AT23" s="33">
        <f>AS23</f>
        <v>2137.1</v>
      </c>
      <c r="AU23" s="33">
        <f>AT23</f>
        <v>2137.1</v>
      </c>
      <c r="AV23" s="169">
        <f t="shared" si="11"/>
        <v>2137.1</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33">
        <f>V24</f>
        <v>761.7</v>
      </c>
      <c r="Y24" s="33">
        <f t="shared" ref="Y24:AA25" si="12">X24</f>
        <v>761.7</v>
      </c>
      <c r="Z24" s="33">
        <f t="shared" si="12"/>
        <v>761.7</v>
      </c>
      <c r="AA24" s="33">
        <f t="shared" si="12"/>
        <v>761.7</v>
      </c>
      <c r="AB24" s="169">
        <f t="shared" si="7"/>
        <v>761.7</v>
      </c>
      <c r="AC24" s="33">
        <f>AA24</f>
        <v>761.7</v>
      </c>
      <c r="AD24" s="33">
        <f t="shared" ref="AD24:AF25" si="13">AC24</f>
        <v>761.7</v>
      </c>
      <c r="AE24" s="33">
        <f t="shared" si="13"/>
        <v>761.7</v>
      </c>
      <c r="AF24" s="33">
        <f t="shared" si="13"/>
        <v>761.7</v>
      </c>
      <c r="AG24" s="169">
        <f t="shared" si="8"/>
        <v>761.7</v>
      </c>
      <c r="AH24" s="33">
        <f>AF24</f>
        <v>761.7</v>
      </c>
      <c r="AI24" s="33">
        <f t="shared" ref="AI24:AK25" si="14">AH24</f>
        <v>761.7</v>
      </c>
      <c r="AJ24" s="33">
        <f t="shared" si="14"/>
        <v>761.7</v>
      </c>
      <c r="AK24" s="33">
        <f t="shared" si="14"/>
        <v>761.7</v>
      </c>
      <c r="AL24" s="169">
        <f t="shared" si="9"/>
        <v>761.7</v>
      </c>
      <c r="AM24" s="33">
        <f>AK24</f>
        <v>761.7</v>
      </c>
      <c r="AN24" s="33">
        <f t="shared" ref="AN24:AP25" si="15">AM24</f>
        <v>761.7</v>
      </c>
      <c r="AO24" s="33">
        <f t="shared" si="15"/>
        <v>761.7</v>
      </c>
      <c r="AP24" s="33">
        <f t="shared" si="15"/>
        <v>761.7</v>
      </c>
      <c r="AQ24" s="169">
        <f t="shared" si="10"/>
        <v>761.7</v>
      </c>
      <c r="AR24" s="33">
        <f>AP24</f>
        <v>761.7</v>
      </c>
      <c r="AS24" s="33">
        <f t="shared" ref="AS24:AU25" si="16">AR24</f>
        <v>761.7</v>
      </c>
      <c r="AT24" s="33">
        <f t="shared" si="16"/>
        <v>761.7</v>
      </c>
      <c r="AU24" s="33">
        <f t="shared" si="16"/>
        <v>761.7</v>
      </c>
      <c r="AV24" s="169">
        <f t="shared" si="11"/>
        <v>761.7</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33">
        <f>V25</f>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33">
        <f>V26*0.996</f>
        <v>1240.7172</v>
      </c>
      <c r="Y26" s="33">
        <f>X26*0.996</f>
        <v>1235.7543312</v>
      </c>
      <c r="Z26" s="33">
        <f>Y26*0.996</f>
        <v>1230.8113138752001</v>
      </c>
      <c r="AA26" s="33">
        <f>Z26*0.996</f>
        <v>1225.8880686196992</v>
      </c>
      <c r="AB26" s="169">
        <f t="shared" si="7"/>
        <v>1225.8880686196992</v>
      </c>
      <c r="AC26" s="33">
        <f>AA26*0.996</f>
        <v>1220.9845163452203</v>
      </c>
      <c r="AD26" s="33">
        <f>AC26*0.996</f>
        <v>1216.1005782798395</v>
      </c>
      <c r="AE26" s="33">
        <f>AD26*0.996</f>
        <v>1211.2361759667201</v>
      </c>
      <c r="AF26" s="33">
        <f>AE26*0.996</f>
        <v>1206.3912312628531</v>
      </c>
      <c r="AG26" s="169">
        <f t="shared" si="8"/>
        <v>1206.3912312628531</v>
      </c>
      <c r="AH26" s="33">
        <f>AF26*0.996</f>
        <v>1201.5656663378018</v>
      </c>
      <c r="AI26" s="33">
        <f>AH26*0.996</f>
        <v>1196.7594036724506</v>
      </c>
      <c r="AJ26" s="33">
        <f>AI26*0.996</f>
        <v>1191.9723660577608</v>
      </c>
      <c r="AK26" s="33">
        <f>AJ26*0.996</f>
        <v>1187.2044765935298</v>
      </c>
      <c r="AL26" s="169">
        <f t="shared" si="9"/>
        <v>1187.2044765935298</v>
      </c>
      <c r="AM26" s="33">
        <f>AK26*0.996</f>
        <v>1182.4556586871556</v>
      </c>
      <c r="AN26" s="33">
        <f>AM26*0.996</f>
        <v>1177.725836052407</v>
      </c>
      <c r="AO26" s="33">
        <f>AN26*0.996</f>
        <v>1173.0149327081974</v>
      </c>
      <c r="AP26" s="33">
        <f>AO26*0.996</f>
        <v>1168.3228729773646</v>
      </c>
      <c r="AQ26" s="169">
        <f t="shared" si="10"/>
        <v>1168.3228729773646</v>
      </c>
      <c r="AR26" s="33">
        <f>AP26*0.996</f>
        <v>1163.6495814854552</v>
      </c>
      <c r="AS26" s="33">
        <f>AR26*0.996</f>
        <v>1158.9949831595134</v>
      </c>
      <c r="AT26" s="33">
        <f>AS26*0.996</f>
        <v>1154.3590032268753</v>
      </c>
      <c r="AU26" s="33">
        <f>AT26*0.996</f>
        <v>1149.7415672139678</v>
      </c>
      <c r="AV26" s="169">
        <f t="shared" si="11"/>
        <v>1149.7415672139678</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33">
        <f>V27*1.3</f>
        <v>2134.4700000000003</v>
      </c>
      <c r="Y27" s="33">
        <f>X27*0.85</f>
        <v>1814.2995000000001</v>
      </c>
      <c r="Z27" s="33">
        <f>Y27*0.99</f>
        <v>1796.1565050000002</v>
      </c>
      <c r="AA27" s="33">
        <f>Z27*0.99</f>
        <v>1778.1949399500002</v>
      </c>
      <c r="AB27" s="169">
        <f t="shared" si="7"/>
        <v>1778.1949399500002</v>
      </c>
      <c r="AC27" s="33">
        <f>AA27*1.3</f>
        <v>2311.6534219350001</v>
      </c>
      <c r="AD27" s="33">
        <f>AC27*0.85</f>
        <v>1964.90540864475</v>
      </c>
      <c r="AE27" s="33">
        <f>AD27*0.99</f>
        <v>1945.2563545583025</v>
      </c>
      <c r="AF27" s="33">
        <f>AE27*0.99</f>
        <v>1925.8037910127196</v>
      </c>
      <c r="AG27" s="169">
        <f t="shared" si="8"/>
        <v>1925.8037910127196</v>
      </c>
      <c r="AH27" s="33">
        <f>AF27*1.3</f>
        <v>2503.5449283165353</v>
      </c>
      <c r="AI27" s="33">
        <f>AH27*0.85</f>
        <v>2128.013189069055</v>
      </c>
      <c r="AJ27" s="33">
        <f>AI27*0.99</f>
        <v>2106.7330571783646</v>
      </c>
      <c r="AK27" s="33">
        <f>AJ27*0.99</f>
        <v>2085.6657266065808</v>
      </c>
      <c r="AL27" s="169">
        <f t="shared" si="9"/>
        <v>2085.6657266065808</v>
      </c>
      <c r="AM27" s="33">
        <f>AK27*1.3</f>
        <v>2711.3654445885554</v>
      </c>
      <c r="AN27" s="33">
        <f>AM27*0.85</f>
        <v>2304.6606279002722</v>
      </c>
      <c r="AO27" s="33">
        <f>AN27*0.99</f>
        <v>2281.6140216212693</v>
      </c>
      <c r="AP27" s="33">
        <f>AO27*0.99</f>
        <v>2258.7978814050566</v>
      </c>
      <c r="AQ27" s="169">
        <f t="shared" si="10"/>
        <v>2258.7978814050566</v>
      </c>
      <c r="AR27" s="33">
        <f>AP27*1.3</f>
        <v>2936.4372458265739</v>
      </c>
      <c r="AS27" s="33">
        <f>AR27*0.85</f>
        <v>2495.9716589525879</v>
      </c>
      <c r="AT27" s="33">
        <f>AS27*0.99</f>
        <v>2471.0119423630617</v>
      </c>
      <c r="AU27" s="33">
        <f>AT27*0.99</f>
        <v>2446.3018229394311</v>
      </c>
      <c r="AV27" s="169">
        <f t="shared" si="11"/>
        <v>2446.3018229394311</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33">
        <f>V28-X59+X60</f>
        <v>1924</v>
      </c>
      <c r="Y28" s="33">
        <f>X28-Y59+Y60</f>
        <v>1674</v>
      </c>
      <c r="Z28" s="33">
        <f t="shared" ref="Z28:AA28" si="17">Y28-Z59+Z60</f>
        <v>2800.3</v>
      </c>
      <c r="AA28" s="33">
        <f t="shared" si="17"/>
        <v>2800.3</v>
      </c>
      <c r="AB28" s="169">
        <f t="shared" si="7"/>
        <v>2800.3</v>
      </c>
      <c r="AC28" s="33">
        <f>AA28-AC59+AC60</f>
        <v>2050.3000000000002</v>
      </c>
      <c r="AD28" s="33">
        <f t="shared" ref="AD28:AF28" si="18">AC28-AD59+AD60</f>
        <v>924.00000000000023</v>
      </c>
      <c r="AE28" s="33">
        <f t="shared" si="18"/>
        <v>924.00000000000023</v>
      </c>
      <c r="AF28" s="33">
        <f t="shared" si="18"/>
        <v>924.00000000000023</v>
      </c>
      <c r="AG28" s="169">
        <f t="shared" si="8"/>
        <v>924.00000000000023</v>
      </c>
      <c r="AH28" s="33">
        <f>AF28-AH59+AH60</f>
        <v>2174</v>
      </c>
      <c r="AI28" s="33">
        <f t="shared" ref="AI28:AK28" si="19">AH28-AI59+AI60</f>
        <v>2174</v>
      </c>
      <c r="AJ28" s="33">
        <f t="shared" si="19"/>
        <v>2174</v>
      </c>
      <c r="AK28" s="33">
        <f t="shared" si="19"/>
        <v>1424</v>
      </c>
      <c r="AL28" s="169">
        <f t="shared" si="9"/>
        <v>1424</v>
      </c>
      <c r="AM28" s="33">
        <f>AK28-AM59+AM60</f>
        <v>1424</v>
      </c>
      <c r="AN28" s="33">
        <f t="shared" ref="AN28:AP28" si="20">AM28-AN59+AN60</f>
        <v>1424</v>
      </c>
      <c r="AO28" s="33">
        <f t="shared" si="20"/>
        <v>1424</v>
      </c>
      <c r="AP28" s="33">
        <f t="shared" si="20"/>
        <v>1424</v>
      </c>
      <c r="AQ28" s="169">
        <f t="shared" si="10"/>
        <v>1424</v>
      </c>
      <c r="AR28" s="33">
        <f>AP28-AR59+AR60</f>
        <v>1424</v>
      </c>
      <c r="AS28" s="33">
        <f t="shared" ref="AS28:AU28" si="21">AR28-AS59+AS60</f>
        <v>924</v>
      </c>
      <c r="AT28" s="33">
        <f t="shared" si="21"/>
        <v>924</v>
      </c>
      <c r="AU28" s="33">
        <f t="shared" si="21"/>
        <v>924</v>
      </c>
      <c r="AV28" s="169">
        <f t="shared" si="11"/>
        <v>924</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3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2">SUM(D22:D29)</f>
        <v>5427.5</v>
      </c>
      <c r="E30" s="116">
        <f t="shared" si="22"/>
        <v>5273.4</v>
      </c>
      <c r="F30" s="116">
        <f t="shared" si="22"/>
        <v>5895.8</v>
      </c>
      <c r="G30" s="116">
        <f t="shared" si="22"/>
        <v>6168.7</v>
      </c>
      <c r="H30" s="150">
        <f t="shared" si="22"/>
        <v>6168.7</v>
      </c>
      <c r="I30" s="116">
        <f t="shared" si="22"/>
        <v>8675.5</v>
      </c>
      <c r="J30" s="116">
        <f t="shared" si="22"/>
        <v>8265.7999999999993</v>
      </c>
      <c r="K30" s="116">
        <f t="shared" si="22"/>
        <v>8002</v>
      </c>
      <c r="L30" s="116">
        <f t="shared" ref="L30:AV30" si="23">SUM(L22:L28)</f>
        <v>7346.7999999999993</v>
      </c>
      <c r="M30" s="150">
        <f t="shared" si="23"/>
        <v>7346.7999999999993</v>
      </c>
      <c r="N30" s="116">
        <f t="shared" si="23"/>
        <v>7883.9</v>
      </c>
      <c r="O30" s="116">
        <f t="shared" si="23"/>
        <v>6505.0999999999995</v>
      </c>
      <c r="P30" s="116">
        <f t="shared" si="23"/>
        <v>7799.8</v>
      </c>
      <c r="Q30" s="116">
        <f t="shared" si="23"/>
        <v>8151.4</v>
      </c>
      <c r="R30" s="150">
        <f t="shared" si="23"/>
        <v>8151.4</v>
      </c>
      <c r="S30" s="116">
        <f t="shared" si="23"/>
        <v>8921.1</v>
      </c>
      <c r="T30" s="116">
        <f t="shared" si="23"/>
        <v>9104.3000000000011</v>
      </c>
      <c r="U30" s="116">
        <f t="shared" si="23"/>
        <v>8402.4</v>
      </c>
      <c r="V30" s="116">
        <f t="shared" si="23"/>
        <v>9151.7999999999993</v>
      </c>
      <c r="W30" s="150">
        <f t="shared" si="23"/>
        <v>9151.7999999999993</v>
      </c>
      <c r="X30" s="116">
        <f t="shared" si="23"/>
        <v>9612.4714649628077</v>
      </c>
      <c r="Y30" s="116">
        <f t="shared" si="23"/>
        <v>9041.0966392399314</v>
      </c>
      <c r="Z30" s="116">
        <f t="shared" si="23"/>
        <v>10395.435943390439</v>
      </c>
      <c r="AA30" s="116">
        <f t="shared" si="23"/>
        <v>10289.179935055919</v>
      </c>
      <c r="AB30" s="150">
        <f t="shared" si="23"/>
        <v>10289.179935055919</v>
      </c>
      <c r="AC30" s="116">
        <f t="shared" si="23"/>
        <v>10033.547591708393</v>
      </c>
      <c r="AD30" s="116">
        <f t="shared" si="23"/>
        <v>8520.5577914584119</v>
      </c>
      <c r="AE30" s="116">
        <f t="shared" si="23"/>
        <v>8736.7070174864512</v>
      </c>
      <c r="AF30" s="116">
        <f t="shared" si="23"/>
        <v>8664.7003013238027</v>
      </c>
      <c r="AG30" s="150">
        <f t="shared" si="23"/>
        <v>8664.7003013238027</v>
      </c>
      <c r="AH30" s="116">
        <f t="shared" si="23"/>
        <v>10494.651097392903</v>
      </c>
      <c r="AI30" s="116">
        <f t="shared" si="23"/>
        <v>10083.89514998089</v>
      </c>
      <c r="AJ30" s="116">
        <f t="shared" si="23"/>
        <v>10346.813157411247</v>
      </c>
      <c r="AK30" s="116">
        <f t="shared" si="23"/>
        <v>9523.6291672742573</v>
      </c>
      <c r="AL30" s="150">
        <f t="shared" si="23"/>
        <v>9523.6291672742573</v>
      </c>
      <c r="AM30" s="116">
        <f t="shared" si="23"/>
        <v>10097.390118163754</v>
      </c>
      <c r="AN30" s="116">
        <f t="shared" si="23"/>
        <v>9631.9641564004796</v>
      </c>
      <c r="AO30" s="116">
        <f t="shared" si="23"/>
        <v>9907.3676567355506</v>
      </c>
      <c r="AP30" s="116">
        <f t="shared" si="23"/>
        <v>9819.3113114225671</v>
      </c>
      <c r="AQ30" s="150">
        <f t="shared" si="23"/>
        <v>9819.3113114225671</v>
      </c>
      <c r="AR30" s="116">
        <f t="shared" si="23"/>
        <v>10427.520024714247</v>
      </c>
      <c r="AS30" s="116">
        <f t="shared" si="23"/>
        <v>9424.8929905416735</v>
      </c>
      <c r="AT30" s="116">
        <f t="shared" si="23"/>
        <v>9708.2407518137188</v>
      </c>
      <c r="AU30" s="116">
        <f t="shared" si="23"/>
        <v>9621.9934975941342</v>
      </c>
      <c r="AV30" s="150">
        <f t="shared" si="23"/>
        <v>9621.9934975941342</v>
      </c>
    </row>
    <row r="31" spans="1:48" outlineLevel="1" x14ac:dyDescent="0.3">
      <c r="A31" s="161"/>
      <c r="B31" s="200" t="s">
        <v>237</v>
      </c>
      <c r="C31" s="201"/>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33">
        <f>V31-X60+X61</f>
        <v>13119.9</v>
      </c>
      <c r="Y31" s="33">
        <f>X31-Y60+Y61</f>
        <v>13369.9</v>
      </c>
      <c r="Z31" s="33">
        <f>Y31-Z60+Z61</f>
        <v>12243.6</v>
      </c>
      <c r="AA31" s="33">
        <f>Z31-AA60+AA61</f>
        <v>12243.6</v>
      </c>
      <c r="AB31" s="169">
        <f>AA31</f>
        <v>12243.6</v>
      </c>
      <c r="AC31" s="33">
        <f>AA31-AC60+AC61</f>
        <v>12993.6</v>
      </c>
      <c r="AD31" s="33">
        <f>AC31-AD60+AD61</f>
        <v>14119.6</v>
      </c>
      <c r="AE31" s="33">
        <f>AD31-AE60+AE61</f>
        <v>14119.6</v>
      </c>
      <c r="AF31" s="33">
        <f>AE31-AF60+AF61</f>
        <v>14219.6</v>
      </c>
      <c r="AG31" s="169">
        <f>AF31</f>
        <v>14219.6</v>
      </c>
      <c r="AH31" s="33">
        <f>AF31-AH60+AH61</f>
        <v>12969.6</v>
      </c>
      <c r="AI31" s="33">
        <f>AH31-AI60+AI61</f>
        <v>12969.6</v>
      </c>
      <c r="AJ31" s="33">
        <f>AI31-AJ60+AJ61</f>
        <v>18511.581197315179</v>
      </c>
      <c r="AK31" s="33">
        <f>AJ31-AK60+AK61</f>
        <v>19261.581197315179</v>
      </c>
      <c r="AL31" s="169">
        <f>AK31</f>
        <v>19261.581197315179</v>
      </c>
      <c r="AM31" s="33">
        <f>AK31-AM60+AM61</f>
        <v>19261.581197315179</v>
      </c>
      <c r="AN31" s="33">
        <f>AM31-AN60+AN61</f>
        <v>19261.581197315179</v>
      </c>
      <c r="AO31" s="33">
        <f>AN31-AO60+AO61</f>
        <v>19261.581197315179</v>
      </c>
      <c r="AP31" s="33">
        <f>AO31-AP60+AP61</f>
        <v>19261.581197315179</v>
      </c>
      <c r="AQ31" s="169">
        <f>AP31</f>
        <v>19261.581197315179</v>
      </c>
      <c r="AR31" s="33">
        <f>AP31-AR60+AR61</f>
        <v>19261.581197315179</v>
      </c>
      <c r="AS31" s="33">
        <f>AR31-AS60+AS61</f>
        <v>19761.581197315179</v>
      </c>
      <c r="AT31" s="33">
        <f>AS31-AT60+AT61</f>
        <v>19761.581197315179</v>
      </c>
      <c r="AU31" s="33">
        <f>AT31-AU60+AU61</f>
        <v>19761.581197315179</v>
      </c>
      <c r="AV31" s="169">
        <f>AU31</f>
        <v>19761.581197315179</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33">
        <f>V32*0.996</f>
        <v>7485.1391999999996</v>
      </c>
      <c r="Y32" s="33">
        <f t="shared" ref="Y32:AA32" si="24">X32*0.996</f>
        <v>7455.1986431999994</v>
      </c>
      <c r="Z32" s="33">
        <f t="shared" si="24"/>
        <v>7425.3778486271995</v>
      </c>
      <c r="AA32" s="33">
        <f t="shared" si="24"/>
        <v>7395.6763372326905</v>
      </c>
      <c r="AB32" s="169">
        <f>AA32</f>
        <v>7395.6763372326905</v>
      </c>
      <c r="AC32" s="33">
        <f>AA32*0.996</f>
        <v>7366.0936318837594</v>
      </c>
      <c r="AD32" s="33">
        <f t="shared" ref="AD32:AF32" si="25">AC32*0.996</f>
        <v>7336.6292573562241</v>
      </c>
      <c r="AE32" s="33">
        <f t="shared" si="25"/>
        <v>7307.2827403267993</v>
      </c>
      <c r="AF32" s="33">
        <f t="shared" si="25"/>
        <v>7278.0536093654919</v>
      </c>
      <c r="AG32" s="169">
        <f>AF32</f>
        <v>7278.0536093654919</v>
      </c>
      <c r="AH32" s="33">
        <f>AF32*0.996</f>
        <v>7248.9413949280297</v>
      </c>
      <c r="AI32" s="33">
        <f t="shared" ref="AI32:AK32" si="26">AH32*0.996</f>
        <v>7219.9456293483172</v>
      </c>
      <c r="AJ32" s="33">
        <f t="shared" si="26"/>
        <v>7191.0658468309239</v>
      </c>
      <c r="AK32" s="33">
        <f t="shared" si="26"/>
        <v>7162.3015834436001</v>
      </c>
      <c r="AL32" s="169">
        <f>AK32</f>
        <v>7162.3015834436001</v>
      </c>
      <c r="AM32" s="33">
        <f>AK32*0.996</f>
        <v>7133.6523771098255</v>
      </c>
      <c r="AN32" s="33">
        <f t="shared" ref="AN32:AP32" si="27">AM32*0.996</f>
        <v>7105.1177676013858</v>
      </c>
      <c r="AO32" s="33">
        <f t="shared" si="27"/>
        <v>7076.6972965309806</v>
      </c>
      <c r="AP32" s="33">
        <f t="shared" si="27"/>
        <v>7048.3905073448568</v>
      </c>
      <c r="AQ32" s="169">
        <f>AP32</f>
        <v>7048.3905073448568</v>
      </c>
      <c r="AR32" s="33">
        <f>AP32*0.996</f>
        <v>7020.196945315477</v>
      </c>
      <c r="AS32" s="33">
        <f t="shared" ref="AS32:AU32" si="28">AR32*0.996</f>
        <v>6992.1161575342148</v>
      </c>
      <c r="AT32" s="33">
        <f t="shared" si="28"/>
        <v>6964.1476929040782</v>
      </c>
      <c r="AU32" s="33">
        <f t="shared" si="28"/>
        <v>6936.2911021324617</v>
      </c>
      <c r="AV32" s="169">
        <f>AU32</f>
        <v>6936.2911021324617</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33">
        <f>V33*0.995</f>
        <v>6248.3014999999996</v>
      </c>
      <c r="Y33" s="33">
        <f>X33*0.995</f>
        <v>6217.0599924999997</v>
      </c>
      <c r="Z33" s="33">
        <f>Y33*0.995</f>
        <v>6185.9746925374993</v>
      </c>
      <c r="AA33" s="33">
        <f>Z33*0.995</f>
        <v>6155.044819074812</v>
      </c>
      <c r="AB33" s="169">
        <f>AA33</f>
        <v>6155.044819074812</v>
      </c>
      <c r="AC33" s="33">
        <f>AA33*0.995</f>
        <v>6124.2695949794379</v>
      </c>
      <c r="AD33" s="33">
        <f>AC33*0.995</f>
        <v>6093.6482470045403</v>
      </c>
      <c r="AE33" s="33">
        <f>AD33*0.995</f>
        <v>6063.1800057695173</v>
      </c>
      <c r="AF33" s="33">
        <f>AE33*0.995</f>
        <v>6032.8641057406694</v>
      </c>
      <c r="AG33" s="169">
        <f>AF33</f>
        <v>6032.8641057406694</v>
      </c>
      <c r="AH33" s="33">
        <f>AF33*0.995</f>
        <v>6002.6997852119657</v>
      </c>
      <c r="AI33" s="33">
        <f>AH33*0.995</f>
        <v>5972.6862862859061</v>
      </c>
      <c r="AJ33" s="33">
        <f>AI33*0.995</f>
        <v>5942.8228548544766</v>
      </c>
      <c r="AK33" s="33">
        <f>AJ33*0.995</f>
        <v>5913.1087405802045</v>
      </c>
      <c r="AL33" s="169">
        <f>AK33</f>
        <v>5913.1087405802045</v>
      </c>
      <c r="AM33" s="33">
        <f>AK33*0.995</f>
        <v>5883.5431968773037</v>
      </c>
      <c r="AN33" s="33">
        <f>AM33*0.995</f>
        <v>5854.125480892917</v>
      </c>
      <c r="AO33" s="33">
        <f>AN33*0.995</f>
        <v>5824.8548534884521</v>
      </c>
      <c r="AP33" s="33">
        <f>AO33*0.995</f>
        <v>5795.73057922101</v>
      </c>
      <c r="AQ33" s="169">
        <f>AP33</f>
        <v>5795.73057922101</v>
      </c>
      <c r="AR33" s="33">
        <f>AP33*0.995</f>
        <v>5766.7519263249051</v>
      </c>
      <c r="AS33" s="33">
        <f>AR33*0.995</f>
        <v>5737.9181666932809</v>
      </c>
      <c r="AT33" s="33">
        <f>AS33*0.995</f>
        <v>5709.2285758598146</v>
      </c>
      <c r="AU33" s="33">
        <f>AT33*0.995</f>
        <v>5680.6824329805158</v>
      </c>
      <c r="AV33" s="169">
        <f>AU33</f>
        <v>5680.6824329805158</v>
      </c>
    </row>
    <row r="34" spans="1:48" ht="15.75" customHeight="1" outlineLevel="1" x14ac:dyDescent="0.45">
      <c r="A34" s="161"/>
      <c r="B34" s="486" t="s">
        <v>240</v>
      </c>
      <c r="C34" s="487"/>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32">
        <f>V34</f>
        <v>610.5</v>
      </c>
      <c r="Y34" s="32">
        <f>X34</f>
        <v>610.5</v>
      </c>
      <c r="Z34" s="32">
        <f>Y34</f>
        <v>610.5</v>
      </c>
      <c r="AA34" s="32">
        <f>Z34</f>
        <v>610.5</v>
      </c>
      <c r="AB34" s="262">
        <f>AA34</f>
        <v>610.5</v>
      </c>
      <c r="AC34" s="32">
        <f>AA34</f>
        <v>610.5</v>
      </c>
      <c r="AD34" s="32">
        <f>AC34</f>
        <v>610.5</v>
      </c>
      <c r="AE34" s="32">
        <f>AD34</f>
        <v>610.5</v>
      </c>
      <c r="AF34" s="32">
        <f>AE34</f>
        <v>610.5</v>
      </c>
      <c r="AG34" s="262">
        <f>AF34</f>
        <v>610.5</v>
      </c>
      <c r="AH34" s="32">
        <f>AF34</f>
        <v>610.5</v>
      </c>
      <c r="AI34" s="32">
        <f>AH34</f>
        <v>610.5</v>
      </c>
      <c r="AJ34" s="32">
        <f>AI34</f>
        <v>610.5</v>
      </c>
      <c r="AK34" s="32">
        <f>AJ34</f>
        <v>610.5</v>
      </c>
      <c r="AL34" s="262">
        <f>AK34</f>
        <v>610.5</v>
      </c>
      <c r="AM34" s="32">
        <f>AK34</f>
        <v>610.5</v>
      </c>
      <c r="AN34" s="32">
        <f>AM34</f>
        <v>610.5</v>
      </c>
      <c r="AO34" s="32">
        <f>AN34</f>
        <v>610.5</v>
      </c>
      <c r="AP34" s="32">
        <f>AO34</f>
        <v>610.5</v>
      </c>
      <c r="AQ34" s="262">
        <f>AP34</f>
        <v>610.5</v>
      </c>
      <c r="AR34" s="32">
        <f>AP34</f>
        <v>610.5</v>
      </c>
      <c r="AS34" s="32">
        <f>AR34</f>
        <v>610.5</v>
      </c>
      <c r="AT34" s="32">
        <f>AS34</f>
        <v>610.5</v>
      </c>
      <c r="AU34" s="32">
        <f>AT34</f>
        <v>610.5</v>
      </c>
      <c r="AV34" s="262">
        <f>AU34</f>
        <v>610.5</v>
      </c>
    </row>
    <row r="35" spans="1:48" outlineLevel="1" x14ac:dyDescent="0.3">
      <c r="A35" s="161"/>
      <c r="B35" s="525" t="s">
        <v>241</v>
      </c>
      <c r="C35" s="526"/>
      <c r="D35" s="116">
        <f t="shared" ref="D35:AV35" si="29">SUM(D30:D34)</f>
        <v>22860.100000000002</v>
      </c>
      <c r="E35" s="116">
        <f t="shared" si="29"/>
        <v>22677.1</v>
      </c>
      <c r="F35" s="116">
        <f t="shared" si="29"/>
        <v>25213.4</v>
      </c>
      <c r="G35" s="116">
        <f t="shared" si="29"/>
        <v>25450.6</v>
      </c>
      <c r="H35" s="150">
        <f t="shared" si="29"/>
        <v>25450.6</v>
      </c>
      <c r="I35" s="116">
        <f t="shared" si="29"/>
        <v>34490.400000000001</v>
      </c>
      <c r="J35" s="116">
        <f t="shared" si="29"/>
        <v>35011.800000000003</v>
      </c>
      <c r="K35" s="116">
        <f t="shared" si="29"/>
        <v>37764.899999999994</v>
      </c>
      <c r="L35" s="116">
        <f t="shared" si="29"/>
        <v>37173.900000000009</v>
      </c>
      <c r="M35" s="150">
        <f t="shared" si="29"/>
        <v>37173.900000000009</v>
      </c>
      <c r="N35" s="116">
        <f t="shared" si="29"/>
        <v>37872.400000000001</v>
      </c>
      <c r="O35" s="116">
        <f t="shared" si="29"/>
        <v>36020</v>
      </c>
      <c r="P35" s="116">
        <f t="shared" si="29"/>
        <v>36271.1</v>
      </c>
      <c r="Q35" s="116">
        <f t="shared" si="29"/>
        <v>36707.100000000006</v>
      </c>
      <c r="R35" s="150">
        <f t="shared" si="29"/>
        <v>36707.100000000006</v>
      </c>
      <c r="S35" s="116">
        <f t="shared" si="29"/>
        <v>37284.199999999997</v>
      </c>
      <c r="T35" s="116">
        <f t="shared" si="29"/>
        <v>37782.699999999997</v>
      </c>
      <c r="U35" s="116">
        <f t="shared" si="29"/>
        <v>36815.1</v>
      </c>
      <c r="V35" s="116">
        <f t="shared" si="29"/>
        <v>36677.1</v>
      </c>
      <c r="W35" s="150">
        <f t="shared" si="29"/>
        <v>36677.1</v>
      </c>
      <c r="X35" s="116">
        <f t="shared" si="29"/>
        <v>37076.312164962808</v>
      </c>
      <c r="Y35" s="116">
        <f t="shared" si="29"/>
        <v>36693.755274939926</v>
      </c>
      <c r="Z35" s="116">
        <f t="shared" si="29"/>
        <v>36860.888484555137</v>
      </c>
      <c r="AA35" s="116">
        <f t="shared" si="29"/>
        <v>36694.001091363425</v>
      </c>
      <c r="AB35" s="150">
        <f t="shared" si="29"/>
        <v>36694.001091363425</v>
      </c>
      <c r="AC35" s="116">
        <f t="shared" si="29"/>
        <v>37128.010818571594</v>
      </c>
      <c r="AD35" s="116">
        <f t="shared" si="29"/>
        <v>36680.935295819174</v>
      </c>
      <c r="AE35" s="116">
        <f t="shared" si="29"/>
        <v>36837.269763582764</v>
      </c>
      <c r="AF35" s="116">
        <f t="shared" si="29"/>
        <v>36805.718016429964</v>
      </c>
      <c r="AG35" s="150">
        <f t="shared" si="29"/>
        <v>36805.718016429964</v>
      </c>
      <c r="AH35" s="116">
        <f t="shared" si="29"/>
        <v>37326.392277532897</v>
      </c>
      <c r="AI35" s="116">
        <f t="shared" si="29"/>
        <v>36856.62706561511</v>
      </c>
      <c r="AJ35" s="116">
        <f t="shared" si="29"/>
        <v>42602.783056411834</v>
      </c>
      <c r="AK35" s="116">
        <f t="shared" si="29"/>
        <v>42471.120688613242</v>
      </c>
      <c r="AL35" s="150">
        <f t="shared" si="29"/>
        <v>42471.120688613242</v>
      </c>
      <c r="AM35" s="116">
        <f t="shared" si="29"/>
        <v>42986.666889466069</v>
      </c>
      <c r="AN35" s="116">
        <f t="shared" si="29"/>
        <v>42463.288602209956</v>
      </c>
      <c r="AO35" s="116">
        <f t="shared" si="29"/>
        <v>42681.001004070167</v>
      </c>
      <c r="AP35" s="116">
        <f t="shared" si="29"/>
        <v>42535.513595303615</v>
      </c>
      <c r="AQ35" s="150">
        <f t="shared" si="29"/>
        <v>42535.513595303615</v>
      </c>
      <c r="AR35" s="116">
        <f t="shared" si="29"/>
        <v>43086.550093669808</v>
      </c>
      <c r="AS35" s="116">
        <f t="shared" si="29"/>
        <v>42527.008512084343</v>
      </c>
      <c r="AT35" s="116">
        <f t="shared" si="29"/>
        <v>42753.698217892794</v>
      </c>
      <c r="AU35" s="116">
        <f t="shared" si="29"/>
        <v>42611.048230022294</v>
      </c>
      <c r="AV35" s="150">
        <f t="shared" si="29"/>
        <v>42611.048230022294</v>
      </c>
    </row>
    <row r="36" spans="1:48" ht="17.399999999999999" x14ac:dyDescent="0.45">
      <c r="B36" s="494" t="s">
        <v>242</v>
      </c>
      <c r="C36" s="495"/>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486" t="s">
        <v>243</v>
      </c>
      <c r="C37" s="487"/>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6">
        <f>+V37+'CFS (After Changes)'!X12+'CFS (After Changes)'!X35</f>
        <v>275.85189912695603</v>
      </c>
      <c r="Y37" s="16">
        <f>+X37+'CFS (After Changes)'!Y12+'CFS (After Changes)'!Y35</f>
        <v>336.1178618082169</v>
      </c>
      <c r="Z37" s="16">
        <f>+Y37+'CFS (After Changes)'!Z12+'CFS (After Changes)'!Z35</f>
        <v>404.13665817802377</v>
      </c>
      <c r="AA37" s="16">
        <f>+Z37+'CFS (After Changes)'!AA12+'CFS (After Changes)'!AA35</f>
        <v>475.7818122529963</v>
      </c>
      <c r="AB37" s="17">
        <f>AA37</f>
        <v>475.7818122529963</v>
      </c>
      <c r="AC37" s="16">
        <f>+AA37+'CFS (After Changes)'!AC12+'CFS (After Changes)'!AC35</f>
        <v>548.93191954181589</v>
      </c>
      <c r="AD37" s="16">
        <f>+AC37+'CFS (After Changes)'!AD12+'CFS (After Changes)'!AD35</f>
        <v>616.88498093478324</v>
      </c>
      <c r="AE37" s="16">
        <f>+AD37+'CFS (After Changes)'!AE12+'CFS (After Changes)'!AE35</f>
        <v>692.72541712057739</v>
      </c>
      <c r="AF37" s="16">
        <f>+AE37+'CFS (After Changes)'!AF12+'CFS (After Changes)'!AF35</f>
        <v>771.40810397344057</v>
      </c>
      <c r="AG37" s="17">
        <f>AF37</f>
        <v>771.40810397344057</v>
      </c>
      <c r="AH37" s="16">
        <f>+AF37+'CFS (After Changes)'!AH12+'CFS (After Changes)'!AH35</f>
        <v>852.46057145614498</v>
      </c>
      <c r="AI37" s="16">
        <f>+AH37+'CFS (After Changes)'!AI12+'CFS (After Changes)'!AI35</f>
        <v>928.85079785983919</v>
      </c>
      <c r="AJ37" s="16">
        <f>+AI37+'CFS (After Changes)'!AJ12+'CFS (After Changes)'!AJ35</f>
        <v>1013.758472371499</v>
      </c>
      <c r="AK37" s="16">
        <f>+AJ37+'CFS (After Changes)'!AK12+'CFS (After Changes)'!AK35</f>
        <v>1101.7264586549718</v>
      </c>
      <c r="AL37" s="17">
        <f>AK37</f>
        <v>1101.7264586549718</v>
      </c>
      <c r="AM37" s="16">
        <f>+AK37+'CFS (After Changes)'!AM12+'CFS (After Changes)'!AM35</f>
        <v>1190.7738411992957</v>
      </c>
      <c r="AN37" s="16">
        <f>+AM37+'CFS (After Changes)'!AN12+'CFS (After Changes)'!AN35</f>
        <v>1274.456272410185</v>
      </c>
      <c r="AO37" s="16">
        <f>+AN37+'CFS (After Changes)'!AO12+'CFS (After Changes)'!AO35</f>
        <v>1367.0207966883513</v>
      </c>
      <c r="AP37" s="16">
        <f>+AO37+'CFS (After Changes)'!AP12+'CFS (After Changes)'!AP35</f>
        <v>1462.5769425360479</v>
      </c>
      <c r="AQ37" s="17">
        <f>AP37</f>
        <v>1462.5769425360479</v>
      </c>
      <c r="AR37" s="16">
        <f>+AP37+'CFS (After Changes)'!AR12+'CFS (After Changes)'!AR35</f>
        <v>1557.3958856571189</v>
      </c>
      <c r="AS37" s="16">
        <f>+AR37+'CFS (After Changes)'!AS12+'CFS (After Changes)'!AS35</f>
        <v>1646.4587487718707</v>
      </c>
      <c r="AT37" s="16">
        <f>+AS37+'CFS (After Changes)'!AT12+'CFS (After Changes)'!AT35</f>
        <v>1744.9316541413207</v>
      </c>
      <c r="AU37" s="16">
        <f>+AT37+'CFS (After Changes)'!AU12+'CFS (After Changes)'!AU35</f>
        <v>1846.5785122499401</v>
      </c>
      <c r="AV37" s="17">
        <f>AU37</f>
        <v>1846.5785122499401</v>
      </c>
    </row>
    <row r="38" spans="1:48" outlineLevel="1" x14ac:dyDescent="0.3">
      <c r="B38" s="527" t="s">
        <v>244</v>
      </c>
      <c r="C38" s="528"/>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f>V38+'CFS (After Changes)'!X6+'CFS (After Changes)'!X33+'CFS (After Changes)'!X34</f>
        <v>-8219.7621798772288</v>
      </c>
      <c r="Y38" s="101">
        <f>X38+'CFS (After Changes)'!Y6+'CFS (After Changes)'!Y33+'CFS (After Changes)'!Y34</f>
        <v>-8026.1117997912852</v>
      </c>
      <c r="Z38" s="101">
        <f>Y38+'CFS (After Changes)'!Z6+'CFS (After Changes)'!Z33+'CFS (After Changes)'!Z34</f>
        <v>-7547.4626937321354</v>
      </c>
      <c r="AA38" s="101">
        <f>Z38+'CFS (After Changes)'!AA6+'CFS (After Changes)'!AA33+'CFS (After Changes)'!AA34</f>
        <v>-7108.2793869736051</v>
      </c>
      <c r="AB38" s="169">
        <f>AA38</f>
        <v>-7108.2793869736051</v>
      </c>
      <c r="AC38" s="101">
        <f>AA38+'CFS (After Changes)'!AC6+'CFS (After Changes)'!AC33+'CFS (After Changes)'!AC34</f>
        <v>-6545.9116274324342</v>
      </c>
      <c r="AD38" s="101">
        <f>AC38+'CFS (After Changes)'!AD6+'CFS (After Changes)'!AD33+'CFS (After Changes)'!AD34</f>
        <v>-6121.5226114560455</v>
      </c>
      <c r="AE38" s="101">
        <f>AD38+'CFS (After Changes)'!AE6+'CFS (After Changes)'!AE33+'CFS (After Changes)'!AE34</f>
        <v>-5503.5277426559205</v>
      </c>
      <c r="AF38" s="101">
        <f>AE38+'CFS (After Changes)'!AF6+'CFS (After Changes)'!AF33+'CFS (After Changes)'!AF34</f>
        <v>-4913.5033732472903</v>
      </c>
      <c r="AG38" s="169">
        <f>AF38</f>
        <v>-4913.5033732472903</v>
      </c>
      <c r="AH38" s="101">
        <f>AF38+'CFS (After Changes)'!AH6+'CFS (After Changes)'!AH33+'CFS (After Changes)'!AH34</f>
        <v>-4276.9792380050849</v>
      </c>
      <c r="AI38" s="101">
        <f>AH38+'CFS (After Changes)'!AI6+'CFS (After Changes)'!AI33+'CFS (After Changes)'!AI34</f>
        <v>-3794.1389302863122</v>
      </c>
      <c r="AJ38" s="101">
        <f>AI38+'CFS (After Changes)'!AJ6+'CFS (After Changes)'!AJ33+'CFS (After Changes)'!AJ34</f>
        <v>-8265.8650971519528</v>
      </c>
      <c r="AK38" s="101">
        <f>AJ38+'CFS (After Changes)'!AK6+'CFS (After Changes)'!AK33+'CFS (After Changes)'!AK34</f>
        <v>-12854.581471952846</v>
      </c>
      <c r="AL38" s="169">
        <f>AK38</f>
        <v>-12854.581471952846</v>
      </c>
      <c r="AM38" s="101">
        <f>AK38+'CFS (After Changes)'!AM6+'CFS (After Changes)'!AM33+'CFS (After Changes)'!AM34</f>
        <v>-12304.214796852226</v>
      </c>
      <c r="AN38" s="101">
        <f>AM38+'CFS (After Changes)'!AN6+'CFS (After Changes)'!AN33+'CFS (After Changes)'!AN34</f>
        <v>-11930.874535367991</v>
      </c>
      <c r="AO38" s="101">
        <f>AN38+'CFS (After Changes)'!AO6+'CFS (After Changes)'!AO33+'CFS (After Changes)'!AO34</f>
        <v>-11124.198732770443</v>
      </c>
      <c r="AP38" s="101">
        <f>AO38+'CFS (After Changes)'!AP6+'CFS (After Changes)'!AP33+'CFS (After Changes)'!AP34</f>
        <v>-10381.420336799711</v>
      </c>
      <c r="AQ38" s="169">
        <f>AP38</f>
        <v>-10381.420336799711</v>
      </c>
      <c r="AR38" s="101">
        <f>AP38+'CFS (After Changes)'!AR6+'CFS (After Changes)'!AR33+'CFS (After Changes)'!AR34</f>
        <v>-9703.7157371129142</v>
      </c>
      <c r="AS38" s="101">
        <f>AR38+'CFS (After Changes)'!AS6+'CFS (After Changes)'!AS33+'CFS (After Changes)'!AS34</f>
        <v>-9213.2521063954264</v>
      </c>
      <c r="AT38" s="101">
        <f>AS38+'CFS (After Changes)'!AT6+'CFS (After Changes)'!AT33+'CFS (After Changes)'!AT34</f>
        <v>-8289.7506872162267</v>
      </c>
      <c r="AU38" s="101">
        <f>AT38+'CFS (After Changes)'!AU6+'CFS (After Changes)'!AU33+'CFS (After Changes)'!AU34</f>
        <v>-7441.5901985602022</v>
      </c>
      <c r="AV38" s="169">
        <f>AU38</f>
        <v>-7441.5901985602022</v>
      </c>
    </row>
    <row r="39" spans="1:48" outlineLevel="1" x14ac:dyDescent="0.3">
      <c r="B39" s="527" t="s">
        <v>245</v>
      </c>
      <c r="C39" s="528"/>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30">+V39</f>
        <v>-463.2</v>
      </c>
      <c r="X39" s="101">
        <f>+V39</f>
        <v>-463.2</v>
      </c>
      <c r="Y39" s="101">
        <f t="shared" ref="Y39:AB40" si="31">+X39</f>
        <v>-463.2</v>
      </c>
      <c r="Z39" s="101">
        <f t="shared" si="31"/>
        <v>-463.2</v>
      </c>
      <c r="AA39" s="101">
        <f t="shared" si="31"/>
        <v>-463.2</v>
      </c>
      <c r="AB39" s="169">
        <f t="shared" si="31"/>
        <v>-463.2</v>
      </c>
      <c r="AC39" s="101">
        <f>+AA39</f>
        <v>-463.2</v>
      </c>
      <c r="AD39" s="101">
        <f t="shared" ref="AD39:AG40" si="32">+AC39</f>
        <v>-463.2</v>
      </c>
      <c r="AE39" s="101">
        <f t="shared" si="32"/>
        <v>-463.2</v>
      </c>
      <c r="AF39" s="101">
        <f t="shared" si="32"/>
        <v>-463.2</v>
      </c>
      <c r="AG39" s="169">
        <f t="shared" si="32"/>
        <v>-463.2</v>
      </c>
      <c r="AH39" s="101">
        <f>+AF39</f>
        <v>-463.2</v>
      </c>
      <c r="AI39" s="101">
        <f t="shared" ref="AI39:AL40" si="33">+AH39</f>
        <v>-463.2</v>
      </c>
      <c r="AJ39" s="101">
        <f t="shared" si="33"/>
        <v>-463.2</v>
      </c>
      <c r="AK39" s="101">
        <f t="shared" si="33"/>
        <v>-463.2</v>
      </c>
      <c r="AL39" s="169">
        <f t="shared" si="33"/>
        <v>-463.2</v>
      </c>
      <c r="AM39" s="101">
        <f>+AK39</f>
        <v>-463.2</v>
      </c>
      <c r="AN39" s="101">
        <f t="shared" ref="AN39:AQ40" si="34">+AM39</f>
        <v>-463.2</v>
      </c>
      <c r="AO39" s="101">
        <f t="shared" si="34"/>
        <v>-463.2</v>
      </c>
      <c r="AP39" s="101">
        <f t="shared" si="34"/>
        <v>-463.2</v>
      </c>
      <c r="AQ39" s="169">
        <f t="shared" si="34"/>
        <v>-463.2</v>
      </c>
      <c r="AR39" s="101">
        <f>+AP39</f>
        <v>-463.2</v>
      </c>
      <c r="AS39" s="101">
        <f t="shared" ref="AS39:AV40" si="35">+AR39</f>
        <v>-463.2</v>
      </c>
      <c r="AT39" s="101">
        <f t="shared" si="35"/>
        <v>-463.2</v>
      </c>
      <c r="AU39" s="101">
        <f t="shared" si="35"/>
        <v>-463.2</v>
      </c>
      <c r="AV39" s="169">
        <f t="shared" si="35"/>
        <v>-463.2</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30"/>
        <v>7.9</v>
      </c>
      <c r="X40" s="112">
        <f>+V40</f>
        <v>7.9</v>
      </c>
      <c r="Y40" s="112">
        <f t="shared" si="31"/>
        <v>7.9</v>
      </c>
      <c r="Z40" s="112">
        <f t="shared" si="31"/>
        <v>7.9</v>
      </c>
      <c r="AA40" s="112">
        <f t="shared" si="31"/>
        <v>7.9</v>
      </c>
      <c r="AB40" s="262">
        <f t="shared" si="31"/>
        <v>7.9</v>
      </c>
      <c r="AC40" s="112">
        <f>+AA40</f>
        <v>7.9</v>
      </c>
      <c r="AD40" s="112">
        <f t="shared" si="32"/>
        <v>7.9</v>
      </c>
      <c r="AE40" s="112">
        <f t="shared" si="32"/>
        <v>7.9</v>
      </c>
      <c r="AF40" s="112">
        <f t="shared" si="32"/>
        <v>7.9</v>
      </c>
      <c r="AG40" s="262">
        <f t="shared" si="32"/>
        <v>7.9</v>
      </c>
      <c r="AH40" s="112">
        <f>+AF40</f>
        <v>7.9</v>
      </c>
      <c r="AI40" s="112">
        <f t="shared" si="33"/>
        <v>7.9</v>
      </c>
      <c r="AJ40" s="112">
        <f t="shared" si="33"/>
        <v>7.9</v>
      </c>
      <c r="AK40" s="112">
        <f t="shared" si="33"/>
        <v>7.9</v>
      </c>
      <c r="AL40" s="262">
        <f t="shared" si="33"/>
        <v>7.9</v>
      </c>
      <c r="AM40" s="112">
        <f>+AK40</f>
        <v>7.9</v>
      </c>
      <c r="AN40" s="112">
        <f t="shared" si="34"/>
        <v>7.9</v>
      </c>
      <c r="AO40" s="112">
        <f t="shared" si="34"/>
        <v>7.9</v>
      </c>
      <c r="AP40" s="112">
        <f t="shared" si="34"/>
        <v>7.9</v>
      </c>
      <c r="AQ40" s="262">
        <f t="shared" si="34"/>
        <v>7.9</v>
      </c>
      <c r="AR40" s="112">
        <f>+AP40</f>
        <v>7.9</v>
      </c>
      <c r="AS40" s="112">
        <f t="shared" si="35"/>
        <v>7.9</v>
      </c>
      <c r="AT40" s="112">
        <f t="shared" si="35"/>
        <v>7.9</v>
      </c>
      <c r="AU40" s="112">
        <f t="shared" si="35"/>
        <v>7.9</v>
      </c>
      <c r="AV40" s="262">
        <f t="shared" si="35"/>
        <v>7.9</v>
      </c>
    </row>
    <row r="41" spans="1:48" outlineLevel="1" x14ac:dyDescent="0.3">
      <c r="B41" s="525" t="s">
        <v>247</v>
      </c>
      <c r="C41" s="526"/>
      <c r="D41" s="21">
        <f t="shared" ref="D41:AV41" si="36">SUM(D37:D40)</f>
        <v>-2878.7999999999997</v>
      </c>
      <c r="E41" s="21">
        <f t="shared" si="36"/>
        <v>-5035.2</v>
      </c>
      <c r="F41" s="21">
        <f t="shared" si="36"/>
        <v>-4319</v>
      </c>
      <c r="G41" s="21">
        <f t="shared" si="36"/>
        <v>-6231</v>
      </c>
      <c r="H41" s="22">
        <f t="shared" si="36"/>
        <v>-6231</v>
      </c>
      <c r="I41" s="21">
        <f t="shared" si="36"/>
        <v>-6759.0999999999995</v>
      </c>
      <c r="J41" s="21">
        <f t="shared" si="36"/>
        <v>-7532.9000000000005</v>
      </c>
      <c r="K41" s="21">
        <f t="shared" si="36"/>
        <v>-8624.2999999999993</v>
      </c>
      <c r="L41" s="21">
        <f t="shared" si="36"/>
        <v>-7799.4000000000005</v>
      </c>
      <c r="M41" s="22">
        <f t="shared" si="36"/>
        <v>-7799.4000000000005</v>
      </c>
      <c r="N41" s="21">
        <f t="shared" si="36"/>
        <v>-7904</v>
      </c>
      <c r="O41" s="21">
        <f t="shared" si="36"/>
        <v>-7648.3</v>
      </c>
      <c r="P41" s="21">
        <f t="shared" si="36"/>
        <v>-6794.3</v>
      </c>
      <c r="Q41" s="21">
        <f t="shared" si="36"/>
        <v>-5314.5</v>
      </c>
      <c r="R41" s="22">
        <f t="shared" si="36"/>
        <v>-5314.5</v>
      </c>
      <c r="S41" s="21">
        <f t="shared" si="36"/>
        <v>-8450.3000000000011</v>
      </c>
      <c r="T41" s="21">
        <f t="shared" si="36"/>
        <v>-8761.2000000000007</v>
      </c>
      <c r="U41" s="21">
        <f t="shared" si="36"/>
        <v>-8658.9</v>
      </c>
      <c r="V41" s="21">
        <f t="shared" si="36"/>
        <v>-8698.7000000000007</v>
      </c>
      <c r="W41" s="22">
        <f t="shared" si="36"/>
        <v>-8698.7000000000007</v>
      </c>
      <c r="X41" s="21">
        <f t="shared" si="36"/>
        <v>-8399.2102807502743</v>
      </c>
      <c r="Y41" s="21">
        <f t="shared" si="36"/>
        <v>-8145.2939379830686</v>
      </c>
      <c r="Z41" s="21">
        <f t="shared" si="36"/>
        <v>-7598.6260355541117</v>
      </c>
      <c r="AA41" s="21">
        <f t="shared" si="36"/>
        <v>-7087.7975747206092</v>
      </c>
      <c r="AB41" s="22">
        <f t="shared" si="36"/>
        <v>-7087.7975747206092</v>
      </c>
      <c r="AC41" s="21">
        <f t="shared" si="36"/>
        <v>-6452.2797078906187</v>
      </c>
      <c r="AD41" s="21">
        <f t="shared" si="36"/>
        <v>-5959.9376305212627</v>
      </c>
      <c r="AE41" s="21">
        <f t="shared" si="36"/>
        <v>-5266.102325535343</v>
      </c>
      <c r="AF41" s="21">
        <f t="shared" si="36"/>
        <v>-4597.3952692738503</v>
      </c>
      <c r="AG41" s="22">
        <f t="shared" si="36"/>
        <v>-4597.3952692738503</v>
      </c>
      <c r="AH41" s="21">
        <f t="shared" si="36"/>
        <v>-3879.8186665489397</v>
      </c>
      <c r="AI41" s="21">
        <f t="shared" si="36"/>
        <v>-3320.5881324264728</v>
      </c>
      <c r="AJ41" s="21">
        <f t="shared" si="36"/>
        <v>-7707.406624780454</v>
      </c>
      <c r="AK41" s="21">
        <f t="shared" si="36"/>
        <v>-12208.155013297875</v>
      </c>
      <c r="AL41" s="22">
        <f t="shared" si="36"/>
        <v>-12208.155013297875</v>
      </c>
      <c r="AM41" s="21">
        <f t="shared" si="36"/>
        <v>-11568.740955652931</v>
      </c>
      <c r="AN41" s="21">
        <f t="shared" si="36"/>
        <v>-11111.718262957807</v>
      </c>
      <c r="AO41" s="21">
        <f t="shared" si="36"/>
        <v>-10212.477936082092</v>
      </c>
      <c r="AP41" s="21">
        <f t="shared" si="36"/>
        <v>-9374.1433942636631</v>
      </c>
      <c r="AQ41" s="22">
        <f t="shared" si="36"/>
        <v>-9374.1433942636631</v>
      </c>
      <c r="AR41" s="21">
        <f t="shared" si="36"/>
        <v>-8601.6198514557964</v>
      </c>
      <c r="AS41" s="21">
        <f t="shared" si="36"/>
        <v>-8022.0933576235557</v>
      </c>
      <c r="AT41" s="21">
        <f t="shared" si="36"/>
        <v>-7000.1190330749059</v>
      </c>
      <c r="AU41" s="21">
        <f t="shared" si="36"/>
        <v>-6050.3116863102623</v>
      </c>
      <c r="AV41" s="22">
        <f t="shared" si="36"/>
        <v>-6050.3116863102623</v>
      </c>
    </row>
    <row r="42" spans="1:48" outlineLevel="1" x14ac:dyDescent="0.3">
      <c r="B42" s="523" t="s">
        <v>248</v>
      </c>
      <c r="C42" s="524"/>
      <c r="D42" s="267">
        <f t="shared" ref="D42:AV42" si="37">D41+D35</f>
        <v>19981.300000000003</v>
      </c>
      <c r="E42" s="267">
        <f t="shared" si="37"/>
        <v>17641.899999999998</v>
      </c>
      <c r="F42" s="267">
        <f t="shared" si="37"/>
        <v>20894.400000000001</v>
      </c>
      <c r="G42" s="267">
        <f t="shared" si="37"/>
        <v>19219.599999999999</v>
      </c>
      <c r="H42" s="268">
        <f t="shared" si="37"/>
        <v>19219.599999999999</v>
      </c>
      <c r="I42" s="267">
        <f t="shared" si="37"/>
        <v>27731.300000000003</v>
      </c>
      <c r="J42" s="267">
        <f t="shared" si="37"/>
        <v>27478.9</v>
      </c>
      <c r="K42" s="267">
        <f t="shared" si="37"/>
        <v>29140.599999999995</v>
      </c>
      <c r="L42" s="267">
        <f t="shared" si="37"/>
        <v>29374.500000000007</v>
      </c>
      <c r="M42" s="268">
        <f t="shared" si="37"/>
        <v>29374.500000000007</v>
      </c>
      <c r="N42" s="267">
        <f t="shared" si="37"/>
        <v>29968.400000000001</v>
      </c>
      <c r="O42" s="267">
        <f t="shared" si="37"/>
        <v>28371.7</v>
      </c>
      <c r="P42" s="267">
        <f t="shared" si="37"/>
        <v>29476.799999999999</v>
      </c>
      <c r="Q42" s="267">
        <f t="shared" si="37"/>
        <v>31392.600000000006</v>
      </c>
      <c r="R42" s="268">
        <f t="shared" si="37"/>
        <v>31392.600000000006</v>
      </c>
      <c r="S42" s="267">
        <f t="shared" si="37"/>
        <v>28833.899999999994</v>
      </c>
      <c r="T42" s="267">
        <f t="shared" si="37"/>
        <v>29021.499999999996</v>
      </c>
      <c r="U42" s="267">
        <f t="shared" si="37"/>
        <v>28156.199999999997</v>
      </c>
      <c r="V42" s="267">
        <f t="shared" si="37"/>
        <v>27978.399999999998</v>
      </c>
      <c r="W42" s="268">
        <f t="shared" si="37"/>
        <v>27978.399999999998</v>
      </c>
      <c r="X42" s="267">
        <f t="shared" si="37"/>
        <v>28677.101884212534</v>
      </c>
      <c r="Y42" s="267">
        <f t="shared" si="37"/>
        <v>28548.461336956858</v>
      </c>
      <c r="Z42" s="267">
        <f t="shared" si="37"/>
        <v>29262.262449001024</v>
      </c>
      <c r="AA42" s="267">
        <f t="shared" si="37"/>
        <v>29606.203516642818</v>
      </c>
      <c r="AB42" s="268">
        <f t="shared" si="37"/>
        <v>29606.203516642818</v>
      </c>
      <c r="AC42" s="267">
        <f t="shared" si="37"/>
        <v>30675.731110680976</v>
      </c>
      <c r="AD42" s="267">
        <f t="shared" si="37"/>
        <v>30720.997665297909</v>
      </c>
      <c r="AE42" s="267">
        <f t="shared" si="37"/>
        <v>31571.167438047421</v>
      </c>
      <c r="AF42" s="267">
        <f t="shared" si="37"/>
        <v>32208.322747156115</v>
      </c>
      <c r="AG42" s="268">
        <f t="shared" si="37"/>
        <v>32208.322747156115</v>
      </c>
      <c r="AH42" s="267">
        <f t="shared" si="37"/>
        <v>33446.573610983956</v>
      </c>
      <c r="AI42" s="267">
        <f t="shared" si="37"/>
        <v>33536.03893318864</v>
      </c>
      <c r="AJ42" s="267">
        <f t="shared" si="37"/>
        <v>34895.376431631383</v>
      </c>
      <c r="AK42" s="267">
        <f t="shared" si="37"/>
        <v>30262.965675315369</v>
      </c>
      <c r="AL42" s="268">
        <f t="shared" si="37"/>
        <v>30262.965675315369</v>
      </c>
      <c r="AM42" s="267">
        <f t="shared" si="37"/>
        <v>31417.925933813138</v>
      </c>
      <c r="AN42" s="267">
        <f t="shared" si="37"/>
        <v>31351.570339252146</v>
      </c>
      <c r="AO42" s="267">
        <f t="shared" si="37"/>
        <v>32468.523067988077</v>
      </c>
      <c r="AP42" s="267">
        <f t="shared" si="37"/>
        <v>33161.37020103995</v>
      </c>
      <c r="AQ42" s="268">
        <f t="shared" si="37"/>
        <v>33161.37020103995</v>
      </c>
      <c r="AR42" s="267">
        <f t="shared" si="37"/>
        <v>34484.93024221401</v>
      </c>
      <c r="AS42" s="267">
        <f t="shared" si="37"/>
        <v>34504.915154460788</v>
      </c>
      <c r="AT42" s="267">
        <f t="shared" si="37"/>
        <v>35753.579184817885</v>
      </c>
      <c r="AU42" s="267">
        <f t="shared" si="37"/>
        <v>36560.736543712032</v>
      </c>
      <c r="AV42" s="268">
        <f t="shared" si="37"/>
        <v>36560.736543712032</v>
      </c>
    </row>
    <row r="43" spans="1:48" x14ac:dyDescent="0.3">
      <c r="B43" s="269"/>
      <c r="C43" s="270"/>
      <c r="D43" s="271">
        <f t="shared" ref="D43:AV43" si="38">ROUND((D42-D20),0)</f>
        <v>0</v>
      </c>
      <c r="E43" s="271">
        <f t="shared" si="38"/>
        <v>0</v>
      </c>
      <c r="F43" s="271">
        <f t="shared" si="38"/>
        <v>0</v>
      </c>
      <c r="G43" s="271">
        <f t="shared" si="38"/>
        <v>0</v>
      </c>
      <c r="H43" s="271">
        <f t="shared" si="38"/>
        <v>0</v>
      </c>
      <c r="I43" s="271">
        <f t="shared" si="38"/>
        <v>0</v>
      </c>
      <c r="J43" s="271">
        <f t="shared" si="38"/>
        <v>0</v>
      </c>
      <c r="K43" s="271">
        <f t="shared" si="38"/>
        <v>0</v>
      </c>
      <c r="L43" s="272">
        <f t="shared" si="38"/>
        <v>0</v>
      </c>
      <c r="M43" s="272">
        <f t="shared" si="38"/>
        <v>0</v>
      </c>
      <c r="N43" s="272">
        <f t="shared" si="38"/>
        <v>0</v>
      </c>
      <c r="O43" s="272">
        <f t="shared" si="38"/>
        <v>0</v>
      </c>
      <c r="P43" s="272">
        <f t="shared" si="38"/>
        <v>0</v>
      </c>
      <c r="Q43" s="272">
        <f t="shared" si="38"/>
        <v>0</v>
      </c>
      <c r="R43" s="272">
        <f t="shared" si="38"/>
        <v>0</v>
      </c>
      <c r="S43" s="272">
        <f t="shared" si="38"/>
        <v>0</v>
      </c>
      <c r="T43" s="272">
        <f t="shared" si="38"/>
        <v>0</v>
      </c>
      <c r="U43" s="272">
        <f t="shared" si="38"/>
        <v>0</v>
      </c>
      <c r="V43" s="272">
        <f t="shared" si="38"/>
        <v>0</v>
      </c>
      <c r="W43" s="272">
        <f t="shared" si="38"/>
        <v>0</v>
      </c>
      <c r="X43" s="272">
        <f t="shared" si="38"/>
        <v>0</v>
      </c>
      <c r="Y43" s="272">
        <f t="shared" si="38"/>
        <v>0</v>
      </c>
      <c r="Z43" s="272">
        <f t="shared" si="38"/>
        <v>0</v>
      </c>
      <c r="AA43" s="272">
        <f t="shared" si="38"/>
        <v>0</v>
      </c>
      <c r="AB43" s="272">
        <f t="shared" si="38"/>
        <v>0</v>
      </c>
      <c r="AC43" s="272">
        <f t="shared" si="38"/>
        <v>0</v>
      </c>
      <c r="AD43" s="272">
        <f t="shared" si="38"/>
        <v>0</v>
      </c>
      <c r="AE43" s="272">
        <f t="shared" si="38"/>
        <v>0</v>
      </c>
      <c r="AF43" s="272">
        <f t="shared" si="38"/>
        <v>0</v>
      </c>
      <c r="AG43" s="272">
        <f t="shared" si="38"/>
        <v>0</v>
      </c>
      <c r="AH43" s="272">
        <f t="shared" si="38"/>
        <v>0</v>
      </c>
      <c r="AI43" s="272">
        <f t="shared" si="38"/>
        <v>0</v>
      </c>
      <c r="AJ43" s="272">
        <f t="shared" si="38"/>
        <v>0</v>
      </c>
      <c r="AK43" s="272">
        <f t="shared" si="38"/>
        <v>0</v>
      </c>
      <c r="AL43" s="272">
        <f t="shared" si="38"/>
        <v>0</v>
      </c>
      <c r="AM43" s="272">
        <f t="shared" si="38"/>
        <v>0</v>
      </c>
      <c r="AN43" s="272">
        <f t="shared" si="38"/>
        <v>0</v>
      </c>
      <c r="AO43" s="272">
        <f t="shared" si="38"/>
        <v>0</v>
      </c>
      <c r="AP43" s="272">
        <f t="shared" si="38"/>
        <v>0</v>
      </c>
      <c r="AQ43" s="272">
        <f t="shared" si="38"/>
        <v>0</v>
      </c>
      <c r="AR43" s="272">
        <f t="shared" si="38"/>
        <v>0</v>
      </c>
      <c r="AS43" s="272">
        <f t="shared" si="38"/>
        <v>0</v>
      </c>
      <c r="AT43" s="272">
        <f t="shared" si="38"/>
        <v>0</v>
      </c>
      <c r="AU43" s="272">
        <f t="shared" si="38"/>
        <v>0</v>
      </c>
      <c r="AV43" s="272">
        <f t="shared" si="38"/>
        <v>0</v>
      </c>
    </row>
    <row r="44" spans="1:48" ht="15.6" x14ac:dyDescent="0.3">
      <c r="B44" s="494" t="s">
        <v>249</v>
      </c>
      <c r="C44" s="495"/>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12"/>
      <c r="C45" s="513"/>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486" t="s">
        <v>251</v>
      </c>
      <c r="C47" s="487"/>
      <c r="D47" s="276">
        <f>'IS (After Changes)'!D8/'BS (After Changes)'!D8</f>
        <v>9.1942057111172737</v>
      </c>
      <c r="E47" s="276">
        <f>'IS (After Changes)'!E8/'BS (After Changes)'!E8</f>
        <v>8.9623365548607161</v>
      </c>
      <c r="F47" s="276">
        <f>'IS (After Changes)'!F8/'BS (After Changes)'!F8</f>
        <v>8.6301543131798635</v>
      </c>
      <c r="G47" s="276">
        <f>'IS (After Changes)'!G8/'BS (After Changes)'!G8</f>
        <v>7.6757679180887379</v>
      </c>
      <c r="H47" s="126"/>
      <c r="I47" s="276">
        <f>'IS (After Changes)'!I8/'BS (After Changes)'!I8</f>
        <v>7.8153287082920375</v>
      </c>
      <c r="J47" s="276">
        <f>'IS (After Changes)'!J8/'BS (After Changes)'!J8</f>
        <v>6.3716259298618487</v>
      </c>
      <c r="K47" s="276">
        <f>'IS (After Changes)'!K8/'BS (After Changes)'!K8</f>
        <v>4.7918510952218822</v>
      </c>
      <c r="L47" s="276">
        <f>'IS (After Changes)'!L8/'BS (After Changes)'!L8</f>
        <v>7.0218474077428121</v>
      </c>
      <c r="M47" s="31"/>
      <c r="N47" s="276">
        <f>'IS (After Changes)'!N8/'BS (After Changes)'!N8</f>
        <v>7.6006756756756761</v>
      </c>
      <c r="O47" s="276">
        <f>'IS (After Changes)'!O8/'BS (After Changes)'!O8</f>
        <v>7.5755510111338324</v>
      </c>
      <c r="P47" s="276">
        <f>'IS (After Changes)'!P8/'BS (After Changes)'!P8</f>
        <v>8.2270632133450388</v>
      </c>
      <c r="Q47" s="276">
        <f>'IS (After Changes)'!Q8/'BS (After Changes)'!Q8</f>
        <v>8.6667021276595744</v>
      </c>
      <c r="R47" s="31"/>
      <c r="S47" s="276">
        <f>'IS (After Changes)'!S8/'BS (After Changes)'!S8</f>
        <v>7.8075841334497138</v>
      </c>
      <c r="T47" s="276">
        <f>'IS (After Changes)'!T8/'BS (After Changes)'!T8</f>
        <v>7.6211198722427387</v>
      </c>
      <c r="U47" s="276">
        <f>'IS (After Changes)'!U8/'BS (After Changes)'!U8</f>
        <v>7.1111595846784761</v>
      </c>
      <c r="V47" s="276">
        <f>'IS (After Changes)'!V8/'BS (After Changes)'!V8</f>
        <v>7.1579753296469582</v>
      </c>
      <c r="W47" s="126"/>
      <c r="X47" s="277">
        <f>AVERAGE(S47,N47,I47)</f>
        <v>7.7411961724724749</v>
      </c>
      <c r="Y47" s="277">
        <f t="shared" ref="Y47:AA47" si="39">AVERAGE(T47,O47,J47)</f>
        <v>7.1894322710794727</v>
      </c>
      <c r="Z47" s="277">
        <f t="shared" si="39"/>
        <v>6.7100246310817999</v>
      </c>
      <c r="AA47" s="277">
        <f t="shared" si="39"/>
        <v>7.6155082883497807</v>
      </c>
      <c r="AB47" s="278"/>
      <c r="AC47" s="277">
        <f t="shared" ref="AC47:AF47" si="40">AVERAGE(X47,S47,N47)</f>
        <v>7.7164853271992895</v>
      </c>
      <c r="AD47" s="277">
        <f t="shared" si="40"/>
        <v>7.4620343848186819</v>
      </c>
      <c r="AE47" s="277">
        <f t="shared" si="40"/>
        <v>7.3494158097017719</v>
      </c>
      <c r="AF47" s="277">
        <f t="shared" si="40"/>
        <v>7.813395248552105</v>
      </c>
      <c r="AG47" s="278"/>
      <c r="AH47" s="277">
        <f t="shared" ref="AH47:AK47" si="41">AVERAGE(AC47,X47,S47)</f>
        <v>7.7550885443738267</v>
      </c>
      <c r="AI47" s="277">
        <f t="shared" si="41"/>
        <v>7.4241955093802972</v>
      </c>
      <c r="AJ47" s="277">
        <f t="shared" si="41"/>
        <v>7.0568666751540157</v>
      </c>
      <c r="AK47" s="277">
        <f t="shared" si="41"/>
        <v>7.5289596221829482</v>
      </c>
      <c r="AL47" s="278"/>
      <c r="AM47" s="277">
        <f t="shared" ref="AM47:AP47" si="42">AVERAGE(AH47,AC47,X47)</f>
        <v>7.7375900146818637</v>
      </c>
      <c r="AN47" s="277">
        <f t="shared" si="42"/>
        <v>7.3585540550928172</v>
      </c>
      <c r="AO47" s="277">
        <f t="shared" si="42"/>
        <v>7.0387690386458628</v>
      </c>
      <c r="AP47" s="277">
        <f t="shared" si="42"/>
        <v>7.6526210530282777</v>
      </c>
      <c r="AQ47" s="278"/>
      <c r="AR47" s="277">
        <f t="shared" ref="AR47:AU47" si="43">AVERAGE(AM47,AH47,AC47)</f>
        <v>7.7363879620849936</v>
      </c>
      <c r="AS47" s="277">
        <f t="shared" si="43"/>
        <v>7.4149279830972654</v>
      </c>
      <c r="AT47" s="277">
        <f t="shared" si="43"/>
        <v>7.1483505078338831</v>
      </c>
      <c r="AU47" s="277">
        <f t="shared" si="43"/>
        <v>7.6649919745877773</v>
      </c>
      <c r="AV47" s="278"/>
    </row>
    <row r="48" spans="1:48" s="23" customFormat="1" outlineLevel="1" x14ac:dyDescent="0.3">
      <c r="B48" s="504" t="s">
        <v>252</v>
      </c>
      <c r="C48" s="505"/>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11.884468233365535</v>
      </c>
      <c r="Y48" s="279">
        <f>Y46/Y47</f>
        <v>12.518373719443463</v>
      </c>
      <c r="Z48" s="279">
        <f>Z46/Z47</f>
        <v>13.561798205400752</v>
      </c>
      <c r="AA48" s="279">
        <f>AA46/AA47</f>
        <v>12.080611893068488</v>
      </c>
      <c r="AB48" s="31"/>
      <c r="AC48" s="279">
        <f>AC46/AC47</f>
        <v>11.922526396274707</v>
      </c>
      <c r="AD48" s="279">
        <f>AD46/AD47</f>
        <v>12.195065756482867</v>
      </c>
      <c r="AE48" s="279">
        <f>AE46/AE47</f>
        <v>12.381936517984638</v>
      </c>
      <c r="AF48" s="279">
        <f>AF46/AF47</f>
        <v>11.774650721406735</v>
      </c>
      <c r="AG48" s="31"/>
      <c r="AH48" s="279">
        <f>AH46/AH47</f>
        <v>11.863178540591171</v>
      </c>
      <c r="AI48" s="279">
        <f>AI46/AI47</f>
        <v>12.122525583585064</v>
      </c>
      <c r="AJ48" s="279">
        <f>AJ46/AJ47</f>
        <v>12.89524149866611</v>
      </c>
      <c r="AK48" s="279">
        <f>AK46/AK47</f>
        <v>12.219483782186296</v>
      </c>
      <c r="AL48" s="31"/>
      <c r="AM48" s="279">
        <f>AM46/AM47</f>
        <v>11.890007072671533</v>
      </c>
      <c r="AN48" s="279">
        <f>AN46/AN47</f>
        <v>12.230663704605318</v>
      </c>
      <c r="AO48" s="279">
        <f>AO46/AO47</f>
        <v>12.928396925708309</v>
      </c>
      <c r="AP48" s="279">
        <f>AP46/AP47</f>
        <v>12.022024788956978</v>
      </c>
      <c r="AQ48" s="31"/>
      <c r="AR48" s="279">
        <f>AR46/AR47</f>
        <v>11.89185449991388</v>
      </c>
      <c r="AS48" s="279">
        <f>AS46/AS47</f>
        <v>12.137676887106648</v>
      </c>
      <c r="AT48" s="279">
        <f>AT46/AT47</f>
        <v>12.730209563769016</v>
      </c>
      <c r="AU48" s="279">
        <f>AU46/AU47</f>
        <v>12.002621829874487</v>
      </c>
      <c r="AV48" s="31"/>
    </row>
    <row r="49" spans="2:48" outlineLevel="1" x14ac:dyDescent="0.3">
      <c r="B49" s="486" t="s">
        <v>253</v>
      </c>
      <c r="C49" s="487"/>
      <c r="D49" s="276">
        <f>'IS (After Changes)'!D9/'BS (After Changes)'!D9</f>
        <v>1.6062306215857083</v>
      </c>
      <c r="E49" s="276">
        <f>'IS (After Changes)'!E9/'BS (After Changes)'!E9</f>
        <v>1.3943173943173943</v>
      </c>
      <c r="F49" s="276">
        <f>'IS (After Changes)'!F9/'BS (After Changes)'!F9</f>
        <v>1.4497759029791721</v>
      </c>
      <c r="G49" s="276">
        <f>'IS (After Changes)'!G9/'BS (After Changes)'!G9</f>
        <v>1.3989146070354381</v>
      </c>
      <c r="H49" s="126"/>
      <c r="I49" s="276">
        <f>'IS (After Changes)'!I9/'BS (After Changes)'!I9</f>
        <v>1.5875630013487614</v>
      </c>
      <c r="J49" s="276">
        <f>'IS (After Changes)'!J9/'BS (After Changes)'!J9</f>
        <v>1.3387615601125855</v>
      </c>
      <c r="K49" s="276">
        <f>'IS (After Changes)'!K9/'BS (After Changes)'!K9</f>
        <v>0.93698699330723578</v>
      </c>
      <c r="L49" s="276">
        <f>'IS (After Changes)'!L9/'BS (After Changes)'!L9</f>
        <v>1.2742039448240299</v>
      </c>
      <c r="M49" s="31"/>
      <c r="N49" s="276">
        <f>'IS (After Changes)'!N9/'BS (After Changes)'!N9</f>
        <v>1.3925246347264695</v>
      </c>
      <c r="O49" s="276">
        <f>'IS (After Changes)'!O9/'BS (After Changes)'!O9</f>
        <v>1.3250864591646716</v>
      </c>
      <c r="P49" s="276">
        <f>'IS (After Changes)'!P9/'BS (After Changes)'!P9</f>
        <v>1.4248805063945227</v>
      </c>
      <c r="Q49" s="276">
        <f>'IS (After Changes)'!Q9/'BS (After Changes)'!Q9</f>
        <v>1.5531516927489244</v>
      </c>
      <c r="R49" s="31"/>
      <c r="S49" s="276">
        <f>'IS (After Changes)'!S9/'BS (After Changes)'!S9</f>
        <v>1.5435220817298883</v>
      </c>
      <c r="T49" s="276">
        <f>'IS (After Changes)'!T9/'BS (After Changes)'!T9</f>
        <v>1.2842708333333335</v>
      </c>
      <c r="U49" s="276">
        <f>'IS (After Changes)'!U9/'BS (After Changes)'!U9</f>
        <v>1.2253739040742651</v>
      </c>
      <c r="V49" s="276">
        <f>'IS (After Changes)'!V9/'BS (After Changes)'!V9</f>
        <v>1.2455205366167417</v>
      </c>
      <c r="W49" s="126"/>
      <c r="X49" s="277">
        <f t="shared" ref="X49:AA49" si="44">AVERAGE(S49,N49,I49)</f>
        <v>1.5078699059350396</v>
      </c>
      <c r="Y49" s="277">
        <f t="shared" si="44"/>
        <v>1.3160396175368636</v>
      </c>
      <c r="Z49" s="277">
        <f t="shared" si="44"/>
        <v>1.1957471345920079</v>
      </c>
      <c r="AA49" s="277">
        <f t="shared" si="44"/>
        <v>1.3576253913965652</v>
      </c>
      <c r="AB49" s="278"/>
      <c r="AC49" s="277">
        <f t="shared" ref="AC49:AF49" si="45">AVERAGE(X49,S49,N49)</f>
        <v>1.4813055407971323</v>
      </c>
      <c r="AD49" s="277">
        <f t="shared" si="45"/>
        <v>1.3084656366782896</v>
      </c>
      <c r="AE49" s="277">
        <f t="shared" si="45"/>
        <v>1.2820005150202654</v>
      </c>
      <c r="AF49" s="277">
        <f t="shared" si="45"/>
        <v>1.385432540254077</v>
      </c>
      <c r="AG49" s="278"/>
      <c r="AH49" s="277">
        <f t="shared" ref="AH49:AK49" si="46">AVERAGE(AC49,X49,S49)</f>
        <v>1.5108991761540198</v>
      </c>
      <c r="AI49" s="277">
        <f t="shared" si="46"/>
        <v>1.3029253625161621</v>
      </c>
      <c r="AJ49" s="277">
        <f t="shared" si="46"/>
        <v>1.234373851228846</v>
      </c>
      <c r="AK49" s="277">
        <f t="shared" si="46"/>
        <v>1.3295261560891281</v>
      </c>
      <c r="AL49" s="278"/>
      <c r="AM49" s="277">
        <f t="shared" ref="AM49:AP49" si="47">AVERAGE(AH49,AC49,X49)</f>
        <v>1.500024874295397</v>
      </c>
      <c r="AN49" s="277">
        <f t="shared" si="47"/>
        <v>1.3091435389104384</v>
      </c>
      <c r="AO49" s="277">
        <f t="shared" si="47"/>
        <v>1.2373738336137066</v>
      </c>
      <c r="AP49" s="277">
        <f t="shared" si="47"/>
        <v>1.3575280292465901</v>
      </c>
      <c r="AQ49" s="278"/>
      <c r="AR49" s="277">
        <f t="shared" ref="AR49:AU49" si="48">AVERAGE(AM49,AH49,AC49)</f>
        <v>1.4974098637488495</v>
      </c>
      <c r="AS49" s="277">
        <f t="shared" si="48"/>
        <v>1.3068448460349635</v>
      </c>
      <c r="AT49" s="277">
        <f t="shared" si="48"/>
        <v>1.2512493999542726</v>
      </c>
      <c r="AU49" s="277">
        <f t="shared" si="48"/>
        <v>1.3574955751965982</v>
      </c>
      <c r="AV49" s="278"/>
    </row>
    <row r="50" spans="2:48" s="23" customFormat="1" outlineLevel="1" x14ac:dyDescent="0.3">
      <c r="B50" s="504" t="s">
        <v>252</v>
      </c>
      <c r="C50" s="505"/>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61.01322112596327</v>
      </c>
      <c r="Y50" s="279">
        <f>Y46/Y49</f>
        <v>68.38699899357627</v>
      </c>
      <c r="Z50" s="279">
        <f>Z46/Z49</f>
        <v>76.103046678886201</v>
      </c>
      <c r="AA50" s="279">
        <f>AA46/AA49</f>
        <v>67.765379598094597</v>
      </c>
      <c r="AB50" s="31"/>
      <c r="AC50" s="279">
        <f>AC46/AC49</f>
        <v>62.1073758695942</v>
      </c>
      <c r="AD50" s="279">
        <f>AD46/AD49</f>
        <v>69.547107275216902</v>
      </c>
      <c r="AE50" s="279">
        <f>AE46/AE49</f>
        <v>70.982810797514773</v>
      </c>
      <c r="AF50" s="279">
        <f>AF46/AF49</f>
        <v>66.405254190960434</v>
      </c>
      <c r="AG50" s="31"/>
      <c r="AH50" s="279">
        <f>AH46/AH49</f>
        <v>60.890892954343364</v>
      </c>
      <c r="AI50" s="279">
        <f>AI46/AI49</f>
        <v>69.075330474951585</v>
      </c>
      <c r="AJ50" s="279">
        <f>AJ46/AJ49</f>
        <v>73.721587596340868</v>
      </c>
      <c r="AK50" s="279">
        <f>AK46/AK49</f>
        <v>69.19758560495184</v>
      </c>
      <c r="AL50" s="31"/>
      <c r="AM50" s="279">
        <f>AM46/AM49</f>
        <v>61.332316267898513</v>
      </c>
      <c r="AN50" s="279">
        <f>AN46/AN49</f>
        <v>68.747236131879276</v>
      </c>
      <c r="AO50" s="279">
        <f>AO46/AO49</f>
        <v>73.542851422870086</v>
      </c>
      <c r="AP50" s="279">
        <f>AP46/AP49</f>
        <v>67.770239743085654</v>
      </c>
      <c r="AQ50" s="31"/>
      <c r="AR50" s="279">
        <f>AR46/AR49</f>
        <v>61.439424320120906</v>
      </c>
      <c r="AS50" s="279">
        <f>AS46/AS49</f>
        <v>68.868160036797605</v>
      </c>
      <c r="AT50" s="279">
        <f>AT46/AT49</f>
        <v>72.727307604163983</v>
      </c>
      <c r="AU50" s="279">
        <f>AU46/AU49</f>
        <v>67.771859946339916</v>
      </c>
      <c r="AV50" s="31"/>
    </row>
    <row r="51" spans="2:48" s="23" customFormat="1" outlineLevel="1" x14ac:dyDescent="0.3">
      <c r="B51" s="486" t="s">
        <v>254</v>
      </c>
      <c r="C51" s="487"/>
      <c r="D51" s="276">
        <f>'IS (After Changes)'!D9/'BS (After Changes)'!D22</f>
        <v>1.9771013175829171</v>
      </c>
      <c r="E51" s="276">
        <f>'IS (After Changes)'!E9/'BS (After Changes)'!E22</f>
        <v>1.8345946931704202</v>
      </c>
      <c r="F51" s="276">
        <f>'IS (After Changes)'!F9/'BS (After Changes)'!F22</f>
        <v>1.9203771608171816</v>
      </c>
      <c r="G51" s="276">
        <f>'IS (After Changes)'!G9/'BS (After Changes)'!G22</f>
        <v>1.7983525258468513</v>
      </c>
      <c r="H51" s="127"/>
      <c r="I51" s="276">
        <f>'IS (After Changes)'!I9/'BS (After Changes)'!I22</f>
        <v>2.0600589535740608</v>
      </c>
      <c r="J51" s="276">
        <f>'IS (After Changes)'!J9/'BS (After Changes)'!J22</f>
        <v>2.0023053021950488</v>
      </c>
      <c r="K51" s="276">
        <f>'IS (After Changes)'!K9/'BS (After Changes)'!K22</f>
        <v>1.7239776951672863</v>
      </c>
      <c r="L51" s="276">
        <f>'IS (After Changes)'!L9/'BS (After Changes)'!L22</f>
        <v>1.9809600160336707</v>
      </c>
      <c r="M51" s="280"/>
      <c r="N51" s="276">
        <f>'IS (After Changes)'!N9/'BS (After Changes)'!N22</f>
        <v>1.9504092899295642</v>
      </c>
      <c r="O51" s="276">
        <f>'IS (After Changes)'!O9/'BS (After Changes)'!O22</f>
        <v>1.9276315789473686</v>
      </c>
      <c r="P51" s="276">
        <f>'IS (After Changes)'!P9/'BS (After Changes)'!P22</f>
        <v>1.9574090505767525</v>
      </c>
      <c r="Q51" s="276">
        <f>'IS (After Changes)'!Q9/'BS (After Changes)'!Q22</f>
        <v>2.0560415978870914</v>
      </c>
      <c r="R51" s="280"/>
      <c r="S51" s="276">
        <f>'IS (After Changes)'!S9/'BS (After Changes)'!S22</f>
        <v>1.9597487203350394</v>
      </c>
      <c r="T51" s="276">
        <f>'IS (After Changes)'!T9/'BS (After Changes)'!T22</f>
        <v>1.8546822113576533</v>
      </c>
      <c r="U51" s="276">
        <f>'IS (After Changes)'!U9/'BS (After Changes)'!U22</f>
        <v>1.7543294401933145</v>
      </c>
      <c r="V51" s="276">
        <f>'IS (After Changes)'!V9/'BS (After Changes)'!V22</f>
        <v>1.8808103232967948</v>
      </c>
      <c r="W51" s="127"/>
      <c r="X51" s="277">
        <f t="shared" ref="X51:AA51" si="49">AVERAGE(S51,N51,I51)</f>
        <v>1.9900723212795548</v>
      </c>
      <c r="Y51" s="277">
        <f t="shared" si="49"/>
        <v>1.9282063641666902</v>
      </c>
      <c r="Z51" s="277">
        <f t="shared" si="49"/>
        <v>1.8119053953124509</v>
      </c>
      <c r="AA51" s="277">
        <f t="shared" si="49"/>
        <v>1.9726039790725192</v>
      </c>
      <c r="AB51" s="31"/>
      <c r="AC51" s="277">
        <f t="shared" ref="AC51:AF51" si="50">AVERAGE(X51,S51,N51)</f>
        <v>1.9667434438480529</v>
      </c>
      <c r="AD51" s="277">
        <f t="shared" si="50"/>
        <v>1.9035067181572376</v>
      </c>
      <c r="AE51" s="277">
        <f t="shared" si="50"/>
        <v>1.8412146286941729</v>
      </c>
      <c r="AF51" s="277">
        <f t="shared" si="50"/>
        <v>1.9698186334188019</v>
      </c>
      <c r="AG51" s="31"/>
      <c r="AH51" s="277">
        <f t="shared" ref="AH51:AK51" si="51">AVERAGE(AC51,X51,S51)</f>
        <v>1.9721881618208823</v>
      </c>
      <c r="AI51" s="277">
        <f t="shared" si="51"/>
        <v>1.8954650978938605</v>
      </c>
      <c r="AJ51" s="277">
        <f t="shared" si="51"/>
        <v>1.8024831547333129</v>
      </c>
      <c r="AK51" s="277">
        <f t="shared" si="51"/>
        <v>1.9410776452627054</v>
      </c>
      <c r="AL51" s="31"/>
      <c r="AM51" s="277">
        <f t="shared" ref="AM51:AP51" si="52">AVERAGE(AH51,AC51,X51)</f>
        <v>1.9763346423161634</v>
      </c>
      <c r="AN51" s="277">
        <f t="shared" si="52"/>
        <v>1.9090593934059295</v>
      </c>
      <c r="AO51" s="277">
        <f t="shared" si="52"/>
        <v>1.8185343929133122</v>
      </c>
      <c r="AP51" s="277">
        <f t="shared" si="52"/>
        <v>1.9611667525846757</v>
      </c>
      <c r="AQ51" s="31"/>
      <c r="AR51" s="277">
        <f t="shared" ref="AR51:AU51" si="53">AVERAGE(AM51,AH51,AC51)</f>
        <v>1.9717554159950328</v>
      </c>
      <c r="AS51" s="277">
        <f t="shared" si="53"/>
        <v>1.9026770698190092</v>
      </c>
      <c r="AT51" s="277">
        <f t="shared" si="53"/>
        <v>1.8207440587802661</v>
      </c>
      <c r="AU51" s="277">
        <f t="shared" si="53"/>
        <v>1.9573543437553944</v>
      </c>
      <c r="AV51" s="31"/>
    </row>
    <row r="52" spans="2:48" s="23" customFormat="1" outlineLevel="1" x14ac:dyDescent="0.3">
      <c r="B52" s="504" t="s">
        <v>255</v>
      </c>
      <c r="C52" s="505"/>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46.229475691037628</v>
      </c>
      <c r="Y52" s="16">
        <f>Y46/Y51</f>
        <v>46.675501996330745</v>
      </c>
      <c r="Z52" s="16">
        <f>Z46/Z51</f>
        <v>50.223372718810005</v>
      </c>
      <c r="AA52" s="16">
        <f>AA46/AA51</f>
        <v>46.638859586634645</v>
      </c>
      <c r="AB52" s="28"/>
      <c r="AC52" s="16">
        <f>AC46/AC51</f>
        <v>46.77783484560468</v>
      </c>
      <c r="AD52" s="16">
        <f>AD46/AD51</f>
        <v>47.80650319327269</v>
      </c>
      <c r="AE52" s="16">
        <f>AE46/AE51</f>
        <v>49.423895824974551</v>
      </c>
      <c r="AF52" s="16">
        <f>AF46/AF51</f>
        <v>46.70480745748938</v>
      </c>
      <c r="AG52" s="28"/>
      <c r="AH52" s="16">
        <f>AH46/AH51</f>
        <v>46.648692949793499</v>
      </c>
      <c r="AI52" s="16">
        <f>AI46/AI51</f>
        <v>47.481750046467852</v>
      </c>
      <c r="AJ52" s="16">
        <f>AJ46/AJ51</f>
        <v>50.485908709345992</v>
      </c>
      <c r="AK52" s="16">
        <f>AK46/AK51</f>
        <v>47.396352343004146</v>
      </c>
      <c r="AL52" s="28"/>
      <c r="AM52" s="16">
        <f>AM46/AM51</f>
        <v>46.550820913699461</v>
      </c>
      <c r="AN52" s="16">
        <f>AN46/AN51</f>
        <v>47.143635400170609</v>
      </c>
      <c r="AO52" s="16">
        <f>AO46/AO51</f>
        <v>50.040296380766819</v>
      </c>
      <c r="AP52" s="16">
        <f>AP46/AP51</f>
        <v>46.910850328637615</v>
      </c>
      <c r="AQ52" s="28"/>
      <c r="AR52" s="16">
        <f>AR46/AR51</f>
        <v>46.658931048794827</v>
      </c>
      <c r="AS52" s="16">
        <f>AS46/AS51</f>
        <v>47.301773604998132</v>
      </c>
      <c r="AT52" s="16">
        <f>AT46/AT51</f>
        <v>49.979567178135831</v>
      </c>
      <c r="AU52" s="16">
        <f>AU46/AU51</f>
        <v>47.002220264057108</v>
      </c>
      <c r="AV52" s="28"/>
    </row>
    <row r="53" spans="2:48" s="23" customFormat="1" outlineLevel="1" x14ac:dyDescent="0.3">
      <c r="B53" s="486" t="s">
        <v>256</v>
      </c>
      <c r="C53" s="487"/>
      <c r="D53" s="30">
        <f t="shared" ref="D53:L53" si="54">(D12+D7)/D20</f>
        <v>2.4783172266068774E-2</v>
      </c>
      <c r="E53" s="30">
        <f t="shared" si="54"/>
        <v>1.862044337628033E-2</v>
      </c>
      <c r="F53" s="118">
        <f t="shared" si="54"/>
        <v>1.4104190097872643E-2</v>
      </c>
      <c r="G53" s="118">
        <f t="shared" si="54"/>
        <v>1.5114935950133718E-2</v>
      </c>
      <c r="H53" s="128">
        <f t="shared" si="54"/>
        <v>1.5114935950133718E-2</v>
      </c>
      <c r="I53" s="118">
        <f t="shared" si="54"/>
        <v>9.6713821566244626E-3</v>
      </c>
      <c r="J53" s="118">
        <f t="shared" si="54"/>
        <v>9.1597553031598795E-3</v>
      </c>
      <c r="K53" s="118">
        <f t="shared" si="54"/>
        <v>1.5555616562459249E-2</v>
      </c>
      <c r="L53" s="118">
        <f t="shared" si="54"/>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34">
        <f>AVERAGE(S53,T53,U53,V53)</f>
        <v>1.5553707209260168E-2</v>
      </c>
      <c r="Y53" s="34">
        <f>AVERAGE(T53,U53,V53,X53)</f>
        <v>1.6086708626871789E-2</v>
      </c>
      <c r="Z53" s="34">
        <f>AVERAGE(U53,V53,X53,Y53)</f>
        <v>1.6940906500988909E-2</v>
      </c>
      <c r="AA53" s="34">
        <f>AVERAGE(V53,X53,Y53,Z53)</f>
        <v>1.7896216091977252E-2</v>
      </c>
      <c r="AB53" s="28"/>
      <c r="AC53" s="34">
        <f>AVERAGE(X53,Y53,Z53,AA53)</f>
        <v>1.661938460727453E-2</v>
      </c>
      <c r="AD53" s="34">
        <f>AVERAGE(Y53,Z53,AA53,AC53)</f>
        <v>1.688580395677812E-2</v>
      </c>
      <c r="AE53" s="34">
        <f>AVERAGE(Z53,AA53,AC53,AD53)</f>
        <v>1.7085577789254701E-2</v>
      </c>
      <c r="AF53" s="34">
        <f>AVERAGE(AA53,AC53,AD53,AE53)</f>
        <v>1.7121745611321151E-2</v>
      </c>
      <c r="AG53" s="28"/>
      <c r="AH53" s="34">
        <f>AVERAGE(AC53,AD53,AE53,AF53)</f>
        <v>1.6928127991157126E-2</v>
      </c>
      <c r="AI53" s="34">
        <f>AVERAGE(AD53,AE53,AF53,AH53)</f>
        <v>1.7005313837127774E-2</v>
      </c>
      <c r="AJ53" s="34">
        <f>AVERAGE(AE53,AF53,AH53,AI53)</f>
        <v>1.7035191307215189E-2</v>
      </c>
      <c r="AK53" s="34">
        <f>AVERAGE(AF53,AH53,AI53,AJ53)</f>
        <v>1.7022594686705309E-2</v>
      </c>
      <c r="AL53" s="28"/>
      <c r="AM53" s="34">
        <f>AVERAGE(AH53,AI53,AJ53,AK53)</f>
        <v>1.6997806955551351E-2</v>
      </c>
      <c r="AN53" s="34">
        <f>AVERAGE(AI53,AJ53,AK53,AM53)</f>
        <v>1.7015226696649906E-2</v>
      </c>
      <c r="AO53" s="34">
        <f>AVERAGE(AJ53,AK53,AM53,AN53)</f>
        <v>1.7017704911530436E-2</v>
      </c>
      <c r="AP53" s="34">
        <f>AVERAGE(AK53,AM53,AN53,AO53)</f>
        <v>1.701333331260925E-2</v>
      </c>
      <c r="AQ53" s="28"/>
      <c r="AR53" s="34">
        <f>AVERAGE(AM53,AN53,AO53,AP53)</f>
        <v>1.7011017969085235E-2</v>
      </c>
      <c r="AS53" s="34">
        <f>AVERAGE(AN53,AO53,AP53,AR53)</f>
        <v>1.7014320722468706E-2</v>
      </c>
      <c r="AT53" s="34">
        <f>AVERAGE(AO53,AP53,AR53,AS53)</f>
        <v>1.7014094228923408E-2</v>
      </c>
      <c r="AU53" s="34">
        <f>AVERAGE(AP53,AR53,AS53,AT53)</f>
        <v>1.7013191558271648E-2</v>
      </c>
      <c r="AV53" s="28"/>
    </row>
    <row r="54" spans="2:48" s="23" customFormat="1" outlineLevel="1" x14ac:dyDescent="0.3">
      <c r="B54" s="180" t="s">
        <v>257</v>
      </c>
      <c r="C54" s="201"/>
      <c r="D54" s="30">
        <f t="shared" ref="D54:L54" si="55">D7/(D7+D12)</f>
        <v>0.4648626817447496</v>
      </c>
      <c r="E54" s="30">
        <f t="shared" si="55"/>
        <v>0.23318112633181123</v>
      </c>
      <c r="F54" s="118">
        <f t="shared" si="55"/>
        <v>0.24465558194774345</v>
      </c>
      <c r="G54" s="118">
        <f t="shared" si="55"/>
        <v>0.24268502581755594</v>
      </c>
      <c r="H54" s="128">
        <f t="shared" si="55"/>
        <v>0.24268502581755594</v>
      </c>
      <c r="I54" s="118">
        <f t="shared" si="55"/>
        <v>0.25503355704697983</v>
      </c>
      <c r="J54" s="118">
        <f t="shared" si="55"/>
        <v>0.21017083829956296</v>
      </c>
      <c r="K54" s="118">
        <f t="shared" si="55"/>
        <v>0.50716964482682547</v>
      </c>
      <c r="L54" s="118">
        <f t="shared" si="55"/>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34">
        <f>AVERAGE(S54,T54,U54,V54)</f>
        <v>0.30591015420726264</v>
      </c>
      <c r="Y54" s="34">
        <f>AVERAGE(T54,U54,V54,X54)</f>
        <v>0.32592774443866485</v>
      </c>
      <c r="Z54" s="34">
        <f>AVERAGE(U54,V54,X54,Y54)</f>
        <v>0.35158971862284832</v>
      </c>
      <c r="AA54" s="34">
        <f>AVERAGE(V54,X54,Y54,Z54)</f>
        <v>0.38744329337872285</v>
      </c>
      <c r="AB54" s="28"/>
      <c r="AC54" s="34">
        <f>AVERAGE(X54,Y54,Z54,AA54)</f>
        <v>0.34271772766187464</v>
      </c>
      <c r="AD54" s="34">
        <f>AVERAGE(Y54,Z54,AA54,AC54)</f>
        <v>0.35191962102552765</v>
      </c>
      <c r="AE54" s="34">
        <f>AVERAGE(Z54,AA54,AC54,AD54)</f>
        <v>0.35841759017224339</v>
      </c>
      <c r="AF54" s="34">
        <f>AVERAGE(AA54,AC54,AD54,AE54)</f>
        <v>0.36012455805959209</v>
      </c>
      <c r="AG54" s="28"/>
      <c r="AH54" s="34">
        <f>AVERAGE(AC54,AD54,AE54,AF54)</f>
        <v>0.35329487422980943</v>
      </c>
      <c r="AI54" s="34">
        <f>AVERAGE(AD54,AE54,AF54,AH54)</f>
        <v>0.35593916087179311</v>
      </c>
      <c r="AJ54" s="34">
        <f>AVERAGE(AE54,AF54,AH54,AI54)</f>
        <v>0.35694404583335948</v>
      </c>
      <c r="AK54" s="34">
        <f>AVERAGE(AF54,AH54,AI54,AJ54)</f>
        <v>0.35657565974863853</v>
      </c>
      <c r="AL54" s="28"/>
      <c r="AM54" s="34">
        <f>AVERAGE(AH54,AI54,AJ54,AK54)</f>
        <v>0.35568843517090015</v>
      </c>
      <c r="AN54" s="34">
        <f>AVERAGE(AI54,AJ54,AK54,AM54)</f>
        <v>0.35628682540617285</v>
      </c>
      <c r="AO54" s="34">
        <f>AVERAGE(AJ54,AK54,AM54,AN54)</f>
        <v>0.35637374153976775</v>
      </c>
      <c r="AP54" s="34">
        <f>AVERAGE(AK54,AM54,AN54,AO54)</f>
        <v>0.35623116546636979</v>
      </c>
      <c r="AQ54" s="28"/>
      <c r="AR54" s="34">
        <f>AVERAGE(AM54,AN54,AO54,AP54)</f>
        <v>0.35614504189580265</v>
      </c>
      <c r="AS54" s="34">
        <f>AVERAGE(AN54,AO54,AP54,AR54)</f>
        <v>0.35625919357702829</v>
      </c>
      <c r="AT54" s="34">
        <f>AVERAGE(AO54,AP54,AR54,AS54)</f>
        <v>0.35625228561974209</v>
      </c>
      <c r="AU54" s="34">
        <f>AVERAGE(AP54,AR54,AS54,AT54)</f>
        <v>0.35622192163973571</v>
      </c>
      <c r="AV54" s="28"/>
    </row>
    <row r="55" spans="2:48" s="23" customFormat="1" outlineLevel="1" x14ac:dyDescent="0.3">
      <c r="B55" s="200" t="s">
        <v>258</v>
      </c>
      <c r="C55" s="201"/>
      <c r="D55" s="30">
        <f t="shared" ref="D55:L55" si="56">+D16/(D27+D33)</f>
        <v>7.7585075018799465E-2</v>
      </c>
      <c r="E55" s="30">
        <f t="shared" si="56"/>
        <v>0.12468259571674534</v>
      </c>
      <c r="F55" s="113">
        <f t="shared" si="56"/>
        <v>0.19119242713361023</v>
      </c>
      <c r="G55" s="113">
        <f t="shared" si="56"/>
        <v>0.22035590386103276</v>
      </c>
      <c r="H55" s="125">
        <f t="shared" si="56"/>
        <v>0.22035590386103276</v>
      </c>
      <c r="I55" s="281">
        <f t="shared" si="56"/>
        <v>0.20507171706404201</v>
      </c>
      <c r="J55" s="281">
        <f t="shared" si="56"/>
        <v>0.21050752296288999</v>
      </c>
      <c r="K55" s="113">
        <f t="shared" si="56"/>
        <v>0.2146584586535733</v>
      </c>
      <c r="L55" s="113">
        <f t="shared" si="56"/>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3">
        <f>AVERAGE(S55,T55,U55,V55)</f>
        <v>0.22118409975316156</v>
      </c>
      <c r="Y55" s="283">
        <f>AVERAGE(T55,U55,V55,X55)</f>
        <v>0.22190121315876973</v>
      </c>
      <c r="Z55" s="35">
        <f>AVERAGE(U55,V55,X55,Y55)</f>
        <v>0.22196523452281752</v>
      </c>
      <c r="AA55" s="284">
        <f>AVERAGE(V55,X55,Y55,Z55)</f>
        <v>0.22305987479041817</v>
      </c>
      <c r="AB55" s="28"/>
      <c r="AC55" s="283">
        <f>AVERAGE(X55,Y55,Z55,AA55)</f>
        <v>0.22202760555629175</v>
      </c>
      <c r="AD55" s="283">
        <f>AVERAGE(Y55,Z55,AA55,AC55)</f>
        <v>0.2222384820070743</v>
      </c>
      <c r="AE55" s="35">
        <f>AVERAGE(Z55,AA55,AC55,AD55)</f>
        <v>0.22232279921915044</v>
      </c>
      <c r="AF55" s="284">
        <f>AVERAGE(AA55,AC55,AD55,AE55)</f>
        <v>0.22241219039323365</v>
      </c>
      <c r="AG55" s="28"/>
      <c r="AH55" s="283">
        <f>AVERAGE(AC55,AD55,AE55,AF55)</f>
        <v>0.22225026929393754</v>
      </c>
      <c r="AI55" s="283">
        <f>AVERAGE(AD55,AE55,AF55,AH55)</f>
        <v>0.22230593522834899</v>
      </c>
      <c r="AJ55" s="35">
        <f>AVERAGE(AE55,AF55,AH55,AI55)</f>
        <v>0.22232279853366765</v>
      </c>
      <c r="AK55" s="284">
        <f>AVERAGE(AF55,AH55,AI55,AJ55)</f>
        <v>0.22232279836229696</v>
      </c>
      <c r="AL55" s="28"/>
      <c r="AM55" s="283">
        <f>AVERAGE(AH55,AI55,AJ55,AK55)</f>
        <v>0.22230045035456278</v>
      </c>
      <c r="AN55" s="283">
        <f>AVERAGE(AI55,AJ55,AK55,AM55)</f>
        <v>0.22231299561971909</v>
      </c>
      <c r="AO55" s="35">
        <f>AVERAGE(AJ55,AK55,AM55,AN55)</f>
        <v>0.22231476071756162</v>
      </c>
      <c r="AP55" s="284">
        <f>AVERAGE(AK55,AM55,AN55,AO55)</f>
        <v>0.22231275126353511</v>
      </c>
      <c r="AQ55" s="28"/>
      <c r="AR55" s="283">
        <f>AVERAGE(AM55,AN55,AO55,AP55)</f>
        <v>0.22231023948884465</v>
      </c>
      <c r="AS55" s="283">
        <f>AVERAGE(AN55,AO55,AP55,AR55)</f>
        <v>0.22231268677241511</v>
      </c>
      <c r="AT55" s="35">
        <f>AVERAGE(AO55,AP55,AR55,AS55)</f>
        <v>0.22231260956058913</v>
      </c>
      <c r="AU55" s="284">
        <f>AVERAGE(AP55,AR55,AS55,AT55)</f>
        <v>0.22231207177134599</v>
      </c>
      <c r="AV55" s="28"/>
    </row>
    <row r="56" spans="2:48" outlineLevel="1" x14ac:dyDescent="0.3">
      <c r="B56" s="200" t="s">
        <v>259</v>
      </c>
      <c r="C56" s="201"/>
      <c r="D56" s="285"/>
      <c r="E56" s="285">
        <f>+'CFS (After Changes)'!E7/((E14+D14)/2)</f>
        <v>6.122482504846076E-2</v>
      </c>
      <c r="F56" s="286">
        <f>+'CFS (After Changes)'!F7/((F14+E14)/2)</f>
        <v>5.8442138063667992E-2</v>
      </c>
      <c r="G56" s="286">
        <f>+'CFS (After Changes)'!G7/((G14+F14)/2)</f>
        <v>5.7957922263164152E-2</v>
      </c>
      <c r="H56" s="125">
        <f>+'CFS (After Changes)'!H7/((H14+G14)/2)</f>
        <v>0.2253370026587061</v>
      </c>
      <c r="I56" s="287">
        <f>+'CFS (After Changes)'!I7/((I14+G14)/2)</f>
        <v>5.75858250276855E-2</v>
      </c>
      <c r="J56" s="287">
        <f>+'CFS (After Changes)'!J7/((J14+I14)/2)</f>
        <v>5.9117695395957084E-2</v>
      </c>
      <c r="K56" s="286">
        <f>+'CFS (After Changes)'!K7/((K14+J14)/2)</f>
        <v>5.9467301657388859E-2</v>
      </c>
      <c r="L56" s="286">
        <f>+'CFS (After Changes)'!L7/((L14+K14)/2)</f>
        <v>6.0492940894950963E-2</v>
      </c>
      <c r="M56" s="282"/>
      <c r="N56" s="287">
        <f>+'CFS (After Changes)'!N7/((N14+L14)/2)</f>
        <v>6.2547808652661588E-2</v>
      </c>
      <c r="O56" s="287">
        <f>+'CFS (After Changes)'!O7/((O14+N14)/2)</f>
        <v>6.251524266319812E-2</v>
      </c>
      <c r="P56" s="286">
        <f>+'CFS (After Changes)'!P7/((P14+O14)/2)</f>
        <v>6.0825288199111989E-2</v>
      </c>
      <c r="Q56" s="286">
        <f>+'CFS (After Changes)'!Q7/((Q14+P14)/2)</f>
        <v>6.0363072942040873E-2</v>
      </c>
      <c r="R56" s="282"/>
      <c r="S56" s="287">
        <f>+'CFS (After Changes)'!S7/((S14+Q14)/2)</f>
        <v>6.052868611709418E-2</v>
      </c>
      <c r="T56" s="287">
        <f>+'CFS (After Changes)'!T7/((T14+S14)/2)</f>
        <v>6.0861044576476821E-2</v>
      </c>
      <c r="U56" s="287">
        <f>+'CFS (After Changes)'!U7/((U14+T14)/2)</f>
        <v>6.0812805967829661E-2</v>
      </c>
      <c r="V56" s="286">
        <f>+'CFS (After Changes)'!V7/((V14+U14)/2)</f>
        <v>5.5579973320379075E-2</v>
      </c>
      <c r="W56" s="282"/>
      <c r="X56" s="289">
        <f>AVERAGE(S56,T56,U56,V56)</f>
        <v>5.9445627495444936E-2</v>
      </c>
      <c r="Y56" s="289">
        <f>AVERAGE(T56,U56,V56,X56)</f>
        <v>5.9174862840032628E-2</v>
      </c>
      <c r="Z56" s="288">
        <f>AVERAGE(U56,V56,X56,Y56)</f>
        <v>5.8753317405921573E-2</v>
      </c>
      <c r="AA56" s="288">
        <f>AVERAGE(V56,X56,Y56,Z56)</f>
        <v>5.8238445265444555E-2</v>
      </c>
      <c r="AB56" s="290"/>
      <c r="AC56" s="289">
        <f>AVERAGE(X56,Y56,Z56,AA56)</f>
        <v>5.8903063251710921E-2</v>
      </c>
      <c r="AD56" s="289">
        <f>AVERAGE(Y56,Z56,AA56,AC56)</f>
        <v>5.8767422190777421E-2</v>
      </c>
      <c r="AE56" s="288">
        <f>AVERAGE(Z56,AA56,AC56,AD56)</f>
        <v>5.8665562028463611E-2</v>
      </c>
      <c r="AF56" s="288">
        <f>AVERAGE(AA56,AC56,AD56,AE56)</f>
        <v>5.8643623184099131E-2</v>
      </c>
      <c r="AG56" s="290"/>
      <c r="AH56" s="289">
        <f>AVERAGE(AC56,AD56,AE56,AF56)</f>
        <v>5.8744917663762768E-2</v>
      </c>
      <c r="AI56" s="289">
        <f>AVERAGE(AD56,AE56,AF56,AH56)</f>
        <v>5.8705381266775734E-2</v>
      </c>
      <c r="AJ56" s="288">
        <f>AVERAGE(AE56,AF56,AH56,AI56)</f>
        <v>5.8689871035775311E-2</v>
      </c>
      <c r="AK56" s="288">
        <f>AVERAGE(AF56,AH56,AI56,AJ56)</f>
        <v>5.8695948287603238E-2</v>
      </c>
      <c r="AL56" s="290"/>
      <c r="AM56" s="289">
        <f>AVERAGE(AH56,AI56,AJ56,AK56)</f>
        <v>5.8709029563479266E-2</v>
      </c>
      <c r="AN56" s="289">
        <f>AVERAGE(AI56,AJ56,AK56,AM56)</f>
        <v>5.8700057538408387E-2</v>
      </c>
      <c r="AO56" s="288">
        <f>AVERAGE(AJ56,AK56,AM56,AN56)</f>
        <v>5.8698726606316545E-2</v>
      </c>
      <c r="AP56" s="288">
        <f>AVERAGE(AK56,AM56,AN56,AO56)</f>
        <v>5.8700940498951859E-2</v>
      </c>
      <c r="AQ56" s="290"/>
      <c r="AR56" s="289">
        <f>AVERAGE(AM56,AN56,AO56,AP56)</f>
        <v>5.870218855178902E-2</v>
      </c>
      <c r="AS56" s="289">
        <f>AVERAGE(AN56,AO56,AP56,AR56)</f>
        <v>5.8700478298866453E-2</v>
      </c>
      <c r="AT56" s="288">
        <f>AVERAGE(AO56,AP56,AR56,AS56)</f>
        <v>5.8700583488980974E-2</v>
      </c>
      <c r="AU56" s="288">
        <f>AVERAGE(AP56,AR56,AS56,AT56)</f>
        <v>5.8701047709647076E-2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9"/>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301">
        <v>0</v>
      </c>
      <c r="Y59" s="301">
        <v>1000</v>
      </c>
      <c r="Z59" s="300">
        <v>0</v>
      </c>
      <c r="AA59" s="300">
        <v>0</v>
      </c>
      <c r="AB59" s="6"/>
      <c r="AC59" s="301">
        <v>750</v>
      </c>
      <c r="AD59" s="301">
        <f>500+626.3</f>
        <v>1126.3</v>
      </c>
      <c r="AE59" s="300">
        <v>0</v>
      </c>
      <c r="AF59" s="300">
        <v>0</v>
      </c>
      <c r="AG59" s="6"/>
      <c r="AH59" s="301">
        <v>0</v>
      </c>
      <c r="AI59" s="301">
        <v>0</v>
      </c>
      <c r="AJ59" s="300">
        <v>0</v>
      </c>
      <c r="AK59" s="300">
        <v>1250</v>
      </c>
      <c r="AL59" s="6"/>
      <c r="AM59" s="301">
        <v>0</v>
      </c>
      <c r="AN59" s="301">
        <v>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300">
        <f>AA59</f>
        <v>0</v>
      </c>
      <c r="Y60" s="300">
        <f>AC59</f>
        <v>750</v>
      </c>
      <c r="Z60" s="300">
        <f>AD59</f>
        <v>1126.3</v>
      </c>
      <c r="AA60" s="300">
        <f>AE59</f>
        <v>0</v>
      </c>
      <c r="AB60" s="6"/>
      <c r="AC60" s="300">
        <f>AF59</f>
        <v>0</v>
      </c>
      <c r="AD60" s="300">
        <f>AH59</f>
        <v>0</v>
      </c>
      <c r="AE60" s="300">
        <f>AI59</f>
        <v>0</v>
      </c>
      <c r="AF60" s="300">
        <f>AJ59</f>
        <v>0</v>
      </c>
      <c r="AG60" s="6"/>
      <c r="AH60" s="300">
        <f>AK59</f>
        <v>1250</v>
      </c>
      <c r="AI60" s="300">
        <f>AM59</f>
        <v>0</v>
      </c>
      <c r="AJ60" s="300">
        <f>AN59</f>
        <v>0</v>
      </c>
      <c r="AK60" s="300">
        <f>AO59</f>
        <v>500</v>
      </c>
      <c r="AL60" s="6"/>
      <c r="AM60" s="300">
        <f>AP59</f>
        <v>0</v>
      </c>
      <c r="AN60" s="300">
        <f>AR59</f>
        <v>0</v>
      </c>
      <c r="AO60" s="300">
        <f>AS59</f>
        <v>500</v>
      </c>
      <c r="AP60" s="300">
        <f>AT59</f>
        <v>0</v>
      </c>
      <c r="AQ60" s="6"/>
      <c r="AR60" s="300">
        <f>AU60</f>
        <v>0</v>
      </c>
      <c r="AS60" s="300">
        <f t="shared" ref="AS60:AU60" si="57">AW60</f>
        <v>0</v>
      </c>
      <c r="AT60" s="300">
        <f t="shared" si="57"/>
        <v>0</v>
      </c>
      <c r="AU60" s="300">
        <f t="shared" si="57"/>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301">
        <v>0</v>
      </c>
      <c r="Y61" s="301">
        <v>1000</v>
      </c>
      <c r="Z61" s="300">
        <v>0</v>
      </c>
      <c r="AA61" s="300">
        <v>0</v>
      </c>
      <c r="AB61" s="6"/>
      <c r="AC61" s="301">
        <v>750</v>
      </c>
      <c r="AD61" s="301">
        <v>1126</v>
      </c>
      <c r="AE61" s="300">
        <v>0</v>
      </c>
      <c r="AF61" s="300">
        <f>0.5*(SUM('IS (After Changes)'!AC154:AF154))</f>
        <v>100</v>
      </c>
      <c r="AG61" s="6"/>
      <c r="AH61" s="301"/>
      <c r="AI61" s="301"/>
      <c r="AJ61" s="300">
        <f>0.5*(SUM('IS (After Changes)'!AH154:AK154))</f>
        <v>5541.98119731518</v>
      </c>
      <c r="AK61" s="300">
        <v>1250</v>
      </c>
      <c r="AL61" s="6"/>
      <c r="AM61" s="301">
        <v>0</v>
      </c>
      <c r="AN61" s="301">
        <v>0</v>
      </c>
      <c r="AO61" s="300">
        <v>500</v>
      </c>
      <c r="AP61" s="300">
        <v>0</v>
      </c>
      <c r="AQ61" s="6"/>
      <c r="AR61" s="301">
        <v>0</v>
      </c>
      <c r="AS61" s="301">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8">+(S28+S31)/S41</f>
        <v>-1.7497130279398361</v>
      </c>
      <c r="T62" s="179">
        <f t="shared" si="58"/>
        <v>-1.8277176642469066</v>
      </c>
      <c r="U62" s="179">
        <f t="shared" si="58"/>
        <v>-1.7473235630391852</v>
      </c>
      <c r="V62" s="179">
        <f t="shared" si="58"/>
        <v>-1.7294423304631725</v>
      </c>
      <c r="W62" s="28">
        <f t="shared" si="58"/>
        <v>-1.7294423304631725</v>
      </c>
      <c r="X62" s="179">
        <f t="shared" si="58"/>
        <v>-1.7911088658511567</v>
      </c>
      <c r="Y62" s="179">
        <f t="shared" si="58"/>
        <v>-1.846943783065631</v>
      </c>
      <c r="Z62" s="179">
        <f t="shared" si="58"/>
        <v>-1.9798184473889511</v>
      </c>
      <c r="AA62" s="179">
        <f t="shared" si="58"/>
        <v>-2.1225070046661161</v>
      </c>
      <c r="AB62" s="28"/>
      <c r="AC62" s="179">
        <f>+(AC28+AC31)/AC41</f>
        <v>-2.3315635218979307</v>
      </c>
      <c r="AD62" s="179">
        <f>+(AD28+AD31)/AD41</f>
        <v>-2.5241203738375817</v>
      </c>
      <c r="AE62" s="179">
        <f>+(AE28+AE31)/AE41</f>
        <v>-2.8566858503780961</v>
      </c>
      <c r="AF62" s="179">
        <f>+(AF28+AF31)/AF41</f>
        <v>-3.2939521431212295</v>
      </c>
      <c r="AG62" s="28"/>
      <c r="AH62" s="179">
        <f>+(AH28+AH31)/AH41</f>
        <v>-3.903172107130997</v>
      </c>
      <c r="AI62" s="179">
        <f>+(AI28+AI31)/AI41</f>
        <v>-4.5605174132011452</v>
      </c>
      <c r="AJ62" s="179">
        <f>+(AJ28+AJ31)/AJ41</f>
        <v>-2.6838575158092701</v>
      </c>
      <c r="AK62" s="179">
        <f>+(AK28+AK31)/AK41</f>
        <v>-1.6944068268123371</v>
      </c>
      <c r="AL62" s="28"/>
      <c r="AM62" s="179">
        <f>+(AM28+AM31)/AM41</f>
        <v>-1.7880581194280618</v>
      </c>
      <c r="AN62" s="179">
        <f>+(AN28+AN31)/AN41</f>
        <v>-1.8616005830775018</v>
      </c>
      <c r="AO62" s="179">
        <f>+(AO28+AO31)/AO41</f>
        <v>-2.0255202828130643</v>
      </c>
      <c r="AP62" s="179">
        <f>+(AP28+AP31)/AP41</f>
        <v>-2.2066636200565637</v>
      </c>
      <c r="AQ62" s="28"/>
      <c r="AR62" s="179">
        <f>+(AR28+AR31)/AR41</f>
        <v>-2.4048471746649223</v>
      </c>
      <c r="AS62" s="179">
        <f>+(AS28+AS31)/AS41</f>
        <v>-2.5785764731417964</v>
      </c>
      <c r="AT62" s="179">
        <f>+(AT28+AT31)/AT41</f>
        <v>-2.9550327786681554</v>
      </c>
      <c r="AU62" s="179">
        <f>+(AU28+AU31)/AU41</f>
        <v>-3.4189281924300543</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9">+S28/(S28+S31)</f>
        <v>8.1112704252786494E-2</v>
      </c>
      <c r="T63" s="179">
        <f t="shared" si="59"/>
        <v>0.12481109098857178</v>
      </c>
      <c r="U63" s="179">
        <f t="shared" si="59"/>
        <v>7.9253663276029576E-2</v>
      </c>
      <c r="V63" s="179">
        <f t="shared" si="59"/>
        <v>0.12789236833533857</v>
      </c>
      <c r="W63" s="28">
        <f t="shared" si="59"/>
        <v>0.12789236833533857</v>
      </c>
      <c r="X63" s="179">
        <f t="shared" si="59"/>
        <v>0.12789236833533857</v>
      </c>
      <c r="Y63" s="179">
        <f t="shared" si="59"/>
        <v>0.11127433710673429</v>
      </c>
      <c r="Z63" s="179">
        <f t="shared" si="59"/>
        <v>0.18614189139784232</v>
      </c>
      <c r="AA63" s="179">
        <f t="shared" si="59"/>
        <v>0.18614189139784232</v>
      </c>
      <c r="AB63" s="28"/>
      <c r="AC63" s="179">
        <f>+AC28/(AC28+AC31)</f>
        <v>0.13628779771202945</v>
      </c>
      <c r="AD63" s="179">
        <f>+AD28/(AD28+AD31)</f>
        <v>6.1421468265574743E-2</v>
      </c>
      <c r="AE63" s="179">
        <f>+AE28/(AE28+AE31)</f>
        <v>6.1421468265574743E-2</v>
      </c>
      <c r="AF63" s="179">
        <f>+AF28/(AF28+AF31)</f>
        <v>6.1015874692939606E-2</v>
      </c>
      <c r="AG63" s="28"/>
      <c r="AH63" s="179">
        <f>+AH28/(AH28+AH31)</f>
        <v>0.14355899521910245</v>
      </c>
      <c r="AI63" s="179">
        <f>+AI28/(AI28+AI31)</f>
        <v>0.14355899521910245</v>
      </c>
      <c r="AJ63" s="179">
        <f>+AJ28/(AJ28+AJ31)</f>
        <v>0.10509736126158097</v>
      </c>
      <c r="AK63" s="179">
        <f>+AK28/(AK28+AK31)</f>
        <v>6.8840221911909527E-2</v>
      </c>
      <c r="AL63" s="28"/>
      <c r="AM63" s="179">
        <f>+AM28/(AM28+AM31)</f>
        <v>6.8840221911909527E-2</v>
      </c>
      <c r="AN63" s="179">
        <f>+AN28/(AN28+AN31)</f>
        <v>6.8840221911909527E-2</v>
      </c>
      <c r="AO63" s="179">
        <f>+AO28/(AO28+AO31)</f>
        <v>6.8840221911909527E-2</v>
      </c>
      <c r="AP63" s="179">
        <f>+AP28/(AP28+AP31)</f>
        <v>6.8840221911909527E-2</v>
      </c>
      <c r="AQ63" s="28"/>
      <c r="AR63" s="179">
        <f>+AR28/(AR28+AR31)</f>
        <v>6.8840221911909527E-2</v>
      </c>
      <c r="AS63" s="179">
        <f>+AS28/(AS28+AS31)</f>
        <v>4.4668795678795226E-2</v>
      </c>
      <c r="AT63" s="179">
        <f>+AT28/(AT28+AT31)</f>
        <v>4.4668795678795226E-2</v>
      </c>
      <c r="AU63" s="179">
        <f>+AU28/(AU28+AU31)</f>
        <v>4.4668795678795226E-2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3.5425084152886037</v>
      </c>
      <c r="AC64" s="307"/>
      <c r="AD64" s="307"/>
      <c r="AE64" s="307"/>
      <c r="AF64" s="307"/>
      <c r="AG64" s="405">
        <f>AG67/(AG65-AG66)</f>
        <v>2.6243727298160029</v>
      </c>
      <c r="AH64" s="307"/>
      <c r="AI64" s="307"/>
      <c r="AJ64" s="307"/>
      <c r="AK64" s="307"/>
      <c r="AL64" s="405">
        <f>AL67/(AL65-AL66)</f>
        <v>2.9321820314710134</v>
      </c>
      <c r="AM64" s="307"/>
      <c r="AN64" s="307"/>
      <c r="AO64" s="307"/>
      <c r="AP64" s="307"/>
      <c r="AQ64" s="306">
        <f>AQ67/(AQ65-AQ66)</f>
        <v>2.6256235331742208</v>
      </c>
      <c r="AR64" s="307"/>
      <c r="AS64" s="307"/>
      <c r="AT64" s="307"/>
      <c r="AU64" s="307"/>
      <c r="AV64" s="306">
        <f>AV67/(AV65-AV66)</f>
        <v>2.4552873465170175</v>
      </c>
    </row>
    <row r="65" spans="2:48" outlineLevel="1" x14ac:dyDescent="0.3">
      <c r="B65" s="180" t="s">
        <v>325</v>
      </c>
      <c r="C65" s="44"/>
      <c r="D65" s="139"/>
      <c r="E65" s="139"/>
      <c r="F65" s="309"/>
      <c r="G65" s="309"/>
      <c r="H65" s="17"/>
      <c r="I65" s="139"/>
      <c r="J65" s="139"/>
      <c r="K65" s="309"/>
      <c r="L65" s="309"/>
      <c r="M65" s="17">
        <f>'IS (After Changes)'!M19+'IS (After Changes)'!M12</f>
        <v>3564.3800000000042</v>
      </c>
      <c r="N65" s="139"/>
      <c r="O65" s="139"/>
      <c r="P65" s="309"/>
      <c r="Q65" s="309"/>
      <c r="R65" s="17">
        <f>'IS (After Changes)'!R19+'IS (After Changes)'!R12</f>
        <v>6703.7999999999975</v>
      </c>
      <c r="S65" s="139"/>
      <c r="T65" s="139"/>
      <c r="U65" s="309"/>
      <c r="V65" s="309"/>
      <c r="W65" s="17">
        <f>'IS (After Changes)'!W19+'IS (After Changes)'!W12</f>
        <v>6302.899999999996</v>
      </c>
      <c r="X65" s="139"/>
      <c r="Y65" s="305"/>
      <c r="Z65" s="305"/>
      <c r="AA65" s="310"/>
      <c r="AB65" s="17">
        <f>'IS (After Changes)'!AB19+'IS (After Changes)'!AB12</f>
        <v>7068.7493524590918</v>
      </c>
      <c r="AC65" s="139"/>
      <c r="AD65" s="139"/>
      <c r="AE65" s="309"/>
      <c r="AF65" s="309"/>
      <c r="AG65" s="17">
        <f>'IS (After Changes)'!AG19+'IS (After Changes)'!AG12</f>
        <v>8733.5420765581803</v>
      </c>
      <c r="AH65" s="139"/>
      <c r="AI65" s="139"/>
      <c r="AJ65" s="309"/>
      <c r="AK65" s="309"/>
      <c r="AL65" s="17">
        <f>'IS (After Changes)'!AL19+'IS (After Changes)'!AL12</f>
        <v>10166.002911928856</v>
      </c>
      <c r="AM65" s="139"/>
      <c r="AN65" s="139"/>
      <c r="AO65" s="309"/>
      <c r="AP65" s="309"/>
      <c r="AQ65" s="17">
        <f>'IS (After Changes)'!AQ19+'IS (After Changes)'!AQ12</f>
        <v>11145.247928759367</v>
      </c>
      <c r="AR65" s="139"/>
      <c r="AS65" s="139"/>
      <c r="AT65" s="309"/>
      <c r="AU65" s="309"/>
      <c r="AV65" s="17">
        <f>'IS (After Changes)'!AV19+'IS (After Changes)'!AV12</f>
        <v>11855.155368552489</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15043.900000000001</v>
      </c>
      <c r="AC67" s="313"/>
      <c r="AD67" s="313"/>
      <c r="AE67" s="314"/>
      <c r="AF67" s="314"/>
      <c r="AG67" s="316">
        <f>AG28+AG31</f>
        <v>15143.6</v>
      </c>
      <c r="AH67" s="313"/>
      <c r="AI67" s="313"/>
      <c r="AJ67" s="314"/>
      <c r="AK67" s="314"/>
      <c r="AL67" s="316">
        <f>AL28+AL31</f>
        <v>20685.581197315179</v>
      </c>
      <c r="AM67" s="313"/>
      <c r="AN67" s="313"/>
      <c r="AO67" s="314"/>
      <c r="AP67" s="314"/>
      <c r="AQ67" s="316">
        <f>AQ28+AQ31</f>
        <v>20685.581197315179</v>
      </c>
      <c r="AR67" s="313"/>
      <c r="AS67" s="313"/>
      <c r="AT67" s="314"/>
      <c r="AU67" s="314"/>
      <c r="AV67" s="316">
        <f>AV28+AV31</f>
        <v>20685.581197315179</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70797-E96C-4D17-9E54-456E2AF996F8}">
  <sheetPr>
    <tabColor theme="4" tint="0.39997558519241921"/>
    <pageSetUpPr fitToPage="1"/>
  </sheetPr>
  <dimension ref="B1:AV65"/>
  <sheetViews>
    <sheetView showGridLines="0" zoomScaleNormal="100" workbookViewId="0">
      <pane xSplit="3" ySplit="4" topLeftCell="N28" activePane="bottomRight" state="frozen"/>
      <selection activeCell="Q59" sqref="Q59"/>
      <selection pane="topRight" activeCell="Q59" sqref="Q59"/>
      <selection pane="bottomLeft" activeCell="Q59" sqref="Q59"/>
      <selection pane="bottomRight" activeCell="B1" sqref="B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494" t="s">
        <v>266</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510" t="s">
        <v>267</v>
      </c>
      <c r="C5" s="511"/>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(After Changes)'!V25</f>
        <v>878.49999999999864</v>
      </c>
      <c r="W6" s="17">
        <f t="shared" ref="W6:W13" si="0">SUM(S6:V6)</f>
        <v>3283.2999999999988</v>
      </c>
      <c r="X6" s="16">
        <f>'IS (After Changes)'!X25</f>
        <v>839.61812783721689</v>
      </c>
      <c r="Y6" s="16">
        <f>'IS (After Changes)'!Y25</f>
        <v>804.44984841581845</v>
      </c>
      <c r="Z6" s="16">
        <f>'IS (After Changes)'!Z25</f>
        <v>1090.6701733256843</v>
      </c>
      <c r="AA6" s="16">
        <f>'IS (After Changes)'!AA25</f>
        <v>1083.0906716296515</v>
      </c>
      <c r="AB6" s="17">
        <f t="shared" ref="AB6" si="1">SUM(X6:AA6)</f>
        <v>3817.8288212083708</v>
      </c>
      <c r="AC6" s="16">
        <f>'IS (After Changes)'!AC25</f>
        <v>1171.9480672556172</v>
      </c>
      <c r="AD6" s="16">
        <f>'IS (After Changes)'!AD25</f>
        <v>1035.1884843062637</v>
      </c>
      <c r="AE6" s="16">
        <f>'IS (After Changes)'!AE25</f>
        <v>1330.0159360666605</v>
      </c>
      <c r="AF6" s="16">
        <f>'IS (After Changes)'!AF25</f>
        <v>1333.9317342797517</v>
      </c>
      <c r="AG6" s="17">
        <f t="shared" ref="AG6" si="2">SUM(AC6:AF6)</f>
        <v>4871.0842219082933</v>
      </c>
      <c r="AH6" s="16">
        <f>'IS (After Changes)'!AH25</f>
        <v>1381.7193148430688</v>
      </c>
      <c r="AI6" s="16">
        <f>'IS (After Changes)'!AI25</f>
        <v>1229.325877678838</v>
      </c>
      <c r="AJ6" s="16">
        <f>'IS (After Changes)'!AJ25</f>
        <v>1617.5397443890301</v>
      </c>
      <c r="AK6" s="16">
        <f>'IS (After Changes)'!AK25</f>
        <v>1533.7545515315089</v>
      </c>
      <c r="AL6" s="17">
        <f t="shared" ref="AL6" si="3">SUM(AH6:AK6)</f>
        <v>5762.3394884424451</v>
      </c>
      <c r="AM6" s="16">
        <f>'IS (After Changes)'!AM25</f>
        <v>1481.7235564153825</v>
      </c>
      <c r="AN6" s="16">
        <f>'IS (After Changes)'!AN25</f>
        <v>1305.5660294011329</v>
      </c>
      <c r="AO6" s="16">
        <f>'IS (After Changes)'!AO25</f>
        <v>1713.39204082897</v>
      </c>
      <c r="AP6" s="16">
        <f>'IS (After Changes)'!AP25</f>
        <v>1655.4918699316345</v>
      </c>
      <c r="AQ6" s="17">
        <f t="shared" ref="AQ6" si="4">SUM(AM6:AP6)</f>
        <v>6156.1734965771211</v>
      </c>
      <c r="AR6" s="16">
        <f>'IS (After Changes)'!AR25</f>
        <v>1590.4997195010953</v>
      </c>
      <c r="AS6" s="16">
        <f>'IS (After Changes)'!AS25</f>
        <v>1403.340559676888</v>
      </c>
      <c r="AT6" s="16">
        <f>'IS (After Changes)'!AT25</f>
        <v>1836.4603209019911</v>
      </c>
      <c r="AU6" s="16">
        <f>'IS (After Changes)'!AU25</f>
        <v>1774.4623478563685</v>
      </c>
      <c r="AV6" s="17">
        <f t="shared" ref="AV6" si="5">SUM(AR6:AU6)</f>
        <v>6604.7629479363422</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f>('BS (After Changes)'!W14*'BS (After Changes)'!X56)</f>
        <v>389.99303918386653</v>
      </c>
      <c r="Y7" s="16">
        <f>('BS (After Changes)'!X14*'BS (After Changes)'!Y56)</f>
        <v>401.14045713718622</v>
      </c>
      <c r="Z7" s="16">
        <f>('BS (After Changes)'!Y14*'BS (After Changes)'!Z56)</f>
        <v>409.31837246479915</v>
      </c>
      <c r="AA7" s="16">
        <f>('BS (After Changes)'!Z14*'BS (After Changes)'!AA56)</f>
        <v>419.91701480204949</v>
      </c>
      <c r="AB7" s="17">
        <f t="shared" ref="AB7:AB13" si="9">SUM(X7:AA7)</f>
        <v>1620.3688835879011</v>
      </c>
      <c r="AC7" s="16">
        <f>('BS (After Changes)'!AB14*'BS (After Changes)'!AC56)</f>
        <v>439.66280170117693</v>
      </c>
      <c r="AD7" s="16">
        <f>('BS (After Changes)'!AC14*'BS (After Changes)'!AD56)</f>
        <v>452.9365711443146</v>
      </c>
      <c r="AE7" s="16">
        <f>('BS (After Changes)'!AD14*'BS (After Changes)'!AE56)</f>
        <v>463.44547281876646</v>
      </c>
      <c r="AF7" s="16">
        <f>('BS (After Changes)'!AE14*'BS (After Changes)'!AF56)</f>
        <v>478.08174319128699</v>
      </c>
      <c r="AG7" s="17">
        <f t="shared" ref="AG7:AG13" si="10">SUM(AC7:AF7)</f>
        <v>1834.1265888555449</v>
      </c>
      <c r="AH7" s="16">
        <f>('BS (After Changes)'!AG14*'BS (After Changes)'!AH56)</f>
        <v>494.31912741675222</v>
      </c>
      <c r="AI7" s="16">
        <f>('BS (After Changes)'!AH14*'BS (After Changes)'!AI56)</f>
        <v>505.1638897067665</v>
      </c>
      <c r="AJ7" s="16">
        <f>('BS (After Changes)'!AI14*'BS (After Changes)'!AJ56)</f>
        <v>513.34506162296407</v>
      </c>
      <c r="AK7" s="16">
        <f>('BS (After Changes)'!AJ14*'BS (After Changes)'!AK56)</f>
        <v>525.40448574514767</v>
      </c>
      <c r="AL7" s="17">
        <f t="shared" ref="AL7:AL13" si="11">SUM(AH7:AK7)</f>
        <v>2038.2325644916305</v>
      </c>
      <c r="AM7" s="16">
        <f>('BS (After Changes)'!AL14*'BS (After Changes)'!AM56)</f>
        <v>538.32749613415012</v>
      </c>
      <c r="AN7" s="16">
        <f>('BS (After Changes)'!AM14*'BS (After Changes)'!AN56)</f>
        <v>550.84379233620757</v>
      </c>
      <c r="AO7" s="16">
        <f>('BS (After Changes)'!AN14*'BS (After Changes)'!AO56)</f>
        <v>560.04167762769259</v>
      </c>
      <c r="AP7" s="16">
        <f>('BS (After Changes)'!AO14*'BS (After Changes)'!AP56)</f>
        <v>573.12985880828353</v>
      </c>
      <c r="AQ7" s="17">
        <f t="shared" ref="AQ7:AQ13" si="12">SUM(AM7:AP7)</f>
        <v>2222.342824906334</v>
      </c>
      <c r="AR7" s="16">
        <f>('BS (After Changes)'!AQ14*'BS (After Changes)'!AR56)</f>
        <v>586.92609744771948</v>
      </c>
      <c r="AS7" s="16">
        <f>('BS (After Changes)'!AR14*'BS (After Changes)'!AS56)</f>
        <v>599.5209382572757</v>
      </c>
      <c r="AT7" s="16">
        <f>('BS (After Changes)'!AS14*'BS (After Changes)'!AT56)</f>
        <v>608.53784272971427</v>
      </c>
      <c r="AU7" s="16">
        <f>('BS (After Changes)'!AT14*'BS (After Changes)'!AU56)</f>
        <v>621.69775267015621</v>
      </c>
      <c r="AV7" s="17">
        <f t="shared" ref="AV7:AV13" si="13">SUM(AR7:AU7)</f>
        <v>2416.6826311048658</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f>-('BS (After Changes)'!X16-'BS (After Changes)'!V16)</f>
        <v>-54.435767663959496</v>
      </c>
      <c r="Y8" s="16">
        <f>-('BS (After Changes)'!Y16-'BS (After Changes)'!X16)</f>
        <v>71.967352964008342</v>
      </c>
      <c r="Z8" s="16">
        <f>-('BS (After Changes)'!Z16-'BS (After Changes)'!Y16)</f>
        <v>10.412791446641904</v>
      </c>
      <c r="AA8" s="16">
        <f>-('BS (After Changes)'!AA16-'BS (After Changes)'!Z16)</f>
        <v>2.1681559228675269</v>
      </c>
      <c r="AB8" s="17">
        <f t="shared" si="9"/>
        <v>30.112532669558277</v>
      </c>
      <c r="AC8" s="16">
        <f>-('BS (After Changes)'!AC16-'BS (After Changes)'!AA16)</f>
        <v>-103.42032077227964</v>
      </c>
      <c r="AD8" s="16">
        <f>-('BS (After Changes)'!AD16-'BS (After Changes)'!AC16)</f>
        <v>82.087056498663969</v>
      </c>
      <c r="AE8" s="16">
        <f>-('BS (After Changes)'!AE16-'BS (After Changes)'!AD16)</f>
        <v>10.462742607551718</v>
      </c>
      <c r="AF8" s="16">
        <f>-('BS (After Changes)'!AF16-'BS (After Changes)'!AE16)</f>
        <v>10.353229467274559</v>
      </c>
      <c r="AG8" s="17">
        <f t="shared" si="10"/>
        <v>-0.51729219878939148</v>
      </c>
      <c r="AH8" s="16">
        <f>-('BS (After Changes)'!AH16-'BS (After Changes)'!AF16)</f>
        <v>-120.41041873261065</v>
      </c>
      <c r="AI8" s="16">
        <f>-('BS (After Changes)'!AI16-'BS (After Changes)'!AH16)</f>
        <v>89.681605389261222</v>
      </c>
      <c r="AJ8" s="16">
        <f>-('BS (After Changes)'!AJ16-'BS (After Changes)'!AI16)</f>
        <v>11.233775556209821</v>
      </c>
      <c r="AK8" s="16">
        <f>-('BS (After Changes)'!AK16-'BS (After Changes)'!AJ16)</f>
        <v>11.289874302513681</v>
      </c>
      <c r="AL8" s="17">
        <f t="shared" si="11"/>
        <v>-8.2051634846259276</v>
      </c>
      <c r="AM8" s="16">
        <f>-('BS (After Changes)'!AM16-'BS (After Changes)'!AK16)</f>
        <v>-132.34213874032685</v>
      </c>
      <c r="AN8" s="16">
        <f>-('BS (After Changes)'!AN16-'BS (After Changes)'!AM16)</f>
        <v>96.847881287818836</v>
      </c>
      <c r="AO8" s="16">
        <f>-('BS (After Changes)'!AO16-'BS (After Changes)'!AN16)</f>
        <v>11.616492231986285</v>
      </c>
      <c r="AP8" s="16">
        <f>-('BS (After Changes)'!AP16-'BS (After Changes)'!AO16)</f>
        <v>11.563306022151664</v>
      </c>
      <c r="AQ8" s="17">
        <f t="shared" si="12"/>
        <v>-12.314459198370059</v>
      </c>
      <c r="AR8" s="16">
        <f>-('BS (After Changes)'!AR16-'BS (After Changes)'!AP16)</f>
        <v>-144.1836869654876</v>
      </c>
      <c r="AS8" s="16">
        <f>-('BS (After Changes)'!AS16-'BS (After Changes)'!AR16)</f>
        <v>104.30989945032911</v>
      </c>
      <c r="AT8" s="16">
        <f>-('BS (After Changes)'!AT16-'BS (After Changes)'!AS16)</f>
        <v>11.927553287992168</v>
      </c>
      <c r="AU8" s="16">
        <f>-('BS (After Changes)'!AU16-'BS (After Changes)'!AT16)</f>
        <v>11.843909252719413</v>
      </c>
      <c r="AV8" s="17">
        <f t="shared" si="13"/>
        <v>-16.102324974446901</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f>-'IS (After Changes)'!X16</f>
        <v>-90.4</v>
      </c>
      <c r="Y9" s="16">
        <f>-'IS (After Changes)'!Y16</f>
        <v>-90.5</v>
      </c>
      <c r="Z9" s="16">
        <f>-'IS (After Changes)'!Z16</f>
        <v>-90.6</v>
      </c>
      <c r="AA9" s="16">
        <f>-'IS (After Changes)'!AA16</f>
        <v>-90.7</v>
      </c>
      <c r="AB9" s="17">
        <f t="shared" si="9"/>
        <v>-362.2</v>
      </c>
      <c r="AC9" s="16">
        <f>-'IS (After Changes)'!AC16</f>
        <v>-91</v>
      </c>
      <c r="AD9" s="16">
        <f>-'IS (After Changes)'!AD16</f>
        <v>-91</v>
      </c>
      <c r="AE9" s="16">
        <f>-'IS (After Changes)'!AE16</f>
        <v>-91</v>
      </c>
      <c r="AF9" s="16">
        <f>-'IS (After Changes)'!AF16</f>
        <v>-91</v>
      </c>
      <c r="AG9" s="17">
        <f t="shared" si="10"/>
        <v>-364</v>
      </c>
      <c r="AH9" s="16">
        <f>-'IS (After Changes)'!AH16</f>
        <v>-91</v>
      </c>
      <c r="AI9" s="16">
        <f>-'IS (After Changes)'!AI16</f>
        <v>-91</v>
      </c>
      <c r="AJ9" s="16">
        <f>-'IS (After Changes)'!AJ16</f>
        <v>-91</v>
      </c>
      <c r="AK9" s="16">
        <f>-'IS (After Changes)'!AK16</f>
        <v>-91</v>
      </c>
      <c r="AL9" s="17">
        <f t="shared" si="11"/>
        <v>-364</v>
      </c>
      <c r="AM9" s="16">
        <f>-'IS (After Changes)'!AM16</f>
        <v>-91</v>
      </c>
      <c r="AN9" s="16">
        <f>-'IS (After Changes)'!AN16</f>
        <v>-91</v>
      </c>
      <c r="AO9" s="16">
        <f>-'IS (After Changes)'!AO16</f>
        <v>-91</v>
      </c>
      <c r="AP9" s="16">
        <f>-'IS (After Changes)'!AP16</f>
        <v>-91</v>
      </c>
      <c r="AQ9" s="17">
        <f t="shared" si="12"/>
        <v>-364</v>
      </c>
      <c r="AR9" s="16">
        <f>-'IS (After Changes)'!AR16</f>
        <v>-91</v>
      </c>
      <c r="AS9" s="16">
        <f>-'IS (After Changes)'!AS16</f>
        <v>-91</v>
      </c>
      <c r="AT9" s="16">
        <f>-'IS (After Changes)'!AT16</f>
        <v>-91</v>
      </c>
      <c r="AU9" s="16">
        <f>-'IS (After Changes)'!AU16</f>
        <v>-91</v>
      </c>
      <c r="AV9" s="17">
        <f t="shared" si="13"/>
        <v>-364</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f>-X54*X9</f>
        <v>90.4</v>
      </c>
      <c r="Y10" s="16">
        <f>-Y54*Y9</f>
        <v>90.5</v>
      </c>
      <c r="Z10" s="16">
        <f>-Z54*Z9</f>
        <v>90.6</v>
      </c>
      <c r="AA10" s="16">
        <f>-AA54*AA9</f>
        <v>90.7</v>
      </c>
      <c r="AB10" s="17">
        <f t="shared" si="9"/>
        <v>362.2</v>
      </c>
      <c r="AC10" s="16">
        <f>-AC54*AC9</f>
        <v>91</v>
      </c>
      <c r="AD10" s="16">
        <f>-AD54*AD9</f>
        <v>91</v>
      </c>
      <c r="AE10" s="16">
        <f>-AE54*AE9</f>
        <v>91</v>
      </c>
      <c r="AF10" s="16">
        <f>-AF54*AF9</f>
        <v>91</v>
      </c>
      <c r="AG10" s="17">
        <f t="shared" si="10"/>
        <v>364</v>
      </c>
      <c r="AH10" s="16">
        <f>-AH54*AH9</f>
        <v>91</v>
      </c>
      <c r="AI10" s="16">
        <f>-AI54*AI9</f>
        <v>91</v>
      </c>
      <c r="AJ10" s="16">
        <f>-AJ54*AJ9</f>
        <v>91</v>
      </c>
      <c r="AK10" s="16">
        <f>-AK54*AK9</f>
        <v>91</v>
      </c>
      <c r="AL10" s="17">
        <f t="shared" si="11"/>
        <v>364</v>
      </c>
      <c r="AM10" s="16">
        <f>-AM54*AM9</f>
        <v>91</v>
      </c>
      <c r="AN10" s="16">
        <f>-AN54*AN9</f>
        <v>91</v>
      </c>
      <c r="AO10" s="16">
        <f>-AO54*AO9</f>
        <v>91</v>
      </c>
      <c r="AP10" s="16">
        <f>-AP54*AP9</f>
        <v>91</v>
      </c>
      <c r="AQ10" s="17">
        <f t="shared" si="12"/>
        <v>364</v>
      </c>
      <c r="AR10" s="16">
        <f>-AR54*AR9</f>
        <v>91</v>
      </c>
      <c r="AS10" s="16">
        <f>-AS54*AS9</f>
        <v>91</v>
      </c>
      <c r="AT10" s="16">
        <f>-AT54*AT9</f>
        <v>91</v>
      </c>
      <c r="AU10" s="16">
        <f>-AU54*AU9</f>
        <v>91</v>
      </c>
      <c r="AV10" s="17">
        <f t="shared" si="13"/>
        <v>364</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f>'IS (After Changes)'!X8*X53</f>
        <v>73.650788453258926</v>
      </c>
      <c r="Y12" s="16">
        <f>'IS (After Changes)'!Y8*Y53</f>
        <v>63.909493104801108</v>
      </c>
      <c r="Z12" s="16">
        <f>'IS (After Changes)'!Z8*Z53</f>
        <v>72.131043862752662</v>
      </c>
      <c r="AA12" s="16">
        <f>'IS (After Changes)'!AA8*AA53</f>
        <v>75.976642148132584</v>
      </c>
      <c r="AB12" s="17">
        <f t="shared" si="9"/>
        <v>285.6679675689453</v>
      </c>
      <c r="AC12" s="16">
        <f>'IS (After Changes)'!AC8*AC53</f>
        <v>77.572581095496545</v>
      </c>
      <c r="AD12" s="16">
        <f>'IS (After Changes)'!AD8*AD53</f>
        <v>72.06133471247675</v>
      </c>
      <c r="AE12" s="16">
        <f>'IS (After Changes)'!AE8*AE53</f>
        <v>80.425560595719617</v>
      </c>
      <c r="AF12" s="16">
        <f>'IS (After Changes)'!AF8*AF53</f>
        <v>83.439646678935006</v>
      </c>
      <c r="AG12" s="17">
        <f t="shared" si="10"/>
        <v>313.49912308262793</v>
      </c>
      <c r="AH12" s="16">
        <f>'IS (After Changes)'!AH8*AH53</f>
        <v>85.952698359926643</v>
      </c>
      <c r="AI12" s="16">
        <f>'IS (After Changes)'!AI8*AI53</f>
        <v>81.008589764701867</v>
      </c>
      <c r="AJ12" s="16">
        <f>'IS (After Changes)'!AJ8*AJ53</f>
        <v>90.040981630828824</v>
      </c>
      <c r="AK12" s="16">
        <f>'IS (After Changes)'!AK8*AK53</f>
        <v>93.28631225159117</v>
      </c>
      <c r="AL12" s="17">
        <f t="shared" si="11"/>
        <v>350.28858200704849</v>
      </c>
      <c r="AM12" s="16">
        <f>'IS (After Changes)'!AM8*AM53</f>
        <v>94.430966129519959</v>
      </c>
      <c r="AN12" s="16">
        <f>'IS (After Changes)'!AN8*AN53</f>
        <v>88.741663163181627</v>
      </c>
      <c r="AO12" s="16">
        <f>'IS (After Changes)'!AO8*AO53</f>
        <v>98.160745517205939</v>
      </c>
      <c r="AP12" s="16">
        <f>'IS (After Changes)'!AP8*AP53</f>
        <v>101.33323309665862</v>
      </c>
      <c r="AQ12" s="17">
        <f t="shared" si="12"/>
        <v>382.66660790656613</v>
      </c>
      <c r="AR12" s="16">
        <f>'IS (After Changes)'!AR8*AR53</f>
        <v>100.55146092414219</v>
      </c>
      <c r="AS12" s="16">
        <f>'IS (After Changes)'!AS8*AS53</f>
        <v>94.447382616787309</v>
      </c>
      <c r="AT12" s="16">
        <f>'IS (After Changes)'!AT8*AT53</f>
        <v>104.426332654858</v>
      </c>
      <c r="AU12" s="16">
        <f>'IS (After Changes)'!AU8*AU53</f>
        <v>107.79217469361755</v>
      </c>
      <c r="AV12" s="17">
        <f t="shared" si="13"/>
        <v>407.21735088940505</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33">
        <v>0</v>
      </c>
      <c r="Y13" s="33">
        <v>0</v>
      </c>
      <c r="Z13" s="33">
        <v>0</v>
      </c>
      <c r="AA13" s="33">
        <v>0</v>
      </c>
      <c r="AB13" s="17">
        <f t="shared" si="9"/>
        <v>0</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542" t="s">
        <v>275</v>
      </c>
      <c r="C14" s="543"/>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538" t="s">
        <v>276</v>
      </c>
      <c r="C15" s="539"/>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f>-('BS (After Changes)'!X8-'BS (After Changes)'!V8)</f>
        <v>44.534229643130402</v>
      </c>
      <c r="Y15" s="327">
        <f>-('BS (After Changes)'!Y8-'BS (After Changes)'!X8)</f>
        <v>-47.918379314603499</v>
      </c>
      <c r="Z15" s="327">
        <f>-('BS (After Changes)'!Z8-'BS (After Changes)'!Y8)</f>
        <v>-221.32795739811559</v>
      </c>
      <c r="AA15" s="327">
        <f>-('BS (After Changes)'!AA8-'BS (After Changes)'!Z8)</f>
        <v>127.01123342339906</v>
      </c>
      <c r="AB15" s="328">
        <f t="shared" ref="AB15:AB21" si="20">SUM(X15:AA15)</f>
        <v>-97.700873646189621</v>
      </c>
      <c r="AC15" s="327">
        <f>-('BS (After Changes)'!AC8-'BS (After Changes)'!AA8)</f>
        <v>-4.7321542397198755</v>
      </c>
      <c r="AD15" s="327">
        <f>-('BS (After Changes)'!AD8-'BS (After Changes)'!AC8)</f>
        <v>28.637076470675083</v>
      </c>
      <c r="AE15" s="327">
        <f>-('BS (After Changes)'!AE8-'BS (After Changes)'!AD8)</f>
        <v>-157.74854691197174</v>
      </c>
      <c r="AF15" s="327">
        <f>-('BS (After Changes)'!AF8-'BS (After Changes)'!AE8)</f>
        <v>38.360305340522928</v>
      </c>
      <c r="AG15" s="328">
        <f t="shared" ref="AG15:AG21" si="21">SUM(AC15:AF15)</f>
        <v>-95.483319340493608</v>
      </c>
      <c r="AH15" s="327">
        <f>-('BS (After Changes)'!AH8-'BS (After Changes)'!AF8)</f>
        <v>-53.344304317985461</v>
      </c>
      <c r="AI15" s="327">
        <f>-('BS (After Changes)'!AI8-'BS (After Changes)'!AH8)</f>
        <v>18.804231022682643</v>
      </c>
      <c r="AJ15" s="327">
        <f>-('BS (After Changes)'!AJ8-'BS (After Changes)'!AI8)</f>
        <v>-235.22269068673313</v>
      </c>
      <c r="AK15" s="327">
        <f>-('BS (After Changes)'!AK8-'BS (After Changes)'!AJ8)</f>
        <v>47.899876016283542</v>
      </c>
      <c r="AL15" s="328">
        <f t="shared" ref="AL15:AL21" si="22">SUM(AH15:AK15)</f>
        <v>-221.86288796575241</v>
      </c>
      <c r="AM15" s="327">
        <f>-('BS (After Changes)'!AM8-'BS (After Changes)'!AK8)</f>
        <v>23.270265887208097</v>
      </c>
      <c r="AN15" s="327">
        <f>-('BS (After Changes)'!AN8-'BS (After Changes)'!AM8)</f>
        <v>18.201657950996605</v>
      </c>
      <c r="AO15" s="327">
        <f>-('BS (After Changes)'!AO8-'BS (After Changes)'!AN8)</f>
        <v>-241.74359947947983</v>
      </c>
      <c r="AP15" s="327">
        <f>-('BS (After Changes)'!AP8-'BS (After Changes)'!AO8)</f>
        <v>90.408176996689917</v>
      </c>
      <c r="AQ15" s="328">
        <f t="shared" ref="AQ15:AQ21" si="23">SUM(AM15:AP15)</f>
        <v>-109.86349864458521</v>
      </c>
      <c r="AR15" s="327">
        <f>-('BS (After Changes)'!AR8-'BS (After Changes)'!AP8)</f>
        <v>31.245103365728255</v>
      </c>
      <c r="AS15" s="327">
        <f>-('BS (After Changes)'!AS8-'BS (After Changes)'!AR8)</f>
        <v>33.346268014032603</v>
      </c>
      <c r="AT15" s="327">
        <f>-('BS (After Changes)'!AT8-'BS (After Changes)'!AS8)</f>
        <v>-240.19113915795583</v>
      </c>
      <c r="AU15" s="327">
        <f>-('BS (After Changes)'!AU8-'BS (After Changes)'!AT8)</f>
        <v>70.03545906674799</v>
      </c>
      <c r="AV15" s="328">
        <f t="shared" ref="AV15:AV21" si="24">SUM(AR15:AU15)</f>
        <v>-105.56430871144698</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f>-('BS (After Changes)'!X9-'BS (After Changes)'!V9)</f>
        <v>309.77715705561127</v>
      </c>
      <c r="Y16" s="327">
        <f>-('BS (After Changes)'!Y9-'BS (After Changes)'!X9)</f>
        <v>-211.12737371740945</v>
      </c>
      <c r="Z16" s="327">
        <f>-('BS (After Changes)'!Z9-'BS (After Changes)'!Y9)</f>
        <v>-451.62900963828088</v>
      </c>
      <c r="AA16" s="327">
        <f>-('BS (After Changes)'!AA9-'BS (After Changes)'!Z9)</f>
        <v>225.15573230132259</v>
      </c>
      <c r="AB16" s="328">
        <f t="shared" si="20"/>
        <v>-127.82349399875648</v>
      </c>
      <c r="AC16" s="327">
        <f>-('BS (After Changes)'!AC9-'BS (After Changes)'!AA9)</f>
        <v>244.0710697867994</v>
      </c>
      <c r="AD16" s="327">
        <f>-('BS (After Changes)'!AD9-'BS (After Changes)'!AC9)</f>
        <v>-146.16119660933145</v>
      </c>
      <c r="AE16" s="327">
        <f>-('BS (After Changes)'!AE9-'BS (After Changes)'!AD9)</f>
        <v>-317.49258991045645</v>
      </c>
      <c r="AF16" s="327">
        <f>-('BS (After Changes)'!AF9-'BS (After Changes)'!AE9)</f>
        <v>93.134105110444125</v>
      </c>
      <c r="AG16" s="328">
        <f t="shared" si="21"/>
        <v>-126.44861162254438</v>
      </c>
      <c r="AH16" s="327">
        <f>-('BS (After Changes)'!AH9-'BS (After Changes)'!AF9)</f>
        <v>189.99769794719532</v>
      </c>
      <c r="AI16" s="327">
        <f>-('BS (After Changes)'!AI9-'BS (After Changes)'!AH9)</f>
        <v>-212.34788962285484</v>
      </c>
      <c r="AJ16" s="327">
        <f>-('BS (After Changes)'!AJ9-'BS (After Changes)'!AI9)</f>
        <v>-431.20280027017543</v>
      </c>
      <c r="AK16" s="327">
        <f>-('BS (After Changes)'!AK9-'BS (After Changes)'!AJ9)</f>
        <v>69.649300183505147</v>
      </c>
      <c r="AL16" s="328">
        <f t="shared" si="22"/>
        <v>-383.9036917623298</v>
      </c>
      <c r="AM16" s="327">
        <f>-('BS (After Changes)'!AM9-'BS (After Changes)'!AK9)</f>
        <v>336.79758381295642</v>
      </c>
      <c r="AN16" s="327">
        <f>-('BS (After Changes)'!AN9-'BS (After Changes)'!AM9)</f>
        <v>-185.92151153843588</v>
      </c>
      <c r="AO16" s="327">
        <f>-('BS (After Changes)'!AO9-'BS (After Changes)'!AN9)</f>
        <v>-466.41278021564358</v>
      </c>
      <c r="AP16" s="327">
        <f>-('BS (After Changes)'!AP9-'BS (After Changes)'!AO9)</f>
        <v>140.74627085651537</v>
      </c>
      <c r="AQ16" s="328">
        <f t="shared" si="23"/>
        <v>-174.79043708460767</v>
      </c>
      <c r="AR16" s="327">
        <f>-('BS (After Changes)'!AR9-'BS (After Changes)'!AP9)</f>
        <v>349.91061328407341</v>
      </c>
      <c r="AS16" s="327">
        <f>-('BS (After Changes)'!AS9-'BS (After Changes)'!AR9)</f>
        <v>-195.22769831453752</v>
      </c>
      <c r="AT16" s="327">
        <f>-('BS (After Changes)'!AT9-'BS (After Changes)'!AS9)</f>
        <v>-453.83647709900288</v>
      </c>
      <c r="AU16" s="327">
        <f>-('BS (After Changes)'!AU9-'BS (After Changes)'!AT9)</f>
        <v>112.02772368265687</v>
      </c>
      <c r="AV16" s="328">
        <f t="shared" si="24"/>
        <v>-187.12583844681012</v>
      </c>
    </row>
    <row r="17" spans="2:48" outlineLevel="1" x14ac:dyDescent="0.3">
      <c r="B17" s="538" t="s">
        <v>277</v>
      </c>
      <c r="C17" s="539"/>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f>-('BS (After Changes)'!X10-'BS (After Changes)'!V10)</f>
        <v>-4.8369999999999891</v>
      </c>
      <c r="Y17" s="327">
        <f>-('BS (After Changes)'!Y10-'BS (After Changes)'!X10)</f>
        <v>-4.8853700000000231</v>
      </c>
      <c r="Z17" s="327">
        <f>-('BS (After Changes)'!Z10-'BS (After Changes)'!Y10)</f>
        <v>-4.9342237000000182</v>
      </c>
      <c r="AA17" s="327">
        <f>-('BS (After Changes)'!AA10-'BS (After Changes)'!Z10)</f>
        <v>-4.9835659369999803</v>
      </c>
      <c r="AB17" s="328">
        <f t="shared" si="20"/>
        <v>-19.640159637000011</v>
      </c>
      <c r="AC17" s="327">
        <f>-('BS (After Changes)'!AC10-'BS (After Changes)'!AA10)</f>
        <v>-5.0334015963700267</v>
      </c>
      <c r="AD17" s="327">
        <f>-('BS (After Changes)'!AD10-'BS (After Changes)'!AC10)</f>
        <v>-5.083735612333669</v>
      </c>
      <c r="AE17" s="327">
        <f>-('BS (After Changes)'!AE10-'BS (After Changes)'!AD10)</f>
        <v>-5.1345729684570642</v>
      </c>
      <c r="AF17" s="327">
        <f>-('BS (After Changes)'!AF10-'BS (After Changes)'!AE10)</f>
        <v>-5.1859186981415633</v>
      </c>
      <c r="AG17" s="328">
        <f t="shared" si="21"/>
        <v>-20.437628875302323</v>
      </c>
      <c r="AH17" s="327">
        <f>-('BS (After Changes)'!AH10-'BS (After Changes)'!AF10)</f>
        <v>-5.2377778851230232</v>
      </c>
      <c r="AI17" s="327">
        <f>-('BS (After Changes)'!AI10-'BS (After Changes)'!AH10)</f>
        <v>-5.2901556639742466</v>
      </c>
      <c r="AJ17" s="327">
        <f>-('BS (After Changes)'!AJ10-'BS (After Changes)'!AI10)</f>
        <v>-5.3430572206140141</v>
      </c>
      <c r="AK17" s="327">
        <f>-('BS (After Changes)'!AK10-'BS (After Changes)'!AJ10)</f>
        <v>-5.3964877928201531</v>
      </c>
      <c r="AL17" s="328">
        <f t="shared" si="22"/>
        <v>-21.267478562531437</v>
      </c>
      <c r="AM17" s="327">
        <f>-('BS (After Changes)'!AM10-'BS (After Changes)'!AK10)</f>
        <v>-5.450452670748291</v>
      </c>
      <c r="AN17" s="327">
        <f>-('BS (After Changes)'!AN10-'BS (After Changes)'!AM10)</f>
        <v>-5.5049571974558376</v>
      </c>
      <c r="AO17" s="327">
        <f>-('BS (After Changes)'!AO10-'BS (After Changes)'!AN10)</f>
        <v>-5.5600067694304016</v>
      </c>
      <c r="AP17" s="327">
        <f>-('BS (After Changes)'!AP10-'BS (After Changes)'!AO10)</f>
        <v>-5.6156068371246874</v>
      </c>
      <c r="AQ17" s="328">
        <f t="shared" si="23"/>
        <v>-22.131023474759218</v>
      </c>
      <c r="AR17" s="327">
        <f>-('BS (After Changes)'!AR10-'BS (After Changes)'!AP10)</f>
        <v>-5.6717629054959389</v>
      </c>
      <c r="AS17" s="327">
        <f>-('BS (After Changes)'!AS10-'BS (After Changes)'!AR10)</f>
        <v>-5.7284805345508403</v>
      </c>
      <c r="AT17" s="327">
        <f>-('BS (After Changes)'!AT10-'BS (After Changes)'!AS10)</f>
        <v>-5.785765339896443</v>
      </c>
      <c r="AU17" s="327">
        <f>-('BS (After Changes)'!AU10-'BS (After Changes)'!AT10)</f>
        <v>-5.843622993295412</v>
      </c>
      <c r="AV17" s="328">
        <f t="shared" si="24"/>
        <v>-23.029631773238634</v>
      </c>
    </row>
    <row r="18" spans="2:48" outlineLevel="1" x14ac:dyDescent="0.3">
      <c r="B18" s="538" t="s">
        <v>228</v>
      </c>
      <c r="C18" s="539"/>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f>'BS (After Changes)'!X22-'BS (After Changes)'!V22</f>
        <v>-26.915735037193144</v>
      </c>
      <c r="Y18" s="327">
        <f>'BS (After Changes)'!Y22-'BS (After Changes)'!X22</f>
        <v>3.7585430771257506</v>
      </c>
      <c r="Z18" s="327">
        <f>'BS (After Changes)'!Z22-'BS (After Changes)'!Y22</f>
        <v>251.12531647530568</v>
      </c>
      <c r="AA18" s="327">
        <f>'BS (After Changes)'!AA22-'BS (After Changes)'!Z22</f>
        <v>-83.37119802901907</v>
      </c>
      <c r="AB18" s="328">
        <f t="shared" si="20"/>
        <v>144.59692648621922</v>
      </c>
      <c r="AC18" s="327">
        <f>'BS (After Changes)'!AC22-'BS (After Changes)'!AA22</f>
        <v>-34.187273058047822</v>
      </c>
      <c r="AD18" s="327">
        <f>'BS (After Changes)'!AD22-'BS (After Changes)'!AC22</f>
        <v>-35.057848894348353</v>
      </c>
      <c r="AE18" s="327">
        <f>'BS (After Changes)'!AE22-'BS (After Changes)'!AD22</f>
        <v>240.66268242760452</v>
      </c>
      <c r="AF18" s="327">
        <f>'BS (After Changes)'!AF22-'BS (After Changes)'!AE22</f>
        <v>-47.709207913197588</v>
      </c>
      <c r="AG18" s="328">
        <f t="shared" si="21"/>
        <v>123.70835256201076</v>
      </c>
      <c r="AH18" s="327">
        <f>'BS (After Changes)'!AH22-'BS (After Changes)'!AF22</f>
        <v>7.0352236903374887</v>
      </c>
      <c r="AI18" s="327">
        <f>'BS (After Changes)'!AI22-'BS (After Changes)'!AH22</f>
        <v>-30.417945499183588</v>
      </c>
      <c r="AJ18" s="327">
        <f>'BS (After Changes)'!AJ22-'BS (After Changes)'!AI22</f>
        <v>288.98517693573763</v>
      </c>
      <c r="AK18" s="327">
        <f>'BS (After Changes)'!AK22-'BS (After Changes)'!AJ22</f>
        <v>-47.348770100975344</v>
      </c>
      <c r="AL18" s="328">
        <f t="shared" si="22"/>
        <v>218.25368502591618</v>
      </c>
      <c r="AM18" s="327">
        <f>'BS (After Changes)'!AM22-'BS (After Changes)'!AK22</f>
        <v>-47.189949186103604</v>
      </c>
      <c r="AN18" s="327">
        <f>'BS (After Changes)'!AN22-'BS (After Changes)'!AM22</f>
        <v>-53.991322440240765</v>
      </c>
      <c r="AO18" s="327">
        <f>'BS (After Changes)'!AO22-'BS (After Changes)'!AN22</f>
        <v>303.16100995828242</v>
      </c>
      <c r="AP18" s="327">
        <f>'BS (After Changes)'!AP22-'BS (After Changes)'!AO22</f>
        <v>-60.548145365938126</v>
      </c>
      <c r="AQ18" s="328">
        <f t="shared" si="23"/>
        <v>141.43159296599993</v>
      </c>
      <c r="AR18" s="327">
        <f>'BS (After Changes)'!AR22-'BS (After Changes)'!AP22</f>
        <v>-64.757359637927038</v>
      </c>
      <c r="AS18" s="327">
        <f>'BS (After Changes)'!AS22-'BS (After Changes)'!AR22</f>
        <v>-57.506848972645685</v>
      </c>
      <c r="AT18" s="327">
        <f>'BS (After Changes)'!AT22-'BS (After Changes)'!AS22</f>
        <v>312.94345779420723</v>
      </c>
      <c r="AU18" s="327">
        <f>'BS (After Changes)'!AU22-'BS (After Changes)'!AT22</f>
        <v>-56.919698783045078</v>
      </c>
      <c r="AV18" s="328">
        <f t="shared" si="24"/>
        <v>133.75955040058943</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f>+('BS (After Changes)'!X27-'BS (After Changes)'!V27)</f>
        <v>492.57000000000016</v>
      </c>
      <c r="Y19" s="327">
        <f>+('BS (After Changes)'!Y27-'BS (After Changes)'!X27)</f>
        <v>-320.17050000000017</v>
      </c>
      <c r="Z19" s="327">
        <f>+('BS (After Changes)'!Z27-'BS (After Changes)'!Y27)</f>
        <v>-18.142994999999928</v>
      </c>
      <c r="AA19" s="327">
        <f>+('BS (After Changes)'!AA27-'BS (After Changes)'!Z27)</f>
        <v>-17.96156504999999</v>
      </c>
      <c r="AB19" s="328">
        <f t="shared" si="20"/>
        <v>136.29493995000007</v>
      </c>
      <c r="AC19" s="327">
        <f>+('BS (After Changes)'!AC27-'BS (After Changes)'!AA27)</f>
        <v>533.45848198499993</v>
      </c>
      <c r="AD19" s="327">
        <f>+('BS (After Changes)'!AD27-'BS (After Changes)'!AC27)</f>
        <v>-346.74801329025013</v>
      </c>
      <c r="AE19" s="327">
        <f>+('BS (After Changes)'!AE27-'BS (After Changes)'!AD27)</f>
        <v>-19.64905408644745</v>
      </c>
      <c r="AF19" s="327">
        <f>+('BS (After Changes)'!AF27-'BS (After Changes)'!AE27)</f>
        <v>-19.452563545582962</v>
      </c>
      <c r="AG19" s="328">
        <f t="shared" si="21"/>
        <v>147.6088510627194</v>
      </c>
      <c r="AH19" s="327">
        <f>+('BS (After Changes)'!AH27-'BS (After Changes)'!AF27)</f>
        <v>577.74113730381578</v>
      </c>
      <c r="AI19" s="327">
        <f>+('BS (After Changes)'!AI27-'BS (After Changes)'!AH27)</f>
        <v>-375.53173924748035</v>
      </c>
      <c r="AJ19" s="327">
        <f>+('BS (After Changes)'!AJ27-'BS (After Changes)'!AI27)</f>
        <v>-21.280131890690427</v>
      </c>
      <c r="AK19" s="327">
        <f>+('BS (After Changes)'!AK27-'BS (After Changes)'!AJ27)</f>
        <v>-21.067330571783714</v>
      </c>
      <c r="AL19" s="328">
        <f t="shared" si="22"/>
        <v>159.86193559386129</v>
      </c>
      <c r="AM19" s="327">
        <f>+('BS (After Changes)'!AM27-'BS (After Changes)'!AK27)</f>
        <v>625.69971798197457</v>
      </c>
      <c r="AN19" s="327">
        <f>+('BS (After Changes)'!AN27-'BS (After Changes)'!AM27)</f>
        <v>-406.70481668828324</v>
      </c>
      <c r="AO19" s="327">
        <f>+('BS (After Changes)'!AO27-'BS (After Changes)'!AN27)</f>
        <v>-23.046606279002845</v>
      </c>
      <c r="AP19" s="327">
        <f>+('BS (After Changes)'!AP27-'BS (After Changes)'!AO27)</f>
        <v>-22.816140216212716</v>
      </c>
      <c r="AQ19" s="328">
        <f t="shared" si="23"/>
        <v>173.13215479847577</v>
      </c>
      <c r="AR19" s="327">
        <f>+('BS (After Changes)'!AR27-'BS (After Changes)'!AP27)</f>
        <v>677.63936442151726</v>
      </c>
      <c r="AS19" s="327">
        <f>+('BS (After Changes)'!AS27-'BS (After Changes)'!AR27)</f>
        <v>-440.46558687398601</v>
      </c>
      <c r="AT19" s="327">
        <f>+('BS (After Changes)'!AT27-'BS (After Changes)'!AS27)</f>
        <v>-24.959716589526124</v>
      </c>
      <c r="AU19" s="327">
        <f>+('BS (After Changes)'!AU27-'BS (After Changes)'!AT27)</f>
        <v>-24.710119423630658</v>
      </c>
      <c r="AV19" s="328">
        <f t="shared" si="24"/>
        <v>187.50394153437446</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f>+('BS (After Changes)'!X25-'BS (After Changes)'!V25)</f>
        <v>0</v>
      </c>
      <c r="Y20" s="327">
        <f>+('BS (After Changes)'!Y25-'BS (After Changes)'!X25)</f>
        <v>0</v>
      </c>
      <c r="Z20" s="327">
        <f>+('BS (After Changes)'!Z25-'BS (After Changes)'!Y25)</f>
        <v>0</v>
      </c>
      <c r="AA20" s="327">
        <f>+('BS (After Changes)'!AA25-'BS (After Changes)'!Z25)</f>
        <v>0</v>
      </c>
      <c r="AB20" s="328">
        <f t="shared" si="20"/>
        <v>0</v>
      </c>
      <c r="AC20" s="327">
        <f>+('BS (After Changes)'!AC25-'BS (After Changes)'!AA25)</f>
        <v>0</v>
      </c>
      <c r="AD20" s="327">
        <f>+('BS (After Changes)'!AD25-'BS (After Changes)'!AC25)</f>
        <v>0</v>
      </c>
      <c r="AE20" s="327">
        <f>+('BS (After Changes)'!AE25-'BS (After Changes)'!AD25)</f>
        <v>0</v>
      </c>
      <c r="AF20" s="327">
        <f>+('BS (After Changes)'!AF25-'BS (After Changes)'!AE25)</f>
        <v>0</v>
      </c>
      <c r="AG20" s="328">
        <f t="shared" si="21"/>
        <v>0</v>
      </c>
      <c r="AH20" s="327">
        <f>+('BS (After Changes)'!AH25-'BS (After Changes)'!AF25)</f>
        <v>0</v>
      </c>
      <c r="AI20" s="327">
        <f>+('BS (After Changes)'!AI25-'BS (After Changes)'!AH25)</f>
        <v>0</v>
      </c>
      <c r="AJ20" s="327">
        <f>+('BS (After Changes)'!AJ25-'BS (After Changes)'!AI25)</f>
        <v>0</v>
      </c>
      <c r="AK20" s="327">
        <f>+('BS (After Changes)'!AK25-'BS (After Changes)'!AJ25)</f>
        <v>0</v>
      </c>
      <c r="AL20" s="328">
        <f t="shared" si="22"/>
        <v>0</v>
      </c>
      <c r="AM20" s="327">
        <f>+('BS (After Changes)'!AM25-'BS (After Changes)'!AK25)</f>
        <v>0</v>
      </c>
      <c r="AN20" s="327">
        <f>+('BS (After Changes)'!AN25-'BS (After Changes)'!AM25)</f>
        <v>0</v>
      </c>
      <c r="AO20" s="327">
        <f>+('BS (After Changes)'!AO25-'BS (After Changes)'!AN25)</f>
        <v>0</v>
      </c>
      <c r="AP20" s="327">
        <f>+('BS (After Changes)'!AP25-'BS (After Changes)'!AO25)</f>
        <v>0</v>
      </c>
      <c r="AQ20" s="328">
        <f t="shared" si="23"/>
        <v>0</v>
      </c>
      <c r="AR20" s="327">
        <f>+('BS (After Changes)'!AR25-'BS (After Changes)'!AP25)</f>
        <v>0</v>
      </c>
      <c r="AS20" s="327">
        <f>+('BS (After Changes)'!AS25-'BS (After Changes)'!AR25)</f>
        <v>0</v>
      </c>
      <c r="AT20" s="327">
        <f>+('BS (After Changes)'!AT25-'BS (After Changes)'!AS25)</f>
        <v>0</v>
      </c>
      <c r="AU20" s="327">
        <f>+('BS (After Changes)'!AU25-'BS (After Changes)'!AT25)</f>
        <v>0</v>
      </c>
      <c r="AV20" s="328">
        <f t="shared" si="24"/>
        <v>0</v>
      </c>
    </row>
    <row r="21" spans="2:48" ht="16.2" outlineLevel="1" x14ac:dyDescent="0.45">
      <c r="B21" s="538" t="s">
        <v>279</v>
      </c>
      <c r="C21" s="539"/>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('BS (After Changes)'!X23-'BS (After Changes)'!V23)+('BS (After Changes)'!X33-'BS (After Changes)'!V33)+('BS (After Changes)'!X34-'BS (After Changes)'!V34)+('BS (After Changes)'!X26-'BS (After Changes)'!V26)+('BS (After Changes)'!X24-'BS (After Changes)'!V24)</f>
        <v>-36.381300000000238</v>
      </c>
      <c r="Y21" s="329">
        <f>('BS (After Changes)'!Y23-'BS (After Changes)'!X23)+('BS (After Changes)'!Y33-'BS (After Changes)'!X33)+('BS (After Changes)'!Y34-'BS (After Changes)'!X34)+('BS (After Changes)'!Y26-'BS (After Changes)'!X26)+('BS (After Changes)'!Y24-'BS (After Changes)'!X24)</f>
        <v>-36.204376299999922</v>
      </c>
      <c r="Z21" s="329">
        <f>('BS (After Changes)'!Z23-'BS (After Changes)'!Y23)+('BS (After Changes)'!Z33-'BS (After Changes)'!Y33)+('BS (After Changes)'!Z34-'BS (After Changes)'!Y34)+('BS (After Changes)'!Z26-'BS (After Changes)'!Y26)+('BS (After Changes)'!Z24-'BS (After Changes)'!Y24)</f>
        <v>-36.028317287300297</v>
      </c>
      <c r="AA21" s="329">
        <f>('BS (After Changes)'!AA23-'BS (After Changes)'!Z23)+('BS (After Changes)'!AA33-'BS (After Changes)'!Z33)+('BS (After Changes)'!AA34-'BS (After Changes)'!Z34)+('BS (After Changes)'!AA26-'BS (After Changes)'!Z26)+('BS (After Changes)'!AA24-'BS (After Changes)'!Z24)</f>
        <v>-35.853118718188171</v>
      </c>
      <c r="AB21" s="330">
        <f t="shared" si="20"/>
        <v>-144.46711230548863</v>
      </c>
      <c r="AC21" s="329">
        <f>('BS (After Changes)'!AC23-'BS (After Changes)'!AA23)+('BS (After Changes)'!AC33-'BS (After Changes)'!AA33)+('BS (After Changes)'!AC34-'BS (After Changes)'!AA34)+('BS (After Changes)'!AC26-'BS (After Changes)'!AA26)+('BS (After Changes)'!AC24-'BS (After Changes)'!AA24)</f>
        <v>-35.67877636985304</v>
      </c>
      <c r="AD21" s="329">
        <f>('BS (After Changes)'!AD23-'BS (After Changes)'!AC23)+('BS (After Changes)'!AD33-'BS (After Changes)'!AC33)+('BS (After Changes)'!AD34-'BS (After Changes)'!AC34)+('BS (After Changes)'!AD26-'BS (After Changes)'!AC26)+('BS (After Changes)'!AD24-'BS (After Changes)'!AC24)</f>
        <v>-35.505286040278406</v>
      </c>
      <c r="AE21" s="329">
        <f>('BS (After Changes)'!AE23-'BS (After Changes)'!AD23)+('BS (After Changes)'!AE33-'BS (After Changes)'!AD33)+('BS (After Changes)'!AE34-'BS (After Changes)'!AD34)+('BS (After Changes)'!AE26-'BS (After Changes)'!AD26)+('BS (After Changes)'!AE24-'BS (After Changes)'!AD24)</f>
        <v>-35.332643548142414</v>
      </c>
      <c r="AF21" s="329">
        <f>('BS (After Changes)'!AF23-'BS (After Changes)'!AE23)+('BS (After Changes)'!AF33-'BS (After Changes)'!AE33)+('BS (After Changes)'!AF34-'BS (After Changes)'!AE34)+('BS (After Changes)'!AF26-'BS (After Changes)'!AE26)+('BS (After Changes)'!AF24-'BS (After Changes)'!AE24)</f>
        <v>-35.16084473271485</v>
      </c>
      <c r="AG21" s="330">
        <f t="shared" si="21"/>
        <v>-141.67755069098871</v>
      </c>
      <c r="AH21" s="329">
        <f>('BS (After Changes)'!AH23-'BS (After Changes)'!AF23)+('BS (After Changes)'!AH33-'BS (After Changes)'!AF33)+('BS (After Changes)'!AH34-'BS (After Changes)'!AF34)+('BS (After Changes)'!AH26-'BS (After Changes)'!AF26)+('BS (After Changes)'!AH24-'BS (After Changes)'!AF24)</f>
        <v>-34.989885453755051</v>
      </c>
      <c r="AI21" s="329">
        <f>('BS (After Changes)'!AI23-'BS (After Changes)'!AH23)+('BS (After Changes)'!AI33-'BS (After Changes)'!AH33)+('BS (After Changes)'!AI34-'BS (After Changes)'!AH34)+('BS (After Changes)'!AI26-'BS (After Changes)'!AH26)+('BS (After Changes)'!AI24-'BS (After Changes)'!AH24)</f>
        <v>-34.819761591410725</v>
      </c>
      <c r="AJ21" s="329">
        <f>('BS (After Changes)'!AJ23-'BS (After Changes)'!AI23)+('BS (After Changes)'!AJ33-'BS (After Changes)'!AI33)+('BS (After Changes)'!AJ34-'BS (After Changes)'!AI34)+('BS (After Changes)'!AJ26-'BS (After Changes)'!AI26)+('BS (After Changes)'!AJ24-'BS (After Changes)'!AI24)</f>
        <v>-34.650469046119269</v>
      </c>
      <c r="AK21" s="329">
        <f>('BS (After Changes)'!AK23-'BS (After Changes)'!AJ23)+('BS (After Changes)'!AK33-'BS (After Changes)'!AJ33)+('BS (After Changes)'!AK34-'BS (After Changes)'!AJ34)+('BS (After Changes)'!AK26-'BS (After Changes)'!AJ26)+('BS (After Changes)'!AK24-'BS (After Changes)'!AJ24)</f>
        <v>-34.482003738503181</v>
      </c>
      <c r="AL21" s="330">
        <f t="shared" si="22"/>
        <v>-138.94211982978823</v>
      </c>
      <c r="AM21" s="329">
        <f>('BS (After Changes)'!AM23-'BS (After Changes)'!AK23)+('BS (After Changes)'!AM33-'BS (After Changes)'!AK33)+('BS (After Changes)'!AM34-'BS (After Changes)'!AK34)+('BS (After Changes)'!AM26-'BS (After Changes)'!AK26)+('BS (After Changes)'!AM24-'BS (After Changes)'!AK24)</f>
        <v>-34.314361609275011</v>
      </c>
      <c r="AN21" s="329">
        <f>('BS (After Changes)'!AN23-'BS (After Changes)'!AM23)+('BS (After Changes)'!AN33-'BS (After Changes)'!AM33)+('BS (After Changes)'!AN34-'BS (After Changes)'!AM34)+('BS (After Changes)'!AN26-'BS (After Changes)'!AM26)+('BS (After Changes)'!AN24-'BS (After Changes)'!AM24)</f>
        <v>-34.147538619135275</v>
      </c>
      <c r="AO21" s="329">
        <f>('BS (After Changes)'!AO23-'BS (After Changes)'!AN23)+('BS (After Changes)'!AO33-'BS (After Changes)'!AN33)+('BS (After Changes)'!AO34-'BS (After Changes)'!AN34)+('BS (After Changes)'!AO26-'BS (After Changes)'!AN26)+('BS (After Changes)'!AO24-'BS (After Changes)'!AN24)</f>
        <v>-33.981530748674459</v>
      </c>
      <c r="AP21" s="329">
        <f>('BS (After Changes)'!AP23-'BS (After Changes)'!AO23)+('BS (After Changes)'!AP33-'BS (After Changes)'!AO33)+('BS (After Changes)'!AP34-'BS (After Changes)'!AO34)+('BS (After Changes)'!AP26-'BS (After Changes)'!AO26)+('BS (After Changes)'!AP24-'BS (After Changes)'!AO24)</f>
        <v>-33.816333998275013</v>
      </c>
      <c r="AQ21" s="330">
        <f t="shared" si="23"/>
        <v>-136.25976497535976</v>
      </c>
      <c r="AR21" s="329">
        <f>('BS (After Changes)'!AR23-'BS (After Changes)'!AP23)+('BS (After Changes)'!AR33-'BS (After Changes)'!AP33)+('BS (After Changes)'!AR34-'BS (After Changes)'!AP34)+('BS (After Changes)'!AR26-'BS (After Changes)'!AP26)+('BS (After Changes)'!AR24-'BS (After Changes)'!AP24)</f>
        <v>-33.651944388014272</v>
      </c>
      <c r="AS21" s="329">
        <f>('BS (After Changes)'!AS23-'BS (After Changes)'!AR23)+('BS (After Changes)'!AS33-'BS (After Changes)'!AR33)+('BS (After Changes)'!AS34-'BS (After Changes)'!AR34)+('BS (After Changes)'!AS26-'BS (After Changes)'!AR26)+('BS (After Changes)'!AS24-'BS (After Changes)'!AR24)</f>
        <v>-33.488357957565995</v>
      </c>
      <c r="AT21" s="329">
        <f>('BS (After Changes)'!AT23-'BS (After Changes)'!AS23)+('BS (After Changes)'!AT33-'BS (After Changes)'!AS33)+('BS (After Changes)'!AT34-'BS (After Changes)'!AS34)+('BS (After Changes)'!AT26-'BS (After Changes)'!AS26)+('BS (After Changes)'!AT24-'BS (After Changes)'!AS24)</f>
        <v>-33.32557076610442</v>
      </c>
      <c r="AU21" s="329">
        <f>('BS (After Changes)'!AU23-'BS (After Changes)'!AT23)+('BS (After Changes)'!AU33-'BS (After Changes)'!AT33)+('BS (After Changes)'!AU34-'BS (After Changes)'!AT34)+('BS (After Changes)'!AU26-'BS (After Changes)'!AT26)+('BS (After Changes)'!AU24-'BS (After Changes)'!AT24)</f>
        <v>-33.16357889220626</v>
      </c>
      <c r="AV21" s="330">
        <f t="shared" si="24"/>
        <v>-133.62945200389095</v>
      </c>
    </row>
    <row r="22" spans="2:48" outlineLevel="1" x14ac:dyDescent="0.3">
      <c r="B22" s="540" t="s">
        <v>280</v>
      </c>
      <c r="C22" s="541"/>
      <c r="D22" s="331">
        <f t="shared" ref="D22:AV22" si="26">D6+SUM(D7:D21)</f>
        <v>2379.0000000000005</v>
      </c>
      <c r="E22" s="331">
        <f t="shared" si="26"/>
        <v>390.39999999999969</v>
      </c>
      <c r="F22" s="331">
        <f t="shared" si="26"/>
        <v>1169.400000000001</v>
      </c>
      <c r="G22" s="331">
        <f t="shared" si="26"/>
        <v>1108.1000000000008</v>
      </c>
      <c r="H22" s="332">
        <f t="shared" si="26"/>
        <v>5046.9000000000051</v>
      </c>
      <c r="I22" s="331">
        <f t="shared" si="26"/>
        <v>1836.0999999999985</v>
      </c>
      <c r="J22" s="331">
        <f t="shared" si="26"/>
        <v>-1361.3000000000009</v>
      </c>
      <c r="K22" s="331">
        <f t="shared" si="26"/>
        <v>-367.69999999999925</v>
      </c>
      <c r="L22" s="331">
        <f t="shared" si="26"/>
        <v>1490.7000000000014</v>
      </c>
      <c r="M22" s="332">
        <f t="shared" si="26"/>
        <v>1597.8000000000043</v>
      </c>
      <c r="N22" s="331">
        <f t="shared" si="26"/>
        <v>1835.7000000000003</v>
      </c>
      <c r="O22" s="331">
        <f t="shared" si="26"/>
        <v>883.80000000000018</v>
      </c>
      <c r="P22" s="331">
        <f t="shared" si="26"/>
        <v>1748.9999999999991</v>
      </c>
      <c r="Q22" s="331">
        <f t="shared" si="26"/>
        <v>1520.6999999999996</v>
      </c>
      <c r="R22" s="332">
        <f t="shared" si="26"/>
        <v>5989.199999999998</v>
      </c>
      <c r="S22" s="331">
        <f t="shared" si="26"/>
        <v>1870.8999999999999</v>
      </c>
      <c r="T22" s="331">
        <f t="shared" si="26"/>
        <v>161.9000000000002</v>
      </c>
      <c r="U22" s="331">
        <f t="shared" si="26"/>
        <v>1264.7999999999993</v>
      </c>
      <c r="V22" s="331">
        <f t="shared" si="26"/>
        <v>1099.599999999999</v>
      </c>
      <c r="W22" s="332">
        <f>W6+SUM(W7:W21)</f>
        <v>4397.1999999999989</v>
      </c>
      <c r="X22" s="331">
        <f t="shared" si="26"/>
        <v>2027.5735394719313</v>
      </c>
      <c r="Y22" s="331">
        <f t="shared" si="26"/>
        <v>724.91969536692682</v>
      </c>
      <c r="Z22" s="331">
        <f t="shared" si="26"/>
        <v>1101.5951945514871</v>
      </c>
      <c r="AA22" s="331">
        <f t="shared" si="26"/>
        <v>1791.1500024932157</v>
      </c>
      <c r="AB22" s="332">
        <f t="shared" si="26"/>
        <v>5645.2384318835602</v>
      </c>
      <c r="AC22" s="331">
        <f t="shared" si="26"/>
        <v>2283.6610757878198</v>
      </c>
      <c r="AD22" s="331">
        <f t="shared" si="26"/>
        <v>1102.3544426858521</v>
      </c>
      <c r="AE22" s="331">
        <f t="shared" si="26"/>
        <v>1589.6549870908277</v>
      </c>
      <c r="AF22" s="331">
        <f t="shared" si="26"/>
        <v>1929.7922291785785</v>
      </c>
      <c r="AG22" s="332">
        <f t="shared" si="26"/>
        <v>6905.4627347430778</v>
      </c>
      <c r="AH22" s="331">
        <f t="shared" si="26"/>
        <v>2522.7828131716219</v>
      </c>
      <c r="AI22" s="331">
        <f t="shared" si="26"/>
        <v>1265.5767019373463</v>
      </c>
      <c r="AJ22" s="331">
        <f t="shared" si="26"/>
        <v>1793.4455910204383</v>
      </c>
      <c r="AK22" s="331">
        <f t="shared" si="26"/>
        <v>2172.9898078264678</v>
      </c>
      <c r="AL22" s="332">
        <f t="shared" si="26"/>
        <v>7754.7949139558732</v>
      </c>
      <c r="AM22" s="331">
        <f t="shared" si="26"/>
        <v>2880.9526841547377</v>
      </c>
      <c r="AN22" s="331">
        <f t="shared" si="26"/>
        <v>1373.9308776557866</v>
      </c>
      <c r="AO22" s="331">
        <f t="shared" si="26"/>
        <v>1915.627442671906</v>
      </c>
      <c r="AP22" s="331">
        <f t="shared" si="26"/>
        <v>2449.8764892943832</v>
      </c>
      <c r="AQ22" s="332">
        <f t="shared" si="26"/>
        <v>8620.3874937768142</v>
      </c>
      <c r="AR22" s="331">
        <f t="shared" si="26"/>
        <v>3088.5076050473508</v>
      </c>
      <c r="AS22" s="331">
        <f t="shared" si="26"/>
        <v>1502.5480753620268</v>
      </c>
      <c r="AT22" s="331">
        <f t="shared" si="26"/>
        <v>2116.1968384162769</v>
      </c>
      <c r="AU22" s="331">
        <f t="shared" si="26"/>
        <v>2577.222347130089</v>
      </c>
      <c r="AV22" s="332">
        <f t="shared" si="26"/>
        <v>9284.4748659557426</v>
      </c>
    </row>
    <row r="23" spans="2:48" outlineLevel="1" x14ac:dyDescent="0.3">
      <c r="B23" s="506" t="s">
        <v>281</v>
      </c>
      <c r="C23" s="507"/>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6">
        <f>-('BS (After Changes)'!X7-'BS (After Changes)'!V7)-('BS (After Changes)'!X12-'BS (After Changes)'!V12)</f>
        <v>197.56475368283517</v>
      </c>
      <c r="Y24" s="16">
        <f>-('BS (After Changes)'!Y7-'BS (After Changes)'!X7)-('BS (After Changes)'!Y12-'BS (After Changes)'!X12)</f>
        <v>-13.215532955974794</v>
      </c>
      <c r="Z24" s="16">
        <f>-('BS (After Changes)'!Z7-'BS (After Changes)'!Y7)-('BS (After Changes)'!Z12-'BS (After Changes)'!Y12)</f>
        <v>-36.478472882785439</v>
      </c>
      <c r="AA24" s="16">
        <f>-('BS (After Changes)'!AA7-'BS (After Changes)'!Z7)-('BS (After Changes)'!AA12-'BS (After Changes)'!Z12)</f>
        <v>-34.109763640971551</v>
      </c>
      <c r="AB24" s="17">
        <f>SUM(X24:AA24)</f>
        <v>113.76098420310339</v>
      </c>
      <c r="AC24" s="16">
        <f>-('BS (After Changes)'!AC7-'BS (After Changes)'!AA7)-('BS (After Changes)'!AC12-'BS (After Changes)'!AA12)</f>
        <v>20.02724235915278</v>
      </c>
      <c r="AD24" s="16">
        <f>-('BS (After Changes)'!AD7-'BS (After Changes)'!AC7)-('BS (After Changes)'!AD12-'BS (After Changes)'!AC12)</f>
        <v>-8.9369704951149913</v>
      </c>
      <c r="AE24" s="16">
        <f>-('BS (After Changes)'!AE7-'BS (After Changes)'!AD7)-('BS (After Changes)'!AE12-'BS (After Changes)'!AD12)</f>
        <v>-20.662893227485455</v>
      </c>
      <c r="AF24" s="16">
        <f>-('BS (After Changes)'!AF7-'BS (After Changes)'!AE7)-('BS (After Changes)'!AF12-'BS (After Changes)'!AE12)</f>
        <v>-12.051071483791162</v>
      </c>
      <c r="AG24" s="17">
        <f>SUM(AC24:AF24)</f>
        <v>-21.623692847238829</v>
      </c>
      <c r="AH24" s="16">
        <f>-('BS (After Changes)'!AH7-'BS (After Changes)'!AF7)-('BS (After Changes)'!AH12-'BS (After Changes)'!AF12)</f>
        <v>-14.725170308259351</v>
      </c>
      <c r="AI24" s="16">
        <f>-('BS (After Changes)'!AI7-'BS (After Changes)'!AH7)-('BS (After Changes)'!AI12-'BS (After Changes)'!AH12)</f>
        <v>-4.102987960613774</v>
      </c>
      <c r="AJ24" s="16">
        <f>-('BS (After Changes)'!AJ7-'BS (After Changes)'!AI7)-('BS (After Changes)'!AJ12-'BS (After Changes)'!AI12)</f>
        <v>-24.1585463371201</v>
      </c>
      <c r="AK24" s="16">
        <f>-('BS (After Changes)'!AK7-'BS (After Changes)'!AJ7)-('BS (After Changes)'!AK12-'BS (After Changes)'!AJ12)</f>
        <v>79.295214541560114</v>
      </c>
      <c r="AL24" s="17">
        <f>SUM(AH24:AK24)</f>
        <v>36.308509935566889</v>
      </c>
      <c r="AM24" s="16">
        <f>-('BS (After Changes)'!AM7-'BS (After Changes)'!AK7)-('BS (After Changes)'!AM12-'BS (After Changes)'!AK12)</f>
        <v>-18.881641258197561</v>
      </c>
      <c r="AN24" s="16">
        <f>-('BS (After Changes)'!AN7-'BS (After Changes)'!AM7)-('BS (After Changes)'!AN12-'BS (After Changes)'!AM12)</f>
        <v>0.58176334842568167</v>
      </c>
      <c r="AO24" s="16">
        <f>-('BS (After Changes)'!AO7-'BS (After Changes)'!AN7)-('BS (After Changes)'!AO12-'BS (After Changes)'!AN12)</f>
        <v>-19.085667865899467</v>
      </c>
      <c r="AP24" s="16">
        <f>-('BS (After Changes)'!AP7-'BS (After Changes)'!AO7)-('BS (After Changes)'!AP12-'BS (After Changes)'!AO12)</f>
        <v>-11.64569984888081</v>
      </c>
      <c r="AQ24" s="17">
        <f>SUM(AM24:AP24)</f>
        <v>-49.031245624552156</v>
      </c>
      <c r="AR24" s="16">
        <f>-('BS (After Changes)'!AR7-'BS (After Changes)'!AP7)-('BS (After Changes)'!AR12-'BS (After Changes)'!AP12)</f>
        <v>-22.438323679832649</v>
      </c>
      <c r="AS24" s="16">
        <f>-('BS (After Changes)'!AS7-'BS (After Changes)'!AR7)-('BS (After Changes)'!AS12-'BS (After Changes)'!AR12)</f>
        <v>-0.45392492661324013</v>
      </c>
      <c r="AT24" s="16">
        <f>-('BS (After Changes)'!AT7-'BS (After Changes)'!AS7)-('BS (After Changes)'!AT12-'BS (After Changes)'!AS12)</f>
        <v>-21.237072332199489</v>
      </c>
      <c r="AU24" s="16">
        <f>-('BS (After Changes)'!AU7-'BS (After Changes)'!AT7)-('BS (After Changes)'!AU12-'BS (After Changes)'!AT12)</f>
        <v>-13.700049057909069</v>
      </c>
      <c r="AV24" s="17">
        <f>SUM(AR24:AU24)</f>
        <v>-57.829369996554448</v>
      </c>
    </row>
    <row r="25" spans="2:48" outlineLevel="1" x14ac:dyDescent="0.3">
      <c r="B25" s="486" t="s">
        <v>283</v>
      </c>
      <c r="C25" s="487"/>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6">
        <f>-'IS (After Changes)'!X8*X56</f>
        <v>-608.39269158507182</v>
      </c>
      <c r="Y25" s="16">
        <f>-'IS (After Changes)'!Y8*Y56</f>
        <v>-588.96865155446835</v>
      </c>
      <c r="Z25" s="16">
        <f>-'IS (After Changes)'!Z8*Z56</f>
        <v>-652.89658529665007</v>
      </c>
      <c r="AA25" s="16">
        <f>-'IS (After Changes)'!AA8*AA56</f>
        <v>-673.78645689705149</v>
      </c>
      <c r="AB25" s="418">
        <f>SUM(X25:AA25)</f>
        <v>-2524.0443853332417</v>
      </c>
      <c r="AC25" s="16">
        <f>-'IS (After Changes)'!AC8*AC56</f>
        <v>-682.76038186745859</v>
      </c>
      <c r="AD25" s="16">
        <f>-'IS (After Changes)'!AD8*AD56</f>
        <v>-645.45097603644831</v>
      </c>
      <c r="AE25" s="16">
        <f>-'IS (After Changes)'!AE8*AE56</f>
        <v>-715.98073200993986</v>
      </c>
      <c r="AF25" s="16">
        <f>-'IS (After Changes)'!AF8*AF56</f>
        <v>-740.42952658713318</v>
      </c>
      <c r="AG25" s="418">
        <f>SUM(AC25:AF25)</f>
        <v>-2784.6216165009801</v>
      </c>
      <c r="AH25" s="16">
        <f>-'IS (After Changes)'!AH8*AH56</f>
        <v>-684.71816415557385</v>
      </c>
      <c r="AI25" s="16">
        <f>-'IS (After Changes)'!AI8*AI56</f>
        <v>-646.83464798590171</v>
      </c>
      <c r="AJ25" s="16">
        <f>-'IS (After Changes)'!AJ8*AJ56</f>
        <v>-717.89526191497521</v>
      </c>
      <c r="AK25" s="16">
        <f>-'IS (After Changes)'!AK8*AK56</f>
        <v>-743.52963929339285</v>
      </c>
      <c r="AL25" s="418">
        <f>SUM(AH25:AK25)</f>
        <v>-2792.9777133498433</v>
      </c>
      <c r="AM25" s="16">
        <f>-'IS (After Changes)'!AM8*AM56</f>
        <v>-752.95359630730024</v>
      </c>
      <c r="AN25" s="16">
        <f>-'IS (After Changes)'!AN8*AN56</f>
        <v>-707.75307037918139</v>
      </c>
      <c r="AO25" s="16">
        <f>-'IS (After Changes)'!AO8*AO56</f>
        <v>-782.64558189642253</v>
      </c>
      <c r="AP25" s="16">
        <f>-'IS (After Changes)'!AP8*AP56</f>
        <v>-807.94313488921853</v>
      </c>
      <c r="AQ25" s="17">
        <f>SUM(AM25:AP25)</f>
        <v>-3051.2953834721229</v>
      </c>
      <c r="AR25" s="16">
        <f>-'IS (After Changes)'!AR8*AR56</f>
        <v>-801.77852989029782</v>
      </c>
      <c r="AS25" s="16">
        <f>-'IS (After Changes)'!AS8*AS56</f>
        <v>-753.11106644193251</v>
      </c>
      <c r="AT25" s="16">
        <f>-'IS (After Changes)'!AT8*AT56</f>
        <v>-832.64112479883897</v>
      </c>
      <c r="AU25" s="16">
        <f>-'IS (After Changes)'!AU8*AU56</f>
        <v>-859.48875733165664</v>
      </c>
      <c r="AV25" s="17">
        <f>SUM(AR25:AU25)</f>
        <v>-3247.0194784627256</v>
      </c>
    </row>
    <row r="26" spans="2:48" ht="16.2" outlineLevel="1" x14ac:dyDescent="0.45">
      <c r="B26" s="486" t="s">
        <v>284</v>
      </c>
      <c r="C26" s="487"/>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260">
        <f>-('BS (After Changes)'!X13-'BS (After Changes)'!V13)-('BS (After Changes)'!X17-'BS (After Changes)'!V17)-('BS (After Changes)'!X15-'BS (After Changes)'!V15)+('BS (After Changes)'!X32-'BS (After Changes)'!V32)-('BS (After Changes)'!X18-'BS (After Changes)'!V18)-('BS (After Changes)'!X19-'BS (After Changes)'!V19)</f>
        <v>0.6336168619149305</v>
      </c>
      <c r="Y26" s="260">
        <f>-('BS (After Changes)'!Y13-'BS (After Changes)'!X13)-('BS (After Changes)'!Y17-'BS (After Changes)'!X17)-('BS (After Changes)'!Y15-'BS (After Changes)'!X15)+('BS (After Changes)'!Y32-'BS (After Changes)'!X32)-('BS (After Changes)'!Y18-'BS (After Changes)'!X18)-('BS (After Changes)'!Y19-'BS (After Changes)'!X19)</f>
        <v>16.015963274645486</v>
      </c>
      <c r="Z26" s="260">
        <f>-('BS (After Changes)'!Z13-'BS (After Changes)'!Y13)-('BS (After Changes)'!Z17-'BS (After Changes)'!Y17)-('BS (After Changes)'!Z15-'BS (After Changes)'!Y15)+('BS (After Changes)'!Z32-'BS (After Changes)'!Y32)-('BS (After Changes)'!Z18-'BS (After Changes)'!Y18)-('BS (After Changes)'!Z19-'BS (After Changes)'!Y19)</f>
        <v>-1.5971506966311892</v>
      </c>
      <c r="AA26" s="260">
        <f>-('BS (After Changes)'!AA13-'BS (After Changes)'!Z13)-('BS (After Changes)'!AA17-'BS (After Changes)'!Z17)-('BS (After Changes)'!AA15-'BS (After Changes)'!Z15)+('BS (After Changes)'!AA32-'BS (After Changes)'!Z32)-('BS (After Changes)'!AA18-'BS (After Changes)'!Z18)-('BS (After Changes)'!AA19-'BS (After Changes)'!Z19)</f>
        <v>4.8766414540207279</v>
      </c>
      <c r="AB26" s="261">
        <f>SUM(X26:AA26)</f>
        <v>19.929070893949955</v>
      </c>
      <c r="AC26" s="260">
        <f>-('BS (After Changes)'!AC13-'BS (After Changes)'!AA13)-('BS (After Changes)'!AC17-'BS (After Changes)'!AA17)-('BS (After Changes)'!AC15-'BS (After Changes)'!AA15)+('BS (After Changes)'!AC32-'BS (After Changes)'!AA32)-('BS (After Changes)'!AC18-'BS (After Changes)'!AA18)-('BS (After Changes)'!AC19-'BS (After Changes)'!AA19)</f>
        <v>-10.280730824498903</v>
      </c>
      <c r="AD26" s="260">
        <f>-('BS (After Changes)'!AD13-'BS (After Changes)'!AC13)-('BS (After Changes)'!AD17-'BS (After Changes)'!AC17)-('BS (After Changes)'!AD15-'BS (After Changes)'!AC15)+('BS (After Changes)'!AD32-'BS (After Changes)'!AC32)-('BS (After Changes)'!AD18-'BS (After Changes)'!AC18)-('BS (After Changes)'!AD19-'BS (After Changes)'!AC19)</f>
        <v>9.2853055875474126</v>
      </c>
      <c r="AE26" s="260">
        <f>-('BS (After Changes)'!AE13-'BS (After Changes)'!AD13)-('BS (After Changes)'!AE17-'BS (After Changes)'!AD17)-('BS (After Changes)'!AE15-'BS (After Changes)'!AD15)+('BS (After Changes)'!AE32-'BS (After Changes)'!AD32)-('BS (After Changes)'!AE18-'BS (After Changes)'!AD18)-('BS (After Changes)'!AE19-'BS (After Changes)'!AD19)</f>
        <v>-7.3237809259083519</v>
      </c>
      <c r="AF26" s="260">
        <f>-('BS (After Changes)'!AF13-'BS (After Changes)'!AE13)-('BS (After Changes)'!AF17-'BS (After Changes)'!AE17)-('BS (After Changes)'!AF15-'BS (After Changes)'!AE15)+('BS (After Changes)'!AF32-'BS (After Changes)'!AE32)-('BS (After Changes)'!AF18-'BS (After Changes)'!AE18)-('BS (After Changes)'!AF19-'BS (After Changes)'!AE19)</f>
        <v>-3.7171740205524912</v>
      </c>
      <c r="AG26" s="261">
        <f>SUM(AC26:AF26)</f>
        <v>-12.036380183412334</v>
      </c>
      <c r="AH26" s="260">
        <f>-('BS (After Changes)'!AH13-'BS (After Changes)'!AF13)-('BS (After Changes)'!AH17-'BS (After Changes)'!AF17)-('BS (After Changes)'!AH15-'BS (After Changes)'!AF15)+('BS (After Changes)'!AH32-'BS (After Changes)'!AF32)-('BS (After Changes)'!AH18-'BS (After Changes)'!AF18)-('BS (After Changes)'!AH19-'BS (After Changes)'!AF19)</f>
        <v>-16.18813946096985</v>
      </c>
      <c r="AI26" s="260">
        <f>-('BS (After Changes)'!AI13-'BS (After Changes)'!AH13)-('BS (After Changes)'!AI17-'BS (After Changes)'!AH17)-('BS (After Changes)'!AI15-'BS (After Changes)'!AH15)+('BS (After Changes)'!AI32-'BS (After Changes)'!AH32)-('BS (After Changes)'!AI18-'BS (After Changes)'!AH18)-('BS (After Changes)'!AI19-'BS (After Changes)'!AH19)</f>
        <v>6.047339726051149</v>
      </c>
      <c r="AJ26" s="260">
        <f>-('BS (After Changes)'!AJ13-'BS (After Changes)'!AI13)-('BS (After Changes)'!AJ17-'BS (After Changes)'!AI17)-('BS (After Changes)'!AJ15-'BS (After Changes)'!AI15)+('BS (After Changes)'!AJ32-'BS (After Changes)'!AI32)-('BS (After Changes)'!AJ18-'BS (After Changes)'!AI18)-('BS (After Changes)'!AJ19-'BS (After Changes)'!AI19)</f>
        <v>-19.585289670516644</v>
      </c>
      <c r="AK26" s="260">
        <f>-('BS (After Changes)'!AK13-'BS (After Changes)'!AJ13)-('BS (After Changes)'!AK17-'BS (After Changes)'!AJ17)-('BS (After Changes)'!AK15-'BS (After Changes)'!AJ15)+('BS (After Changes)'!AK32-'BS (After Changes)'!AJ32)-('BS (After Changes)'!AK18-'BS (After Changes)'!AJ18)-('BS (After Changes)'!AK19-'BS (After Changes)'!AJ19)</f>
        <v>98.658977589178164</v>
      </c>
      <c r="AL26" s="261">
        <f>SUM(AH26:AK26)</f>
        <v>68.932888183742818</v>
      </c>
      <c r="AM26" s="260">
        <f>-('BS (After Changes)'!AM13-'BS (After Changes)'!AK13)-('BS (After Changes)'!AM17-'BS (After Changes)'!AK17)-('BS (After Changes)'!AM15-'BS (After Changes)'!AK15)+('BS (After Changes)'!AM32-'BS (After Changes)'!AK32)-('BS (After Changes)'!AM18-'BS (After Changes)'!AK18)-('BS (After Changes)'!AM19-'BS (After Changes)'!AK19)</f>
        <v>-16.384467699616664</v>
      </c>
      <c r="AN26" s="260">
        <f>-('BS (After Changes)'!AN13-'BS (After Changes)'!AM13)-('BS (After Changes)'!AN17-'BS (After Changes)'!AM17)-('BS (After Changes)'!AN15-'BS (After Changes)'!AM15)+('BS (After Changes)'!AN32-'BS (After Changes)'!AM32)-('BS (After Changes)'!AN18-'BS (After Changes)'!AM18)-('BS (After Changes)'!AN19-'BS (After Changes)'!AM19)</f>
        <v>7.4330516497907553</v>
      </c>
      <c r="AO26" s="260">
        <f>-('BS (After Changes)'!AO13-'BS (After Changes)'!AN13)-('BS (After Changes)'!AO17-'BS (After Changes)'!AN17)-('BS (After Changes)'!AO15-'BS (After Changes)'!AN15)+('BS (After Changes)'!AO32-'BS (After Changes)'!AN32)-('BS (After Changes)'!AO18-'BS (After Changes)'!AN18)-('BS (After Changes)'!AO19-'BS (After Changes)'!AN19)</f>
        <v>-16.351177870846911</v>
      </c>
      <c r="AP26" s="260">
        <f>-('BS (After Changes)'!AP13-'BS (After Changes)'!AO13)-('BS (After Changes)'!AP17-'BS (After Changes)'!AO17)-('BS (After Changes)'!AP15-'BS (After Changes)'!AO15)+('BS (After Changes)'!AP32-'BS (After Changes)'!AO32)-('BS (After Changes)'!AP18-'BS (After Changes)'!AO18)-('BS (After Changes)'!AP19-'BS (After Changes)'!AO19)</f>
        <v>-8.2685011025618778</v>
      </c>
      <c r="AQ26" s="261">
        <f>SUM(AM26:AP26)</f>
        <v>-33.571095023234697</v>
      </c>
      <c r="AR26" s="260">
        <f>-('BS (After Changes)'!AR13-'BS (After Changes)'!AP13)-('BS (After Changes)'!AR17-'BS (After Changes)'!AP17)-('BS (After Changes)'!AR15-'BS (After Changes)'!AP15)+('BS (After Changes)'!AR32-'BS (After Changes)'!AP32)-('BS (After Changes)'!AR18-'BS (After Changes)'!AP18)-('BS (After Changes)'!AR19-'BS (After Changes)'!AP19)</f>
        <v>-21.05494457400799</v>
      </c>
      <c r="AS26" s="260">
        <f>-('BS (After Changes)'!AS13-'BS (After Changes)'!AR13)-('BS (After Changes)'!AS17-'BS (After Changes)'!AR17)-('BS (After Changes)'!AS15-'BS (After Changes)'!AR15)+('BS (After Changes)'!AS32-'BS (After Changes)'!AR32)-('BS (After Changes)'!AS18-'BS (After Changes)'!AR18)-('BS (After Changes)'!AS19-'BS (After Changes)'!AR19)</f>
        <v>4.4961384007130647</v>
      </c>
      <c r="AT26" s="260">
        <f>-('BS (After Changes)'!AT13-'BS (After Changes)'!AS13)-('BS (After Changes)'!AT17-'BS (After Changes)'!AS17)-('BS (After Changes)'!AT15-'BS (After Changes)'!AS15)+('BS (After Changes)'!AT32-'BS (After Changes)'!AS32)-('BS (After Changes)'!AT18-'BS (After Changes)'!AS18)-('BS (After Changes)'!AT19-'BS (After Changes)'!AS19)</f>
        <v>-20.090965131950515</v>
      </c>
      <c r="AU26" s="260">
        <f>-('BS (After Changes)'!AU13-'BS (After Changes)'!AT13)-('BS (After Changes)'!AU17-'BS (After Changes)'!AT17)-('BS (After Changes)'!AU15-'BS (After Changes)'!AT15)+('BS (After Changes)'!AU32-'BS (After Changes)'!AT32)-('BS (After Changes)'!AU18-'BS (After Changes)'!AT18)-('BS (After Changes)'!AU19-'BS (After Changes)'!AT19)</f>
        <v>-11.575426287887133</v>
      </c>
      <c r="AV26" s="261">
        <f>SUM(AR26:AU26)</f>
        <v>-48.22519759313257</v>
      </c>
    </row>
    <row r="27" spans="2:48" outlineLevel="1" x14ac:dyDescent="0.3">
      <c r="B27" s="500" t="s">
        <v>285</v>
      </c>
      <c r="C27" s="501"/>
      <c r="D27" s="21">
        <f t="shared" ref="D27:AV27" si="27">SUM(D24:D26)</f>
        <v>-510.4</v>
      </c>
      <c r="E27" s="21">
        <f t="shared" si="27"/>
        <v>-200.60000000000002</v>
      </c>
      <c r="F27" s="21">
        <f t="shared" si="27"/>
        <v>204.5</v>
      </c>
      <c r="G27" s="21">
        <f t="shared" si="27"/>
        <v>-504.30000000000007</v>
      </c>
      <c r="H27" s="22">
        <f t="shared" si="27"/>
        <v>-1010.8</v>
      </c>
      <c r="I27" s="21">
        <f t="shared" si="27"/>
        <v>-386.3</v>
      </c>
      <c r="J27" s="21">
        <f t="shared" si="27"/>
        <v>-361.59999999999997</v>
      </c>
      <c r="K27" s="21">
        <f t="shared" si="27"/>
        <v>-583.80000000000007</v>
      </c>
      <c r="L27" s="21">
        <f t="shared" si="27"/>
        <v>-379.79999999999978</v>
      </c>
      <c r="M27" s="22">
        <f t="shared" si="27"/>
        <v>-1711.5</v>
      </c>
      <c r="N27" s="21">
        <f t="shared" si="27"/>
        <v>-272.5</v>
      </c>
      <c r="O27" s="21">
        <f t="shared" si="27"/>
        <v>-306.5</v>
      </c>
      <c r="P27" s="21">
        <f t="shared" si="27"/>
        <v>-407.2</v>
      </c>
      <c r="Q27" s="21">
        <f t="shared" si="27"/>
        <v>666.70000000000016</v>
      </c>
      <c r="R27" s="22">
        <f t="shared" si="27"/>
        <v>-319.49999999999977</v>
      </c>
      <c r="S27" s="21">
        <f t="shared" si="27"/>
        <v>-401</v>
      </c>
      <c r="T27" s="21">
        <f t="shared" si="27"/>
        <v>-479.89999999999992</v>
      </c>
      <c r="U27" s="21">
        <f t="shared" si="27"/>
        <v>-495.4000000000002</v>
      </c>
      <c r="V27" s="21">
        <f t="shared" si="27"/>
        <v>-769.99999999999977</v>
      </c>
      <c r="W27" s="22">
        <f t="shared" si="27"/>
        <v>-2146.2999999999997</v>
      </c>
      <c r="X27" s="21">
        <f t="shared" si="27"/>
        <v>-410.19432104032171</v>
      </c>
      <c r="Y27" s="21">
        <f t="shared" si="27"/>
        <v>-586.16822123579766</v>
      </c>
      <c r="Z27" s="21">
        <f t="shared" si="27"/>
        <v>-690.9722088760667</v>
      </c>
      <c r="AA27" s="21">
        <f t="shared" si="27"/>
        <v>-703.01957908400232</v>
      </c>
      <c r="AB27" s="22">
        <f t="shared" si="27"/>
        <v>-2390.3543302361886</v>
      </c>
      <c r="AC27" s="21">
        <f t="shared" si="27"/>
        <v>-673.0138703328048</v>
      </c>
      <c r="AD27" s="21">
        <f t="shared" si="27"/>
        <v>-645.10264094401589</v>
      </c>
      <c r="AE27" s="21">
        <f t="shared" si="27"/>
        <v>-743.96740616333364</v>
      </c>
      <c r="AF27" s="21">
        <f t="shared" si="27"/>
        <v>-756.19777209147685</v>
      </c>
      <c r="AG27" s="22">
        <f t="shared" si="27"/>
        <v>-2818.2816895316314</v>
      </c>
      <c r="AH27" s="21">
        <f t="shared" si="27"/>
        <v>-715.63147392480312</v>
      </c>
      <c r="AI27" s="21">
        <f t="shared" si="27"/>
        <v>-644.89029622046428</v>
      </c>
      <c r="AJ27" s="21">
        <f t="shared" si="27"/>
        <v>-761.639097922612</v>
      </c>
      <c r="AK27" s="21">
        <f t="shared" si="27"/>
        <v>-565.57544716265465</v>
      </c>
      <c r="AL27" s="22">
        <f t="shared" si="27"/>
        <v>-2687.7363152305338</v>
      </c>
      <c r="AM27" s="21">
        <f t="shared" si="27"/>
        <v>-788.2197052651145</v>
      </c>
      <c r="AN27" s="21">
        <f t="shared" si="27"/>
        <v>-699.73825538096503</v>
      </c>
      <c r="AO27" s="21">
        <f t="shared" si="27"/>
        <v>-818.08242763316889</v>
      </c>
      <c r="AP27" s="21">
        <f t="shared" si="27"/>
        <v>-827.85733584066122</v>
      </c>
      <c r="AQ27" s="22">
        <f t="shared" si="27"/>
        <v>-3133.8977241199095</v>
      </c>
      <c r="AR27" s="21">
        <f t="shared" si="27"/>
        <v>-845.27179814413853</v>
      </c>
      <c r="AS27" s="21">
        <f t="shared" si="27"/>
        <v>-749.06885296783264</v>
      </c>
      <c r="AT27" s="21">
        <f t="shared" si="27"/>
        <v>-873.9691622629889</v>
      </c>
      <c r="AU27" s="21">
        <f t="shared" si="27"/>
        <v>-884.76423267745281</v>
      </c>
      <c r="AV27" s="22">
        <f t="shared" si="27"/>
        <v>-3353.0740460524125</v>
      </c>
    </row>
    <row r="28" spans="2:48" outlineLevel="1" x14ac:dyDescent="0.3">
      <c r="B28" s="542" t="s">
        <v>286</v>
      </c>
      <c r="C28" s="543"/>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538" t="s">
        <v>263</v>
      </c>
      <c r="C29" s="539"/>
      <c r="D29" s="327">
        <v>0</v>
      </c>
      <c r="E29" s="327">
        <f>-D29</f>
        <v>0</v>
      </c>
      <c r="F29" s="327">
        <f>1996-350-E29-D29</f>
        <v>1646</v>
      </c>
      <c r="G29" s="327">
        <f>1996-F29-E29-D29</f>
        <v>350</v>
      </c>
      <c r="H29" s="328">
        <f t="shared" ref="H29:H36" si="28">SUM(D29:G29)</f>
        <v>1996</v>
      </c>
      <c r="I29" s="327">
        <v>0</v>
      </c>
      <c r="J29" s="327">
        <f>1739.7-I29</f>
        <v>1739.7</v>
      </c>
      <c r="K29" s="327">
        <f>1157.2+4727.6-J29-I29</f>
        <v>4145.1000000000004</v>
      </c>
      <c r="L29" s="327">
        <f>1406.6-K29-J29-I29</f>
        <v>-4478.2000000000007</v>
      </c>
      <c r="M29" s="328">
        <f t="shared" ref="M29:M36" si="29">SUM(I29:L29)</f>
        <v>1406.5999999999995</v>
      </c>
      <c r="N29" s="327">
        <v>192.9</v>
      </c>
      <c r="O29" s="327">
        <f>203.3-N29</f>
        <v>10.400000000000006</v>
      </c>
      <c r="P29" s="327">
        <f>215.6-O29-N29</f>
        <v>12.299999999999983</v>
      </c>
      <c r="Q29" s="327">
        <f>-296.5-P29-O29-N29</f>
        <v>-512.09999999999991</v>
      </c>
      <c r="R29" s="328">
        <f t="shared" ref="R29:R36" si="30">SUM(N29:Q29)</f>
        <v>-296.49999999999989</v>
      </c>
      <c r="S29" s="327">
        <v>200</v>
      </c>
      <c r="T29" s="327">
        <f>17.4+1498.1-S29</f>
        <v>1315.5</v>
      </c>
      <c r="U29" s="327">
        <f>200+38.9+1498.1-T29-S29</f>
        <v>221.5</v>
      </c>
      <c r="V29" s="327">
        <f>36.6-36.6+1498.1-1000-U29-T29-S29</f>
        <v>-1238.9000000000001</v>
      </c>
      <c r="W29" s="328">
        <f t="shared" ref="W29:W36" si="31">SUM(S29:V29)</f>
        <v>498.09999999999991</v>
      </c>
      <c r="X29" s="327">
        <f>+('BS (After Changes)'!X28-'BS (After Changes)'!V28)+('BS (After Changes)'!X31-'BS (After Changes)'!V31)</f>
        <v>0</v>
      </c>
      <c r="Y29" s="327">
        <f>+('BS (After Changes)'!Y28-'BS (After Changes)'!X28)+('BS (After Changes)'!Y31-'BS (After Changes)'!X31)</f>
        <v>0</v>
      </c>
      <c r="Z29" s="327">
        <f>+('BS (After Changes)'!Z28-'BS (After Changes)'!Y28)+('BS (After Changes)'!Z31-'BS (After Changes)'!Y31)</f>
        <v>0</v>
      </c>
      <c r="AA29" s="327">
        <f>+('BS (After Changes)'!AA28-'BS (After Changes)'!Z28)+('BS (After Changes)'!AA31-'BS (After Changes)'!Z31)</f>
        <v>0</v>
      </c>
      <c r="AB29" s="328">
        <f t="shared" ref="AB29:AB36" si="32">SUM(X29:AA29)</f>
        <v>0</v>
      </c>
      <c r="AC29" s="327">
        <f>+('BS (After Changes)'!AC28-'BS (After Changes)'!AA28)+('BS (After Changes)'!AC31-'BS (After Changes)'!AA31)</f>
        <v>0</v>
      </c>
      <c r="AD29" s="327">
        <f>+('BS (After Changes)'!AD28-'BS (After Changes)'!AC28)+('BS (After Changes)'!AD31-'BS (After Changes)'!AC31)</f>
        <v>-0.29999999999995453</v>
      </c>
      <c r="AE29" s="327">
        <f>+('BS (After Changes)'!AE28-'BS (After Changes)'!AD28)+('BS (After Changes)'!AE31-'BS (After Changes)'!AD31)</f>
        <v>0</v>
      </c>
      <c r="AF29" s="327">
        <f>+('BS (After Changes)'!AF28-'BS (After Changes)'!AE28)+('BS (After Changes)'!AF31-'BS (After Changes)'!AE31)</f>
        <v>100</v>
      </c>
      <c r="AG29" s="328">
        <f t="shared" ref="AG29:AG36" si="33">SUM(AC29:AF29)</f>
        <v>99.700000000000045</v>
      </c>
      <c r="AH29" s="327">
        <f>+('BS (After Changes)'!AH28-'BS (After Changes)'!AF28)+('BS (After Changes)'!AH31-'BS (After Changes)'!AF31)</f>
        <v>0</v>
      </c>
      <c r="AI29" s="327">
        <f>+('BS (After Changes)'!AI28-'BS (After Changes)'!AH28)+('BS (After Changes)'!AI31-'BS (After Changes)'!AH31)</f>
        <v>0</v>
      </c>
      <c r="AJ29" s="327">
        <f>+('BS (After Changes)'!AJ28-'BS (After Changes)'!AI28)+('BS (After Changes)'!AJ31-'BS (After Changes)'!AI31)</f>
        <v>5541.9811973151791</v>
      </c>
      <c r="AK29" s="327">
        <f>+('BS (After Changes)'!AK28-'BS (After Changes)'!AJ28)+('BS (After Changes)'!AK31-'BS (After Changes)'!AJ31)</f>
        <v>0</v>
      </c>
      <c r="AL29" s="328">
        <f t="shared" ref="AL29:AL36" si="34">SUM(AH29:AK29)</f>
        <v>5541.9811973151791</v>
      </c>
      <c r="AM29" s="327">
        <f>+('BS (After Changes)'!AM28-'BS (After Changes)'!AK28)+('BS (After Changes)'!AM31-'BS (After Changes)'!AK31)</f>
        <v>0</v>
      </c>
      <c r="AN29" s="327">
        <f>+('BS (After Changes)'!AN28-'BS (After Changes)'!AM28)+('BS (After Changes)'!AN31-'BS (After Changes)'!AM31)</f>
        <v>0</v>
      </c>
      <c r="AO29" s="327">
        <f>+('BS (After Changes)'!AO28-'BS (After Changes)'!AN28)+('BS (After Changes)'!AO31-'BS (After Changes)'!AN31)</f>
        <v>0</v>
      </c>
      <c r="AP29" s="327">
        <f>+('BS (After Changes)'!AP28-'BS (After Changes)'!AO28)+('BS (After Changes)'!AP31-'BS (After Changes)'!AO31)</f>
        <v>0</v>
      </c>
      <c r="AQ29" s="328">
        <f t="shared" ref="AQ29:AQ36" si="35">SUM(AM29:AP29)</f>
        <v>0</v>
      </c>
      <c r="AR29" s="327">
        <f>+('BS (After Changes)'!AR28-'BS (After Changes)'!AP28)+('BS (After Changes)'!AR31-'BS (After Changes)'!AP31)</f>
        <v>0</v>
      </c>
      <c r="AS29" s="327">
        <f>+('BS (After Changes)'!AS28-'BS (After Changes)'!AR28)+('BS (After Changes)'!AS31-'BS (After Changes)'!AR31)</f>
        <v>0</v>
      </c>
      <c r="AT29" s="327">
        <f>+('BS (After Changes)'!AT28-'BS (After Changes)'!AS28)+('BS (After Changes)'!AT31-'BS (After Changes)'!AS31)</f>
        <v>0</v>
      </c>
      <c r="AU29" s="327">
        <f>+('BS (After Changes)'!AU28-'BS (After Changes)'!AT28)+('BS (After Changes)'!AU31-'BS (After Changes)'!AT31)</f>
        <v>0</v>
      </c>
      <c r="AV29" s="328">
        <f t="shared" ref="AV29:AV36" si="36">SUM(AR29:AU29)</f>
        <v>0</v>
      </c>
    </row>
    <row r="30" spans="2:48" outlineLevel="1" x14ac:dyDescent="0.3">
      <c r="B30" s="325" t="s">
        <v>287</v>
      </c>
      <c r="C30" s="326"/>
      <c r="D30" s="327">
        <v>-350</v>
      </c>
      <c r="E30" s="327">
        <v>0</v>
      </c>
      <c r="F30" s="327">
        <f>-75-E30-D30</f>
        <v>275</v>
      </c>
      <c r="G30" s="327">
        <f>-350-F30-E30-D30</f>
        <v>-275</v>
      </c>
      <c r="H30" s="328">
        <f t="shared" si="28"/>
        <v>-350</v>
      </c>
      <c r="I30" s="327"/>
      <c r="J30" s="327">
        <f>0-I30</f>
        <v>0</v>
      </c>
      <c r="K30" s="327">
        <v>-220.7</v>
      </c>
      <c r="L30" s="327">
        <f>-967.7-K30-J30-I30</f>
        <v>-747</v>
      </c>
      <c r="M30" s="328">
        <f t="shared" si="29"/>
        <v>-967.7</v>
      </c>
      <c r="N30" s="327">
        <f>-144.7-500</f>
        <v>-644.70000000000005</v>
      </c>
      <c r="O30" s="327">
        <f>-296.5-320.5-1250-N30</f>
        <v>-1222.3</v>
      </c>
      <c r="P30" s="327">
        <f>-296.5-346.2-1250-O30-N30</f>
        <v>-25.700000000000045</v>
      </c>
      <c r="Q30" s="327">
        <f>215.1-349.8-1250-P30-O30-N30</f>
        <v>508</v>
      </c>
      <c r="R30" s="328">
        <f t="shared" si="30"/>
        <v>-1384.7</v>
      </c>
      <c r="S30" s="327"/>
      <c r="T30" s="327">
        <v>-12.6</v>
      </c>
      <c r="U30" s="327">
        <f>-38.9-1000-T30-S30</f>
        <v>-1026.3000000000002</v>
      </c>
      <c r="V30" s="327">
        <f>175-U30-T30-S30</f>
        <v>1213.9000000000001</v>
      </c>
      <c r="W30" s="328">
        <f t="shared" si="31"/>
        <v>175</v>
      </c>
      <c r="X30" s="327"/>
      <c r="Y30" s="327"/>
      <c r="Z30" s="327"/>
      <c r="AA30" s="327"/>
      <c r="AB30" s="328">
        <f t="shared" si="32"/>
        <v>0</v>
      </c>
      <c r="AC30" s="327"/>
      <c r="AD30" s="327"/>
      <c r="AE30" s="327"/>
      <c r="AF30" s="327"/>
      <c r="AG30" s="328">
        <f t="shared" si="33"/>
        <v>0</v>
      </c>
      <c r="AH30" s="327"/>
      <c r="AI30" s="327"/>
      <c r="AJ30" s="327"/>
      <c r="AK30" s="327"/>
      <c r="AL30" s="328">
        <f t="shared" si="34"/>
        <v>0</v>
      </c>
      <c r="AM30" s="327"/>
      <c r="AN30" s="327"/>
      <c r="AO30" s="327"/>
      <c r="AP30" s="327"/>
      <c r="AQ30" s="328">
        <f t="shared" si="35"/>
        <v>0</v>
      </c>
      <c r="AR30" s="327"/>
      <c r="AS30" s="327"/>
      <c r="AT30" s="327"/>
      <c r="AU30" s="327"/>
      <c r="AV30" s="328">
        <f t="shared" si="36"/>
        <v>0</v>
      </c>
    </row>
    <row r="31" spans="2:48" outlineLevel="1" x14ac:dyDescent="0.3">
      <c r="B31" s="325" t="s">
        <v>288</v>
      </c>
      <c r="C31" s="326"/>
      <c r="D31" s="327"/>
      <c r="E31" s="327">
        <v>75</v>
      </c>
      <c r="F31" s="327">
        <v>0</v>
      </c>
      <c r="G31" s="327">
        <f>0-F31-E31-D31</f>
        <v>-75</v>
      </c>
      <c r="H31" s="328">
        <f t="shared" si="28"/>
        <v>0</v>
      </c>
      <c r="I31" s="327">
        <f>398.9+99</f>
        <v>497.9</v>
      </c>
      <c r="J31" s="327">
        <f>613+494.1-I31</f>
        <v>609.19999999999993</v>
      </c>
      <c r="K31" s="327">
        <f>0-J31-I31</f>
        <v>-1107.0999999999999</v>
      </c>
      <c r="L31" s="327">
        <f>4727.6-K31-J31-I31</f>
        <v>4727.6000000000013</v>
      </c>
      <c r="M31" s="328">
        <f t="shared" si="29"/>
        <v>4727.6000000000013</v>
      </c>
      <c r="N31" s="327">
        <v>0</v>
      </c>
      <c r="O31" s="327">
        <f>0-N31</f>
        <v>0</v>
      </c>
      <c r="P31" s="327">
        <f>0-O31-N31</f>
        <v>0</v>
      </c>
      <c r="Q31" s="327">
        <f>0-P31-O31-N31</f>
        <v>0</v>
      </c>
      <c r="R31" s="328">
        <f t="shared" si="30"/>
        <v>0</v>
      </c>
      <c r="S31" s="327">
        <v>0</v>
      </c>
      <c r="T31" s="327">
        <f>0-S31</f>
        <v>0</v>
      </c>
      <c r="U31" s="327">
        <f t="shared" ref="U31" si="37">0-T31-S31</f>
        <v>0</v>
      </c>
      <c r="V31" s="327">
        <f t="shared" ref="V31" si="38">0-U31-T31-S31</f>
        <v>0</v>
      </c>
      <c r="W31" s="328">
        <f t="shared" si="31"/>
        <v>0</v>
      </c>
      <c r="X31" s="327"/>
      <c r="Y31" s="327"/>
      <c r="Z31" s="327"/>
      <c r="AA31" s="327"/>
      <c r="AB31" s="328">
        <f t="shared" si="32"/>
        <v>0</v>
      </c>
      <c r="AC31" s="327"/>
      <c r="AD31" s="327"/>
      <c r="AE31" s="327"/>
      <c r="AF31" s="327"/>
      <c r="AG31" s="328">
        <f t="shared" si="33"/>
        <v>0</v>
      </c>
      <c r="AH31" s="327"/>
      <c r="AI31" s="327"/>
      <c r="AJ31" s="327"/>
      <c r="AK31" s="327"/>
      <c r="AL31" s="328">
        <f t="shared" si="34"/>
        <v>0</v>
      </c>
      <c r="AM31" s="327"/>
      <c r="AN31" s="327"/>
      <c r="AO31" s="327"/>
      <c r="AP31" s="327"/>
      <c r="AQ31" s="328">
        <f t="shared" si="35"/>
        <v>0</v>
      </c>
      <c r="AR31" s="327"/>
      <c r="AS31" s="327"/>
      <c r="AT31" s="327"/>
      <c r="AU31" s="327"/>
      <c r="AV31" s="328">
        <f t="shared" si="36"/>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8"/>
        <v>409.8</v>
      </c>
      <c r="I32" s="327">
        <v>33.1</v>
      </c>
      <c r="J32" s="327">
        <f>65.4-I32</f>
        <v>32.300000000000004</v>
      </c>
      <c r="K32" s="327">
        <f>98.9-J32-I32</f>
        <v>33.499999999999993</v>
      </c>
      <c r="L32" s="327">
        <f>298.8-K32-J32-I32</f>
        <v>199.9</v>
      </c>
      <c r="M32" s="328">
        <f t="shared" si="29"/>
        <v>298.8</v>
      </c>
      <c r="N32" s="327">
        <v>102.8</v>
      </c>
      <c r="O32" s="327">
        <f>134.4-N32</f>
        <v>31.600000000000009</v>
      </c>
      <c r="P32" s="327">
        <f>191.6-O32-N32</f>
        <v>57.2</v>
      </c>
      <c r="Q32" s="327">
        <f>246.2-P32-O32-N32</f>
        <v>54.59999999999998</v>
      </c>
      <c r="R32" s="328">
        <f t="shared" si="30"/>
        <v>246.2</v>
      </c>
      <c r="S32" s="327">
        <v>41.3</v>
      </c>
      <c r="T32" s="327">
        <f>56.3-S32</f>
        <v>15</v>
      </c>
      <c r="U32" s="327">
        <f>75.5-T32-S32</f>
        <v>19.200000000000003</v>
      </c>
      <c r="V32" s="327">
        <f>101.6-U32-T32-S32</f>
        <v>26.099999999999994</v>
      </c>
      <c r="W32" s="328">
        <f t="shared" si="31"/>
        <v>101.6</v>
      </c>
      <c r="X32" s="327">
        <v>0</v>
      </c>
      <c r="Y32" s="327">
        <v>0</v>
      </c>
      <c r="Z32" s="327">
        <v>0</v>
      </c>
      <c r="AA32" s="327">
        <v>0</v>
      </c>
      <c r="AB32" s="328">
        <f t="shared" si="32"/>
        <v>0</v>
      </c>
      <c r="AC32" s="327">
        <v>0</v>
      </c>
      <c r="AD32" s="327">
        <v>0</v>
      </c>
      <c r="AE32" s="327">
        <v>0</v>
      </c>
      <c r="AF32" s="327">
        <v>0</v>
      </c>
      <c r="AG32" s="328">
        <f t="shared" si="33"/>
        <v>0</v>
      </c>
      <c r="AH32" s="327">
        <v>0</v>
      </c>
      <c r="AI32" s="327">
        <v>0</v>
      </c>
      <c r="AJ32" s="327">
        <v>0</v>
      </c>
      <c r="AK32" s="327">
        <v>0</v>
      </c>
      <c r="AL32" s="328">
        <f t="shared" si="34"/>
        <v>0</v>
      </c>
      <c r="AM32" s="327">
        <v>0</v>
      </c>
      <c r="AN32" s="327">
        <v>0</v>
      </c>
      <c r="AO32" s="327">
        <v>0</v>
      </c>
      <c r="AP32" s="327">
        <v>0</v>
      </c>
      <c r="AQ32" s="328">
        <f t="shared" si="35"/>
        <v>0</v>
      </c>
      <c r="AR32" s="327">
        <v>0</v>
      </c>
      <c r="AS32" s="327">
        <v>0</v>
      </c>
      <c r="AT32" s="327">
        <v>0</v>
      </c>
      <c r="AU32" s="327">
        <v>0</v>
      </c>
      <c r="AV32" s="328">
        <f t="shared" si="36"/>
        <v>0</v>
      </c>
    </row>
    <row r="33" spans="2:48" outlineLevel="1" x14ac:dyDescent="0.3">
      <c r="B33" s="325" t="s">
        <v>290</v>
      </c>
      <c r="C33" s="326"/>
      <c r="D33" s="327">
        <v>-446.7</v>
      </c>
      <c r="E33" s="327">
        <f>-894.5-D33</f>
        <v>-447.8</v>
      </c>
      <c r="F33" s="327">
        <f>-1330.7-E33-D33</f>
        <v>-436.2000000000001</v>
      </c>
      <c r="G33" s="327">
        <f>-1761.3-F33-E33-D33</f>
        <v>-430.59999999999997</v>
      </c>
      <c r="H33" s="328">
        <f t="shared" si="28"/>
        <v>-1761.3</v>
      </c>
      <c r="I33" s="327">
        <v>-484.2</v>
      </c>
      <c r="J33" s="327">
        <f>-965.2-I33</f>
        <v>-481.00000000000006</v>
      </c>
      <c r="K33" s="327">
        <f>-1444.2-J33-I33</f>
        <v>-479.00000000000006</v>
      </c>
      <c r="L33" s="327">
        <f>-1923.5-K33-J33-I33</f>
        <v>-479.3</v>
      </c>
      <c r="M33" s="328">
        <f t="shared" si="29"/>
        <v>-1923.5</v>
      </c>
      <c r="N33" s="327">
        <v>-528.20000000000005</v>
      </c>
      <c r="O33" s="327">
        <f>-1058-N33</f>
        <v>-529.79999999999995</v>
      </c>
      <c r="P33" s="327">
        <f>-1588.2-O33-N33</f>
        <v>-530.20000000000005</v>
      </c>
      <c r="Q33" s="327">
        <f>-2119-P33-O33-N33</f>
        <v>-530.79999999999995</v>
      </c>
      <c r="R33" s="328">
        <f t="shared" si="30"/>
        <v>-2119</v>
      </c>
      <c r="S33" s="327">
        <v>-576</v>
      </c>
      <c r="T33" s="327">
        <f>-1139.2-S33</f>
        <v>-563.20000000000005</v>
      </c>
      <c r="U33" s="327">
        <f>-1701.1-T33-S33</f>
        <v>-561.89999999999986</v>
      </c>
      <c r="V33" s="327">
        <f>-2263.3-U33-T33-S33</f>
        <v>-562.20000000000027</v>
      </c>
      <c r="W33" s="328">
        <f t="shared" si="31"/>
        <v>-2263.3000000000002</v>
      </c>
      <c r="X33" s="327">
        <f>-'IS (After Changes)'!X35*'IS (After Changes)'!X30</f>
        <v>-609.58030771444623</v>
      </c>
      <c r="Y33" s="327">
        <f>-'IS (After Changes)'!Y35*'IS (After Changes)'!Y30</f>
        <v>-610.79946832987514</v>
      </c>
      <c r="Z33" s="327">
        <f>-'IS (After Changes)'!Z35*'IS (After Changes)'!Z30</f>
        <v>-612.02106726653483</v>
      </c>
      <c r="AA33" s="327">
        <f>-'IS (After Changes)'!AA35*'IS (After Changes)'!AA30</f>
        <v>-643.90736487112133</v>
      </c>
      <c r="AB33" s="328">
        <f t="shared" si="32"/>
        <v>-2476.3082081819775</v>
      </c>
      <c r="AC33" s="327">
        <f>-'IS (After Changes)'!X35*'IS (After Changes)'!X30</f>
        <v>-609.58030771444623</v>
      </c>
      <c r="AD33" s="327">
        <f>-'IS (After Changes)'!Y35*'IS (After Changes)'!Y30</f>
        <v>-610.79946832987514</v>
      </c>
      <c r="AE33" s="327">
        <f>-'IS (After Changes)'!Z35*'IS (After Changes)'!Z30</f>
        <v>-612.02106726653483</v>
      </c>
      <c r="AF33" s="327">
        <f>-'IS (After Changes)'!AA35*'IS (After Changes)'!AA30</f>
        <v>-643.90736487112133</v>
      </c>
      <c r="AG33" s="328">
        <f t="shared" si="33"/>
        <v>-2476.3082081819775</v>
      </c>
      <c r="AH33" s="327">
        <f>-'IS (After Changes)'!AC35*'IS (After Changes)'!AC30</f>
        <v>-645.19517960086364</v>
      </c>
      <c r="AI33" s="327">
        <f>-'IS (After Changes)'!AD35*'IS (After Changes)'!AD30</f>
        <v>-646.48556996006528</v>
      </c>
      <c r="AJ33" s="327">
        <f>-'IS (After Changes)'!AE35*'IS (After Changes)'!AE30</f>
        <v>-647.28471393949167</v>
      </c>
      <c r="AK33" s="327">
        <f>-'IS (After Changes)'!AF35*'IS (After Changes)'!AF30</f>
        <v>-680.48972901722072</v>
      </c>
      <c r="AL33" s="328">
        <f t="shared" si="34"/>
        <v>-2619.4551925176411</v>
      </c>
      <c r="AM33" s="327">
        <f>-'IS (After Changes)'!AH35*'IS (After Changes)'!AH30</f>
        <v>-681.35688131476138</v>
      </c>
      <c r="AN33" s="327">
        <f>-'IS (After Changes)'!AI35*'IS (After Changes)'!AI30</f>
        <v>-682.2257679168971</v>
      </c>
      <c r="AO33" s="327">
        <f>-'IS (After Changes)'!AJ35*'IS (After Changes)'!AJ30</f>
        <v>-656.71623823142136</v>
      </c>
      <c r="AP33" s="327">
        <f>-'IS (After Changes)'!AK35*'IS (After Changes)'!AK30</f>
        <v>-662.71347396090346</v>
      </c>
      <c r="AQ33" s="328">
        <f t="shared" si="35"/>
        <v>-2683.0123614239833</v>
      </c>
      <c r="AR33" s="327">
        <f>-'IS (After Changes)'!AM35*'IS (After Changes)'!AM30</f>
        <v>-662.795119814298</v>
      </c>
      <c r="AS33" s="327">
        <f>-'IS (After Changes)'!AN35*'IS (After Changes)'!AN30</f>
        <v>-662.87692895939927</v>
      </c>
      <c r="AT33" s="327">
        <f>-'IS (After Changes)'!AO35*'IS (After Changes)'!AO30</f>
        <v>-662.95890172279076</v>
      </c>
      <c r="AU33" s="327">
        <f>-'IS (After Changes)'!AP35*'IS (After Changes)'!AP30</f>
        <v>-676.3018592003433</v>
      </c>
      <c r="AV33" s="328">
        <f t="shared" si="36"/>
        <v>-2664.9328096968311</v>
      </c>
    </row>
    <row r="34" spans="2:48" outlineLevel="1" x14ac:dyDescent="0.3">
      <c r="B34" s="325" t="s">
        <v>291</v>
      </c>
      <c r="C34" s="338"/>
      <c r="D34" s="327">
        <v>-5114.7</v>
      </c>
      <c r="E34" s="327">
        <f>-7827.9-D34</f>
        <v>-2713.2</v>
      </c>
      <c r="F34" s="327">
        <f>-7972.9-E34-D34</f>
        <v>-145</v>
      </c>
      <c r="G34" s="327">
        <f>-10222.3-F34-E34-D34</f>
        <v>-2249.3999999999996</v>
      </c>
      <c r="H34" s="328">
        <f t="shared" si="28"/>
        <v>-10222.299999999999</v>
      </c>
      <c r="I34" s="327">
        <v>-1091.4000000000001</v>
      </c>
      <c r="J34" s="327">
        <f>-1698.9-I34</f>
        <v>-607.5</v>
      </c>
      <c r="K34" s="327">
        <f>-1698.9-J34-I34</f>
        <v>0</v>
      </c>
      <c r="L34" s="327">
        <f>-1698.9-K34-J34-I34</f>
        <v>0</v>
      </c>
      <c r="M34" s="328">
        <f t="shared" si="29"/>
        <v>-1698.9</v>
      </c>
      <c r="N34" s="327">
        <v>0</v>
      </c>
      <c r="O34" s="327">
        <f>0-N34</f>
        <v>0</v>
      </c>
      <c r="P34" s="327">
        <f>0-O34-N34</f>
        <v>0</v>
      </c>
      <c r="Q34" s="327">
        <f>0-P34-O34-N34</f>
        <v>0</v>
      </c>
      <c r="R34" s="328">
        <f t="shared" si="30"/>
        <v>0</v>
      </c>
      <c r="S34" s="327">
        <v>-3520.9</v>
      </c>
      <c r="T34" s="327">
        <f>-3997.5-S34</f>
        <v>-476.59999999999991</v>
      </c>
      <c r="U34" s="327">
        <f>-4013-T34-S34</f>
        <v>-15.5</v>
      </c>
      <c r="V34" s="327">
        <f>-4013-U34-T34-S34</f>
        <v>0</v>
      </c>
      <c r="W34" s="328">
        <f t="shared" si="31"/>
        <v>-4013</v>
      </c>
      <c r="X34" s="327">
        <f>-'IS (After Changes)'!X154</f>
        <v>0</v>
      </c>
      <c r="Y34" s="327">
        <f>-'IS (After Changes)'!Y154</f>
        <v>0</v>
      </c>
      <c r="Z34" s="327">
        <f>-'IS (After Changes)'!Z154</f>
        <v>0</v>
      </c>
      <c r="AA34" s="327">
        <f>-'IS (After Changes)'!AA154</f>
        <v>0</v>
      </c>
      <c r="AB34" s="328">
        <f t="shared" si="32"/>
        <v>0</v>
      </c>
      <c r="AC34" s="327">
        <f>-'IS (After Changes)'!AC154</f>
        <v>0</v>
      </c>
      <c r="AD34" s="327">
        <f>-'IS (After Changes)'!AD154</f>
        <v>0</v>
      </c>
      <c r="AE34" s="327">
        <f>-'IS (After Changes)'!AE154</f>
        <v>-100</v>
      </c>
      <c r="AF34" s="327">
        <f>-'IS (After Changes)'!AF154</f>
        <v>-100</v>
      </c>
      <c r="AG34" s="328">
        <f t="shared" si="33"/>
        <v>-200</v>
      </c>
      <c r="AH34" s="327">
        <f>-'IS (After Changes)'!AH154</f>
        <v>-100</v>
      </c>
      <c r="AI34" s="327">
        <f>-'IS (After Changes)'!AI154</f>
        <v>-100</v>
      </c>
      <c r="AJ34" s="327">
        <f>-'IS (After Changes)'!AJ154</f>
        <v>-5441.98119731518</v>
      </c>
      <c r="AK34" s="327">
        <f>-'IS (After Changes)'!AK154</f>
        <v>-5441.98119731518</v>
      </c>
      <c r="AL34" s="328">
        <f t="shared" si="34"/>
        <v>-11083.96239463036</v>
      </c>
      <c r="AM34" s="327">
        <f>-'IS (After Changes)'!AM154</f>
        <v>-250</v>
      </c>
      <c r="AN34" s="327">
        <f>-'IS (After Changes)'!AN154</f>
        <v>-250</v>
      </c>
      <c r="AO34" s="327">
        <f>-'IS (After Changes)'!AO154</f>
        <v>-250</v>
      </c>
      <c r="AP34" s="327">
        <f>-'IS (After Changes)'!AP154</f>
        <v>-250</v>
      </c>
      <c r="AQ34" s="328">
        <f t="shared" si="35"/>
        <v>-1000</v>
      </c>
      <c r="AR34" s="327">
        <f>-'IS (After Changes)'!AR154</f>
        <v>-250</v>
      </c>
      <c r="AS34" s="327">
        <f>-'IS (After Changes)'!AS154</f>
        <v>-250</v>
      </c>
      <c r="AT34" s="327">
        <f>-'IS (After Changes)'!AT154</f>
        <v>-250</v>
      </c>
      <c r="AU34" s="327">
        <f>-'IS (After Changes)'!AU154</f>
        <v>-250</v>
      </c>
      <c r="AV34" s="328">
        <f t="shared" si="36"/>
        <v>-1000</v>
      </c>
    </row>
    <row r="35" spans="2:48" outlineLevel="1" x14ac:dyDescent="0.3">
      <c r="B35" s="325" t="s">
        <v>292</v>
      </c>
      <c r="C35" s="339"/>
      <c r="D35" s="327">
        <v>-55.3</v>
      </c>
      <c r="E35" s="327">
        <f>-56.3-D35</f>
        <v>-1</v>
      </c>
      <c r="F35" s="327">
        <f>-106.1-E35-D35</f>
        <v>-49.8</v>
      </c>
      <c r="G35" s="327">
        <f>-111.6-F35-E35-D35</f>
        <v>-5.5</v>
      </c>
      <c r="H35" s="328">
        <f t="shared" si="28"/>
        <v>-111.6</v>
      </c>
      <c r="I35" s="327">
        <v>-78.400000000000006</v>
      </c>
      <c r="J35" s="327">
        <f>-87.6-I35</f>
        <v>-9.1999999999999886</v>
      </c>
      <c r="K35" s="327">
        <f>-89.1-J35-I35</f>
        <v>-1.5</v>
      </c>
      <c r="L35" s="327">
        <f>-91.9-K35-J35-I35</f>
        <v>-2.8000000000000114</v>
      </c>
      <c r="M35" s="328">
        <f t="shared" si="29"/>
        <v>-91.9</v>
      </c>
      <c r="N35" s="327">
        <v>-88.6</v>
      </c>
      <c r="O35" s="327">
        <f>-90.1-N35</f>
        <v>-1.5</v>
      </c>
      <c r="P35" s="327">
        <f>-94.2-O35-N35</f>
        <v>-4.1000000000000085</v>
      </c>
      <c r="Q35" s="327">
        <f>-97-P35-O35-N35</f>
        <v>-2.7999999999999972</v>
      </c>
      <c r="R35" s="328">
        <f t="shared" si="30"/>
        <v>-97</v>
      </c>
      <c r="S35" s="327">
        <v>-113.6</v>
      </c>
      <c r="T35" s="327">
        <f>-122.1-S35</f>
        <v>-8.5</v>
      </c>
      <c r="U35" s="327">
        <f>-123.5-T35-S35</f>
        <v>-1.4000000000000057</v>
      </c>
      <c r="V35" s="327">
        <f>-127.2-U35-T35-S35</f>
        <v>-3.7000000000000028</v>
      </c>
      <c r="W35" s="328">
        <f t="shared" si="31"/>
        <v>-127.2</v>
      </c>
      <c r="X35" s="327">
        <f>(V35/V12)*X12</f>
        <v>-4.198889326302897</v>
      </c>
      <c r="Y35" s="327">
        <f>(X35/X12)*Y12</f>
        <v>-3.6435304235402786</v>
      </c>
      <c r="Z35" s="327">
        <f>(Y35/Y12)*Z12</f>
        <v>-4.112247492945837</v>
      </c>
      <c r="AA35" s="327">
        <f>(Z35/Z12)*AA12</f>
        <v>-4.3314880731601004</v>
      </c>
      <c r="AB35" s="328">
        <f t="shared" si="32"/>
        <v>-16.286155315949113</v>
      </c>
      <c r="AC35" s="327">
        <f>(AA35/AA12)*AC12</f>
        <v>-4.4224738066769982</v>
      </c>
      <c r="AD35" s="327">
        <f>(AC35/AC12)*AD12</f>
        <v>-4.1082733195094603</v>
      </c>
      <c r="AE35" s="327">
        <f>(AD35/AD12)*AE12</f>
        <v>-4.5851244099254638</v>
      </c>
      <c r="AF35" s="327">
        <f>(AE35/AE12)*AF12</f>
        <v>-4.756959826071796</v>
      </c>
      <c r="AG35" s="328">
        <f t="shared" si="33"/>
        <v>-17.872831362183717</v>
      </c>
      <c r="AH35" s="327">
        <f>(AF35/AF12)*AH12</f>
        <v>-4.9002308772223211</v>
      </c>
      <c r="AI35" s="327">
        <f>(AH35/AH12)*AI12</f>
        <v>-4.6183633610076571</v>
      </c>
      <c r="AJ35" s="327">
        <f>(AI35/AI12)*AJ12</f>
        <v>-5.1333071191689781</v>
      </c>
      <c r="AK35" s="327">
        <f>(AJ35/AJ12)*AK12</f>
        <v>-5.3183259681184492</v>
      </c>
      <c r="AL35" s="328">
        <f t="shared" si="34"/>
        <v>-19.970227325517406</v>
      </c>
      <c r="AM35" s="327">
        <f>(AK35/AK12)*AM12</f>
        <v>-5.3835835851960532</v>
      </c>
      <c r="AN35" s="327">
        <f>(AM35/AM12)*AN12</f>
        <v>-5.0592319522923273</v>
      </c>
      <c r="AO35" s="327">
        <f>(AN35/AN12)*AO12</f>
        <v>-5.5962212390394761</v>
      </c>
      <c r="AP35" s="327">
        <f>(AO35/AO12)*AP12</f>
        <v>-5.7770872489620482</v>
      </c>
      <c r="AQ35" s="328">
        <f t="shared" si="35"/>
        <v>-21.816124025489906</v>
      </c>
      <c r="AR35" s="327">
        <f>(AP35/AP12)*AR12</f>
        <v>-5.7325178030712811</v>
      </c>
      <c r="AS35" s="327">
        <f>(AR35/AR12)*AS12</f>
        <v>-5.3845195020356407</v>
      </c>
      <c r="AT35" s="327">
        <f>(AS35/AS12)*AT12</f>
        <v>-5.9534272854079298</v>
      </c>
      <c r="AU35" s="327">
        <f>(AT35/AT12)*AU12</f>
        <v>-6.1453165849982279</v>
      </c>
      <c r="AV35" s="328">
        <f t="shared" si="36"/>
        <v>-23.215781175513079</v>
      </c>
    </row>
    <row r="36" spans="2:48" ht="16.2" outlineLevel="1" x14ac:dyDescent="0.45">
      <c r="B36" s="538" t="s">
        <v>293</v>
      </c>
      <c r="C36" s="539"/>
      <c r="D36" s="329">
        <v>-0.3</v>
      </c>
      <c r="E36" s="329">
        <f>0.1-D36</f>
        <v>0.4</v>
      </c>
      <c r="F36" s="329">
        <f>-17.6-E36-D36</f>
        <v>-17.7</v>
      </c>
      <c r="G36" s="329">
        <f>-17.5-F36-E36-D36</f>
        <v>9.9999999999999256E-2</v>
      </c>
      <c r="H36" s="330">
        <f t="shared" si="28"/>
        <v>-17.5</v>
      </c>
      <c r="I36" s="329">
        <v>0</v>
      </c>
      <c r="J36" s="329">
        <f>-10.4-I36</f>
        <v>-10.4</v>
      </c>
      <c r="K36" s="329">
        <f>-37.8-J36-I36</f>
        <v>-27.4</v>
      </c>
      <c r="L36" s="329">
        <f>-37.7-K36-J36-I36</f>
        <v>9.9999999999996092E-2</v>
      </c>
      <c r="M36" s="330">
        <f t="shared" si="29"/>
        <v>-37.700000000000003</v>
      </c>
      <c r="N36" s="329">
        <v>0</v>
      </c>
      <c r="O36" s="329">
        <f>0-N36</f>
        <v>0</v>
      </c>
      <c r="P36" s="329">
        <f>0-O36-N36</f>
        <v>0</v>
      </c>
      <c r="Q36" s="329">
        <f>0-P36-O36-N36</f>
        <v>0</v>
      </c>
      <c r="R36" s="330">
        <f t="shared" si="30"/>
        <v>0</v>
      </c>
      <c r="S36" s="329">
        <v>0</v>
      </c>
      <c r="T36" s="329">
        <f>-9.2-S36</f>
        <v>-9.1999999999999993</v>
      </c>
      <c r="U36" s="329">
        <f>-9.2-T36-S36</f>
        <v>0</v>
      </c>
      <c r="V36" s="329">
        <f>-9.2-U36-T36-S36</f>
        <v>0</v>
      </c>
      <c r="W36" s="330">
        <f t="shared" si="31"/>
        <v>-9.1999999999999993</v>
      </c>
      <c r="X36" s="329">
        <v>0</v>
      </c>
      <c r="Y36" s="329">
        <v>0</v>
      </c>
      <c r="Z36" s="329">
        <v>0</v>
      </c>
      <c r="AA36" s="329">
        <v>0</v>
      </c>
      <c r="AB36" s="330">
        <f t="shared" si="32"/>
        <v>0</v>
      </c>
      <c r="AC36" s="329">
        <v>0</v>
      </c>
      <c r="AD36" s="329">
        <v>0</v>
      </c>
      <c r="AE36" s="329">
        <v>0</v>
      </c>
      <c r="AF36" s="329">
        <v>0</v>
      </c>
      <c r="AG36" s="330">
        <f t="shared" si="33"/>
        <v>0</v>
      </c>
      <c r="AH36" s="329">
        <v>0</v>
      </c>
      <c r="AI36" s="329">
        <v>0</v>
      </c>
      <c r="AJ36" s="329">
        <v>0</v>
      </c>
      <c r="AK36" s="329">
        <v>0</v>
      </c>
      <c r="AL36" s="330">
        <f t="shared" si="34"/>
        <v>0</v>
      </c>
      <c r="AM36" s="329">
        <v>0</v>
      </c>
      <c r="AN36" s="329">
        <v>0</v>
      </c>
      <c r="AO36" s="329">
        <v>0</v>
      </c>
      <c r="AP36" s="329">
        <v>0</v>
      </c>
      <c r="AQ36" s="330">
        <f t="shared" si="35"/>
        <v>0</v>
      </c>
      <c r="AR36" s="329">
        <v>0</v>
      </c>
      <c r="AS36" s="329">
        <v>0</v>
      </c>
      <c r="AT36" s="329">
        <v>0</v>
      </c>
      <c r="AU36" s="329">
        <v>0</v>
      </c>
      <c r="AV36" s="330">
        <f t="shared" si="36"/>
        <v>0</v>
      </c>
    </row>
    <row r="37" spans="2:48" outlineLevel="1" x14ac:dyDescent="0.3">
      <c r="B37" s="540" t="s">
        <v>294</v>
      </c>
      <c r="C37" s="541"/>
      <c r="D37" s="331">
        <f t="shared" ref="D37:AV37" si="39">SUM(D29:D36)</f>
        <v>-5858.6</v>
      </c>
      <c r="E37" s="331">
        <f t="shared" si="39"/>
        <v>-2919.2999999999997</v>
      </c>
      <c r="F37" s="331">
        <f t="shared" si="39"/>
        <v>1355.1</v>
      </c>
      <c r="G37" s="331">
        <f t="shared" si="39"/>
        <v>-2634.1</v>
      </c>
      <c r="H37" s="332">
        <f t="shared" si="39"/>
        <v>-10056.9</v>
      </c>
      <c r="I37" s="331">
        <f t="shared" si="39"/>
        <v>-1123.0000000000002</v>
      </c>
      <c r="J37" s="331">
        <f t="shared" si="39"/>
        <v>1273.1000000000001</v>
      </c>
      <c r="K37" s="331">
        <f t="shared" si="39"/>
        <v>2342.9000000000005</v>
      </c>
      <c r="L37" s="331">
        <f t="shared" si="39"/>
        <v>-779.69999999999948</v>
      </c>
      <c r="M37" s="332">
        <f t="shared" si="39"/>
        <v>1713.3000000000009</v>
      </c>
      <c r="N37" s="331">
        <f t="shared" si="39"/>
        <v>-965.80000000000007</v>
      </c>
      <c r="O37" s="331">
        <f t="shared" si="39"/>
        <v>-1711.6</v>
      </c>
      <c r="P37" s="331">
        <f t="shared" si="39"/>
        <v>-490.50000000000011</v>
      </c>
      <c r="Q37" s="331">
        <f t="shared" si="39"/>
        <v>-483.09999999999991</v>
      </c>
      <c r="R37" s="332">
        <f t="shared" si="39"/>
        <v>-3651</v>
      </c>
      <c r="S37" s="331">
        <f t="shared" si="39"/>
        <v>-3969.2</v>
      </c>
      <c r="T37" s="331">
        <f t="shared" si="39"/>
        <v>260.40000000000015</v>
      </c>
      <c r="U37" s="331">
        <f t="shared" si="39"/>
        <v>-1364.4</v>
      </c>
      <c r="V37" s="331">
        <f t="shared" si="39"/>
        <v>-564.8000000000003</v>
      </c>
      <c r="W37" s="332">
        <f t="shared" si="39"/>
        <v>-5638</v>
      </c>
      <c r="X37" s="331">
        <f t="shared" si="39"/>
        <v>-613.77919704074918</v>
      </c>
      <c r="Y37" s="331">
        <f t="shared" si="39"/>
        <v>-614.4429987534154</v>
      </c>
      <c r="Z37" s="331">
        <f t="shared" si="39"/>
        <v>-616.13331475948064</v>
      </c>
      <c r="AA37" s="331">
        <f t="shared" si="39"/>
        <v>-648.23885294428146</v>
      </c>
      <c r="AB37" s="332">
        <f t="shared" si="39"/>
        <v>-2492.5943634979267</v>
      </c>
      <c r="AC37" s="331">
        <f t="shared" si="39"/>
        <v>-614.00278152112321</v>
      </c>
      <c r="AD37" s="331">
        <f t="shared" si="39"/>
        <v>-615.2077416493845</v>
      </c>
      <c r="AE37" s="331">
        <f t="shared" si="39"/>
        <v>-716.6061916764603</v>
      </c>
      <c r="AF37" s="331">
        <f t="shared" si="39"/>
        <v>-648.66432469719314</v>
      </c>
      <c r="AG37" s="332">
        <f t="shared" si="39"/>
        <v>-2594.4810395441614</v>
      </c>
      <c r="AH37" s="331">
        <f t="shared" si="39"/>
        <v>-750.09541047808591</v>
      </c>
      <c r="AI37" s="331">
        <f t="shared" si="39"/>
        <v>-751.10393332107299</v>
      </c>
      <c r="AJ37" s="331">
        <f t="shared" si="39"/>
        <v>-552.41802105866157</v>
      </c>
      <c r="AK37" s="331">
        <f t="shared" si="39"/>
        <v>-6127.7892523005185</v>
      </c>
      <c r="AL37" s="332">
        <f t="shared" si="39"/>
        <v>-8181.406617158339</v>
      </c>
      <c r="AM37" s="331">
        <f t="shared" si="39"/>
        <v>-936.74046489995749</v>
      </c>
      <c r="AN37" s="331">
        <f t="shared" si="39"/>
        <v>-937.28499986918939</v>
      </c>
      <c r="AO37" s="331">
        <f t="shared" si="39"/>
        <v>-912.31245947046079</v>
      </c>
      <c r="AP37" s="331">
        <f t="shared" si="39"/>
        <v>-918.49056120986552</v>
      </c>
      <c r="AQ37" s="332">
        <f t="shared" si="39"/>
        <v>-3704.8284854494732</v>
      </c>
      <c r="AR37" s="331">
        <f t="shared" si="39"/>
        <v>-918.52763761736924</v>
      </c>
      <c r="AS37" s="331">
        <f t="shared" si="39"/>
        <v>-918.26144846143495</v>
      </c>
      <c r="AT37" s="331">
        <f t="shared" si="39"/>
        <v>-918.91232900819864</v>
      </c>
      <c r="AU37" s="331">
        <f t="shared" si="39"/>
        <v>-932.44717578534153</v>
      </c>
      <c r="AV37" s="332">
        <f t="shared" si="39"/>
        <v>-3688.1485908723444</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1">
        <v>0</v>
      </c>
      <c r="Y38" s="341">
        <v>0</v>
      </c>
      <c r="Z38" s="341">
        <v>0</v>
      </c>
      <c r="AA38" s="341">
        <v>0</v>
      </c>
      <c r="AB38" s="337">
        <f>SUM(X38:AA38)</f>
        <v>0</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486" t="s">
        <v>296</v>
      </c>
      <c r="C39" s="487"/>
      <c r="D39" s="260">
        <f t="shared" ref="D39:AV39" si="40">D37+D27+D22+D38</f>
        <v>-3994.7999999999997</v>
      </c>
      <c r="E39" s="260">
        <f t="shared" si="40"/>
        <v>-2706.5</v>
      </c>
      <c r="F39" s="260">
        <f t="shared" si="40"/>
        <v>2708.3000000000011</v>
      </c>
      <c r="G39" s="260">
        <f t="shared" si="40"/>
        <v>-2076.7999999999993</v>
      </c>
      <c r="H39" s="261">
        <f t="shared" si="40"/>
        <v>-6069.7999999999938</v>
      </c>
      <c r="I39" s="260">
        <f t="shared" si="40"/>
        <v>353.89999999999839</v>
      </c>
      <c r="J39" s="260">
        <f t="shared" si="40"/>
        <v>-468.20000000000061</v>
      </c>
      <c r="K39" s="260">
        <f t="shared" si="40"/>
        <v>1393.600000000001</v>
      </c>
      <c r="L39" s="260">
        <f t="shared" si="40"/>
        <v>385.0000000000021</v>
      </c>
      <c r="M39" s="261">
        <f t="shared" si="40"/>
        <v>1664.3000000000052</v>
      </c>
      <c r="N39" s="260">
        <f t="shared" si="40"/>
        <v>677.2</v>
      </c>
      <c r="O39" s="260">
        <f t="shared" si="40"/>
        <v>-1147.3999999999996</v>
      </c>
      <c r="P39" s="260">
        <f t="shared" si="40"/>
        <v>872.49999999999909</v>
      </c>
      <c r="Q39" s="260">
        <f t="shared" si="40"/>
        <v>1702.5999999999997</v>
      </c>
      <c r="R39" s="261">
        <f t="shared" si="40"/>
        <v>2104.8999999999978</v>
      </c>
      <c r="S39" s="260">
        <f t="shared" si="40"/>
        <v>-2486.3000000000002</v>
      </c>
      <c r="T39" s="260">
        <f t="shared" si="40"/>
        <v>-55.999999999999567</v>
      </c>
      <c r="U39" s="260">
        <f t="shared" si="40"/>
        <v>-735.90000000000089</v>
      </c>
      <c r="V39" s="260">
        <f t="shared" si="40"/>
        <v>-359.20000000000118</v>
      </c>
      <c r="W39" s="261">
        <f>W37+W27+W22+W38</f>
        <v>-3637.4000000000005</v>
      </c>
      <c r="X39" s="260">
        <f>X37+X27+X22+X38</f>
        <v>1003.6000213908604</v>
      </c>
      <c r="Y39" s="260">
        <f t="shared" si="40"/>
        <v>-475.69152462228635</v>
      </c>
      <c r="Z39" s="260">
        <f t="shared" si="40"/>
        <v>-205.51032908406023</v>
      </c>
      <c r="AA39" s="260">
        <f t="shared" si="40"/>
        <v>439.89157046493187</v>
      </c>
      <c r="AB39" s="261">
        <f t="shared" si="40"/>
        <v>762.28973814944493</v>
      </c>
      <c r="AC39" s="260">
        <f t="shared" si="40"/>
        <v>996.64442393389163</v>
      </c>
      <c r="AD39" s="260">
        <f t="shared" si="40"/>
        <v>-157.95593990754833</v>
      </c>
      <c r="AE39" s="260">
        <f t="shared" si="40"/>
        <v>129.0813892510339</v>
      </c>
      <c r="AF39" s="260">
        <f t="shared" si="40"/>
        <v>524.93013238990852</v>
      </c>
      <c r="AG39" s="261">
        <f t="shared" si="40"/>
        <v>1492.700005667285</v>
      </c>
      <c r="AH39" s="260">
        <f t="shared" si="40"/>
        <v>1057.0559287687329</v>
      </c>
      <c r="AI39" s="260">
        <f t="shared" si="40"/>
        <v>-130.41752760419081</v>
      </c>
      <c r="AJ39" s="260">
        <f t="shared" si="40"/>
        <v>479.38847203916475</v>
      </c>
      <c r="AK39" s="260">
        <f t="shared" si="40"/>
        <v>-4520.3748916367049</v>
      </c>
      <c r="AL39" s="261">
        <f t="shared" si="40"/>
        <v>-3114.3480184330001</v>
      </c>
      <c r="AM39" s="260">
        <f t="shared" si="40"/>
        <v>1155.9925139896657</v>
      </c>
      <c r="AN39" s="260">
        <f t="shared" si="40"/>
        <v>-263.09237759436769</v>
      </c>
      <c r="AO39" s="260">
        <f t="shared" si="40"/>
        <v>185.23255556827644</v>
      </c>
      <c r="AP39" s="260">
        <f t="shared" si="40"/>
        <v>703.52859224385656</v>
      </c>
      <c r="AQ39" s="261">
        <f t="shared" si="40"/>
        <v>1781.6612842074319</v>
      </c>
      <c r="AR39" s="260">
        <f t="shared" si="40"/>
        <v>1324.708169285843</v>
      </c>
      <c r="AS39" s="260">
        <f t="shared" si="40"/>
        <v>-164.7822260672408</v>
      </c>
      <c r="AT39" s="260">
        <f t="shared" si="40"/>
        <v>323.31534714508939</v>
      </c>
      <c r="AU39" s="260">
        <f t="shared" si="40"/>
        <v>760.01093866729479</v>
      </c>
      <c r="AV39" s="261">
        <f t="shared" si="40"/>
        <v>2243.2522290309862</v>
      </c>
    </row>
    <row r="40" spans="2:48" ht="16.2" outlineLevel="1" x14ac:dyDescent="0.45">
      <c r="B40" s="486" t="s">
        <v>297</v>
      </c>
      <c r="C40" s="487"/>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3821.900021390868</v>
      </c>
      <c r="Z40" s="260">
        <f>Y41</f>
        <v>3346.2084967685814</v>
      </c>
      <c r="AA40" s="260">
        <f>Z41</f>
        <v>3140.6981676845212</v>
      </c>
      <c r="AB40" s="261">
        <f>W41</f>
        <v>2818.3000000000075</v>
      </c>
      <c r="AC40" s="260">
        <f>+AB41</f>
        <v>3580.5897381494524</v>
      </c>
      <c r="AD40" s="260">
        <f>AC41</f>
        <v>4577.234162083344</v>
      </c>
      <c r="AE40" s="260">
        <f>AD41</f>
        <v>4419.2782221757952</v>
      </c>
      <c r="AF40" s="260">
        <f>AE41</f>
        <v>4548.3596114268294</v>
      </c>
      <c r="AG40" s="261">
        <f>AB41</f>
        <v>3580.5897381494524</v>
      </c>
      <c r="AH40" s="260">
        <f>+AG41</f>
        <v>5073.2897438167374</v>
      </c>
      <c r="AI40" s="260">
        <f>AH41</f>
        <v>6130.3456725854703</v>
      </c>
      <c r="AJ40" s="260">
        <f>AI41</f>
        <v>5999.9281449812797</v>
      </c>
      <c r="AK40" s="260">
        <f>AJ41</f>
        <v>6479.316617020444</v>
      </c>
      <c r="AL40" s="261">
        <f>AG41</f>
        <v>5073.2897438167374</v>
      </c>
      <c r="AM40" s="260">
        <f>+AL41</f>
        <v>1958.9417253837373</v>
      </c>
      <c r="AN40" s="260">
        <f>AM41</f>
        <v>3114.9342393734032</v>
      </c>
      <c r="AO40" s="260">
        <f>AN41</f>
        <v>2851.8418617790358</v>
      </c>
      <c r="AP40" s="260">
        <f>AO41</f>
        <v>3037.0744173473122</v>
      </c>
      <c r="AQ40" s="261">
        <f>AL41</f>
        <v>1958.9417253837373</v>
      </c>
      <c r="AR40" s="260">
        <f>+AQ41</f>
        <v>3740.6030095911692</v>
      </c>
      <c r="AS40" s="260">
        <f>AR41</f>
        <v>5065.311178877012</v>
      </c>
      <c r="AT40" s="260">
        <f>AS41</f>
        <v>4900.528952809771</v>
      </c>
      <c r="AU40" s="260">
        <f>AT41</f>
        <v>5223.8442999548606</v>
      </c>
      <c r="AV40" s="261">
        <f>AQ41</f>
        <v>3740.6030095911692</v>
      </c>
    </row>
    <row r="41" spans="2:48" outlineLevel="1" x14ac:dyDescent="0.3">
      <c r="B41" s="529" t="s">
        <v>298</v>
      </c>
      <c r="C41" s="530"/>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3821.900021390868</v>
      </c>
      <c r="Y41" s="21">
        <f>+Y40+Y39</f>
        <v>3346.2084967685814</v>
      </c>
      <c r="Z41" s="21">
        <f>+Z40+Z39</f>
        <v>3140.6981676845212</v>
      </c>
      <c r="AA41" s="21">
        <f>+AA40+AA39</f>
        <v>3580.5897381494533</v>
      </c>
      <c r="AB41" s="22">
        <f>+X40+AB39</f>
        <v>3580.5897381494524</v>
      </c>
      <c r="AC41" s="21">
        <f>+AC40+AC39</f>
        <v>4577.234162083344</v>
      </c>
      <c r="AD41" s="21">
        <f>+AD40+AD39</f>
        <v>4419.2782221757952</v>
      </c>
      <c r="AE41" s="21">
        <f>+AE40+AE39</f>
        <v>4548.3596114268294</v>
      </c>
      <c r="AF41" s="21">
        <f>+AF40+AF39</f>
        <v>5073.2897438167383</v>
      </c>
      <c r="AG41" s="22">
        <f>+AC40+AG39</f>
        <v>5073.2897438167374</v>
      </c>
      <c r="AH41" s="21">
        <f>+AH40+AH39</f>
        <v>6130.3456725854703</v>
      </c>
      <c r="AI41" s="21">
        <f>+AI40+AI39</f>
        <v>5999.9281449812797</v>
      </c>
      <c r="AJ41" s="21">
        <f>+AJ40+AJ39</f>
        <v>6479.316617020444</v>
      </c>
      <c r="AK41" s="21">
        <f>+AK40+AK39</f>
        <v>1958.9417253837391</v>
      </c>
      <c r="AL41" s="22">
        <f>+AH40+AL39</f>
        <v>1958.9417253837373</v>
      </c>
      <c r="AM41" s="21">
        <f>+AM40+AM39</f>
        <v>3114.9342393734032</v>
      </c>
      <c r="AN41" s="21">
        <f>+AN40+AN39</f>
        <v>2851.8418617790358</v>
      </c>
      <c r="AO41" s="21">
        <f>+AO40+AO39</f>
        <v>3037.0744173473122</v>
      </c>
      <c r="AP41" s="21">
        <f>+AP40+AP39</f>
        <v>3740.6030095911688</v>
      </c>
      <c r="AQ41" s="22">
        <f>+AM40+AQ39</f>
        <v>3740.6030095911692</v>
      </c>
      <c r="AR41" s="21">
        <f>+AR40+AR39</f>
        <v>5065.311178877012</v>
      </c>
      <c r="AS41" s="21">
        <f>+AS40+AS39</f>
        <v>4900.528952809771</v>
      </c>
      <c r="AT41" s="21">
        <f>+AT40+AT39</f>
        <v>5223.8442999548606</v>
      </c>
      <c r="AU41" s="21">
        <f>+AU40+AU39</f>
        <v>5983.8552386221554</v>
      </c>
      <c r="AV41" s="22">
        <f>+AR40+AV39</f>
        <v>5983.8552386221554</v>
      </c>
    </row>
    <row r="42" spans="2:48" s="23" customFormat="1" outlineLevel="1" x14ac:dyDescent="0.3">
      <c r="B42" s="531" t="s">
        <v>299</v>
      </c>
      <c r="C42" s="532"/>
      <c r="D42" s="321">
        <f>D22-(-D25)+((-'IS (After Changes)'!D22*(1-'Valuation (After Changes)'!$F$18)))</f>
        <v>2004.2250000000004</v>
      </c>
      <c r="E42" s="321">
        <f>E22-(-E25)+((-'IS (After Changes)'!E22*(1-'Valuation (After Changes)'!$F$18)))</f>
        <v>31.994499999999647</v>
      </c>
      <c r="F42" s="321">
        <f>F22-(-F25)+((-'IS (After Changes)'!F22*(1-'Valuation (After Changes)'!$F$18)))</f>
        <v>799.53200000000095</v>
      </c>
      <c r="G42" s="321">
        <f>G22-(-G25)+((-'IS (After Changes)'!G22*(1-'Valuation (After Changes)'!$F$18)))</f>
        <v>654.45350000000087</v>
      </c>
      <c r="H42" s="342">
        <f>SUM(D42:G42)</f>
        <v>3490.2050000000017</v>
      </c>
      <c r="I42" s="321">
        <f>I22-(-I25)+((-'IS (After Changes)'!I22*(1-'Valuation (After Changes)'!$F$18)))</f>
        <v>1511.1844999999985</v>
      </c>
      <c r="J42" s="321">
        <f>J22-(-J25)+((-'IS (After Changes)'!J22*(1-'Valuation (After Changes)'!$F$18)))</f>
        <v>-1650.4040000000009</v>
      </c>
      <c r="K42" s="321">
        <f>K22-(-K25)+((-'IS (After Changes)'!K22*(1-'Valuation (After Changes)'!$F$18)))</f>
        <v>-656.59599999999932</v>
      </c>
      <c r="L42" s="321">
        <f>L22-(-L25)+((-'IS (After Changes)'!L22*(1-'Valuation (After Changes)'!$F$18)))</f>
        <v>1239.8750000000016</v>
      </c>
      <c r="M42" s="342">
        <f>SUM(I42:L42)</f>
        <v>444.05949999999984</v>
      </c>
      <c r="N42" s="321">
        <f>N22-(-N25)+((-'IS (After Changes)'!N22*(1-'Valuation (After Changes)'!$F$18)))</f>
        <v>1602.6285000000003</v>
      </c>
      <c r="O42" s="321">
        <f>O22-(-O25)+((-'IS (After Changes)'!O22*(1-'Valuation (After Changes)'!$F$18)))</f>
        <v>646.92500000000018</v>
      </c>
      <c r="P42" s="321">
        <f>P22-(-P25)+((-'IS (After Changes)'!P22*(1-'Valuation (After Changes)'!$F$18)))</f>
        <v>1496.8169999999991</v>
      </c>
      <c r="Q42" s="321">
        <f>Q22-(-Q25)+((-'IS (After Changes)'!Q22*(1-'Valuation (After Changes)'!$F$18)))</f>
        <v>1127.4529999999995</v>
      </c>
      <c r="R42" s="342">
        <f>SUM(N42:Q42)</f>
        <v>4873.8234999999986</v>
      </c>
      <c r="S42" s="321">
        <f>S22-(-S25)+((-'IS (After Changes)'!S22*(1-'Valuation (After Changes)'!$F$18)))</f>
        <v>1541.1514999999999</v>
      </c>
      <c r="T42" s="321">
        <f>T22-(-T25)+((-'IS (After Changes)'!T22*(1-'Valuation (After Changes)'!$F$18)))</f>
        <v>-203.27949999999976</v>
      </c>
      <c r="U42" s="321">
        <f>U22-(-U25)+((-'IS (After Changes)'!U22*(1-'Valuation (After Changes)'!$F$18)))</f>
        <v>934.24049999999897</v>
      </c>
      <c r="V42" s="321">
        <f>V22-(-V25)+((-'IS (After Changes)'!V22*(1-'Valuation (After Changes)'!$F$18)))</f>
        <v>648.30149999999912</v>
      </c>
      <c r="W42" s="342">
        <f>SUM(S42:V42)</f>
        <v>2920.4139999999984</v>
      </c>
      <c r="X42" s="321">
        <f>X22-(-X25)+((-'IS (After Changes)'!X22*(1-'Valuation (After Changes)'!$F$18)))</f>
        <v>1522.9933478868595</v>
      </c>
      <c r="Y42" s="321">
        <f>Y22-(-Y25)+((-'IS (After Changes)'!Y22*(1-'Valuation (After Changes)'!$F$18)))</f>
        <v>239.76354381245835</v>
      </c>
      <c r="Z42" s="321">
        <f>Z22-(-Z25)+((-'IS (After Changes)'!Z22*(1-'Valuation (After Changes)'!$F$18)))</f>
        <v>552.51110925483692</v>
      </c>
      <c r="AA42" s="321">
        <f>AA22-(-AA25)+((-'IS (After Changes)'!AA22*(1-'Valuation (After Changes)'!$F$18)))</f>
        <v>1221.1760455961642</v>
      </c>
      <c r="AB42" s="342">
        <f>SUM(X42:AA42)</f>
        <v>3536.4440465503185</v>
      </c>
      <c r="AC42" s="321">
        <f>AC22-(-AC25)+((-'IS (After Changes)'!AC22*(1-'Valuation (After Changes)'!$F$18)))</f>
        <v>1705.8490083703612</v>
      </c>
      <c r="AD42" s="321">
        <f>AD22-(-AD25)+((-'IS (After Changes)'!AD22*(1-'Valuation (After Changes)'!$F$18)))</f>
        <v>562.98759554940364</v>
      </c>
      <c r="AE42" s="321">
        <f>AE22-(-AE25)+((-'IS (After Changes)'!AE22*(1-'Valuation (After Changes)'!$F$18)))</f>
        <v>980.89206028964747</v>
      </c>
      <c r="AF42" s="321">
        <f>AF22-(-AF25)+((-'IS (After Changes)'!AF22*(1-'Valuation (After Changes)'!$F$18)))</f>
        <v>1297.7162996002048</v>
      </c>
      <c r="AG42" s="342">
        <f>SUM(AC42:AF42)</f>
        <v>4547.4449638096175</v>
      </c>
      <c r="AH42" s="321">
        <f>AH22-(-AH25)+((-'IS (After Changes)'!AH22*(1-'Valuation (After Changes)'!$F$18)))</f>
        <v>1948.2818515715753</v>
      </c>
      <c r="AI42" s="321">
        <f>AI22-(-AI25)+((-'IS (After Changes)'!AI22*(1-'Valuation (After Changes)'!$F$18)))</f>
        <v>730.10259830697203</v>
      </c>
      <c r="AJ42" s="321">
        <f>AJ22-(-AJ25)+((-'IS (After Changes)'!AJ22*(1-'Valuation (After Changes)'!$F$18)))</f>
        <v>1188.0542152609905</v>
      </c>
      <c r="AK42" s="321">
        <f>AK22-(-AK25)+((-'IS (After Changes)'!AK22*(1-'Valuation (After Changes)'!$F$18)))</f>
        <v>1584.6979562271404</v>
      </c>
      <c r="AL42" s="342">
        <f>SUM(AH42:AK42)</f>
        <v>5451.1366213666788</v>
      </c>
      <c r="AM42" s="321">
        <f>AM22-(-AM25)+((-'IS (After Changes)'!AM22*(1-'Valuation (After Changes)'!$F$18)))</f>
        <v>2283.2368755415027</v>
      </c>
      <c r="AN42" s="321">
        <f>AN22-(-AN25)+((-'IS (After Changes)'!AN22*(1-'Valuation (After Changes)'!$F$18)))</f>
        <v>821.41559497067055</v>
      </c>
      <c r="AO42" s="321">
        <f>AO22-(-AO25)+((-'IS (After Changes)'!AO22*(1-'Valuation (After Changes)'!$F$18)))</f>
        <v>1288.2196484695489</v>
      </c>
      <c r="AP42" s="321">
        <f>AP22-(-AP25)+((-'IS (After Changes)'!AP22*(1-'Valuation (After Changes)'!$F$18)))</f>
        <v>1797.1711420992301</v>
      </c>
      <c r="AQ42" s="342">
        <f>SUM(AM42:AP42)</f>
        <v>6190.043261080953</v>
      </c>
      <c r="AR42" s="321">
        <f>AR22-(-AR25)+((-'IS (After Changes)'!AR22*(1-'Valuation (After Changes)'!$F$18)))</f>
        <v>2441.9668628511185</v>
      </c>
      <c r="AS42" s="321">
        <f>AS22-(-AS25)+((-'IS (After Changes)'!AS22*(1-'Valuation (After Changes)'!$F$18)))</f>
        <v>904.67479661415962</v>
      </c>
      <c r="AT42" s="321">
        <f>AT22-(-AT25)+((-'IS (After Changes)'!AT22*(1-'Valuation (After Changes)'!$F$18)))</f>
        <v>1438.7935013115034</v>
      </c>
      <c r="AU42" s="321">
        <f>AU22-(-AU25)+((-'IS (After Changes)'!AU22*(1-'Valuation (After Changes)'!$F$18)))</f>
        <v>1872.9713774924978</v>
      </c>
      <c r="AV42" s="342">
        <f>SUM(AR42:AU42)</f>
        <v>6658.4065382692797</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533" t="s">
        <v>301</v>
      </c>
      <c r="C44" s="534"/>
      <c r="D44" s="344"/>
      <c r="E44" s="344"/>
      <c r="F44" s="344"/>
      <c r="G44" s="344"/>
      <c r="H44" s="345"/>
      <c r="I44" s="344"/>
      <c r="J44" s="344"/>
      <c r="K44" s="344"/>
      <c r="L44" s="344"/>
      <c r="M44" s="345"/>
      <c r="N44" s="344"/>
      <c r="O44" s="344"/>
      <c r="P44" s="344"/>
      <c r="Q44" s="344"/>
      <c r="R44" s="345"/>
      <c r="S44" s="344"/>
      <c r="T44" s="344"/>
      <c r="U44" s="344"/>
      <c r="V44" s="344"/>
      <c r="W44" s="345">
        <f>W42/(1+'Valuation (After Changes)'!$F$20)^W43</f>
        <v>2920.4139999999984</v>
      </c>
      <c r="X44" s="344"/>
      <c r="Y44" s="344"/>
      <c r="Z44" s="344"/>
      <c r="AA44" s="344"/>
      <c r="AB44" s="345">
        <f>AB42/(1+'Valuation (After Changes)'!$F$20)^AB43</f>
        <v>3171.5762299211679</v>
      </c>
      <c r="AC44" s="344"/>
      <c r="AD44" s="344"/>
      <c r="AE44" s="344"/>
      <c r="AF44" s="344"/>
      <c r="AG44" s="345">
        <f>AG42/(1+'Valuation (After Changes)'!$F$20)^AG43</f>
        <v>3657.4986797243469</v>
      </c>
      <c r="AH44" s="344"/>
      <c r="AI44" s="344"/>
      <c r="AJ44" s="344"/>
      <c r="AK44" s="344"/>
      <c r="AL44" s="345">
        <f>AL42/(1+'Valuation (After Changes)'!$F$20)^AL43</f>
        <v>3931.9877526056275</v>
      </c>
      <c r="AM44" s="344"/>
      <c r="AN44" s="344"/>
      <c r="AO44" s="344"/>
      <c r="AP44" s="344"/>
      <c r="AQ44" s="345">
        <f>AQ42/(1+'Valuation (After Changes)'!$F$20)^AQ43</f>
        <v>4004.3048854235635</v>
      </c>
      <c r="AR44" s="344"/>
      <c r="AS44" s="344"/>
      <c r="AT44" s="344"/>
      <c r="AU44" s="344"/>
      <c r="AV44" s="345">
        <f>AV42/(1+'Valuation (After Changes)'!$F$20)^AV43</f>
        <v>3862.8880673584063</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(After Changes)'!D6+'BS (After Changes)'!D7+'BS (After Changes)'!D12</f>
        <v>5256.8</v>
      </c>
      <c r="E46" s="16">
        <f>+'BS (After Changes)'!E6+'BS (After Changes)'!E7+'BS (After Changes)'!E12</f>
        <v>2383.6000000000004</v>
      </c>
      <c r="F46" s="16">
        <f>+'BS (After Changes)'!F6+'BS (After Changes)'!F7+'BS (After Changes)'!F12</f>
        <v>5058.1000000000022</v>
      </c>
      <c r="G46" s="16">
        <f>+'BS (After Changes)'!G6+'BS (After Changes)'!G7+'BS (After Changes)'!G12</f>
        <v>2977.1000000000022</v>
      </c>
      <c r="H46" s="17">
        <f>+'BS (After Changes)'!H6+'BS (After Changes)'!H7+'BS (After Changes)'!H12</f>
        <v>2977.1000000000022</v>
      </c>
      <c r="I46" s="16">
        <f>+'BS (After Changes)'!I6+'BS (After Changes)'!I7+'BS (After Changes)'!I12</f>
        <v>3308.7000000000039</v>
      </c>
      <c r="J46" s="16">
        <f>+'BS (After Changes)'!J6+'BS (After Changes)'!J7+'BS (After Changes)'!J12</f>
        <v>2824.0000000000032</v>
      </c>
      <c r="K46" s="16">
        <f>+'BS (After Changes)'!K6+'BS (After Changes)'!K7+'BS (After Changes)'!K12</f>
        <v>4419.2000000000035</v>
      </c>
      <c r="L46" s="16">
        <f>+'BS (After Changes)'!L6+'BS (After Changes)'!L7+'BS (After Changes)'!L12</f>
        <v>4838.2000000000062</v>
      </c>
      <c r="M46" s="17">
        <f>+'BS (After Changes)'!M6+'BS (After Changes)'!M7+'BS (After Changes)'!M12</f>
        <v>4838.2000000000062</v>
      </c>
      <c r="N46" s="16">
        <f>+'BS (After Changes)'!N6+'BS (After Changes)'!N7+'BS (After Changes)'!N12</f>
        <v>5454.4000000000096</v>
      </c>
      <c r="O46" s="16">
        <f>+'BS (After Changes)'!O6+'BS (After Changes)'!O7+'BS (After Changes)'!O12</f>
        <v>4288.4000000000106</v>
      </c>
      <c r="P46" s="16">
        <f>+'BS (After Changes)'!P6+'BS (After Changes)'!P7+'BS (After Changes)'!P12</f>
        <v>5192.6000000000095</v>
      </c>
      <c r="Q46" s="16">
        <f>+'BS (After Changes)'!Q6+'BS (After Changes)'!Q7+'BS (After Changes)'!Q12</f>
        <v>6899.6000000000085</v>
      </c>
      <c r="R46" s="17">
        <f>+'BS (After Changes)'!R6+'BS (After Changes)'!R7+'BS (After Changes)'!R12</f>
        <v>6899.6000000000085</v>
      </c>
      <c r="S46" s="16">
        <f>+'BS (After Changes)'!S6+'BS (After Changes)'!S7+'BS (After Changes)'!S12</f>
        <v>4356.4000000000078</v>
      </c>
      <c r="T46" s="16">
        <f>+'BS (After Changes)'!T6+'BS (After Changes)'!T7+'BS (After Changes)'!T12</f>
        <v>4281.1000000000085</v>
      </c>
      <c r="U46" s="16">
        <f>+'BS (After Changes)'!U6+'BS (After Changes)'!U7+'BS (After Changes)'!U12</f>
        <v>3546.9000000000074</v>
      </c>
      <c r="V46" s="16">
        <f>+'BS (After Changes)'!V6+'BS (After Changes)'!V7+'BS (After Changes)'!V12</f>
        <v>3461.900000000006</v>
      </c>
      <c r="W46" s="17">
        <f>+'BS (After Changes)'!W6+'BS (After Changes)'!W7+'BS (After Changes)'!W12</f>
        <v>3461.900000000006</v>
      </c>
      <c r="X46" s="16">
        <f>+'BS (After Changes)'!X6+'BS (After Changes)'!X7+'BS (After Changes)'!X12</f>
        <v>4267.9352677080333</v>
      </c>
      <c r="Y46" s="16">
        <f>+'BS (After Changes)'!Y6+'BS (After Changes)'!Y7+'BS (After Changes)'!Y12</f>
        <v>3805.4592760417208</v>
      </c>
      <c r="Z46" s="16">
        <f>+'BS (After Changes)'!Z6+'BS (After Changes)'!Z7+'BS (After Changes)'!Z12</f>
        <v>3636.4274198404464</v>
      </c>
      <c r="AA46" s="16">
        <f>+'BS (After Changes)'!AA6+'BS (After Changes)'!AA7+'BS (After Changes)'!AA12</f>
        <v>4110.4287539463503</v>
      </c>
      <c r="AB46" s="17">
        <f>+'BS (After Changes)'!AB6+'BS (After Changes)'!AB7+'BS (After Changes)'!AB12</f>
        <v>4110.4287539463503</v>
      </c>
      <c r="AC46" s="16">
        <f>+'BS (After Changes)'!AC6+'BS (After Changes)'!AC7+'BS (After Changes)'!AC12</f>
        <v>5087.0459355210878</v>
      </c>
      <c r="AD46" s="16">
        <f>+'BS (After Changes)'!AD6+'BS (After Changes)'!AD7+'BS (After Changes)'!AD12</f>
        <v>4938.0269661086541</v>
      </c>
      <c r="AE46" s="16">
        <f>+'BS (After Changes)'!AE6+'BS (After Changes)'!AE7+'BS (After Changes)'!AE12</f>
        <v>5087.7712485871743</v>
      </c>
      <c r="AF46" s="16">
        <f>+'BS (After Changes)'!AF6+'BS (After Changes)'!AF7+'BS (After Changes)'!AF12</f>
        <v>5624.7524524608734</v>
      </c>
      <c r="AG46" s="17">
        <f>+'BS (After Changes)'!AG6+'BS (After Changes)'!AG7+'BS (After Changes)'!AG12</f>
        <v>5624.7524524608734</v>
      </c>
      <c r="AH46" s="16">
        <f>+'BS (After Changes)'!AH6+'BS (After Changes)'!AH7+'BS (After Changes)'!AH12</f>
        <v>6696.5335515378656</v>
      </c>
      <c r="AI46" s="16">
        <f>+'BS (After Changes)'!AI6+'BS (After Changes)'!AI7+'BS (After Changes)'!AI12</f>
        <v>6570.2190118942881</v>
      </c>
      <c r="AJ46" s="16">
        <f>+'BS (After Changes)'!AJ6+'BS (After Changes)'!AJ7+'BS (After Changes)'!AJ12</f>
        <v>7073.7660302705726</v>
      </c>
      <c r="AK46" s="16">
        <f>+'BS (After Changes)'!AK6+'BS (After Changes)'!AK7+'BS (After Changes)'!AK12</f>
        <v>2474.0959240923075</v>
      </c>
      <c r="AL46" s="17">
        <f>+'BS (After Changes)'!AL6+'BS (After Changes)'!AL7+'BS (After Changes)'!AL12</f>
        <v>2474.0959240923075</v>
      </c>
      <c r="AM46" s="16">
        <f>+'BS (After Changes)'!AM6+'BS (After Changes)'!AM7+'BS (After Changes)'!AM12</f>
        <v>3648.9700793401694</v>
      </c>
      <c r="AN46" s="16">
        <f>+'BS (After Changes)'!AN6+'BS (After Changes)'!AN7+'BS (After Changes)'!AN12</f>
        <v>3385.2959383973766</v>
      </c>
      <c r="AO46" s="16">
        <f>+'BS (After Changes)'!AO6+'BS (After Changes)'!AO7+'BS (After Changes)'!AO12</f>
        <v>3589.6141618315523</v>
      </c>
      <c r="AP46" s="16">
        <f>+'BS (After Changes)'!AP6+'BS (After Changes)'!AP7+'BS (After Changes)'!AP12</f>
        <v>4304.7884539242896</v>
      </c>
      <c r="AQ46" s="17">
        <f>+'BS (After Changes)'!AQ6+'BS (After Changes)'!AQ7+'BS (After Changes)'!AQ12</f>
        <v>4304.7884539242896</v>
      </c>
      <c r="AR46" s="16">
        <f>+'BS (After Changes)'!AR6+'BS (After Changes)'!AR7+'BS (After Changes)'!AR12</f>
        <v>5651.9349468899654</v>
      </c>
      <c r="AS46" s="16">
        <f>+'BS (After Changes)'!AS6+'BS (After Changes)'!AS7+'BS (After Changes)'!AS12</f>
        <v>5487.606645749338</v>
      </c>
      <c r="AT46" s="16">
        <f>+'BS (After Changes)'!AT6+'BS (After Changes)'!AT7+'BS (After Changes)'!AT12</f>
        <v>5832.1590652266268</v>
      </c>
      <c r="AU46" s="16">
        <f>+'BS (After Changes)'!AU6+'BS (After Changes)'!AU7+'BS (After Changes)'!AU12</f>
        <v>6605.8700529518301</v>
      </c>
      <c r="AV46" s="17">
        <f>+'BS (After Changes)'!AV6+'BS (After Changes)'!AV7+'BS (After Changes)'!AV12</f>
        <v>6605.8700529518301</v>
      </c>
    </row>
    <row r="47" spans="2:48" outlineLevel="1" x14ac:dyDescent="0.3">
      <c r="B47" s="200" t="s">
        <v>304</v>
      </c>
      <c r="C47" s="201"/>
      <c r="D47" s="16">
        <f>'BS (After Changes)'!D28+'BS (After Changes)'!D31</f>
        <v>9130.7000000000007</v>
      </c>
      <c r="E47" s="16">
        <f>'BS (After Changes)'!E28+'BS (After Changes)'!E31</f>
        <v>9216.5</v>
      </c>
      <c r="F47" s="16">
        <f>'BS (After Changes)'!F28+'BS (After Changes)'!F31</f>
        <v>11159.1</v>
      </c>
      <c r="G47" s="16">
        <f>'BS (After Changes)'!G28+'BS (After Changes)'!G31</f>
        <v>11167</v>
      </c>
      <c r="H47" s="17">
        <f>'BS (After Changes)'!H28+'BS (After Changes)'!H31</f>
        <v>11167</v>
      </c>
      <c r="I47" s="16">
        <f>'BS (After Changes)'!I28+'BS (After Changes)'!I31</f>
        <v>11649.800000000001</v>
      </c>
      <c r="J47" s="16">
        <f>'BS (After Changes)'!J28+'BS (After Changes)'!J31</f>
        <v>14015.2</v>
      </c>
      <c r="K47" s="16">
        <f>'BS (After Changes)'!K28+'BS (After Changes)'!K31</f>
        <v>16831.7</v>
      </c>
      <c r="L47" s="16">
        <f>'BS (After Changes)'!L28+'BS (After Changes)'!L31</f>
        <v>16348.300000000001</v>
      </c>
      <c r="M47" s="17">
        <f>'BS (After Changes)'!M28+'BS (After Changes)'!M31</f>
        <v>16348.300000000001</v>
      </c>
      <c r="N47" s="16">
        <f>'BS (After Changes)'!N28+'BS (After Changes)'!N31</f>
        <v>15916.1</v>
      </c>
      <c r="O47" s="16">
        <f>'BS (After Changes)'!O28+'BS (After Changes)'!O31</f>
        <v>14648.599999999999</v>
      </c>
      <c r="P47" s="16">
        <f>'BS (After Changes)'!P28+'BS (After Changes)'!P31</f>
        <v>14618.1</v>
      </c>
      <c r="Q47" s="16">
        <f>'BS (After Changes)'!Q28+'BS (After Changes)'!Q31</f>
        <v>14615.8</v>
      </c>
      <c r="R47" s="17">
        <f>'BS (After Changes)'!R28+'BS (After Changes)'!R31</f>
        <v>14615.8</v>
      </c>
      <c r="S47" s="16">
        <f>'BS (After Changes)'!S28+'BS (After Changes)'!S31</f>
        <v>14785.599999999999</v>
      </c>
      <c r="T47" s="16">
        <f>'BS (After Changes)'!T28+'BS (After Changes)'!T31</f>
        <v>16013</v>
      </c>
      <c r="U47" s="16">
        <f>'BS (After Changes)'!U28+'BS (After Changes)'!U31</f>
        <v>15129.9</v>
      </c>
      <c r="V47" s="16">
        <f>'BS (After Changes)'!V28+'BS (After Changes)'!V31</f>
        <v>15043.9</v>
      </c>
      <c r="W47" s="17">
        <f>'BS (After Changes)'!W28+'BS (After Changes)'!W31</f>
        <v>15043.9</v>
      </c>
      <c r="X47" s="16">
        <f>'BS (After Changes)'!X28+'BS (After Changes)'!X31</f>
        <v>15043.9</v>
      </c>
      <c r="Y47" s="16">
        <f>'BS (After Changes)'!Y28+'BS (After Changes)'!Y31</f>
        <v>15043.9</v>
      </c>
      <c r="Z47" s="16">
        <f>'BS (After Changes)'!Z28+'BS (After Changes)'!Z31</f>
        <v>15043.900000000001</v>
      </c>
      <c r="AA47" s="16">
        <f>'BS (After Changes)'!AA28+'BS (After Changes)'!AA31</f>
        <v>15043.900000000001</v>
      </c>
      <c r="AB47" s="17">
        <f>'BS (After Changes)'!AB28+'BS (After Changes)'!AB31</f>
        <v>15043.900000000001</v>
      </c>
      <c r="AC47" s="16">
        <f>'BS (After Changes)'!AC28+'BS (After Changes)'!AC31</f>
        <v>15043.900000000001</v>
      </c>
      <c r="AD47" s="16">
        <f>'BS (After Changes)'!AD28+'BS (After Changes)'!AD31</f>
        <v>15043.6</v>
      </c>
      <c r="AE47" s="16">
        <f>'BS (After Changes)'!AE28+'BS (After Changes)'!AE31</f>
        <v>15043.6</v>
      </c>
      <c r="AF47" s="16">
        <f>'BS (After Changes)'!AF28+'BS (After Changes)'!AF31</f>
        <v>15143.6</v>
      </c>
      <c r="AG47" s="17">
        <f>'BS (After Changes)'!AG28+'BS (After Changes)'!AG31</f>
        <v>15143.6</v>
      </c>
      <c r="AH47" s="16">
        <f>'BS (After Changes)'!AH28+'BS (After Changes)'!AH31</f>
        <v>15143.6</v>
      </c>
      <c r="AI47" s="16">
        <f>'BS (After Changes)'!AI28+'BS (After Changes)'!AI31</f>
        <v>15143.6</v>
      </c>
      <c r="AJ47" s="16">
        <f>'BS (After Changes)'!AJ28+'BS (After Changes)'!AJ31</f>
        <v>20685.581197315179</v>
      </c>
      <c r="AK47" s="16">
        <f>'BS (After Changes)'!AK28+'BS (After Changes)'!AK31</f>
        <v>20685.581197315179</v>
      </c>
      <c r="AL47" s="17">
        <f>'BS (After Changes)'!AL28+'BS (After Changes)'!AL31</f>
        <v>20685.581197315179</v>
      </c>
      <c r="AM47" s="16">
        <f>'BS (After Changes)'!AM28+'BS (After Changes)'!AM31</f>
        <v>20685.581197315179</v>
      </c>
      <c r="AN47" s="16">
        <f>'BS (After Changes)'!AN28+'BS (After Changes)'!AN31</f>
        <v>20685.581197315179</v>
      </c>
      <c r="AO47" s="16">
        <f>'BS (After Changes)'!AO28+'BS (After Changes)'!AO31</f>
        <v>20685.581197315179</v>
      </c>
      <c r="AP47" s="16">
        <f>'BS (After Changes)'!AP28+'BS (After Changes)'!AP31</f>
        <v>20685.581197315179</v>
      </c>
      <c r="AQ47" s="17">
        <f>'BS (After Changes)'!AQ28+'BS (After Changes)'!AQ31</f>
        <v>20685.581197315179</v>
      </c>
      <c r="AR47" s="16">
        <f>'BS (After Changes)'!AR28+'BS (After Changes)'!AR31</f>
        <v>20685.581197315179</v>
      </c>
      <c r="AS47" s="16">
        <f>'BS (After Changes)'!AS28+'BS (After Changes)'!AS31</f>
        <v>20685.581197315179</v>
      </c>
      <c r="AT47" s="16">
        <f>'BS (After Changes)'!AT28+'BS (After Changes)'!AT31</f>
        <v>20685.581197315179</v>
      </c>
      <c r="AU47" s="16">
        <f>'BS (After Changes)'!AU28+'BS (After Changes)'!AU31</f>
        <v>20685.581197315179</v>
      </c>
      <c r="AV47" s="17">
        <f>'BS (After Changes)'!AV28+'BS (After Changes)'!AV31</f>
        <v>20685.581197315179</v>
      </c>
    </row>
    <row r="48" spans="2:48" outlineLevel="1" x14ac:dyDescent="0.3">
      <c r="B48" s="535" t="s">
        <v>305</v>
      </c>
      <c r="C48" s="536"/>
      <c r="D48" s="346">
        <f>(D46-D47)/'IS (After Changes)'!D31</f>
        <v>-3.0907132599329823</v>
      </c>
      <c r="E48" s="346">
        <f>(E46-E47)/'IS (After Changes)'!E31</f>
        <v>-5.4632605740785154</v>
      </c>
      <c r="F48" s="346">
        <f>(F46-F47)/'IS (After Changes)'!F31</f>
        <v>-4.9885527391659839</v>
      </c>
      <c r="G48" s="346">
        <f>(G46-G47)/'IS (After Changes)'!G31</f>
        <v>-6.6975821179389685</v>
      </c>
      <c r="H48" s="347">
        <f>(H46-H47)/'IS (After Changes)'!H31</f>
        <v>-6.6411774245864397</v>
      </c>
      <c r="I48" s="346">
        <f>(I46-I47)/'IS (After Changes)'!I31</f>
        <v>-7.0034424853064623</v>
      </c>
      <c r="J48" s="346">
        <f>(J46-J47)/'IS (After Changes)'!J31</f>
        <v>-9.4784449902600123</v>
      </c>
      <c r="K48" s="346">
        <f>(K46-K47)/'IS (After Changes)'!K31</f>
        <v>-10.62259306803594</v>
      </c>
      <c r="L48" s="346">
        <f>(L46-L47)/'IS (After Changes)'!L31</f>
        <v>-9.7625954198473242</v>
      </c>
      <c r="M48" s="347">
        <f>(M46-M47)/'IS (After Changes)'!M31</f>
        <v>-9.6019593007244595</v>
      </c>
      <c r="N48" s="346">
        <f>(N46-N47)/'IS (After Changes)'!N31</f>
        <v>-8.8433643279797032</v>
      </c>
      <c r="O48" s="346">
        <f>(O46-O47)/'IS (After Changes)'!O31</f>
        <v>-8.7442606347062704</v>
      </c>
      <c r="P48" s="346">
        <f>(P46-P47)/'IS (After Changes)'!P31</f>
        <v>-7.9459618951272892</v>
      </c>
      <c r="Q48" s="346">
        <f>(Q46-Q47)/'IS (After Changes)'!Q31</f>
        <v>-6.4956646182338496</v>
      </c>
      <c r="R48" s="347">
        <f>(R46-R47)/'IS (After Changes)'!R31</f>
        <v>-6.504862503325251</v>
      </c>
      <c r="S48" s="346">
        <f>(S46-S47)/'IS (After Changes)'!S31</f>
        <v>-8.8638449770525156</v>
      </c>
      <c r="T48" s="346">
        <f>(T46-T47)/'IS (After Changes)'!T31</f>
        <v>-10.167172198630722</v>
      </c>
      <c r="U48" s="346">
        <f>(U46-U47)/'IS (After Changes)'!U31</f>
        <v>-10.06342311033883</v>
      </c>
      <c r="V48" s="346">
        <f>(V46-V47)/'IS (After Changes)'!V31</f>
        <v>-10.049457700650754</v>
      </c>
      <c r="W48" s="347">
        <f>(W46-W47)/'IS (After Changes)'!W31</f>
        <v>-9.9985955103363526</v>
      </c>
      <c r="X48" s="346">
        <f>(X46-X47)/'IS (After Changes)'!X31</f>
        <v>-9.3407371216999628</v>
      </c>
      <c r="Y48" s="346">
        <f>(Y46-Y47)/'IS (After Changes)'!Y31</f>
        <v>-9.7318850437613005</v>
      </c>
      <c r="Z48" s="346">
        <f>(Z46-Z47)/'IS (After Changes)'!Z31</f>
        <v>-9.8683891482435655</v>
      </c>
      <c r="AA48" s="346">
        <f>(AA46-AA47)/'IS (After Changes)'!AA31</f>
        <v>-9.4488906529236747</v>
      </c>
      <c r="AB48" s="347">
        <f>(AB46-AB47)/'IS (After Changes)'!AB31</f>
        <v>-9.4618020478471312</v>
      </c>
      <c r="AC48" s="346">
        <f>(AC46-AC47)/'IS (After Changes)'!AC31</f>
        <v>-8.5962852921243602</v>
      </c>
      <c r="AD48" s="346">
        <f>(AD46-AD47)/'IS (After Changes)'!AD31</f>
        <v>-8.7159663757747374</v>
      </c>
      <c r="AE48" s="346">
        <f>(AE46-AE47)/'IS (After Changes)'!AE31</f>
        <v>-8.5847989134451517</v>
      </c>
      <c r="AF48" s="346">
        <f>(AF46-AF47)/'IS (After Changes)'!AF31</f>
        <v>-8.2060679821097171</v>
      </c>
      <c r="AG48" s="347">
        <f>(AG46-AG47)/'IS (After Changes)'!AG31</f>
        <v>-8.2103125193101398</v>
      </c>
      <c r="AH48" s="346">
        <f>(AH46-AH47)/'IS (After Changes)'!AH31</f>
        <v>-7.2801241444582825</v>
      </c>
      <c r="AI48" s="346">
        <f>(AI46-AI47)/'IS (After Changes)'!AI31</f>
        <v>-7.3869821189328135</v>
      </c>
      <c r="AJ48" s="346">
        <f>(AJ46-AJ47)/'IS (After Changes)'!AJ31</f>
        <v>-12.199417628265982</v>
      </c>
      <c r="AK48" s="346">
        <f>(AK46-AK47)/'IS (After Changes)'!AK31</f>
        <v>-17.005774247626022</v>
      </c>
      <c r="AL48" s="347">
        <f>(AL46-AL47)/'IS (After Changes)'!AL31</f>
        <v>-16.20140041955748</v>
      </c>
      <c r="AM48" s="346">
        <f>(AM46-AM47)/'IS (After Changes)'!AM31</f>
        <v>-15.922903098068902</v>
      </c>
      <c r="AN48" s="346">
        <f>(AN46-AN47)/'IS (After Changes)'!AN31</f>
        <v>-16.183820054393976</v>
      </c>
      <c r="AO48" s="346">
        <f>(AO46-AO47)/'IS (After Changes)'!AO31</f>
        <v>-16.007035972979278</v>
      </c>
      <c r="AP48" s="346">
        <f>(AP46-AP47)/'IS (After Changes)'!AP31</f>
        <v>-15.351201654548532</v>
      </c>
      <c r="AQ48" s="347">
        <f>(AQ46-AQ47)/'IS (After Changes)'!AQ31</f>
        <v>-15.331582526110505</v>
      </c>
      <c r="AR48" s="346">
        <f>(AR46-AR47)/'IS (After Changes)'!AR31</f>
        <v>-14.100890805501388</v>
      </c>
      <c r="AS48" s="346">
        <f>(AS46-AS47)/'IS (After Changes)'!AS31</f>
        <v>-14.267352652522</v>
      </c>
      <c r="AT48" s="346">
        <f>(AT46-AT47)/'IS (After Changes)'!AT31</f>
        <v>-13.955980954411187</v>
      </c>
      <c r="AU48" s="346">
        <f>(AU46-AU47)/'IS (After Changes)'!AU31</f>
        <v>-13.240502062148934</v>
      </c>
      <c r="AV48" s="347">
        <f>(AV46-AV47)/'IS (After Changes)'!AV31</f>
        <v>-13.224148542285844</v>
      </c>
    </row>
    <row r="49" spans="2:48" x14ac:dyDescent="0.3">
      <c r="B49" s="537"/>
      <c r="C49" s="5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494" t="s">
        <v>306</v>
      </c>
      <c r="C50" s="495"/>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12"/>
      <c r="C51" s="513"/>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510" t="s">
        <v>307</v>
      </c>
      <c r="C52" s="511"/>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(After Changes)'!D8</f>
        <v>1.4669742337208073E-2</v>
      </c>
      <c r="E53" s="281">
        <f>E12/'IS (After Changes)'!E8</f>
        <v>1.5033540018078308E-2</v>
      </c>
      <c r="F53" s="113">
        <f>F12/'IS (After Changes)'!F8</f>
        <v>9.2774439396160081E-3</v>
      </c>
      <c r="G53" s="113">
        <f>G12/'IS (After Changes)'!G8</f>
        <v>7.7960575070401619E-3</v>
      </c>
      <c r="H53" s="125">
        <f>H12/'IS (After Changes)'!H8</f>
        <v>1.1618870857004896E-2</v>
      </c>
      <c r="I53" s="113">
        <f>I12/'IS (After Changes)'!I8</f>
        <v>1.2723506784461259E-2</v>
      </c>
      <c r="J53" s="113">
        <f>J12/'IS (After Changes)'!J8</f>
        <v>9.3900628783961833E-3</v>
      </c>
      <c r="K53" s="113">
        <f>K12/'IS (After Changes)'!K8</f>
        <v>9.8055470026763899E-3</v>
      </c>
      <c r="L53" s="113">
        <f>L12/'IS (After Changes)'!L8</f>
        <v>9.7693088939401224E-3</v>
      </c>
      <c r="M53" s="282">
        <f>M12/'IS (After Changes)'!M8</f>
        <v>1.0570626753975675E-2</v>
      </c>
      <c r="N53" s="113">
        <f>N12/'IS (After Changes)'!N8</f>
        <v>1.4712418881678371E-2</v>
      </c>
      <c r="O53" s="113">
        <f>O12/'IS (After Changes)'!O8</f>
        <v>1.1397720455908821E-2</v>
      </c>
      <c r="P53" s="113">
        <f>P12/'IS (After Changes)'!P8</f>
        <v>1.0671646768491964E-2</v>
      </c>
      <c r="Q53" s="113">
        <f>Q12/'IS (After Changes)'!Q8</f>
        <v>7.8313918519155035E-3</v>
      </c>
      <c r="R53" s="282">
        <f>R12/'IS (After Changes)'!R8</f>
        <v>1.0980502811366593E-2</v>
      </c>
      <c r="S53" s="113">
        <f>S12/'IS (After Changes)'!S8</f>
        <v>1.1900029812183245E-2</v>
      </c>
      <c r="T53" s="113">
        <f>T12/'IS (After Changes)'!T8</f>
        <v>6.9935564985069932E-3</v>
      </c>
      <c r="U53" s="113">
        <f>U12/'IS (After Changes)'!U8</f>
        <v>7.0428583698359517E-3</v>
      </c>
      <c r="V53" s="113">
        <f>V12/'IS (After Changes)'!V8</f>
        <v>7.7131515770958682E-3</v>
      </c>
      <c r="W53" s="282"/>
      <c r="X53" s="35">
        <f>AVERAGE(V53,U53,T53,S53)</f>
        <v>8.4123990644055149E-3</v>
      </c>
      <c r="Y53" s="35">
        <f>AVERAGE(X53,V53,U53,T53)</f>
        <v>7.5404913774610822E-3</v>
      </c>
      <c r="Z53" s="35">
        <f>AVERAGE(Y53,X53,V53,U53)</f>
        <v>7.6772250971996045E-3</v>
      </c>
      <c r="AA53" s="35">
        <f>AVERAGE(Z53,Y53,X53,V53)</f>
        <v>7.8358167790405168E-3</v>
      </c>
      <c r="AB53" s="282"/>
      <c r="AC53" s="35">
        <f>AVERAGE(AA53,Z53,Y53,X53)</f>
        <v>7.8664830795266791E-3</v>
      </c>
      <c r="AD53" s="35">
        <f>AVERAGE(AC53,AA53,Z53,Y53)</f>
        <v>7.7300040833069711E-3</v>
      </c>
      <c r="AE53" s="35">
        <f>AVERAGE(AD53,AC53,AA53,Z53)</f>
        <v>7.7773822597684431E-3</v>
      </c>
      <c r="AF53" s="35">
        <f>AVERAGE(AE53,AD53,AC53,AA53)</f>
        <v>7.8024215504106514E-3</v>
      </c>
      <c r="AG53" s="282"/>
      <c r="AH53" s="35">
        <f>AVERAGE(AF53,AE53,AD53,AC53)</f>
        <v>7.7940727432531855E-3</v>
      </c>
      <c r="AI53" s="35">
        <f>AVERAGE(AH53,AF53,AE53,AD53)</f>
        <v>7.775970159184813E-3</v>
      </c>
      <c r="AJ53" s="35">
        <f>AVERAGE(AI53,AH53,AF53,AE53)</f>
        <v>7.7874616781542731E-3</v>
      </c>
      <c r="AK53" s="35">
        <f>AVERAGE(AJ53,AI53,AH53,AF53)</f>
        <v>7.7899815327507303E-3</v>
      </c>
      <c r="AL53" s="282"/>
      <c r="AM53" s="35">
        <f>AVERAGE(AK53,AJ53,AI53,AH53)</f>
        <v>7.7868715283357509E-3</v>
      </c>
      <c r="AN53" s="35">
        <f>AVERAGE(AM53,AK53,AJ53,AI53)</f>
        <v>7.7850712246063918E-3</v>
      </c>
      <c r="AO53" s="35">
        <f>AVERAGE(AN53,AM53,AK53,AJ53)</f>
        <v>7.7873464909617857E-3</v>
      </c>
      <c r="AP53" s="35">
        <f>AVERAGE(AO53,AN53,AM53,AK53)</f>
        <v>7.7873176941636651E-3</v>
      </c>
      <c r="AQ53" s="282"/>
      <c r="AR53" s="35">
        <f>AVERAGE(AP53,AO53,AN53,AM53)</f>
        <v>7.786651734516899E-3</v>
      </c>
      <c r="AS53" s="35">
        <f>AVERAGE(AR53,AP53,AO53,AN53)</f>
        <v>7.7865967860621856E-3</v>
      </c>
      <c r="AT53" s="35">
        <f>AVERAGE(AS53,AR53,AP53,AO53)</f>
        <v>7.7869781764261341E-3</v>
      </c>
      <c r="AU53" s="35">
        <f>AVERAGE(AT53,AS53,AR53,AP53)</f>
        <v>7.7868860977922212E-3</v>
      </c>
      <c r="AV53" s="282"/>
    </row>
    <row r="54" spans="2:48" s="23" customFormat="1" outlineLevel="1" x14ac:dyDescent="0.3">
      <c r="B54" s="200" t="s">
        <v>309</v>
      </c>
      <c r="C54" s="201"/>
      <c r="D54" s="351">
        <f t="shared" ref="D54:V54" si="41">+D10/-D9</f>
        <v>1.1581818181818182</v>
      </c>
      <c r="E54" s="351">
        <f t="shared" si="41"/>
        <v>0.55639097744360888</v>
      </c>
      <c r="F54" s="113">
        <f t="shared" si="41"/>
        <v>1.0682852807283763</v>
      </c>
      <c r="G54" s="113">
        <f t="shared" si="41"/>
        <v>0.69411764705882406</v>
      </c>
      <c r="H54" s="125">
        <f t="shared" si="41"/>
        <v>0.86512370311252995</v>
      </c>
      <c r="I54" s="113">
        <f t="shared" si="41"/>
        <v>1.0222575516693164</v>
      </c>
      <c r="J54" s="113">
        <f t="shared" si="41"/>
        <v>0.63295880149812733</v>
      </c>
      <c r="K54" s="113">
        <f t="shared" si="41"/>
        <v>1.0227272727272729</v>
      </c>
      <c r="L54" s="113">
        <f t="shared" si="41"/>
        <v>0.63109756097560987</v>
      </c>
      <c r="M54" s="282">
        <f t="shared" si="41"/>
        <v>0.81118631991449952</v>
      </c>
      <c r="N54" s="113">
        <f t="shared" si="41"/>
        <v>1.1188405797101451</v>
      </c>
      <c r="O54" s="113">
        <f t="shared" si="41"/>
        <v>0.85072231139646837</v>
      </c>
      <c r="P54" s="113">
        <f t="shared" si="41"/>
        <v>0.9018691588785045</v>
      </c>
      <c r="Q54" s="113">
        <f t="shared" si="41"/>
        <v>1.0027522935779816</v>
      </c>
      <c r="R54" s="282">
        <f t="shared" si="41"/>
        <v>0.96746328822343797</v>
      </c>
      <c r="S54" s="113">
        <f t="shared" si="41"/>
        <v>0.96351931330472096</v>
      </c>
      <c r="T54" s="113">
        <f t="shared" si="41"/>
        <v>0.77531206657420249</v>
      </c>
      <c r="U54" s="113">
        <f t="shared" si="41"/>
        <v>0.80106571936056836</v>
      </c>
      <c r="V54" s="113">
        <f t="shared" si="41"/>
        <v>0.91035218783351113</v>
      </c>
      <c r="W54" s="282"/>
      <c r="X54" s="35">
        <v>1</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486" t="s">
        <v>310</v>
      </c>
      <c r="C55" s="487"/>
      <c r="D55" s="352"/>
      <c r="E55" s="352"/>
      <c r="F55" s="352"/>
      <c r="G55" s="352"/>
      <c r="H55" s="353"/>
      <c r="I55" s="352">
        <f t="shared" ref="I55:AV55" si="42">I22/D22-1</f>
        <v>-0.22820512820512895</v>
      </c>
      <c r="J55" s="352">
        <f t="shared" si="42"/>
        <v>-4.4869364754098413</v>
      </c>
      <c r="K55" s="352">
        <f t="shared" si="42"/>
        <v>-1.314434752864716</v>
      </c>
      <c r="L55" s="352">
        <f t="shared" si="42"/>
        <v>0.34527569713924766</v>
      </c>
      <c r="M55" s="353">
        <f t="shared" si="42"/>
        <v>-0.68340961778517451</v>
      </c>
      <c r="N55" s="352">
        <f t="shared" si="42"/>
        <v>-2.1785305811139466E-4</v>
      </c>
      <c r="O55" s="352">
        <f t="shared" si="42"/>
        <v>-1.649232351428781</v>
      </c>
      <c r="P55" s="352">
        <f t="shared" si="42"/>
        <v>-5.7565950503127619</v>
      </c>
      <c r="Q55" s="352">
        <f t="shared" si="42"/>
        <v>2.012477359629572E-2</v>
      </c>
      <c r="R55" s="353">
        <f t="shared" si="42"/>
        <v>2.7484040555764064</v>
      </c>
      <c r="S55" s="352">
        <f t="shared" si="42"/>
        <v>1.9175246499972598E-2</v>
      </c>
      <c r="T55" s="352">
        <f t="shared" si="42"/>
        <v>-0.81681375876895213</v>
      </c>
      <c r="U55" s="352">
        <f t="shared" si="42"/>
        <v>-0.27684391080617499</v>
      </c>
      <c r="V55" s="352">
        <f t="shared" si="42"/>
        <v>-0.27691194844479561</v>
      </c>
      <c r="W55" s="353">
        <f t="shared" si="42"/>
        <v>-0.26581179456354764</v>
      </c>
      <c r="X55" s="352">
        <f t="shared" si="42"/>
        <v>8.3742337629981067E-2</v>
      </c>
      <c r="Y55" s="352">
        <f t="shared" si="42"/>
        <v>3.4775768707036807</v>
      </c>
      <c r="Z55" s="352">
        <f t="shared" si="42"/>
        <v>-0.12903605743873514</v>
      </c>
      <c r="AA55" s="352">
        <f t="shared" si="42"/>
        <v>0.62891051518117247</v>
      </c>
      <c r="AB55" s="353">
        <f t="shared" si="42"/>
        <v>0.28382571451913985</v>
      </c>
      <c r="AC55" s="352">
        <f t="shared" si="42"/>
        <v>0.12630246515378407</v>
      </c>
      <c r="AD55" s="352">
        <f t="shared" si="42"/>
        <v>0.5206573220884585</v>
      </c>
      <c r="AE55" s="352">
        <f t="shared" si="42"/>
        <v>0.44304822220838891</v>
      </c>
      <c r="AF55" s="352">
        <f t="shared" si="42"/>
        <v>7.7404028971542305E-2</v>
      </c>
      <c r="AG55" s="353">
        <f t="shared" si="42"/>
        <v>0.22323668310304434</v>
      </c>
      <c r="AH55" s="352">
        <f t="shared" si="42"/>
        <v>0.10470981877260832</v>
      </c>
      <c r="AI55" s="352">
        <f t="shared" si="42"/>
        <v>0.14806694918723995</v>
      </c>
      <c r="AJ55" s="352">
        <f t="shared" si="42"/>
        <v>0.12819800874060139</v>
      </c>
      <c r="AK55" s="352">
        <f t="shared" si="42"/>
        <v>0.12602267486143148</v>
      </c>
      <c r="AL55" s="353">
        <f t="shared" si="42"/>
        <v>0.12299424554702121</v>
      </c>
      <c r="AM55" s="352">
        <f t="shared" si="42"/>
        <v>0.14197412044869107</v>
      </c>
      <c r="AN55" s="352">
        <f t="shared" si="42"/>
        <v>8.5616443122389585E-2</v>
      </c>
      <c r="AO55" s="352">
        <f t="shared" si="42"/>
        <v>6.812687949008156E-2</v>
      </c>
      <c r="AP55" s="352">
        <f t="shared" si="42"/>
        <v>0.12742198811547634</v>
      </c>
      <c r="AQ55" s="353">
        <f t="shared" si="42"/>
        <v>0.11162030581404325</v>
      </c>
      <c r="AR55" s="352">
        <f t="shared" si="42"/>
        <v>7.2043849256590242E-2</v>
      </c>
      <c r="AS55" s="352">
        <f t="shared" si="42"/>
        <v>9.3612567995915441E-2</v>
      </c>
      <c r="AT55" s="352">
        <f t="shared" si="42"/>
        <v>0.10470167177424528</v>
      </c>
      <c r="AU55" s="352">
        <f t="shared" si="42"/>
        <v>5.1980521627187803E-2</v>
      </c>
      <c r="AV55" s="353">
        <f t="shared" si="42"/>
        <v>7.7036835369447498E-2</v>
      </c>
    </row>
    <row r="56" spans="2:48" outlineLevel="1" x14ac:dyDescent="0.3">
      <c r="B56" s="200" t="s">
        <v>311</v>
      </c>
      <c r="C56" s="356"/>
      <c r="D56" s="351">
        <f>-D25/'IS (After Changes)'!D8</f>
        <v>6.5041385860961587E-2</v>
      </c>
      <c r="E56" s="351">
        <f>-E25/'IS (After Changes)'!E8</f>
        <v>6.5684517673924428E-2</v>
      </c>
      <c r="F56" s="113">
        <f>-F25/'IS (After Changes)'!F8</f>
        <v>6.3769602814011436E-2</v>
      </c>
      <c r="G56" s="113">
        <f>-G25/'IS (After Changes)'!G8</f>
        <v>7.7945753668297008E-2</v>
      </c>
      <c r="H56" s="363">
        <f>-H25/'IS (After Changes)'!H8</f>
        <v>6.8151467825535855E-2</v>
      </c>
      <c r="I56" s="354">
        <f>-I25/'IS (After Changes)'!I8</f>
        <v>5.555790393259219E-2</v>
      </c>
      <c r="J56" s="118">
        <f>-J25/'IS (After Changes)'!J8</f>
        <v>6.0710175625865198E-2</v>
      </c>
      <c r="K56" s="118">
        <f>-K25/'IS (After Changes)'!K8</f>
        <v>9.0026290234717338E-2</v>
      </c>
      <c r="L56" s="113">
        <f>-L25/'IS (After Changes)'!L8</f>
        <v>5.5649594557559891E-2</v>
      </c>
      <c r="M56" s="353">
        <f>-M25/'IS (After Changes)'!M8</f>
        <v>6.3083595543838744E-2</v>
      </c>
      <c r="N56" s="354">
        <f>-N25/'IS (After Changes)'!N8</f>
        <v>4.8033899309568251E-2</v>
      </c>
      <c r="O56" s="118">
        <f>-O25/'IS (After Changes)'!O8</f>
        <v>4.8545290941811634E-2</v>
      </c>
      <c r="P56" s="118">
        <f>-P25/'IS (After Changes)'!P8</f>
        <v>4.5061028479957313E-2</v>
      </c>
      <c r="Q56" s="118">
        <f>-Q25/'IS (After Changes)'!Q8</f>
        <v>5.9447383603176751E-2</v>
      </c>
      <c r="R56" s="353">
        <f>-R25/'IS (After Changes)'!R8</f>
        <v>5.058395215515165E-2</v>
      </c>
      <c r="S56" s="354">
        <f>-S25/'IS (After Changes)'!S8</f>
        <v>5.1773824903110409E-2</v>
      </c>
      <c r="T56" s="118">
        <f>-T25/'IS (After Changes)'!T8</f>
        <v>5.9602388810309603E-2</v>
      </c>
      <c r="U56" s="118">
        <f>-U25/'IS (After Changes)'!U8</f>
        <v>5.1962552606716499E-2</v>
      </c>
      <c r="V56" s="118">
        <f>-V25/'IS (After Changes)'!V8</f>
        <v>6.4878419814123733E-2</v>
      </c>
      <c r="W56" s="353">
        <f>-W25/'IS (After Changes)'!W8</f>
        <v>5.7094042536038427E-2</v>
      </c>
      <c r="X56" s="355">
        <v>6.9490662855964933E-2</v>
      </c>
      <c r="Y56" s="355">
        <f>X56</f>
        <v>6.9490662855964933E-2</v>
      </c>
      <c r="Z56" s="355">
        <f>Y56</f>
        <v>6.9490662855964933E-2</v>
      </c>
      <c r="AA56" s="355">
        <f>Z56</f>
        <v>6.9490662855964933E-2</v>
      </c>
      <c r="AB56" s="353">
        <f>-AB25/'IS (After Changes)'!AB8</f>
        <v>6.9490662855964933E-2</v>
      </c>
      <c r="AC56" s="355">
        <v>6.9237389235761101E-2</v>
      </c>
      <c r="AD56" s="35">
        <f>AC56</f>
        <v>6.9237389235761101E-2</v>
      </c>
      <c r="AE56" s="35">
        <f>AD56</f>
        <v>6.9237389235761101E-2</v>
      </c>
      <c r="AF56" s="35">
        <f>AE56</f>
        <v>6.9237389235761101E-2</v>
      </c>
      <c r="AG56" s="353">
        <f>-AG25/'IS (After Changes)'!AG8</f>
        <v>6.9237389235761101E-2</v>
      </c>
      <c r="AH56" s="355">
        <v>6.2089303557495354E-2</v>
      </c>
      <c r="AI56" s="35">
        <f>AH56</f>
        <v>6.2089303557495354E-2</v>
      </c>
      <c r="AJ56" s="35">
        <f>AI56</f>
        <v>6.2089303557495354E-2</v>
      </c>
      <c r="AK56" s="35">
        <f>AJ56</f>
        <v>6.2089303557495354E-2</v>
      </c>
      <c r="AL56" s="353">
        <f>-AL25/'IS (After Changes)'!AL8</f>
        <v>6.2089303557495347E-2</v>
      </c>
      <c r="AM56" s="355">
        <f>AVERAGE(AH56,AI56,AJ56,AK56)</f>
        <v>6.2089303557495354E-2</v>
      </c>
      <c r="AN56" s="35">
        <f>AVERAGE(AI56,AJ56,AK56,AM56)</f>
        <v>6.2089303557495354E-2</v>
      </c>
      <c r="AO56" s="35">
        <f>AVERAGE(AN56,AM56,AK56,AJ56)</f>
        <v>6.2089303557495354E-2</v>
      </c>
      <c r="AP56" s="35">
        <f>AVERAGE(AO56,AN56,AM56,AK56)</f>
        <v>6.2089303557495354E-2</v>
      </c>
      <c r="AQ56" s="353">
        <f>-AQ25/'IS (After Changes)'!AQ8</f>
        <v>6.2089303557495354E-2</v>
      </c>
      <c r="AR56" s="355">
        <f>AVERAGE(AM56,AN56,AO56,AP56)</f>
        <v>6.2089303557495354E-2</v>
      </c>
      <c r="AS56" s="35">
        <f>AVERAGE(AN56,AO56,AP56,AR56)</f>
        <v>6.2089303557495354E-2</v>
      </c>
      <c r="AT56" s="35">
        <f>AVERAGE(AS56,AR56,AP56,AO56)</f>
        <v>6.2089303557495354E-2</v>
      </c>
      <c r="AU56" s="35">
        <f>AVERAGE(AT56,AS56,AR56,AP56)</f>
        <v>6.2089303557495354E-2</v>
      </c>
      <c r="AV56" s="353">
        <f>-AV25/'IS (After Changes)'!AV8</f>
        <v>6.2089303557495347E-2</v>
      </c>
    </row>
    <row r="57" spans="2:48" outlineLevel="1" x14ac:dyDescent="0.3">
      <c r="B57" s="200" t="s">
        <v>312</v>
      </c>
      <c r="C57" s="356"/>
      <c r="D57" s="299">
        <f>-D34-D33</f>
        <v>5561.4</v>
      </c>
      <c r="E57" s="299">
        <f t="shared" ref="E57:AV57" si="43">-E34-E33</f>
        <v>3161</v>
      </c>
      <c r="F57" s="146">
        <f t="shared" si="43"/>
        <v>581.20000000000005</v>
      </c>
      <c r="G57" s="146">
        <f t="shared" si="43"/>
        <v>2679.9999999999995</v>
      </c>
      <c r="H57" s="122">
        <f t="shared" si="43"/>
        <v>11983.599999999999</v>
      </c>
      <c r="I57" s="299">
        <f t="shared" si="43"/>
        <v>1575.6000000000001</v>
      </c>
      <c r="J57" s="146">
        <f t="shared" si="43"/>
        <v>1088.5</v>
      </c>
      <c r="K57" s="146">
        <f t="shared" si="43"/>
        <v>479.00000000000006</v>
      </c>
      <c r="L57" s="146">
        <f t="shared" si="43"/>
        <v>479.3</v>
      </c>
      <c r="M57" s="122">
        <f t="shared" si="43"/>
        <v>3622.4</v>
      </c>
      <c r="N57" s="299">
        <f t="shared" si="43"/>
        <v>528.20000000000005</v>
      </c>
      <c r="O57" s="146">
        <f t="shared" si="43"/>
        <v>529.79999999999995</v>
      </c>
      <c r="P57" s="146">
        <f t="shared" si="43"/>
        <v>530.20000000000005</v>
      </c>
      <c r="Q57" s="146">
        <f t="shared" si="43"/>
        <v>530.79999999999995</v>
      </c>
      <c r="R57" s="122">
        <f t="shared" si="43"/>
        <v>2119</v>
      </c>
      <c r="S57" s="299">
        <f t="shared" si="43"/>
        <v>4096.8999999999996</v>
      </c>
      <c r="T57" s="146">
        <f t="shared" si="43"/>
        <v>1039.8</v>
      </c>
      <c r="U57" s="146">
        <f t="shared" si="43"/>
        <v>577.39999999999986</v>
      </c>
      <c r="V57" s="146">
        <f t="shared" si="43"/>
        <v>562.20000000000027</v>
      </c>
      <c r="W57" s="122">
        <f>-W34-W33</f>
        <v>6276.3</v>
      </c>
      <c r="X57" s="299">
        <f t="shared" si="43"/>
        <v>609.58030771444623</v>
      </c>
      <c r="Y57" s="299">
        <f t="shared" si="43"/>
        <v>610.79946832987514</v>
      </c>
      <c r="Z57" s="299">
        <f t="shared" si="43"/>
        <v>612.02106726653483</v>
      </c>
      <c r="AA57" s="299">
        <f t="shared" si="43"/>
        <v>643.90736487112133</v>
      </c>
      <c r="AB57" s="166">
        <f t="shared" si="43"/>
        <v>2476.3082081819775</v>
      </c>
      <c r="AC57" s="299">
        <f t="shared" si="43"/>
        <v>609.58030771444623</v>
      </c>
      <c r="AD57" s="146">
        <f t="shared" si="43"/>
        <v>610.79946832987514</v>
      </c>
      <c r="AE57" s="146">
        <f t="shared" si="43"/>
        <v>712.02106726653483</v>
      </c>
      <c r="AF57" s="146">
        <f t="shared" si="43"/>
        <v>743.90736487112133</v>
      </c>
      <c r="AG57" s="166">
        <f t="shared" si="43"/>
        <v>2676.3082081819775</v>
      </c>
      <c r="AH57" s="299">
        <f t="shared" si="43"/>
        <v>745.19517960086364</v>
      </c>
      <c r="AI57" s="146">
        <f t="shared" si="43"/>
        <v>746.48556996006528</v>
      </c>
      <c r="AJ57" s="146">
        <f t="shared" si="43"/>
        <v>6089.2659112546717</v>
      </c>
      <c r="AK57" s="146">
        <f>-AK34-AK33</f>
        <v>6122.4709263324003</v>
      </c>
      <c r="AL57" s="122">
        <f t="shared" si="43"/>
        <v>13703.417587148</v>
      </c>
      <c r="AM57" s="299">
        <f t="shared" si="43"/>
        <v>931.35688131476138</v>
      </c>
      <c r="AN57" s="146">
        <f t="shared" si="43"/>
        <v>932.2257679168971</v>
      </c>
      <c r="AO57" s="146">
        <f t="shared" si="43"/>
        <v>906.71623823142136</v>
      </c>
      <c r="AP57" s="146">
        <f t="shared" si="43"/>
        <v>912.71347396090346</v>
      </c>
      <c r="AQ57" s="122">
        <f t="shared" si="43"/>
        <v>3683.0123614239833</v>
      </c>
      <c r="AR57" s="299">
        <f t="shared" si="43"/>
        <v>912.795119814298</v>
      </c>
      <c r="AS57" s="146">
        <f t="shared" si="43"/>
        <v>912.87692895939927</v>
      </c>
      <c r="AT57" s="146">
        <f t="shared" si="43"/>
        <v>912.95890172279076</v>
      </c>
      <c r="AU57" s="146">
        <f t="shared" si="43"/>
        <v>926.3018592003433</v>
      </c>
      <c r="AV57" s="122">
        <f t="shared" si="43"/>
        <v>3664.9328096968311</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609.58030771444623</v>
      </c>
      <c r="Y58" s="365">
        <f>+Y57+X58</f>
        <v>1220.3797760443213</v>
      </c>
      <c r="Z58" s="365">
        <f t="shared" ref="Z58:AA58" si="44">+Z57+Y58</f>
        <v>1832.4008433108561</v>
      </c>
      <c r="AA58" s="365">
        <f t="shared" si="44"/>
        <v>2476.3082081819775</v>
      </c>
      <c r="AB58" s="368">
        <f>AA58</f>
        <v>2476.3082081819775</v>
      </c>
      <c r="AC58" s="365">
        <f>AA58+AC57</f>
        <v>3085.888515896424</v>
      </c>
      <c r="AD58" s="365">
        <f>AC58+AD57</f>
        <v>3696.6879842262992</v>
      </c>
      <c r="AE58" s="365">
        <f t="shared" ref="AE58:AF58" si="45">AD58+AE57</f>
        <v>4408.7090514928341</v>
      </c>
      <c r="AF58" s="365">
        <f t="shared" si="45"/>
        <v>5152.6164163639551</v>
      </c>
      <c r="AG58" s="368">
        <f>+AF58</f>
        <v>5152.6164163639551</v>
      </c>
      <c r="AH58" s="365">
        <f>AF58+AH57</f>
        <v>5897.8115959648185</v>
      </c>
      <c r="AI58" s="365">
        <f>AH58+AI57</f>
        <v>6644.2971659248833</v>
      </c>
      <c r="AJ58" s="365">
        <f t="shared" ref="AJ58" si="46">AI58+AJ57</f>
        <v>12733.563077179555</v>
      </c>
      <c r="AK58" s="365">
        <f>AJ58+AK57</f>
        <v>18856.034003511955</v>
      </c>
      <c r="AL58" s="394">
        <f>+AK58</f>
        <v>18856.034003511955</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(After Changes)'!AL34/'IS (After Changes)'!W34)^(1/3)-1</f>
        <v>0.20959913127075791</v>
      </c>
    </row>
    <row r="60" spans="2:48" x14ac:dyDescent="0.3">
      <c r="B60" s="308" t="s">
        <v>330</v>
      </c>
      <c r="D60" s="399"/>
      <c r="E60" s="399"/>
      <c r="I60" s="399"/>
      <c r="J60" s="399"/>
      <c r="N60" s="399"/>
      <c r="O60" s="399"/>
      <c r="S60" s="399"/>
      <c r="T60" s="399"/>
      <c r="X60" s="399"/>
      <c r="Y60" s="399"/>
      <c r="AC60" s="399"/>
      <c r="AD60" s="399"/>
      <c r="AH60" s="399"/>
      <c r="AI60" s="399"/>
      <c r="AL60" s="29">
        <v>0.16966830366076002</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3.9930827609997888E-2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(0.15+1)^3*2.88</f>
        <v>4.3801199999999989</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(0.2+1)^3*2.88</f>
        <v>4.9766399999999997</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(('IS (After Changes)'!AK57+'IS (After Changes)'!AK90)/('IS (After Changes)'!V57+'IS (After Changes)'!V90))^(1/3)-1</f>
        <v>6.9563558604510023E-2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('IS (After Changes)'!AL8/'IS (After Changes)'!W8)^(1/3)-1</f>
        <v>0.11730645449563548</v>
      </c>
      <c r="AM65" s="48"/>
      <c r="AN65" s="48"/>
      <c r="AO65" s="309"/>
      <c r="AP65" s="309"/>
      <c r="AQ65" s="309"/>
      <c r="AR65" s="48"/>
      <c r="AS65" s="48"/>
      <c r="AT65" s="309"/>
      <c r="AU65" s="309"/>
      <c r="AV65" s="309"/>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EF520-1184-4115-AFF8-7B342F1853A4}">
  <sheetPr>
    <tabColor theme="4" tint="0.39997558519241921"/>
  </sheetPr>
  <dimension ref="A1"/>
  <sheetViews>
    <sheetView showGridLines="0" workbookViewId="0">
      <selection activeCell="Q59" sqref="Q59"/>
    </sheetView>
  </sheetViews>
  <sheetFormatPr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EF8A2-B9BB-4E47-953E-531DBE85BD5E}">
  <sheetPr>
    <tabColor theme="4" tint="0.39997558519241921"/>
  </sheetPr>
  <dimension ref="B2:G38"/>
  <sheetViews>
    <sheetView showGridLines="0" topLeftCell="A9" workbookViewId="0">
      <selection activeCell="B2" sqref="B2:G2"/>
    </sheetView>
  </sheetViews>
  <sheetFormatPr defaultRowHeight="14.4" x14ac:dyDescent="0.3"/>
  <cols>
    <col min="1" max="1" width="2.44140625" customWidth="1"/>
    <col min="2" max="2" width="28.33203125" customWidth="1"/>
    <col min="3" max="3" width="12.5546875" customWidth="1"/>
    <col min="4" max="4" width="2.33203125" customWidth="1"/>
    <col min="5" max="5" width="36.109375" customWidth="1"/>
    <col min="6" max="6" width="11.5546875" customWidth="1"/>
    <col min="7" max="7" width="86.109375" customWidth="1"/>
  </cols>
  <sheetData>
    <row r="2" spans="2:7" ht="30" customHeight="1" x14ac:dyDescent="0.3">
      <c r="B2" s="545" t="s">
        <v>405</v>
      </c>
      <c r="C2" s="546"/>
      <c r="D2" s="546"/>
      <c r="E2" s="546"/>
      <c r="F2" s="546"/>
      <c r="G2" s="547"/>
    </row>
    <row r="3" spans="2:7" ht="8.4" customHeight="1" x14ac:dyDescent="0.3"/>
    <row r="4" spans="2:7" ht="15.6" x14ac:dyDescent="0.3">
      <c r="B4" s="494" t="s">
        <v>335</v>
      </c>
      <c r="C4" s="544"/>
      <c r="E4" s="494" t="s">
        <v>350</v>
      </c>
      <c r="F4" s="544"/>
      <c r="G4" s="460" t="s">
        <v>384</v>
      </c>
    </row>
    <row r="5" spans="2:7" ht="14.4" customHeight="1" x14ac:dyDescent="0.3">
      <c r="B5" s="308" t="s">
        <v>338</v>
      </c>
      <c r="C5" s="481">
        <v>27.5</v>
      </c>
      <c r="E5" s="432" t="s">
        <v>351</v>
      </c>
      <c r="F5" s="399"/>
      <c r="G5" s="461"/>
    </row>
    <row r="6" spans="2:7" ht="16.2" customHeight="1" x14ac:dyDescent="0.3">
      <c r="B6" s="308" t="s">
        <v>339</v>
      </c>
      <c r="C6" s="421">
        <v>30.8</v>
      </c>
      <c r="E6" s="433" t="s">
        <v>352</v>
      </c>
      <c r="F6" s="483">
        <v>114</v>
      </c>
      <c r="G6" s="461" t="s">
        <v>399</v>
      </c>
    </row>
    <row r="7" spans="2:7" ht="16.2" x14ac:dyDescent="0.45">
      <c r="B7" s="308" t="s">
        <v>340</v>
      </c>
      <c r="C7" s="421">
        <v>24.7</v>
      </c>
      <c r="E7" s="433" t="s">
        <v>353</v>
      </c>
      <c r="F7" s="445">
        <f>'IS (After Changes)'!V31</f>
        <v>1152.5</v>
      </c>
      <c r="G7" s="461" t="s">
        <v>400</v>
      </c>
    </row>
    <row r="8" spans="2:7" x14ac:dyDescent="0.3">
      <c r="B8" s="308" t="s">
        <v>341</v>
      </c>
      <c r="C8" s="421" t="s">
        <v>345</v>
      </c>
      <c r="E8" s="434" t="s">
        <v>354</v>
      </c>
      <c r="F8" s="446">
        <f>F7*F6</f>
        <v>131385</v>
      </c>
      <c r="G8" s="461"/>
    </row>
    <row r="9" spans="2:7" x14ac:dyDescent="0.3">
      <c r="B9" s="180" t="s">
        <v>342</v>
      </c>
      <c r="C9" s="482">
        <v>30</v>
      </c>
      <c r="E9" s="442" t="s">
        <v>373</v>
      </c>
      <c r="F9" s="447"/>
      <c r="G9" s="461"/>
    </row>
    <row r="10" spans="2:7" ht="16.2" x14ac:dyDescent="0.45">
      <c r="B10" s="180" t="s">
        <v>336</v>
      </c>
      <c r="C10" s="422">
        <v>0</v>
      </c>
      <c r="E10" s="433" t="s">
        <v>355</v>
      </c>
      <c r="F10" s="448">
        <v>0.90400000000000003</v>
      </c>
      <c r="G10" s="461" t="s">
        <v>401</v>
      </c>
    </row>
    <row r="11" spans="2:7" ht="15" customHeight="1" x14ac:dyDescent="0.3">
      <c r="B11" s="423" t="s">
        <v>337</v>
      </c>
      <c r="C11" s="424">
        <f>C9*('IS (After Changes)'!X34+'IS (After Changes)'!Y34+'IS (After Changes)'!Z34+'IS (After Changes)'!AA34)</f>
        <v>100.7197599214566</v>
      </c>
      <c r="E11" s="433" t="s">
        <v>356</v>
      </c>
      <c r="F11" s="449">
        <v>0.35</v>
      </c>
      <c r="G11" s="461" t="s">
        <v>403</v>
      </c>
    </row>
    <row r="12" spans="2:7" ht="15" customHeight="1" x14ac:dyDescent="0.3">
      <c r="E12" s="433" t="s">
        <v>357</v>
      </c>
      <c r="F12" s="450">
        <v>0.2356</v>
      </c>
      <c r="G12" s="461" t="s">
        <v>404</v>
      </c>
    </row>
    <row r="13" spans="2:7" ht="15" customHeight="1" x14ac:dyDescent="0.3">
      <c r="B13" s="548" t="s">
        <v>409</v>
      </c>
      <c r="C13" s="549"/>
      <c r="E13" s="435" t="s">
        <v>387</v>
      </c>
      <c r="F13" s="451">
        <f>F11*F12</f>
        <v>8.2459999999999992E-2</v>
      </c>
      <c r="G13" s="461" t="s">
        <v>386</v>
      </c>
    </row>
    <row r="14" spans="2:7" x14ac:dyDescent="0.3">
      <c r="B14" s="550"/>
      <c r="C14" s="551"/>
      <c r="E14" s="433" t="s">
        <v>380</v>
      </c>
      <c r="F14" s="477">
        <v>5.0799999999999998E-2</v>
      </c>
      <c r="G14" s="461" t="s">
        <v>395</v>
      </c>
    </row>
    <row r="15" spans="2:7" x14ac:dyDescent="0.3">
      <c r="B15" s="550"/>
      <c r="C15" s="551"/>
      <c r="E15" s="434" t="s">
        <v>374</v>
      </c>
      <c r="F15" s="453">
        <f>F14+(F10*F13)</f>
        <v>0.12534383999999998</v>
      </c>
      <c r="G15" s="461"/>
    </row>
    <row r="16" spans="2:7" x14ac:dyDescent="0.3">
      <c r="B16" s="550"/>
      <c r="C16" s="551"/>
      <c r="E16" s="308" t="s">
        <v>358</v>
      </c>
      <c r="F16" s="454">
        <f>F8/(F8+'BS (After Changes)'!V28+'BS (After Changes)'!V31)</f>
        <v>0.89726140126709963</v>
      </c>
      <c r="G16" s="461"/>
    </row>
    <row r="17" spans="2:7" ht="14.4" customHeight="1" x14ac:dyDescent="0.3">
      <c r="B17" s="550"/>
      <c r="C17" s="551"/>
      <c r="E17" s="308" t="s">
        <v>359</v>
      </c>
      <c r="F17" s="454">
        <f>'IS (After Changes)'!V145*4</f>
        <v>3.322087373814369E-2</v>
      </c>
      <c r="G17" s="461"/>
    </row>
    <row r="18" spans="2:7" ht="14.4" customHeight="1" x14ac:dyDescent="0.3">
      <c r="B18" s="550"/>
      <c r="C18" s="551"/>
      <c r="E18" s="308" t="s">
        <v>2</v>
      </c>
      <c r="F18" s="455">
        <f>'IS (After Changes)'!AB143</f>
        <v>0.24500000000000011</v>
      </c>
      <c r="G18" s="461"/>
    </row>
    <row r="19" spans="2:7" ht="14.4" customHeight="1" x14ac:dyDescent="0.3">
      <c r="B19" s="550"/>
      <c r="C19" s="551"/>
      <c r="E19" s="308" t="s">
        <v>360</v>
      </c>
      <c r="F19" s="454">
        <f>F17*(1-F18)</f>
        <v>2.5081759672298483E-2</v>
      </c>
      <c r="G19" s="461"/>
    </row>
    <row r="20" spans="2:7" ht="14.4" customHeight="1" x14ac:dyDescent="0.3">
      <c r="B20" s="550"/>
      <c r="C20" s="551"/>
      <c r="E20" s="436" t="s">
        <v>361</v>
      </c>
      <c r="F20" s="456">
        <f>(F16*F15)+((1-F16)*F19)</f>
        <v>0.11504305436108643</v>
      </c>
      <c r="G20" s="461"/>
    </row>
    <row r="21" spans="2:7" ht="14.4" customHeight="1" x14ac:dyDescent="0.3">
      <c r="B21" s="550"/>
      <c r="C21" s="551"/>
      <c r="E21" s="554" t="s">
        <v>372</v>
      </c>
      <c r="F21" s="555"/>
      <c r="G21" s="461"/>
    </row>
    <row r="22" spans="2:7" ht="14.4" customHeight="1" x14ac:dyDescent="0.3">
      <c r="B22" s="550"/>
      <c r="C22" s="551"/>
      <c r="E22" s="308" t="s">
        <v>406</v>
      </c>
      <c r="F22" s="288">
        <v>7.0000000000000007E-2</v>
      </c>
      <c r="G22" s="556" t="s">
        <v>399</v>
      </c>
    </row>
    <row r="23" spans="2:7" ht="14.4" customHeight="1" x14ac:dyDescent="0.3">
      <c r="B23" s="550"/>
      <c r="C23" s="551"/>
      <c r="E23" s="308" t="s">
        <v>362</v>
      </c>
      <c r="F23" s="288">
        <v>7.0000000000000007E-2</v>
      </c>
      <c r="G23" s="556"/>
    </row>
    <row r="24" spans="2:7" ht="14.4" customHeight="1" x14ac:dyDescent="0.3">
      <c r="B24" s="550"/>
      <c r="C24" s="551"/>
      <c r="E24" s="308" t="s">
        <v>363</v>
      </c>
      <c r="F24" s="288">
        <v>0.05</v>
      </c>
      <c r="G24" s="556"/>
    </row>
    <row r="25" spans="2:7" ht="14.4" customHeight="1" x14ac:dyDescent="0.3">
      <c r="B25" s="550"/>
      <c r="C25" s="551"/>
      <c r="E25" s="443" t="s">
        <v>375</v>
      </c>
      <c r="F25" s="457"/>
      <c r="G25" s="461"/>
    </row>
    <row r="26" spans="2:7" ht="14.4" customHeight="1" x14ac:dyDescent="0.3">
      <c r="B26" s="552"/>
      <c r="C26" s="553"/>
      <c r="E26" s="433" t="s">
        <v>377</v>
      </c>
      <c r="F26" s="448">
        <v>0.81799999999999995</v>
      </c>
      <c r="G26" s="461" t="s">
        <v>402</v>
      </c>
    </row>
    <row r="27" spans="2:7" ht="14.4" customHeight="1" x14ac:dyDescent="0.3">
      <c r="B27" s="468"/>
      <c r="C27" s="468"/>
      <c r="E27" s="433" t="s">
        <v>385</v>
      </c>
      <c r="F27" s="449">
        <v>0.34</v>
      </c>
      <c r="G27" s="461" t="s">
        <v>408</v>
      </c>
    </row>
    <row r="28" spans="2:7" ht="14.4" customHeight="1" x14ac:dyDescent="0.3">
      <c r="B28" s="494" t="s">
        <v>390</v>
      </c>
      <c r="C28" s="544"/>
      <c r="E28" s="433" t="s">
        <v>376</v>
      </c>
      <c r="F28" s="450">
        <v>0.19500000000000001</v>
      </c>
      <c r="G28" s="461" t="s">
        <v>396</v>
      </c>
    </row>
    <row r="29" spans="2:7" x14ac:dyDescent="0.3">
      <c r="B29" s="395" t="s">
        <v>391</v>
      </c>
      <c r="C29" s="470">
        <f>C11</f>
        <v>100.7197599214566</v>
      </c>
      <c r="E29" s="435" t="s">
        <v>388</v>
      </c>
      <c r="F29" s="451">
        <f>F27*F28</f>
        <v>6.6300000000000012E-2</v>
      </c>
      <c r="G29" s="461"/>
    </row>
    <row r="30" spans="2:7" x14ac:dyDescent="0.3">
      <c r="B30" s="308" t="s">
        <v>392</v>
      </c>
      <c r="C30" s="469">
        <f>F37</f>
        <v>123.15741961376325</v>
      </c>
      <c r="E30" s="433" t="s">
        <v>379</v>
      </c>
      <c r="F30" s="484">
        <v>5.9400000000000001E-2</v>
      </c>
      <c r="G30" s="461" t="s">
        <v>397</v>
      </c>
    </row>
    <row r="31" spans="2:7" x14ac:dyDescent="0.3">
      <c r="B31" s="471" t="s">
        <v>393</v>
      </c>
      <c r="C31" s="472">
        <f>(C29+C30)/2</f>
        <v>111.93858976760993</v>
      </c>
      <c r="E31" s="435" t="s">
        <v>378</v>
      </c>
      <c r="F31" s="451">
        <f>F30+(F26*F29)</f>
        <v>0.11363340000000001</v>
      </c>
      <c r="G31" s="461"/>
    </row>
    <row r="32" spans="2:7" x14ac:dyDescent="0.3">
      <c r="E32" s="319" t="s">
        <v>364</v>
      </c>
      <c r="F32" s="467">
        <f>(F16*(F30+(F26*(F27*F28))))+((1-F16)*F19)</f>
        <v>0.10453572855723216</v>
      </c>
      <c r="G32" s="461"/>
    </row>
    <row r="33" spans="2:7" ht="15.6" x14ac:dyDescent="0.3">
      <c r="B33" s="494" t="s">
        <v>389</v>
      </c>
      <c r="C33" s="544"/>
      <c r="E33" s="437" t="s">
        <v>349</v>
      </c>
      <c r="F33" s="399"/>
      <c r="G33" s="461"/>
    </row>
    <row r="34" spans="2:7" x14ac:dyDescent="0.3">
      <c r="B34" s="395" t="s">
        <v>367</v>
      </c>
      <c r="C34" s="438">
        <v>2.2000000000000001E-3</v>
      </c>
      <c r="E34" s="308" t="s">
        <v>383</v>
      </c>
      <c r="F34" s="458">
        <f>'CFS (After Changes)'!AB44+'CFS (After Changes)'!AG44+'CFS (After Changes)'!AL44+'CFS (After Changes)'!AQ44+'CFS (After Changes)'!AV44</f>
        <v>18628.255615033115</v>
      </c>
      <c r="G34" s="461"/>
    </row>
    <row r="35" spans="2:7" x14ac:dyDescent="0.3">
      <c r="B35" s="308" t="s">
        <v>368</v>
      </c>
      <c r="C35" s="439">
        <v>8.7400000000000005E-2</v>
      </c>
      <c r="E35" s="308" t="s">
        <v>382</v>
      </c>
      <c r="F35" s="458">
        <f>(((('CFS (After Changes)'!AV22*(1+F23))-(F24*'IS (After Changes)'!AV8*(1+F22))+(F19*('BS (After Changes)'!AV28+'BS (After Changes)'!AV31))))/(F32-F22))/(1+F32)^5</f>
        <v>134834.05181549166</v>
      </c>
      <c r="G35" s="461" t="s">
        <v>399</v>
      </c>
    </row>
    <row r="36" spans="2:7" ht="16.2" x14ac:dyDescent="0.45">
      <c r="B36" s="308" t="s">
        <v>369</v>
      </c>
      <c r="C36" s="440">
        <f>C31</f>
        <v>111.93858976760993</v>
      </c>
      <c r="E36" s="308" t="s">
        <v>365</v>
      </c>
      <c r="F36" s="459">
        <f>'CFS (After Changes)'!W48</f>
        <v>-9.9985955103363526</v>
      </c>
      <c r="G36" s="461" t="s">
        <v>399</v>
      </c>
    </row>
    <row r="37" spans="2:7" x14ac:dyDescent="0.3">
      <c r="B37" s="308" t="s">
        <v>370</v>
      </c>
      <c r="C37" s="440">
        <f>C36*(1+(C34+(2*C35)))</f>
        <v>131.75172015647689</v>
      </c>
      <c r="E37" s="463" t="s">
        <v>366</v>
      </c>
      <c r="F37" s="464">
        <f>(F35+F34)/F7+F36</f>
        <v>123.15741961376325</v>
      </c>
      <c r="G37" s="461"/>
    </row>
    <row r="38" spans="2:7" x14ac:dyDescent="0.3">
      <c r="B38" s="311" t="s">
        <v>371</v>
      </c>
      <c r="C38" s="441">
        <f>C36*(1+(C34-(2*C35)))</f>
        <v>92.61798917372046</v>
      </c>
      <c r="E38" s="465" t="s">
        <v>381</v>
      </c>
      <c r="F38" s="466">
        <f>F6-F37</f>
        <v>-9.1574196137632526</v>
      </c>
      <c r="G38" s="462"/>
    </row>
  </sheetData>
  <mergeCells count="8">
    <mergeCell ref="B33:C33"/>
    <mergeCell ref="B2:G2"/>
    <mergeCell ref="B4:C4"/>
    <mergeCell ref="E4:F4"/>
    <mergeCell ref="B13:C26"/>
    <mergeCell ref="E21:F21"/>
    <mergeCell ref="B28:C28"/>
    <mergeCell ref="G22:G24"/>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3D3D9-0588-4256-9EDC-ABBB26AECC8D}">
  <sheetPr>
    <tabColor theme="6" tint="0.79998168889431442"/>
    <pageSetUpPr fitToPage="1"/>
  </sheetPr>
  <dimension ref="A1:AV316"/>
  <sheetViews>
    <sheetView showGridLines="0" zoomScaleNormal="100" workbookViewId="0">
      <pane xSplit="3" ySplit="4" topLeftCell="I17" activePane="bottomRight" state="frozen"/>
      <selection activeCell="E32" sqref="E32"/>
      <selection pane="topRight" activeCell="E32" sqref="E32"/>
      <selection pane="bottomLeft" activeCell="E32" sqref="E32"/>
      <selection pane="bottomRight" activeCell="B1" sqref="B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91"/>
      <c r="AA1" s="391"/>
      <c r="AB1" s="391"/>
      <c r="AC1" s="391"/>
      <c r="AD1" s="369"/>
      <c r="AE1" s="369"/>
      <c r="AF1" s="369"/>
      <c r="AG1" s="369"/>
      <c r="AH1" s="369"/>
      <c r="AI1" s="369"/>
      <c r="AJ1" s="369"/>
      <c r="AK1" s="369"/>
      <c r="AL1" s="42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22"/>
      <c r="B3" s="494" t="s">
        <v>18</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22"/>
      <c r="B4" s="512" t="s">
        <v>3</v>
      </c>
      <c r="C4" s="513"/>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486" t="s">
        <v>101</v>
      </c>
      <c r="C5" s="487"/>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v>6901.4</v>
      </c>
      <c r="W5" s="49">
        <f>SUM(S5:V5)</f>
        <v>26576</v>
      </c>
      <c r="X5" s="48">
        <f>+X45+X78</f>
        <v>7204.236885170114</v>
      </c>
      <c r="Y5" s="48">
        <f>+Y45+Y78</f>
        <v>6906.5614817300857</v>
      </c>
      <c r="Z5" s="48">
        <f>+Z45+Z78</f>
        <v>7581.390910744406</v>
      </c>
      <c r="AA5" s="48">
        <f>+AA45+AA78</f>
        <v>7835.44075388909</v>
      </c>
      <c r="AB5" s="49">
        <f>SUM(X5:AA5)</f>
        <v>29527.630031533692</v>
      </c>
      <c r="AC5" s="48">
        <f>+AC45+AC78</f>
        <v>8138.1630751959001</v>
      </c>
      <c r="AD5" s="48">
        <f>+AD45+AD78</f>
        <v>7580.445212518769</v>
      </c>
      <c r="AE5" s="48">
        <f>+AE45+AE78</f>
        <v>8325.2058167317136</v>
      </c>
      <c r="AF5" s="48">
        <f>+AF45+AF78</f>
        <v>8626.4384055351184</v>
      </c>
      <c r="AG5" s="49">
        <f>SUM(AC5:AF5)</f>
        <v>32670.252509981503</v>
      </c>
      <c r="AH5" s="48">
        <f>+AH45+AH78</f>
        <v>9091.0835655753417</v>
      </c>
      <c r="AI5" s="48">
        <f>+AI45+AI78</f>
        <v>8463.6997125969319</v>
      </c>
      <c r="AJ5" s="48">
        <f>+AJ45+AJ78</f>
        <v>9299.8122324812502</v>
      </c>
      <c r="AK5" s="48">
        <f>+AK45+AK78</f>
        <v>9653.4448894361358</v>
      </c>
      <c r="AL5" s="49">
        <f>SUM(AH5:AK5)</f>
        <v>36508.04040008966</v>
      </c>
      <c r="AM5" s="48">
        <f>+AM45+AM78</f>
        <v>10013.96584915275</v>
      </c>
      <c r="AN5" s="48">
        <f>+AN45+AN78</f>
        <v>9284.7429771720308</v>
      </c>
      <c r="AO5" s="48">
        <f>+AO45+AO78</f>
        <v>10172.463148394339</v>
      </c>
      <c r="AP5" s="48">
        <f>+AP45+AP78</f>
        <v>10534.541483940771</v>
      </c>
      <c r="AQ5" s="49">
        <f>SUM(AM5:AP5)</f>
        <v>40005.713458659884</v>
      </c>
      <c r="AR5" s="48">
        <f>+AR45+AR78</f>
        <v>10700.967979134808</v>
      </c>
      <c r="AS5" s="48">
        <f>+AS45+AS78</f>
        <v>9916.3075998363602</v>
      </c>
      <c r="AT5" s="48">
        <f>+AT45+AT78</f>
        <v>10860.696783420613</v>
      </c>
      <c r="AU5" s="48">
        <f>+AU45+AU78</f>
        <v>11246.535916505294</v>
      </c>
      <c r="AV5" s="49">
        <f>SUM(AR5:AU5)</f>
        <v>42724.508278897076</v>
      </c>
    </row>
    <row r="6" spans="1:48" outlineLevel="1" x14ac:dyDescent="0.3">
      <c r="B6" s="486" t="s">
        <v>102</v>
      </c>
      <c r="C6" s="487"/>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v>998.4</v>
      </c>
      <c r="W6" s="49">
        <f t="shared" ref="W6:W7" si="2">SUM(S6:V6)</f>
        <v>3655.5</v>
      </c>
      <c r="X6" s="48">
        <f>+X54+X87</f>
        <v>1007.3279572260561</v>
      </c>
      <c r="Y6" s="48">
        <f>+Y54+Y87</f>
        <v>1013.5447982914288</v>
      </c>
      <c r="Z6" s="48">
        <f>+Z54+Z87</f>
        <v>1128.0454970508563</v>
      </c>
      <c r="AA6" s="48">
        <f>+AA54+AA87</f>
        <v>1179.6200269712072</v>
      </c>
      <c r="AB6" s="49">
        <f t="shared" ref="AB6:AB7" si="3">SUM(X6:AA6)</f>
        <v>4328.538279539549</v>
      </c>
      <c r="AC6" s="48">
        <f>+AC54+AC87</f>
        <v>1122.3506506583644</v>
      </c>
      <c r="AD6" s="48">
        <f>+AD54+AD87</f>
        <v>1130.1038585778633</v>
      </c>
      <c r="AE6" s="48">
        <f>+AE54+AE87</f>
        <v>1260.3825469343951</v>
      </c>
      <c r="AF6" s="48">
        <f>+AF54+AF87</f>
        <v>1317.5653892157457</v>
      </c>
      <c r="AG6" s="49">
        <f t="shared" ref="AG6:AG7" si="4">SUM(AC6:AF6)</f>
        <v>4830.4024453863685</v>
      </c>
      <c r="AH6" s="48">
        <f>+AH54+AH87</f>
        <v>1266.0912988731188</v>
      </c>
      <c r="AI6" s="48">
        <f>+AI54+AI87</f>
        <v>1275.4955039870742</v>
      </c>
      <c r="AJ6" s="48">
        <f>+AJ54+AJ87</f>
        <v>1423.8740912931548</v>
      </c>
      <c r="AK6" s="48">
        <f>+AK54+AK87</f>
        <v>1488.542568025257</v>
      </c>
      <c r="AL6" s="49">
        <f t="shared" ref="AL6:AL7" si="5">SUM(AH6:AK6)</f>
        <v>5454.0034621786053</v>
      </c>
      <c r="AM6" s="48">
        <f>+AM54+AM87</f>
        <v>1406.7452168365685</v>
      </c>
      <c r="AN6" s="48">
        <f>+AN54+AN87</f>
        <v>1400.688919119146</v>
      </c>
      <c r="AO6" s="48">
        <f>+AO54+AO87</f>
        <v>1546.3860169361456</v>
      </c>
      <c r="AP6" s="48">
        <f>+AP54+AP87</f>
        <v>1597.692425773073</v>
      </c>
      <c r="AQ6" s="49">
        <f t="shared" ref="AQ6:AQ7" si="6">SUM(AM6:AP6)</f>
        <v>5951.5125786649332</v>
      </c>
      <c r="AR6" s="48">
        <f>+AR54+AR87</f>
        <v>1472.4845205117902</v>
      </c>
      <c r="AS6" s="48">
        <f>+AS54+AS87</f>
        <v>1466.0902454926754</v>
      </c>
      <c r="AT6" s="48">
        <f>+AT54+AT87</f>
        <v>1618.7999559528362</v>
      </c>
      <c r="AU6" s="48">
        <f>+AU54+AU87</f>
        <v>1672.2524174619641</v>
      </c>
      <c r="AV6" s="49">
        <f t="shared" ref="AV6:AV7" si="7">SUM(AR6:AU6)</f>
        <v>6229.6271394192654</v>
      </c>
    </row>
    <row r="7" spans="1:48" ht="16.2" outlineLevel="1" x14ac:dyDescent="0.45">
      <c r="B7" s="486" t="s">
        <v>103</v>
      </c>
      <c r="C7" s="487"/>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v>514.4</v>
      </c>
      <c r="W7" s="173">
        <f t="shared" si="2"/>
        <v>2018.7999999999997</v>
      </c>
      <c r="X7" s="52">
        <f>+X55+X88+X108+X123</f>
        <v>514.53500000000008</v>
      </c>
      <c r="Y7" s="52">
        <f>+Y55+Y88+Y108+Y123</f>
        <v>527.98200000000008</v>
      </c>
      <c r="Z7" s="52">
        <f>+Z55+Z88+Z108+Z123</f>
        <v>541.15800000000002</v>
      </c>
      <c r="AA7" s="52">
        <f>+AA55+AA88+AA108+AA123</f>
        <v>536.21299999999997</v>
      </c>
      <c r="AB7" s="53">
        <f t="shared" si="3"/>
        <v>2119.8879999999999</v>
      </c>
      <c r="AC7" s="52">
        <f>+AC55+AC88+AC108+AC123</f>
        <v>538.26440000000014</v>
      </c>
      <c r="AD7" s="52">
        <f>+AD55+AD88+AD108+AD123</f>
        <v>552.56346000000008</v>
      </c>
      <c r="AE7" s="52">
        <f>+AE55+AE88+AE108+AE123</f>
        <v>566.17452000000003</v>
      </c>
      <c r="AF7" s="52">
        <f>+AF55+AF88+AF108+AF123</f>
        <v>560.76692000000003</v>
      </c>
      <c r="AG7" s="53">
        <f t="shared" si="4"/>
        <v>2217.7693000000004</v>
      </c>
      <c r="AH7" s="52">
        <f>+AH55+AH88+AH108+AH123</f>
        <v>567.58199600000012</v>
      </c>
      <c r="AI7" s="52">
        <f>+AI55+AI88+AI108+AI123</f>
        <v>580.59704340000019</v>
      </c>
      <c r="AJ7" s="52">
        <f>+AJ55+AJ88+AJ108+AJ123</f>
        <v>593.31856080000011</v>
      </c>
      <c r="AK7" s="52">
        <f>+AK55+AK88+AK108+AK123</f>
        <v>587.50131680000004</v>
      </c>
      <c r="AL7" s="53">
        <f t="shared" si="5"/>
        <v>2328.9989170000008</v>
      </c>
      <c r="AM7" s="52">
        <f>+AM55+AM88+AM108+AM123</f>
        <v>594.36976184000025</v>
      </c>
      <c r="AN7" s="52">
        <f>+AN55+AN88+AN108+AN123</f>
        <v>607.20447663600021</v>
      </c>
      <c r="AO7" s="52">
        <f>+AO55+AO88+AO108+AO123</f>
        <v>620.07958123200001</v>
      </c>
      <c r="AP7" s="52">
        <f>+AP55+AP88+AP108+AP123</f>
        <v>613.55564547200015</v>
      </c>
      <c r="AQ7" s="53">
        <f t="shared" si="6"/>
        <v>2435.2094651800007</v>
      </c>
      <c r="AR7" s="52">
        <f>+AR55+AR88+AR108+AR123</f>
        <v>620.6669569136003</v>
      </c>
      <c r="AS7" s="52">
        <f>+AS55+AS88+AS108+AS123</f>
        <v>633.83488747644026</v>
      </c>
      <c r="AT7" s="52">
        <f>+AT55+AT88+AT108+AT123</f>
        <v>647.37274528128012</v>
      </c>
      <c r="AU7" s="52">
        <f>+AU55+AU88+AU108+AU123</f>
        <v>639.94803739088024</v>
      </c>
      <c r="AV7" s="53">
        <f t="shared" si="7"/>
        <v>2541.8226270622008</v>
      </c>
    </row>
    <row r="8" spans="1:48" s="8" customFormat="1" x14ac:dyDescent="0.3">
      <c r="B8" s="500" t="s">
        <v>104</v>
      </c>
      <c r="C8" s="501"/>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8414.1999999999989</v>
      </c>
      <c r="W8" s="171">
        <f t="shared" si="8"/>
        <v>32250.3</v>
      </c>
      <c r="X8" s="50">
        <f t="shared" si="8"/>
        <v>8726.0998423961701</v>
      </c>
      <c r="Y8" s="50">
        <f t="shared" si="8"/>
        <v>8448.0882800215149</v>
      </c>
      <c r="Z8" s="50">
        <f t="shared" si="8"/>
        <v>9250.5944077952627</v>
      </c>
      <c r="AA8" s="50">
        <f t="shared" si="8"/>
        <v>9551.2737808602978</v>
      </c>
      <c r="AB8" s="171">
        <f t="shared" si="8"/>
        <v>35976.05631107324</v>
      </c>
      <c r="AC8" s="50">
        <f t="shared" ref="AC8:AV8" si="9">SUM(AC5:AC7)</f>
        <v>9798.7781258542636</v>
      </c>
      <c r="AD8" s="50">
        <f t="shared" si="9"/>
        <v>9263.1125310966327</v>
      </c>
      <c r="AE8" s="50">
        <f t="shared" si="9"/>
        <v>10151.76288366611</v>
      </c>
      <c r="AF8" s="50">
        <f t="shared" si="9"/>
        <v>10504.770714750864</v>
      </c>
      <c r="AG8" s="51">
        <f t="shared" si="9"/>
        <v>39718.424255367871</v>
      </c>
      <c r="AH8" s="50">
        <f t="shared" si="9"/>
        <v>10924.756860448462</v>
      </c>
      <c r="AI8" s="50">
        <f t="shared" si="9"/>
        <v>10319.792259984008</v>
      </c>
      <c r="AJ8" s="50">
        <f t="shared" si="9"/>
        <v>11317.004884574406</v>
      </c>
      <c r="AK8" s="50">
        <f t="shared" si="9"/>
        <v>11729.488774261394</v>
      </c>
      <c r="AL8" s="51">
        <f t="shared" si="9"/>
        <v>44291.04277926826</v>
      </c>
      <c r="AM8" s="50">
        <f t="shared" si="9"/>
        <v>12015.080827829319</v>
      </c>
      <c r="AN8" s="50">
        <f t="shared" si="9"/>
        <v>11292.636372927176</v>
      </c>
      <c r="AO8" s="50">
        <f t="shared" si="9"/>
        <v>12338.928746562484</v>
      </c>
      <c r="AP8" s="50">
        <f t="shared" si="9"/>
        <v>12745.789555185846</v>
      </c>
      <c r="AQ8" s="51">
        <f t="shared" si="9"/>
        <v>48392.435502504813</v>
      </c>
      <c r="AR8" s="50">
        <f t="shared" si="9"/>
        <v>12794.1194565602</v>
      </c>
      <c r="AS8" s="50">
        <f t="shared" si="9"/>
        <v>12016.232732805476</v>
      </c>
      <c r="AT8" s="50">
        <f t="shared" si="9"/>
        <v>13126.86948465473</v>
      </c>
      <c r="AU8" s="50">
        <f t="shared" si="9"/>
        <v>13558.73637135814</v>
      </c>
      <c r="AV8" s="51">
        <f t="shared" si="9"/>
        <v>51495.958045378546</v>
      </c>
    </row>
    <row r="9" spans="1:48" outlineLevel="1" x14ac:dyDescent="0.3">
      <c r="B9" s="514" t="s">
        <v>100</v>
      </c>
      <c r="C9" s="515"/>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v>2711</v>
      </c>
      <c r="W9" s="170">
        <f>SUM(S9:V9)</f>
        <v>10317.300000000001</v>
      </c>
      <c r="X9" s="105">
        <f>+X60+X93+X110+X125</f>
        <v>2809.7561209281325</v>
      </c>
      <c r="Y9" s="105">
        <f>+Y60+Y93+Y110+Y125</f>
        <v>2699.3982766901318</v>
      </c>
      <c r="Z9" s="105">
        <f>+Z60+Z93+Z110+Z125</f>
        <v>2953.4425681740177</v>
      </c>
      <c r="AA9" s="105">
        <f>+AA60+AA93+AA110+AA125</f>
        <v>2973.3067245893253</v>
      </c>
      <c r="AB9" s="49">
        <f>SUM(X9:AA9)</f>
        <v>11435.903690381607</v>
      </c>
      <c r="AC9" s="105">
        <f>+AC60+AC93+AC110+AC125</f>
        <v>3041.5113220718995</v>
      </c>
      <c r="AD9" s="105">
        <f>+AD60+AD93+AD110+AD125</f>
        <v>2903.1668094643019</v>
      </c>
      <c r="AE9" s="105">
        <f>+AE60+AE93+AE110+AE125</f>
        <v>3218.9928666783635</v>
      </c>
      <c r="AF9" s="105">
        <f>+AF60+AF93+AF110+AF125</f>
        <v>3339.3922116260846</v>
      </c>
      <c r="AG9" s="49">
        <f>SUM(AC9:AF9)</f>
        <v>12503.06320984065</v>
      </c>
      <c r="AH9" s="105">
        <f>+AH60+AH93+AH110+AH125</f>
        <v>3368.5058911581773</v>
      </c>
      <c r="AI9" s="105">
        <f>+AI60+AI93+AI110+AI125</f>
        <v>3208.5858525268595</v>
      </c>
      <c r="AJ9" s="105">
        <f>+AJ60+AJ93+AJ110+AJ125</f>
        <v>3536.1565173238541</v>
      </c>
      <c r="AK9" s="105">
        <f>+AK60+AK93+AK110+AK125</f>
        <v>3704.9473191236725</v>
      </c>
      <c r="AL9" s="49">
        <f>SUM(AH9:AK9)</f>
        <v>13818.195580132564</v>
      </c>
      <c r="AM9" s="105">
        <f>+AM60+AM93+AM110+AM125</f>
        <v>3698.3676453184553</v>
      </c>
      <c r="AN9" s="105">
        <f>+AN60+AN93+AN110+AN125</f>
        <v>3500.6945901858285</v>
      </c>
      <c r="AO9" s="105">
        <f>+AO60+AO93+AO110+AO125</f>
        <v>3846.9622965880703</v>
      </c>
      <c r="AP9" s="105">
        <f>+AP60+AP93+AP110+AP125</f>
        <v>4017.7817355813277</v>
      </c>
      <c r="AQ9" s="49">
        <f>SUM(AM9:AP9)</f>
        <v>15063.806267673681</v>
      </c>
      <c r="AR9" s="105">
        <f>+AR60+AR93+AR110+AR125</f>
        <v>3932.73775623961</v>
      </c>
      <c r="AS9" s="105">
        <f>+AS60+AS93+AS110+AS125</f>
        <v>3718.7962706389526</v>
      </c>
      <c r="AT9" s="105">
        <f>+AT60+AT93+AT110+AT125</f>
        <v>4086.8002227888828</v>
      </c>
      <c r="AU9" s="105">
        <f>+AU60+AU93+AU110+AU125</f>
        <v>4269.0127607265395</v>
      </c>
      <c r="AV9" s="49">
        <f>SUM(AR9:AU9)</f>
        <v>16007.347010393984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0">SUM(I10:L10)</f>
        <v>10764.1</v>
      </c>
      <c r="N10" s="48">
        <v>2867.3</v>
      </c>
      <c r="O10" s="105">
        <v>2823.3</v>
      </c>
      <c r="P10" s="105">
        <v>2966.9</v>
      </c>
      <c r="Q10" s="105">
        <v>3273.4</v>
      </c>
      <c r="R10" s="170">
        <f t="shared" ref="R10:R13" si="11">SUM(N10:Q10)</f>
        <v>11930.9</v>
      </c>
      <c r="S10" s="48">
        <v>3400</v>
      </c>
      <c r="T10" s="48">
        <v>3314.7</v>
      </c>
      <c r="U10" s="48">
        <v>3302.5</v>
      </c>
      <c r="V10" s="48">
        <v>3544.7</v>
      </c>
      <c r="W10" s="170">
        <f t="shared" ref="W10:W13" si="12">SUM(S10:V10)</f>
        <v>13561.900000000001</v>
      </c>
      <c r="X10" s="48">
        <f>+X62+X95</f>
        <v>3712.0322819241269</v>
      </c>
      <c r="Y10" s="48">
        <f>+Y62+Y95</f>
        <v>3647.7301353684679</v>
      </c>
      <c r="Z10" s="48">
        <f>+Z62+Z95</f>
        <v>3818.3957687435072</v>
      </c>
      <c r="AA10" s="48">
        <f>+AA62+AA95</f>
        <v>4012.0755758568134</v>
      </c>
      <c r="AB10" s="49">
        <f t="shared" ref="AB10:AB13" si="13">SUM(X10:AA10)</f>
        <v>15190.233761892916</v>
      </c>
      <c r="AC10" s="48">
        <f>+AC62+AC95</f>
        <v>4118.2275886473926</v>
      </c>
      <c r="AD10" s="48">
        <f>+AD62+AD95</f>
        <v>3960.6977901032215</v>
      </c>
      <c r="AE10" s="48">
        <f>+AE62+AE95</f>
        <v>4192.114437193788</v>
      </c>
      <c r="AF10" s="48">
        <f>+AF62+AF95</f>
        <v>4479.7142835984268</v>
      </c>
      <c r="AG10" s="49">
        <f t="shared" ref="AG10:AG14" si="14">SUM(AC10:AF10)</f>
        <v>16750.754099542828</v>
      </c>
      <c r="AH10" s="48">
        <f>+AH62+AH95</f>
        <v>4585.8869027870696</v>
      </c>
      <c r="AI10" s="48">
        <f>+AI62+AI95</f>
        <v>4407.4082627055004</v>
      </c>
      <c r="AJ10" s="48">
        <f>+AJ62+AJ95</f>
        <v>4636.6017246107494</v>
      </c>
      <c r="AK10" s="48">
        <f>+AK62+AK95</f>
        <v>4998.3471039219748</v>
      </c>
      <c r="AL10" s="49">
        <f t="shared" ref="AL10:AL14" si="15">SUM(AH10:AK10)</f>
        <v>18628.243994025295</v>
      </c>
      <c r="AM10" s="48">
        <f>+AM62+AM95</f>
        <v>5047.6042613459767</v>
      </c>
      <c r="AN10" s="48">
        <f>+AN62+AN95</f>
        <v>4830.9362232935364</v>
      </c>
      <c r="AO10" s="48">
        <f>+AO62+AO95</f>
        <v>5073.3067650341582</v>
      </c>
      <c r="AP10" s="48">
        <f>+AP62+AP95</f>
        <v>5453.567633906624</v>
      </c>
      <c r="AQ10" s="49">
        <f t="shared" ref="AQ10:AQ14" si="16">SUM(AM10:AP10)</f>
        <v>20405.414883580295</v>
      </c>
      <c r="AR10" s="48">
        <f>+AR62+AR95</f>
        <v>5393.1611105473003</v>
      </c>
      <c r="AS10" s="48">
        <f>+AS62+AS95</f>
        <v>5158.5483052034506</v>
      </c>
      <c r="AT10" s="48">
        <f>+AT62+AT95</f>
        <v>5417.1219650673938</v>
      </c>
      <c r="AU10" s="48">
        <f>+AU62+AU95</f>
        <v>5821.5455809762943</v>
      </c>
      <c r="AV10" s="49">
        <f t="shared" ref="AV10:AV14" si="17">SUM(AR10:AU10)</f>
        <v>21790.376961794438</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0"/>
        <v>430.29999999999995</v>
      </c>
      <c r="N11" s="48">
        <v>91.8</v>
      </c>
      <c r="O11" s="105">
        <v>87.7</v>
      </c>
      <c r="P11" s="105">
        <v>71.400000000000006</v>
      </c>
      <c r="Q11" s="105">
        <v>108.6</v>
      </c>
      <c r="R11" s="170">
        <f t="shared" si="11"/>
        <v>359.5</v>
      </c>
      <c r="S11" s="48">
        <v>101.7</v>
      </c>
      <c r="T11" s="48">
        <v>101.7</v>
      </c>
      <c r="U11" s="48">
        <v>135.1</v>
      </c>
      <c r="V11" s="48">
        <v>123.1</v>
      </c>
      <c r="W11" s="170">
        <f t="shared" si="12"/>
        <v>461.6</v>
      </c>
      <c r="X11" s="48">
        <f>+X64+X97+X112+X126</f>
        <v>120.29628972658007</v>
      </c>
      <c r="Y11" s="48">
        <f>+Y64+Y97+Y112+Y126</f>
        <v>113.05865459489708</v>
      </c>
      <c r="Z11" s="48">
        <f>+Z64+Z97+Z112+Z126</f>
        <v>148.00872565099138</v>
      </c>
      <c r="AA11" s="48">
        <f>+AA64+AA97+AA112+AA126</f>
        <v>133.58845381256481</v>
      </c>
      <c r="AB11" s="49">
        <f t="shared" si="13"/>
        <v>514.95212378503334</v>
      </c>
      <c r="AC11" s="48">
        <f>+AC64+AC97+AC112+AC126</f>
        <v>127.4889897818028</v>
      </c>
      <c r="AD11" s="48">
        <f>+AD64+AD97+AD112+AD126</f>
        <v>125.0302973164742</v>
      </c>
      <c r="AE11" s="48">
        <f>+AE64+AE97+AE112+AE126</f>
        <v>152.60475095415632</v>
      </c>
      <c r="AF11" s="48">
        <f>+AF64+AF97+AF112+AF126</f>
        <v>139.40788842965267</v>
      </c>
      <c r="AG11" s="49">
        <f t="shared" si="14"/>
        <v>544.53192648208596</v>
      </c>
      <c r="AH11" s="48">
        <f>+AH64+AH97+AH112+AH126</f>
        <v>135.17883227231368</v>
      </c>
      <c r="AI11" s="48">
        <f>+AI64+AI97+AI112+AI126</f>
        <v>134.54056257697874</v>
      </c>
      <c r="AJ11" s="48">
        <f>+AJ64+AJ97+AJ112+AJ126</f>
        <v>153.74034732260091</v>
      </c>
      <c r="AK11" s="48">
        <f>+AK64+AK97+AK112+AK126</f>
        <v>149.85549562809024</v>
      </c>
      <c r="AL11" s="49">
        <f t="shared" si="15"/>
        <v>573.31523779998361</v>
      </c>
      <c r="AM11" s="48">
        <f>+AM64+AM97+AM112+AM126</f>
        <v>149.0726819521814</v>
      </c>
      <c r="AN11" s="48">
        <f>+AN64+AN97+AN112+AN126</f>
        <v>147.45061249203374</v>
      </c>
      <c r="AO11" s="48">
        <f>+AO64+AO97+AO112+AO126</f>
        <v>167.61162568826262</v>
      </c>
      <c r="AP11" s="48">
        <f>+AP64+AP97+AP112+AP126</f>
        <v>163.89600926458689</v>
      </c>
      <c r="AQ11" s="49">
        <f t="shared" si="16"/>
        <v>628.03092939706471</v>
      </c>
      <c r="AR11" s="48">
        <f>+AR64+AR97+AR112+AR126</f>
        <v>158.37847839263083</v>
      </c>
      <c r="AS11" s="48">
        <f>+AS64+AS97+AS112+AS126</f>
        <v>156.56128999027925</v>
      </c>
      <c r="AT11" s="48">
        <f>+AT64+AT97+AT112+AT126</f>
        <v>177.984538491623</v>
      </c>
      <c r="AU11" s="48">
        <f>+AU64+AU97+AU112+AU126</f>
        <v>174.78967008026356</v>
      </c>
      <c r="AV11" s="49">
        <f t="shared" si="17"/>
        <v>667.71397695479664</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8">SUM(I12:L12)</f>
        <v>1431.1999999999998</v>
      </c>
      <c r="N12" s="48">
        <v>366.1</v>
      </c>
      <c r="O12" s="105">
        <v>366.7</v>
      </c>
      <c r="P12" s="105">
        <v>354.3</v>
      </c>
      <c r="Q12" s="105">
        <v>354.7</v>
      </c>
      <c r="R12" s="170">
        <f t="shared" ref="R12" si="19">SUM(N12:Q12)</f>
        <v>1441.8</v>
      </c>
      <c r="S12" s="48">
        <v>366</v>
      </c>
      <c r="T12" s="48">
        <v>367.7</v>
      </c>
      <c r="U12" s="48">
        <v>356.8</v>
      </c>
      <c r="V12" s="48">
        <v>357.4</v>
      </c>
      <c r="W12" s="170">
        <f t="shared" ref="W12" si="20">SUM(S12:V12)</f>
        <v>1447.9</v>
      </c>
      <c r="X12" s="48">
        <f t="shared" ref="X12:AA13" si="21">+X66+X99+X114+X127</f>
        <v>370.4933872246732</v>
      </c>
      <c r="Y12" s="48">
        <f t="shared" si="21"/>
        <v>380.97042698433893</v>
      </c>
      <c r="Z12" s="48">
        <f t="shared" si="21"/>
        <v>388.64054015083883</v>
      </c>
      <c r="AA12" s="48">
        <f t="shared" si="21"/>
        <v>398.16649631848816</v>
      </c>
      <c r="AB12" s="49">
        <f t="shared" ref="AB12" si="22">SUM(X12:AA12)</f>
        <v>1538.2708506783392</v>
      </c>
      <c r="AC12" s="48">
        <f t="shared" ref="AC12:AF13" si="23">+AC66+AC99+AC114+AC127</f>
        <v>416.39777914675113</v>
      </c>
      <c r="AD12" s="48">
        <f t="shared" si="23"/>
        <v>428.84504346236196</v>
      </c>
      <c r="AE12" s="48">
        <f t="shared" si="23"/>
        <v>438.68740920228663</v>
      </c>
      <c r="AF12" s="48">
        <f t="shared" si="23"/>
        <v>451.9556816933171</v>
      </c>
      <c r="AG12" s="49">
        <f t="shared" si="14"/>
        <v>1735.8859135047167</v>
      </c>
      <c r="AH12" s="48">
        <f t="shared" ref="AH12:AK13" si="24">+AH66+AH99+AH114+AH127</f>
        <v>466.77643803429117</v>
      </c>
      <c r="AI12" s="48">
        <f t="shared" si="24"/>
        <v>476.88945545241887</v>
      </c>
      <c r="AJ12" s="48">
        <f t="shared" si="24"/>
        <v>484.50006486915396</v>
      </c>
      <c r="AK12" s="48">
        <f t="shared" si="24"/>
        <v>495.29344978362923</v>
      </c>
      <c r="AL12" s="49">
        <f t="shared" si="15"/>
        <v>1923.4594081394932</v>
      </c>
      <c r="AM12" s="48">
        <f t="shared" ref="AM12:AP13" si="25">+AM66+AM99+AM114+AM127</f>
        <v>506.94418219058548</v>
      </c>
      <c r="AN12" s="48">
        <f t="shared" si="25"/>
        <v>518.71023429914203</v>
      </c>
      <c r="AO12" s="48">
        <f t="shared" si="25"/>
        <v>527.34973217315132</v>
      </c>
      <c r="AP12" s="48">
        <f t="shared" si="25"/>
        <v>539.13681149282968</v>
      </c>
      <c r="AQ12" s="49">
        <f t="shared" si="16"/>
        <v>2092.1409601557084</v>
      </c>
      <c r="AR12" s="48">
        <f t="shared" ref="AR12:AU13" si="26">+AR66+AR99+AR114+AR127</f>
        <v>551.63255817809215</v>
      </c>
      <c r="AS12" s="48">
        <f t="shared" si="26"/>
        <v>563.5342399503329</v>
      </c>
      <c r="AT12" s="48">
        <f t="shared" si="26"/>
        <v>572.06099918554582</v>
      </c>
      <c r="AU12" s="48">
        <f t="shared" si="26"/>
        <v>583.93635876692451</v>
      </c>
      <c r="AV12" s="49">
        <f t="shared" si="17"/>
        <v>2271.1641560808953</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0"/>
        <v>1679.6</v>
      </c>
      <c r="N13" s="48">
        <v>472.1</v>
      </c>
      <c r="O13" s="105">
        <v>464.4</v>
      </c>
      <c r="P13" s="105">
        <v>494.9</v>
      </c>
      <c r="Q13" s="105">
        <v>501.2</v>
      </c>
      <c r="R13" s="170">
        <f t="shared" si="11"/>
        <v>1932.6000000000001</v>
      </c>
      <c r="S13" s="48">
        <v>525.79999999999995</v>
      </c>
      <c r="T13" s="48">
        <v>481.5</v>
      </c>
      <c r="U13" s="48">
        <v>486.7</v>
      </c>
      <c r="V13" s="48">
        <v>538</v>
      </c>
      <c r="W13" s="170">
        <f t="shared" si="12"/>
        <v>2032</v>
      </c>
      <c r="X13" s="48">
        <f t="shared" si="21"/>
        <v>544.25125533612845</v>
      </c>
      <c r="Y13" s="48">
        <f t="shared" si="21"/>
        <v>517.41632376289635</v>
      </c>
      <c r="Z13" s="48">
        <f t="shared" si="21"/>
        <v>533.71886617741893</v>
      </c>
      <c r="AA13" s="48">
        <f t="shared" si="21"/>
        <v>468.275797139112</v>
      </c>
      <c r="AB13" s="49">
        <f t="shared" si="13"/>
        <v>2063.6622424155557</v>
      </c>
      <c r="AC13" s="48">
        <f t="shared" si="23"/>
        <v>552.89031031583443</v>
      </c>
      <c r="AD13" s="48">
        <f t="shared" si="23"/>
        <v>552.94491947301162</v>
      </c>
      <c r="AE13" s="48">
        <f t="shared" si="23"/>
        <v>551.23382692573193</v>
      </c>
      <c r="AF13" s="48">
        <f t="shared" si="23"/>
        <v>481.58084894351344</v>
      </c>
      <c r="AG13" s="49">
        <f t="shared" si="14"/>
        <v>2138.6499056580915</v>
      </c>
      <c r="AH13" s="48">
        <f t="shared" si="24"/>
        <v>569.04902489984295</v>
      </c>
      <c r="AI13" s="48">
        <f t="shared" si="24"/>
        <v>569.38629855263707</v>
      </c>
      <c r="AJ13" s="48">
        <f t="shared" si="24"/>
        <v>566.77978956576874</v>
      </c>
      <c r="AK13" s="48">
        <f t="shared" si="24"/>
        <v>489.69874794571558</v>
      </c>
      <c r="AL13" s="49">
        <f t="shared" si="15"/>
        <v>2194.9138609639645</v>
      </c>
      <c r="AM13" s="48">
        <f t="shared" si="25"/>
        <v>596.94522947343592</v>
      </c>
      <c r="AN13" s="48">
        <f t="shared" si="25"/>
        <v>594.71549817314758</v>
      </c>
      <c r="AO13" s="48">
        <f t="shared" si="25"/>
        <v>590.3950413972633</v>
      </c>
      <c r="AP13" s="48">
        <f t="shared" si="25"/>
        <v>505.04680378107707</v>
      </c>
      <c r="AQ13" s="49">
        <f t="shared" si="16"/>
        <v>2287.1025728249238</v>
      </c>
      <c r="AR13" s="48">
        <f t="shared" si="26"/>
        <v>614.82442887912077</v>
      </c>
      <c r="AS13" s="48">
        <f t="shared" si="26"/>
        <v>612.18593213587098</v>
      </c>
      <c r="AT13" s="48">
        <f t="shared" si="26"/>
        <v>607.57342902990888</v>
      </c>
      <c r="AU13" s="48">
        <f t="shared" si="26"/>
        <v>516.95083478370577</v>
      </c>
      <c r="AV13" s="49">
        <f t="shared" si="17"/>
        <v>2351.5346248286064</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7">SUM(I14:L14)</f>
        <v>278.7</v>
      </c>
      <c r="N14" s="52">
        <v>72.2</v>
      </c>
      <c r="O14" s="104">
        <v>23</v>
      </c>
      <c r="P14" s="104">
        <v>19.8</v>
      </c>
      <c r="Q14" s="104">
        <v>55.5</v>
      </c>
      <c r="R14" s="173">
        <f t="shared" ref="R14" si="28">SUM(N14:Q14)</f>
        <v>170.5</v>
      </c>
      <c r="S14" s="52">
        <v>-7.5</v>
      </c>
      <c r="T14" s="52">
        <v>4.4000000000000004</v>
      </c>
      <c r="U14" s="52">
        <v>14</v>
      </c>
      <c r="V14" s="52">
        <v>35.1</v>
      </c>
      <c r="W14" s="173">
        <f t="shared" ref="W14" si="29">SUM(S14:V14)</f>
        <v>46</v>
      </c>
      <c r="X14" s="52">
        <f>+X69+X102+X117+X129</f>
        <v>50</v>
      </c>
      <c r="Y14" s="52">
        <f>+Y69+Y102+Y117+Y129</f>
        <v>0</v>
      </c>
      <c r="Z14" s="52">
        <f>+Z69+Z102+Z117+Z129</f>
        <v>0</v>
      </c>
      <c r="AA14" s="52">
        <f>+AA69+AA102+AA117+AA129</f>
        <v>0</v>
      </c>
      <c r="AB14" s="53">
        <f t="shared" ref="AB14" si="30">SUM(X14:AA14)</f>
        <v>50</v>
      </c>
      <c r="AC14" s="52">
        <f>+AC69+AC102+AC117+AC129</f>
        <v>0</v>
      </c>
      <c r="AD14" s="52">
        <f>+AD69+AD102+AD117+AD129</f>
        <v>0</v>
      </c>
      <c r="AE14" s="52">
        <f>+AE69+AE102+AE117+AE129</f>
        <v>0</v>
      </c>
      <c r="AF14" s="52">
        <f>+AF69+AF102+AF117+AF129</f>
        <v>0</v>
      </c>
      <c r="AG14" s="53">
        <f t="shared" si="14"/>
        <v>0</v>
      </c>
      <c r="AH14" s="52">
        <f>+AH69+AH102+AH117+AH129</f>
        <v>0</v>
      </c>
      <c r="AI14" s="52">
        <f>+AI69+AI102+AI117+AI129</f>
        <v>0</v>
      </c>
      <c r="AJ14" s="52">
        <f>+AJ69+AJ102+AJ117+AJ129</f>
        <v>0</v>
      </c>
      <c r="AK14" s="52">
        <f>+AK69+AK102+AK117+AK129</f>
        <v>0</v>
      </c>
      <c r="AL14" s="53">
        <f t="shared" si="15"/>
        <v>0</v>
      </c>
      <c r="AM14" s="52">
        <f>+AM69+AM102+AM117+AM129</f>
        <v>0</v>
      </c>
      <c r="AN14" s="52">
        <f>+AN69+AN102+AN117+AN129</f>
        <v>0</v>
      </c>
      <c r="AO14" s="52">
        <f>+AO69+AO102+AO117+AO129</f>
        <v>0</v>
      </c>
      <c r="AP14" s="52">
        <f>+AP69+AP102+AP117+AP129</f>
        <v>0</v>
      </c>
      <c r="AQ14" s="53">
        <f t="shared" si="16"/>
        <v>0</v>
      </c>
      <c r="AR14" s="52">
        <f>+AR69+AR102+AR117+AR129</f>
        <v>0</v>
      </c>
      <c r="AS14" s="52">
        <f>+AS69+AS102+AS117+AS129</f>
        <v>0</v>
      </c>
      <c r="AT14" s="52">
        <f>+AT69+AT102+AT117+AT129</f>
        <v>0</v>
      </c>
      <c r="AU14" s="52">
        <f>+AU69+AU102+AU117+AU129</f>
        <v>0</v>
      </c>
      <c r="AV14" s="53">
        <f t="shared" si="17"/>
        <v>0</v>
      </c>
    </row>
    <row r="15" spans="1:48" s="20" customFormat="1" ht="17.25" customHeight="1" x14ac:dyDescent="0.45">
      <c r="B15" s="46" t="s">
        <v>8</v>
      </c>
      <c r="C15" s="19"/>
      <c r="D15" s="106">
        <f t="shared" ref="D15:AL15" si="31">SUM(D10:D14)+D9</f>
        <v>5684.8</v>
      </c>
      <c r="E15" s="106">
        <f t="shared" si="31"/>
        <v>5510.5</v>
      </c>
      <c r="F15" s="106">
        <f t="shared" si="31"/>
        <v>5777.6999999999989</v>
      </c>
      <c r="G15" s="106">
        <f t="shared" si="31"/>
        <v>5755.7</v>
      </c>
      <c r="H15" s="175">
        <f t="shared" si="31"/>
        <v>22728.699999999997</v>
      </c>
      <c r="I15" s="106">
        <f t="shared" si="31"/>
        <v>5951.2000000000007</v>
      </c>
      <c r="J15" s="106">
        <f t="shared" si="31"/>
        <v>5576.2000000000007</v>
      </c>
      <c r="K15" s="106">
        <f t="shared" si="31"/>
        <v>4994.3999999999996</v>
      </c>
      <c r="L15" s="54">
        <f t="shared" si="31"/>
        <v>5757</v>
      </c>
      <c r="M15" s="55">
        <f t="shared" si="31"/>
        <v>22278.799999999999</v>
      </c>
      <c r="N15" s="54">
        <f t="shared" si="31"/>
        <v>5918.6</v>
      </c>
      <c r="O15" s="106">
        <f t="shared" si="31"/>
        <v>5757.5</v>
      </c>
      <c r="P15" s="106">
        <f>SUM(P10:P14)+P9</f>
        <v>6113.3000000000011</v>
      </c>
      <c r="Q15" s="106">
        <f>SUM(Q10:Q14)+Q9</f>
        <v>6784.5</v>
      </c>
      <c r="R15" s="175">
        <f t="shared" si="31"/>
        <v>24573.9</v>
      </c>
      <c r="S15" s="54">
        <f t="shared" si="31"/>
        <v>6912.9</v>
      </c>
      <c r="T15" s="54">
        <f t="shared" si="31"/>
        <v>6735.7999999999993</v>
      </c>
      <c r="U15" s="54">
        <f t="shared" si="31"/>
        <v>6908.7000000000007</v>
      </c>
      <c r="V15" s="54">
        <f t="shared" si="31"/>
        <v>7309.3</v>
      </c>
      <c r="W15" s="175">
        <f t="shared" si="31"/>
        <v>27866.700000000004</v>
      </c>
      <c r="X15" s="54">
        <f t="shared" si="31"/>
        <v>7606.8293351396405</v>
      </c>
      <c r="Y15" s="54">
        <f t="shared" si="31"/>
        <v>7358.573817400732</v>
      </c>
      <c r="Z15" s="54">
        <f t="shared" si="31"/>
        <v>7842.2064688967739</v>
      </c>
      <c r="AA15" s="54">
        <f>SUM(AA10:AA14)+AA9</f>
        <v>7985.4130477163044</v>
      </c>
      <c r="AB15" s="55">
        <f>SUM(AB10:AB14)+AB9</f>
        <v>30793.022669153455</v>
      </c>
      <c r="AC15" s="54">
        <f t="shared" si="31"/>
        <v>8256.5159899636819</v>
      </c>
      <c r="AD15" s="54">
        <f t="shared" si="31"/>
        <v>7970.684859819371</v>
      </c>
      <c r="AE15" s="54">
        <f t="shared" si="31"/>
        <v>8553.6332909543271</v>
      </c>
      <c r="AF15" s="54">
        <f t="shared" si="31"/>
        <v>8892.0509142909941</v>
      </c>
      <c r="AG15" s="55">
        <f t="shared" si="31"/>
        <v>33672.885055028368</v>
      </c>
      <c r="AH15" s="54">
        <f t="shared" si="31"/>
        <v>9125.3970891516947</v>
      </c>
      <c r="AI15" s="54">
        <f t="shared" si="31"/>
        <v>8796.8104318143942</v>
      </c>
      <c r="AJ15" s="54">
        <f t="shared" si="31"/>
        <v>9377.7784436921283</v>
      </c>
      <c r="AK15" s="54">
        <f t="shared" si="31"/>
        <v>9838.1421164030835</v>
      </c>
      <c r="AL15" s="55">
        <f t="shared" si="31"/>
        <v>37138.128081061295</v>
      </c>
      <c r="AM15" s="54">
        <f t="shared" ref="AM15:AQ15" si="32">SUM(AM10:AM14)+AM9</f>
        <v>9998.9340002806348</v>
      </c>
      <c r="AN15" s="54">
        <f t="shared" si="32"/>
        <v>9592.5071584436882</v>
      </c>
      <c r="AO15" s="54">
        <f t="shared" si="32"/>
        <v>10205.625460880905</v>
      </c>
      <c r="AP15" s="54">
        <f t="shared" si="32"/>
        <v>10679.428994026446</v>
      </c>
      <c r="AQ15" s="55">
        <f t="shared" si="32"/>
        <v>40476.495613631676</v>
      </c>
      <c r="AR15" s="54">
        <f t="shared" ref="AR15:AV15" si="33">SUM(AR10:AR14)+AR9</f>
        <v>10650.734332236754</v>
      </c>
      <c r="AS15" s="54">
        <f t="shared" si="33"/>
        <v>10209.626037918886</v>
      </c>
      <c r="AT15" s="54">
        <f t="shared" si="33"/>
        <v>10861.541154563354</v>
      </c>
      <c r="AU15" s="54">
        <f t="shared" si="33"/>
        <v>11366.235205333727</v>
      </c>
      <c r="AV15" s="55">
        <f t="shared" si="33"/>
        <v>43088.13673005272</v>
      </c>
    </row>
    <row r="16" spans="1:48" s="23" customFormat="1" ht="17.25" customHeight="1" x14ac:dyDescent="0.45">
      <c r="B16" s="516" t="s">
        <v>36</v>
      </c>
      <c r="C16" s="517"/>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4">SUM(I16:L16)</f>
        <v>322.40000000000003</v>
      </c>
      <c r="N16" s="52">
        <v>82.7</v>
      </c>
      <c r="O16" s="104">
        <v>77.099999999999994</v>
      </c>
      <c r="P16" s="104">
        <v>105.5</v>
      </c>
      <c r="Q16" s="104">
        <v>120</v>
      </c>
      <c r="R16" s="173">
        <f t="shared" ref="R16" si="35">SUM(N16:Q16)</f>
        <v>385.3</v>
      </c>
      <c r="S16" s="52">
        <v>40.299999999999997</v>
      </c>
      <c r="T16" s="52">
        <v>49.1</v>
      </c>
      <c r="U16" s="52">
        <v>54.1</v>
      </c>
      <c r="V16" s="52">
        <v>90.6</v>
      </c>
      <c r="W16" s="173">
        <f t="shared" ref="W16" si="36">SUM(S16:V16)</f>
        <v>234.1</v>
      </c>
      <c r="X16" s="52">
        <f>+X104+X119</f>
        <v>90.4</v>
      </c>
      <c r="Y16" s="52">
        <f>+Y104+Y119</f>
        <v>90.5</v>
      </c>
      <c r="Z16" s="52">
        <f>+Z104+Z119</f>
        <v>90.6</v>
      </c>
      <c r="AA16" s="52">
        <f>+AA104+AA119</f>
        <v>90.7</v>
      </c>
      <c r="AB16" s="53">
        <f t="shared" ref="AB16" si="37">SUM(X16:AA16)</f>
        <v>362.2</v>
      </c>
      <c r="AC16" s="52">
        <f>+AC104+AC119</f>
        <v>91</v>
      </c>
      <c r="AD16" s="52">
        <f>+AD104+AD119</f>
        <v>91</v>
      </c>
      <c r="AE16" s="52">
        <f>+AE104+AE119</f>
        <v>91</v>
      </c>
      <c r="AF16" s="52">
        <f>+AF104+AF119</f>
        <v>91</v>
      </c>
      <c r="AG16" s="53">
        <f t="shared" ref="AG16" si="38">SUM(AC16:AF16)</f>
        <v>364</v>
      </c>
      <c r="AH16" s="52">
        <f>+AH104+AH119</f>
        <v>91</v>
      </c>
      <c r="AI16" s="52">
        <f>+AI104+AI119</f>
        <v>91</v>
      </c>
      <c r="AJ16" s="52">
        <f>+AJ104+AJ119</f>
        <v>91</v>
      </c>
      <c r="AK16" s="52">
        <f>+AK104+AK119</f>
        <v>91</v>
      </c>
      <c r="AL16" s="53">
        <f t="shared" ref="AL16" si="39">SUM(AH16:AK16)</f>
        <v>364</v>
      </c>
      <c r="AM16" s="52">
        <f>+AM104+AM119</f>
        <v>91</v>
      </c>
      <c r="AN16" s="52">
        <f>+AN104+AN119</f>
        <v>91</v>
      </c>
      <c r="AO16" s="52">
        <f>+AO104+AO119</f>
        <v>91</v>
      </c>
      <c r="AP16" s="52">
        <f>+AP104+AP119</f>
        <v>91</v>
      </c>
      <c r="AQ16" s="53">
        <f t="shared" ref="AQ16" si="40">SUM(AM16:AP16)</f>
        <v>364</v>
      </c>
      <c r="AR16" s="52">
        <f>+AR104+AR119</f>
        <v>91</v>
      </c>
      <c r="AS16" s="52">
        <f>+AS104+AS119</f>
        <v>91</v>
      </c>
      <c r="AT16" s="52">
        <f>+AT104+AT119</f>
        <v>91</v>
      </c>
      <c r="AU16" s="52">
        <f>+AU104+AU119</f>
        <v>91</v>
      </c>
      <c r="AV16" s="53">
        <f t="shared" ref="AV16" si="41">SUM(AR16:AU16)</f>
        <v>364</v>
      </c>
    </row>
    <row r="17" spans="1:48" x14ac:dyDescent="0.3">
      <c r="B17" s="135" t="s">
        <v>10</v>
      </c>
      <c r="C17" s="136"/>
      <c r="D17" s="103">
        <f t="shared" ref="D17:AV17" si="42">D8-D15+D16</f>
        <v>1015.7000000000005</v>
      </c>
      <c r="E17" s="103">
        <f t="shared" si="42"/>
        <v>857.69999999999959</v>
      </c>
      <c r="F17" s="103">
        <f t="shared" si="42"/>
        <v>1121.3000000000011</v>
      </c>
      <c r="G17" s="103">
        <f t="shared" si="42"/>
        <v>1083.2000000000012</v>
      </c>
      <c r="H17" s="171">
        <f t="shared" si="42"/>
        <v>4077.9000000000051</v>
      </c>
      <c r="I17" s="103">
        <f t="shared" si="42"/>
        <v>1219.7999999999988</v>
      </c>
      <c r="J17" s="103">
        <f t="shared" si="42"/>
        <v>487.39999999999907</v>
      </c>
      <c r="K17" s="103">
        <f t="shared" si="42"/>
        <v>-703.8999999999993</v>
      </c>
      <c r="L17" s="50">
        <f t="shared" si="42"/>
        <v>558.30000000000041</v>
      </c>
      <c r="M17" s="51">
        <f t="shared" si="42"/>
        <v>1561.6000000000045</v>
      </c>
      <c r="N17" s="50">
        <f t="shared" si="42"/>
        <v>913.50000000000023</v>
      </c>
      <c r="O17" s="103">
        <f t="shared" si="42"/>
        <v>987.6</v>
      </c>
      <c r="P17" s="103">
        <f>P8-P15+P16</f>
        <v>1488.6999999999989</v>
      </c>
      <c r="Q17" s="103">
        <f>Q8-Q15+Q16</f>
        <v>1482.1999999999998</v>
      </c>
      <c r="R17" s="171">
        <f t="shared" si="42"/>
        <v>4871.9999999999973</v>
      </c>
      <c r="S17" s="50">
        <f t="shared" si="42"/>
        <v>1177.8</v>
      </c>
      <c r="T17" s="50">
        <f t="shared" si="42"/>
        <v>948.9000000000002</v>
      </c>
      <c r="U17" s="50">
        <f t="shared" si="42"/>
        <v>1295.4999999999995</v>
      </c>
      <c r="V17" s="50">
        <f t="shared" si="42"/>
        <v>1195.4999999999986</v>
      </c>
      <c r="W17" s="171">
        <f t="shared" si="42"/>
        <v>4617.6999999999953</v>
      </c>
      <c r="X17" s="50">
        <f t="shared" si="42"/>
        <v>1209.6705072565296</v>
      </c>
      <c r="Y17" s="50">
        <f t="shared" si="42"/>
        <v>1180.014462620783</v>
      </c>
      <c r="Z17" s="50">
        <f t="shared" si="42"/>
        <v>1498.9879388984887</v>
      </c>
      <c r="AA17" s="50">
        <f t="shared" si="42"/>
        <v>1656.5607331439935</v>
      </c>
      <c r="AB17" s="51">
        <f>AB8-AB15+AB16</f>
        <v>5545.2336419197845</v>
      </c>
      <c r="AC17" s="50">
        <f t="shared" si="42"/>
        <v>1633.2621358905817</v>
      </c>
      <c r="AD17" s="50">
        <f t="shared" si="42"/>
        <v>1383.4276712772617</v>
      </c>
      <c r="AE17" s="50">
        <f t="shared" si="42"/>
        <v>1689.1295927117826</v>
      </c>
      <c r="AF17" s="50">
        <f t="shared" si="42"/>
        <v>1703.7198004598704</v>
      </c>
      <c r="AG17" s="51">
        <f t="shared" si="42"/>
        <v>6409.5392003395027</v>
      </c>
      <c r="AH17" s="50">
        <f t="shared" si="42"/>
        <v>1890.3597712967676</v>
      </c>
      <c r="AI17" s="50">
        <f t="shared" si="42"/>
        <v>1613.9818281696134</v>
      </c>
      <c r="AJ17" s="50">
        <f t="shared" si="42"/>
        <v>2030.2264408822775</v>
      </c>
      <c r="AK17" s="50">
        <f t="shared" si="42"/>
        <v>1982.3466578583102</v>
      </c>
      <c r="AL17" s="51">
        <f t="shared" si="42"/>
        <v>7516.9146982069651</v>
      </c>
      <c r="AM17" s="50">
        <f t="shared" si="42"/>
        <v>2107.1468275486841</v>
      </c>
      <c r="AN17" s="50">
        <f t="shared" si="42"/>
        <v>1791.1292144834879</v>
      </c>
      <c r="AO17" s="50">
        <f t="shared" si="42"/>
        <v>2224.3032856815789</v>
      </c>
      <c r="AP17" s="50">
        <f t="shared" si="42"/>
        <v>2157.3605611593994</v>
      </c>
      <c r="AQ17" s="51">
        <f t="shared" si="42"/>
        <v>8279.9398888731375</v>
      </c>
      <c r="AR17" s="50">
        <f t="shared" si="42"/>
        <v>2234.3851243234458</v>
      </c>
      <c r="AS17" s="50">
        <f t="shared" si="42"/>
        <v>1897.60669488659</v>
      </c>
      <c r="AT17" s="50">
        <f t="shared" si="42"/>
        <v>2356.3283300913754</v>
      </c>
      <c r="AU17" s="50">
        <f t="shared" si="42"/>
        <v>2283.5011660244127</v>
      </c>
      <c r="AV17" s="51">
        <f t="shared" si="42"/>
        <v>8771.8213153258257</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77.099999999999994</v>
      </c>
      <c r="W18" s="176">
        <f>SUM(S18:V18)</f>
        <v>237.29999999999998</v>
      </c>
      <c r="X18" s="89">
        <f>+X170</f>
        <v>60.201091631188127</v>
      </c>
      <c r="Y18" s="89">
        <f>+Y170</f>
        <v>10.201091631188127</v>
      </c>
      <c r="Z18" s="89">
        <f>+Z170</f>
        <v>10.201091631188127</v>
      </c>
      <c r="AA18" s="89">
        <f>+AA170</f>
        <v>10.201091631188127</v>
      </c>
      <c r="AB18" s="90">
        <f>SUM(X18:AA18)</f>
        <v>90.80436652475251</v>
      </c>
      <c r="AC18" s="89">
        <f t="shared" ref="AC18:AF18" si="43">+AC170</f>
        <v>10.201091631188127</v>
      </c>
      <c r="AD18" s="89">
        <f t="shared" si="43"/>
        <v>42</v>
      </c>
      <c r="AE18" s="89">
        <f t="shared" si="43"/>
        <v>42</v>
      </c>
      <c r="AF18" s="89">
        <f t="shared" si="43"/>
        <v>42</v>
      </c>
      <c r="AG18" s="90">
        <f>SUM(AC18:AF18)</f>
        <v>136.20109163118812</v>
      </c>
      <c r="AH18" s="89">
        <f t="shared" ref="AH18:AK18" si="44">+AH170</f>
        <v>42</v>
      </c>
      <c r="AI18" s="89">
        <f t="shared" si="44"/>
        <v>42</v>
      </c>
      <c r="AJ18" s="89">
        <f t="shared" si="44"/>
        <v>42</v>
      </c>
      <c r="AK18" s="89">
        <f t="shared" si="44"/>
        <v>42</v>
      </c>
      <c r="AL18" s="90">
        <f>SUM(AH18:AK18)</f>
        <v>168</v>
      </c>
      <c r="AM18" s="89">
        <f t="shared" ref="AM18:AP18" si="45">+AM170</f>
        <v>42</v>
      </c>
      <c r="AN18" s="89">
        <f t="shared" si="45"/>
        <v>42</v>
      </c>
      <c r="AO18" s="89">
        <f t="shared" si="45"/>
        <v>42</v>
      </c>
      <c r="AP18" s="89">
        <f t="shared" si="45"/>
        <v>42</v>
      </c>
      <c r="AQ18" s="90">
        <f>SUM(AM18:AP18)</f>
        <v>168</v>
      </c>
      <c r="AR18" s="89">
        <f t="shared" ref="AR18:AU18" si="46">+AR170</f>
        <v>42</v>
      </c>
      <c r="AS18" s="89">
        <f t="shared" si="46"/>
        <v>42</v>
      </c>
      <c r="AT18" s="89">
        <f t="shared" si="46"/>
        <v>42</v>
      </c>
      <c r="AU18" s="89">
        <f t="shared" si="46"/>
        <v>42</v>
      </c>
      <c r="AV18" s="90">
        <f>SUM(AR18:AU18)</f>
        <v>168</v>
      </c>
    </row>
    <row r="19" spans="1:48" x14ac:dyDescent="0.3">
      <c r="B19" s="124" t="s">
        <v>71</v>
      </c>
      <c r="C19" s="79"/>
      <c r="D19" s="108">
        <f t="shared" ref="D19:AV19" si="47">+D17+D18</f>
        <v>1153.7000000000005</v>
      </c>
      <c r="E19" s="108">
        <f t="shared" si="47"/>
        <v>999.09999999999957</v>
      </c>
      <c r="F19" s="108">
        <f t="shared" si="47"/>
        <v>1246.600000000001</v>
      </c>
      <c r="G19" s="108">
        <f t="shared" si="47"/>
        <v>1160.6000000000013</v>
      </c>
      <c r="H19" s="177">
        <f t="shared" si="47"/>
        <v>4560.0000000000055</v>
      </c>
      <c r="I19" s="108">
        <f t="shared" si="47"/>
        <v>1291.3999999999987</v>
      </c>
      <c r="J19" s="108">
        <f t="shared" si="47"/>
        <v>554.19999999999902</v>
      </c>
      <c r="K19" s="108">
        <f t="shared" si="47"/>
        <v>-530.21999999999935</v>
      </c>
      <c r="L19" s="80">
        <f t="shared" si="47"/>
        <v>817.80000000000041</v>
      </c>
      <c r="M19" s="81">
        <f t="shared" si="47"/>
        <v>2133.1800000000044</v>
      </c>
      <c r="N19" s="108">
        <f t="shared" si="47"/>
        <v>1048.4000000000003</v>
      </c>
      <c r="O19" s="108">
        <f t="shared" si="47"/>
        <v>1075.8</v>
      </c>
      <c r="P19" s="108">
        <f t="shared" si="47"/>
        <v>1540.399999999999</v>
      </c>
      <c r="Q19" s="108">
        <f t="shared" si="47"/>
        <v>1597.3999999999999</v>
      </c>
      <c r="R19" s="177">
        <f t="shared" si="47"/>
        <v>5261.9999999999973</v>
      </c>
      <c r="S19" s="80">
        <f t="shared" si="47"/>
        <v>1213</v>
      </c>
      <c r="T19" s="80">
        <f t="shared" si="47"/>
        <v>996.4000000000002</v>
      </c>
      <c r="U19" s="80">
        <f t="shared" si="47"/>
        <v>1372.9999999999995</v>
      </c>
      <c r="V19" s="80">
        <f t="shared" si="47"/>
        <v>1272.5999999999985</v>
      </c>
      <c r="W19" s="177">
        <f t="shared" si="47"/>
        <v>4854.9999999999955</v>
      </c>
      <c r="X19" s="80">
        <f t="shared" si="47"/>
        <v>1269.8715988877177</v>
      </c>
      <c r="Y19" s="80">
        <f t="shared" si="47"/>
        <v>1190.2155542519711</v>
      </c>
      <c r="Z19" s="80">
        <f t="shared" si="47"/>
        <v>1509.1890305296768</v>
      </c>
      <c r="AA19" s="80">
        <f t="shared" si="47"/>
        <v>1666.7618247751816</v>
      </c>
      <c r="AB19" s="81">
        <f>+AB17+AB18</f>
        <v>5636.0380084445369</v>
      </c>
      <c r="AC19" s="80">
        <f t="shared" si="47"/>
        <v>1643.4632275217698</v>
      </c>
      <c r="AD19" s="80">
        <f t="shared" si="47"/>
        <v>1425.4276712772617</v>
      </c>
      <c r="AE19" s="80">
        <f t="shared" si="47"/>
        <v>1731.1295927117826</v>
      </c>
      <c r="AF19" s="80">
        <f t="shared" si="47"/>
        <v>1745.7198004598704</v>
      </c>
      <c r="AG19" s="81">
        <f t="shared" si="47"/>
        <v>6545.740291970691</v>
      </c>
      <c r="AH19" s="80">
        <f t="shared" si="47"/>
        <v>1932.3597712967676</v>
      </c>
      <c r="AI19" s="80">
        <f t="shared" si="47"/>
        <v>1655.9818281696134</v>
      </c>
      <c r="AJ19" s="80">
        <f t="shared" si="47"/>
        <v>2072.2264408822775</v>
      </c>
      <c r="AK19" s="80">
        <f t="shared" si="47"/>
        <v>2024.3466578583102</v>
      </c>
      <c r="AL19" s="81">
        <f t="shared" si="47"/>
        <v>7684.9146982069651</v>
      </c>
      <c r="AM19" s="80">
        <f t="shared" si="47"/>
        <v>2149.1468275486841</v>
      </c>
      <c r="AN19" s="80">
        <f t="shared" si="47"/>
        <v>1833.1292144834879</v>
      </c>
      <c r="AO19" s="80">
        <f t="shared" si="47"/>
        <v>2266.3032856815789</v>
      </c>
      <c r="AP19" s="80">
        <f t="shared" si="47"/>
        <v>2199.3605611593994</v>
      </c>
      <c r="AQ19" s="81">
        <f t="shared" si="47"/>
        <v>8447.9398888731375</v>
      </c>
      <c r="AR19" s="80">
        <f t="shared" si="47"/>
        <v>2276.3851243234458</v>
      </c>
      <c r="AS19" s="80">
        <f t="shared" si="47"/>
        <v>1939.60669488659</v>
      </c>
      <c r="AT19" s="80">
        <f t="shared" si="47"/>
        <v>2398.3283300913754</v>
      </c>
      <c r="AU19" s="80">
        <f t="shared" si="47"/>
        <v>2325.5011660244127</v>
      </c>
      <c r="AV19" s="81">
        <f t="shared" si="47"/>
        <v>8939.8213153258257</v>
      </c>
    </row>
    <row r="20" spans="1:48" x14ac:dyDescent="0.3">
      <c r="B20" s="38" t="s">
        <v>63</v>
      </c>
      <c r="C20" s="18"/>
      <c r="D20" s="105">
        <v>0</v>
      </c>
      <c r="E20" s="105">
        <v>21</v>
      </c>
      <c r="F20" s="105">
        <v>601.79999999999995</v>
      </c>
      <c r="G20" s="105">
        <f t="shared" ref="G20:G22" si="48">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48"/>
        <v>16.299999999999994</v>
      </c>
      <c r="H21" s="170">
        <v>96.5</v>
      </c>
      <c r="I21" s="105">
        <v>15.9</v>
      </c>
      <c r="J21" s="105">
        <v>2</v>
      </c>
      <c r="K21" s="105">
        <v>12.7</v>
      </c>
      <c r="L21" s="105">
        <v>9.1</v>
      </c>
      <c r="M21" s="170">
        <f t="shared" ref="M21:M22" si="49">SUM(I21:L21)</f>
        <v>39.699999999999996</v>
      </c>
      <c r="N21" s="105">
        <v>15.5</v>
      </c>
      <c r="O21" s="105">
        <v>17.3</v>
      </c>
      <c r="P21" s="105">
        <v>36</v>
      </c>
      <c r="Q21" s="105">
        <v>21.5</v>
      </c>
      <c r="R21" s="170">
        <f t="shared" ref="R21" si="50">SUM(N21:Q21)</f>
        <v>90.3</v>
      </c>
      <c r="S21" s="105">
        <v>-0.1</v>
      </c>
      <c r="T21" s="105">
        <v>46.3</v>
      </c>
      <c r="U21" s="105">
        <v>19.8</v>
      </c>
      <c r="V21" s="105">
        <v>31</v>
      </c>
      <c r="W21" s="170">
        <f t="shared" ref="W21:W22" si="51">SUM(S21:V21)</f>
        <v>97</v>
      </c>
      <c r="X21" s="105">
        <f>('BS (Before Changes)'!V6+'BS (Before Changes)'!V7+'BS (Before Changes)'!V12)*'IS (Before Changes)'!X144</f>
        <v>29.1536469218868</v>
      </c>
      <c r="Y21" s="105">
        <f>('BS (Before Changes)'!X6+'BS (Before Changes)'!X7+'BS (Before Changes)'!X12)*'IS (Before Changes)'!Y144</f>
        <v>57.260330499207051</v>
      </c>
      <c r="Z21" s="105">
        <f>('BS (Before Changes)'!Y6+'BS (Before Changes)'!Y7+'BS (Before Changes)'!Y12)*'IS (Before Changes)'!Z144</f>
        <v>51.523422498694345</v>
      </c>
      <c r="AA21" s="105">
        <f>('BS (Before Changes)'!Z6+'BS (Before Changes)'!Z7+'BS (Before Changes)'!Z12)*'IS (Before Changes)'!AA144</f>
        <v>31.034990809734069</v>
      </c>
      <c r="AB21" s="170">
        <f t="shared" ref="AB21:AB22" si="52">SUM(X21:AA21)</f>
        <v>168.97239072952226</v>
      </c>
      <c r="AC21" s="105">
        <f>('BS (Before Changes)'!AA6+'BS (Before Changes)'!AA7+'BS (Before Changes)'!AA12)*'IS (Before Changes)'!AC144</f>
        <v>35.930287086412527</v>
      </c>
      <c r="AD21" s="105">
        <f>('BS (Before Changes)'!AC6+'BS (Before Changes)'!AC7+'BS (Before Changes)'!AC12)*'IS (Before Changes)'!AD144</f>
        <v>43.648603070311871</v>
      </c>
      <c r="AE21" s="105">
        <f>('BS (Before Changes)'!AD6+'BS (Before Changes)'!AD7+'BS (Before Changes)'!AD12)*'IS (Before Changes)'!AE144</f>
        <v>41.834380982580193</v>
      </c>
      <c r="AF21" s="105">
        <f>('BS (Before Changes)'!AE6+'BS (Before Changes)'!AE7+'BS (Before Changes)'!AE12)*'IS (Before Changes)'!AF144</f>
        <v>42.322843271748539</v>
      </c>
      <c r="AG21" s="170">
        <f t="shared" ref="AG21:AG22" si="53">SUM(AC21:AF21)</f>
        <v>163.73611441105311</v>
      </c>
      <c r="AH21" s="105">
        <f>('BS (Before Changes)'!AF6+'BS (Before Changes)'!AF7+'BS (Before Changes)'!AF12)*'IS (Before Changes)'!AH144</f>
        <v>45.906236895337244</v>
      </c>
      <c r="AI21" s="105">
        <f>('BS (Before Changes)'!AH6+'BS (Before Changes)'!AH7+'BS (Before Changes)'!AH12)*'IS (Before Changes)'!AI144</f>
        <v>54.584864774155541</v>
      </c>
      <c r="AJ21" s="105">
        <f>('BS (Before Changes)'!AI6+'BS (Before Changes)'!AI7+'BS (Before Changes)'!AI12)*'IS (Before Changes)'!AJ144</f>
        <v>52.821207249852698</v>
      </c>
      <c r="AK21" s="105">
        <f>('BS (Before Changes)'!AJ6+'BS (Before Changes)'!AJ7+'BS (Before Changes)'!AJ12)*'IS (Before Changes)'!AK144</f>
        <v>56.109972933715568</v>
      </c>
      <c r="AL21" s="170">
        <f t="shared" ref="AL21:AL22" si="54">SUM(AH21:AK21)</f>
        <v>209.42228185306107</v>
      </c>
      <c r="AM21" s="105">
        <f>('BS (Before Changes)'!AK6+'BS (Before Changes)'!AK7+'BS (Before Changes)'!AK12)*'IS (Before Changes)'!AM144</f>
        <v>16.221883376779306</v>
      </c>
      <c r="AN21" s="105">
        <f>('BS (Before Changes)'!AM6+'BS (Before Changes)'!AM7+'BS (Before Changes)'!AM12)*'IS (Before Changes)'!AN144</f>
        <v>25.644789285182732</v>
      </c>
      <c r="AO21" s="105">
        <f>('BS (Before Changes)'!AN6+'BS (Before Changes)'!AN7+'BS (Before Changes)'!AN12)*'IS (Before Changes)'!AO144</f>
        <v>22.642081192224271</v>
      </c>
      <c r="AP21" s="105">
        <f>('BS (Before Changes)'!AO6+'BS (Before Changes)'!AO7+'BS (Before Changes)'!AO12)*'IS (Before Changes)'!AP144</f>
        <v>23.307571739536687</v>
      </c>
      <c r="AQ21" s="170">
        <f t="shared" ref="AQ21:AQ22" si="55">SUM(AM21:AP21)</f>
        <v>87.816325593722993</v>
      </c>
      <c r="AR21" s="105">
        <f>('BS (Before Changes)'!AP6+'BS (Before Changes)'!AP7+'BS (Before Changes)'!AP12)*'IS (Before Changes)'!AR144</f>
        <v>28.04615244463827</v>
      </c>
      <c r="AS21" s="105">
        <f>('BS (Before Changes)'!AR6+'BS (Before Changes)'!AR7+'BS (Before Changes)'!AR12)*'IS (Before Changes)'!AS144</f>
        <v>38.866557627250046</v>
      </c>
      <c r="AT21" s="105">
        <f>('BS (Before Changes)'!AS6+'BS (Before Changes)'!AS7+'BS (Before Changes)'!AS12)*'IS (Before Changes)'!AT144</f>
        <v>36.625560309226124</v>
      </c>
      <c r="AU21" s="105">
        <f>('BS (Before Changes)'!AT6+'BS (Before Changes)'!AT7+'BS (Before Changes)'!AT12)*'IS (Before Changes)'!AU144</f>
        <v>38.374247511986368</v>
      </c>
      <c r="AV21" s="170">
        <f t="shared" ref="AV21:AV22" si="56">SUM(AR21:AU21)</f>
        <v>141.91251789310081</v>
      </c>
    </row>
    <row r="22" spans="1:48" ht="16.2" x14ac:dyDescent="0.45">
      <c r="B22" s="38" t="s">
        <v>38</v>
      </c>
      <c r="C22" s="356"/>
      <c r="D22" s="104">
        <v>-75</v>
      </c>
      <c r="E22" s="104">
        <v>-73.900000000000006</v>
      </c>
      <c r="F22" s="104">
        <v>-86.4</v>
      </c>
      <c r="G22" s="104">
        <f t="shared" si="48"/>
        <v>-95.699999999999989</v>
      </c>
      <c r="H22" s="173">
        <v>-331</v>
      </c>
      <c r="I22" s="104">
        <v>-91.9</v>
      </c>
      <c r="J22" s="104">
        <v>-99.2</v>
      </c>
      <c r="K22" s="104">
        <v>-120.8</v>
      </c>
      <c r="L22" s="104">
        <v>-125</v>
      </c>
      <c r="M22" s="173">
        <f t="shared" si="49"/>
        <v>-436.90000000000003</v>
      </c>
      <c r="N22" s="104">
        <v>-120.7</v>
      </c>
      <c r="O22" s="104">
        <v>-115</v>
      </c>
      <c r="P22" s="104">
        <v>-113.4</v>
      </c>
      <c r="Q22" s="104">
        <v>-120.6</v>
      </c>
      <c r="R22" s="173">
        <f t="shared" ref="R22" si="57">SUM(N22:Q22)</f>
        <v>-469.70000000000005</v>
      </c>
      <c r="S22" s="104">
        <v>-115.3</v>
      </c>
      <c r="T22" s="104">
        <v>-119.1</v>
      </c>
      <c r="U22" s="104">
        <v>-123.1</v>
      </c>
      <c r="V22" s="104">
        <v>-125.3</v>
      </c>
      <c r="W22" s="173">
        <f t="shared" si="51"/>
        <v>-482.8</v>
      </c>
      <c r="X22" s="104">
        <f>-('BS (Before Changes)'!V28+'BS (Before Changes)'!V31)*X145</f>
        <v>-137.49999999999989</v>
      </c>
      <c r="Y22" s="104">
        <f>-('BS (Before Changes)'!X28+'BS (Before Changes)'!X31)*Y145</f>
        <v>-137.49999999999989</v>
      </c>
      <c r="Z22" s="104">
        <f>-('BS (Before Changes)'!Y28+'BS (Before Changes)'!Y31)*Z145</f>
        <v>-137.49999999999989</v>
      </c>
      <c r="AA22" s="104">
        <f>-('BS (Before Changes)'!Z28+'BS (Before Changes)'!Z31)*AA145</f>
        <v>-137.49999999999991</v>
      </c>
      <c r="AB22" s="430">
        <f t="shared" si="52"/>
        <v>-549.99999999999955</v>
      </c>
      <c r="AC22" s="104">
        <f>-('BS (Before Changes)'!AA28+'BS (Before Changes)'!AA31)*AC145</f>
        <v>-139.00438999999989</v>
      </c>
      <c r="AD22" s="104">
        <f>-('BS (Before Changes)'!AC28+'BS (Before Changes)'!AC31)*AD145</f>
        <v>-140.50877999999989</v>
      </c>
      <c r="AE22" s="104">
        <f>-('BS (Before Changes)'!AD28+'BS (Before Changes)'!AD31)*AE145</f>
        <v>-142.01033802484716</v>
      </c>
      <c r="AF22" s="104">
        <f>-('BS (Before Changes)'!AE28+'BS (Before Changes)'!AE31)*AF145</f>
        <v>-143.51469802484715</v>
      </c>
      <c r="AG22" s="173">
        <f t="shared" si="53"/>
        <v>-565.03820604969405</v>
      </c>
      <c r="AH22" s="104">
        <f>-('BS (Before Changes)'!AF28+'BS (Before Changes)'!AF31)*AH145</f>
        <v>-145.98304974242038</v>
      </c>
      <c r="AI22" s="104">
        <f>-('BS (Before Changes)'!AH28+'BS (Before Changes)'!AH31)*AI145</f>
        <v>-147.49740974242036</v>
      </c>
      <c r="AJ22" s="104">
        <f>-('BS (Before Changes)'!AI28+'BS (Before Changes)'!AI31)*AJ145</f>
        <v>-149.01176974242034</v>
      </c>
      <c r="AK22" s="104">
        <f>-('BS (Before Changes)'!AJ28+'BS (Before Changes)'!AJ31)*AK145</f>
        <v>-205.61296383319919</v>
      </c>
      <c r="AL22" s="173">
        <f t="shared" si="54"/>
        <v>-648.10519306046024</v>
      </c>
      <c r="AM22" s="104">
        <f>-('BS (Before Changes)'!AK28+'BS (Before Changes)'!AK31)*AM145</f>
        <v>-205.61296383319919</v>
      </c>
      <c r="AN22" s="104">
        <f>-('BS (Before Changes)'!AM28+'BS (Before Changes)'!AM31)*AN145</f>
        <v>-205.61296383319919</v>
      </c>
      <c r="AO22" s="104">
        <f>-('BS (Before Changes)'!AN28+'BS (Before Changes)'!AN31)*AO145</f>
        <v>-205.61296383319919</v>
      </c>
      <c r="AP22" s="104">
        <f>-('BS (Before Changes)'!AO28+'BS (Before Changes)'!AO31)*AP145</f>
        <v>-205.61296383319919</v>
      </c>
      <c r="AQ22" s="173">
        <f t="shared" si="55"/>
        <v>-822.45185533279675</v>
      </c>
      <c r="AR22" s="104">
        <f>-('BS (Before Changes)'!AP28+'BS (Before Changes)'!AP31)*AR145</f>
        <v>-205.61296383319919</v>
      </c>
      <c r="AS22" s="104">
        <f>-('BS (Before Changes)'!AR28+'BS (Before Changes)'!AR31)*AS145</f>
        <v>-205.61296383319919</v>
      </c>
      <c r="AT22" s="104">
        <f>-('BS (Before Changes)'!AS28+'BS (Before Changes)'!AS31)*AT145</f>
        <v>-205.61296383319919</v>
      </c>
      <c r="AU22" s="104">
        <f>-('BS (Before Changes)'!AT28+'BS (Before Changes)'!AT31)*AU145</f>
        <v>-205.61296383319919</v>
      </c>
      <c r="AV22" s="173">
        <f t="shared" si="56"/>
        <v>-822.45185533279675</v>
      </c>
    </row>
    <row r="23" spans="1:48" x14ac:dyDescent="0.3">
      <c r="B23" s="518" t="s">
        <v>11</v>
      </c>
      <c r="C23" s="519"/>
      <c r="D23" s="103">
        <f t="shared" ref="D23:AV23" si="58">D17+D21+D22+D20</f>
        <v>965.50000000000045</v>
      </c>
      <c r="E23" s="103">
        <f t="shared" si="58"/>
        <v>819.99999999999966</v>
      </c>
      <c r="F23" s="103">
        <f t="shared" si="58"/>
        <v>1676.900000000001</v>
      </c>
      <c r="G23" s="103">
        <f t="shared" si="58"/>
        <v>1003.8000000000011</v>
      </c>
      <c r="H23" s="171">
        <f t="shared" si="58"/>
        <v>4466.2000000000053</v>
      </c>
      <c r="I23" s="103">
        <f t="shared" si="58"/>
        <v>1143.7999999999988</v>
      </c>
      <c r="J23" s="103">
        <f t="shared" si="58"/>
        <v>390.19999999999908</v>
      </c>
      <c r="K23" s="103">
        <f t="shared" si="58"/>
        <v>-811.9999999999992</v>
      </c>
      <c r="L23" s="50">
        <f t="shared" si="58"/>
        <v>442.40000000000043</v>
      </c>
      <c r="M23" s="51">
        <f t="shared" si="58"/>
        <v>1164.4000000000044</v>
      </c>
      <c r="N23" s="50">
        <f t="shared" si="58"/>
        <v>808.30000000000018</v>
      </c>
      <c r="O23" s="103">
        <f t="shared" si="58"/>
        <v>889.9</v>
      </c>
      <c r="P23" s="103">
        <f t="shared" si="58"/>
        <v>1411.2999999999988</v>
      </c>
      <c r="Q23" s="103">
        <f>Q17+Q21+Q22+Q20</f>
        <v>2247.6</v>
      </c>
      <c r="R23" s="171">
        <f t="shared" si="58"/>
        <v>5357.0999999999976</v>
      </c>
      <c r="S23" s="50">
        <f t="shared" si="58"/>
        <v>1062.4000000000001</v>
      </c>
      <c r="T23" s="50">
        <f t="shared" si="58"/>
        <v>876.10000000000014</v>
      </c>
      <c r="U23" s="50">
        <f t="shared" si="58"/>
        <v>1192.1999999999996</v>
      </c>
      <c r="V23" s="50">
        <f t="shared" si="58"/>
        <v>1101.1999999999987</v>
      </c>
      <c r="W23" s="171">
        <f t="shared" si="58"/>
        <v>4231.8999999999951</v>
      </c>
      <c r="X23" s="50">
        <f t="shared" si="58"/>
        <v>1101.3241541784164</v>
      </c>
      <c r="Y23" s="50">
        <f t="shared" si="58"/>
        <v>1099.7747931199901</v>
      </c>
      <c r="Z23" s="50">
        <f t="shared" si="58"/>
        <v>1413.011361397183</v>
      </c>
      <c r="AA23" s="50">
        <f>AA17+AA21+AA22+AA20</f>
        <v>1550.0957239537277</v>
      </c>
      <c r="AB23" s="51">
        <f>AB17+AB21+AB22+AB20</f>
        <v>5164.2060326493065</v>
      </c>
      <c r="AC23" s="50">
        <f t="shared" si="58"/>
        <v>1530.1880329769945</v>
      </c>
      <c r="AD23" s="50">
        <f t="shared" si="58"/>
        <v>1286.5674943475735</v>
      </c>
      <c r="AE23" s="50">
        <f t="shared" si="58"/>
        <v>1588.9536356695155</v>
      </c>
      <c r="AF23" s="50">
        <f t="shared" si="58"/>
        <v>1602.5279457067718</v>
      </c>
      <c r="AG23" s="51">
        <f t="shared" si="58"/>
        <v>6008.2371087008614</v>
      </c>
      <c r="AH23" s="50">
        <f t="shared" si="58"/>
        <v>1790.2829584496844</v>
      </c>
      <c r="AI23" s="50">
        <f t="shared" si="58"/>
        <v>1521.0692832013485</v>
      </c>
      <c r="AJ23" s="50">
        <f t="shared" si="58"/>
        <v>1934.03587838971</v>
      </c>
      <c r="AK23" s="50">
        <f t="shared" si="58"/>
        <v>1832.8436669588266</v>
      </c>
      <c r="AL23" s="51">
        <f t="shared" si="58"/>
        <v>7078.2317869995659</v>
      </c>
      <c r="AM23" s="50">
        <f t="shared" si="58"/>
        <v>1917.7557470922641</v>
      </c>
      <c r="AN23" s="50">
        <f t="shared" si="58"/>
        <v>1611.1610399354713</v>
      </c>
      <c r="AO23" s="50">
        <f t="shared" si="58"/>
        <v>2041.332403040604</v>
      </c>
      <c r="AP23" s="50">
        <f t="shared" si="58"/>
        <v>1975.0551690657369</v>
      </c>
      <c r="AQ23" s="51">
        <f t="shared" si="58"/>
        <v>7545.3043591340638</v>
      </c>
      <c r="AR23" s="50">
        <f t="shared" si="58"/>
        <v>2056.8183129348849</v>
      </c>
      <c r="AS23" s="50">
        <f t="shared" si="58"/>
        <v>1730.8602886806409</v>
      </c>
      <c r="AT23" s="50">
        <f t="shared" si="58"/>
        <v>2187.3409265674027</v>
      </c>
      <c r="AU23" s="50">
        <f t="shared" si="58"/>
        <v>2116.2624497031998</v>
      </c>
      <c r="AV23" s="51">
        <f t="shared" si="58"/>
        <v>8091.2819778861294</v>
      </c>
    </row>
    <row r="24" spans="1:48" ht="16.2" x14ac:dyDescent="0.45">
      <c r="B24" s="520" t="s">
        <v>5</v>
      </c>
      <c r="C24" s="521"/>
      <c r="D24" s="104">
        <v>205.1</v>
      </c>
      <c r="E24" s="104">
        <v>161.19999999999999</v>
      </c>
      <c r="F24" s="104">
        <v>303.7</v>
      </c>
      <c r="G24" s="104">
        <f t="shared" ref="G24" si="59">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v>222.7</v>
      </c>
      <c r="W24" s="173">
        <f>SUM(S24:V24)</f>
        <v>948.59999999999991</v>
      </c>
      <c r="X24" s="52">
        <f>+X23*X143</f>
        <v>269.82441777371201</v>
      </c>
      <c r="Y24" s="52">
        <f>+Y23*Y143</f>
        <v>269.44482431439758</v>
      </c>
      <c r="Z24" s="52">
        <f>+Z23*Z143</f>
        <v>346.18778354230983</v>
      </c>
      <c r="AA24" s="52">
        <f>+AA23*AA143</f>
        <v>379.77345236866324</v>
      </c>
      <c r="AB24" s="53">
        <f>SUM(X24:AA24)</f>
        <v>1265.2304779990827</v>
      </c>
      <c r="AC24" s="52">
        <f>+AC23*AC143</f>
        <v>374.89606807936366</v>
      </c>
      <c r="AD24" s="52">
        <f>+AD23*AD143</f>
        <v>315.20903611515553</v>
      </c>
      <c r="AE24" s="52">
        <f>+AE23*AE143</f>
        <v>389.29364073903128</v>
      </c>
      <c r="AF24" s="52">
        <f>+AF23*AF143</f>
        <v>392.61934669815906</v>
      </c>
      <c r="AG24" s="53">
        <f>SUM(AC24:AF24)</f>
        <v>1472.0180916317095</v>
      </c>
      <c r="AH24" s="52">
        <f>+AH23*AH143</f>
        <v>438.61932482017266</v>
      </c>
      <c r="AI24" s="52">
        <f>+AI23*AI143</f>
        <v>372.66197438433039</v>
      </c>
      <c r="AJ24" s="52">
        <f>+AJ23*AJ143</f>
        <v>473.83879020547892</v>
      </c>
      <c r="AK24" s="52">
        <f>+AK23*AK143</f>
        <v>449.04669840491249</v>
      </c>
      <c r="AL24" s="53">
        <f>SUM(AH24:AK24)</f>
        <v>1734.1667878148946</v>
      </c>
      <c r="AM24" s="52">
        <f>+AM23*AM143</f>
        <v>469.85015803760467</v>
      </c>
      <c r="AN24" s="52">
        <f>+AN23*AN143</f>
        <v>394.73445478419046</v>
      </c>
      <c r="AO24" s="52">
        <f>+AO23*AO143</f>
        <v>500.12643874494796</v>
      </c>
      <c r="AP24" s="52">
        <f>+AP23*AP143</f>
        <v>483.88851642110552</v>
      </c>
      <c r="AQ24" s="53">
        <f>SUM(AM24:AP24)</f>
        <v>1848.5995679878488</v>
      </c>
      <c r="AR24" s="52">
        <f>+AR23*AR143</f>
        <v>503.9204866690468</v>
      </c>
      <c r="AS24" s="52">
        <f>+AS23*AS143</f>
        <v>424.06077072675703</v>
      </c>
      <c r="AT24" s="52">
        <f>+AT23*AT143</f>
        <v>535.89852700901361</v>
      </c>
      <c r="AU24" s="52">
        <f>+AU23*AU143</f>
        <v>518.4843001772839</v>
      </c>
      <c r="AV24" s="53">
        <f>SUM(AR24:AU24)</f>
        <v>1982.3640845821014</v>
      </c>
    </row>
    <row r="25" spans="1:48" x14ac:dyDescent="0.3">
      <c r="A25" s="23"/>
      <c r="B25" s="518" t="s">
        <v>39</v>
      </c>
      <c r="C25" s="519"/>
      <c r="D25" s="103">
        <f t="shared" ref="D25:AV25" si="60">+D23-D24</f>
        <v>760.40000000000043</v>
      </c>
      <c r="E25" s="103">
        <f t="shared" si="60"/>
        <v>658.79999999999973</v>
      </c>
      <c r="F25" s="103">
        <f t="shared" si="60"/>
        <v>1373.200000000001</v>
      </c>
      <c r="G25" s="103">
        <f t="shared" si="60"/>
        <v>802.20000000000095</v>
      </c>
      <c r="H25" s="171">
        <f t="shared" si="60"/>
        <v>3594.6000000000054</v>
      </c>
      <c r="I25" s="103">
        <f t="shared" si="60"/>
        <v>885.29999999999882</v>
      </c>
      <c r="J25" s="103">
        <f t="shared" si="60"/>
        <v>324.79999999999905</v>
      </c>
      <c r="K25" s="103">
        <f t="shared" si="60"/>
        <v>-678.09999999999923</v>
      </c>
      <c r="L25" s="50">
        <f t="shared" si="60"/>
        <v>392.70000000000044</v>
      </c>
      <c r="M25" s="51">
        <f t="shared" si="60"/>
        <v>924.70000000000437</v>
      </c>
      <c r="N25" s="50">
        <f t="shared" si="60"/>
        <v>622.20000000000016</v>
      </c>
      <c r="O25" s="103">
        <f t="shared" si="60"/>
        <v>659.4</v>
      </c>
      <c r="P25" s="103">
        <f t="shared" si="60"/>
        <v>1154.1999999999989</v>
      </c>
      <c r="Q25" s="103">
        <f>+Q23-Q24</f>
        <v>1764.6</v>
      </c>
      <c r="R25" s="171">
        <f t="shared" si="60"/>
        <v>4200.3999999999978</v>
      </c>
      <c r="S25" s="50">
        <f t="shared" si="60"/>
        <v>816.10000000000014</v>
      </c>
      <c r="T25" s="50">
        <f t="shared" si="60"/>
        <v>675.00000000000011</v>
      </c>
      <c r="U25" s="50">
        <f t="shared" si="60"/>
        <v>913.69999999999959</v>
      </c>
      <c r="V25" s="50">
        <f t="shared" si="60"/>
        <v>878.49999999999864</v>
      </c>
      <c r="W25" s="171">
        <f t="shared" si="60"/>
        <v>3283.2999999999952</v>
      </c>
      <c r="X25" s="50">
        <f t="shared" si="60"/>
        <v>831.49973640470444</v>
      </c>
      <c r="Y25" s="50">
        <f t="shared" si="60"/>
        <v>830.32996880559256</v>
      </c>
      <c r="Z25" s="50">
        <f t="shared" si="60"/>
        <v>1066.8235778548733</v>
      </c>
      <c r="AA25" s="50">
        <f>+AA23-AA24</f>
        <v>1170.3222715850643</v>
      </c>
      <c r="AB25" s="51">
        <f>+AB23-AB24</f>
        <v>3898.9755546502238</v>
      </c>
      <c r="AC25" s="50">
        <f t="shared" si="60"/>
        <v>1155.2919648976308</v>
      </c>
      <c r="AD25" s="50">
        <f t="shared" si="60"/>
        <v>971.358458232418</v>
      </c>
      <c r="AE25" s="50">
        <f t="shared" si="60"/>
        <v>1199.6599949304841</v>
      </c>
      <c r="AF25" s="103">
        <f t="shared" si="60"/>
        <v>1209.9085990086128</v>
      </c>
      <c r="AG25" s="171">
        <f t="shared" si="60"/>
        <v>4536.219017069152</v>
      </c>
      <c r="AH25" s="103">
        <f t="shared" si="60"/>
        <v>1351.6636336295119</v>
      </c>
      <c r="AI25" s="103">
        <f t="shared" si="60"/>
        <v>1148.407308817018</v>
      </c>
      <c r="AJ25" s="103">
        <f t="shared" si="60"/>
        <v>1460.197088184231</v>
      </c>
      <c r="AK25" s="103">
        <f t="shared" si="60"/>
        <v>1383.7969685539142</v>
      </c>
      <c r="AL25" s="51">
        <f t="shared" si="60"/>
        <v>5344.0649991846713</v>
      </c>
      <c r="AM25" s="103">
        <f t="shared" si="60"/>
        <v>1447.9055890546595</v>
      </c>
      <c r="AN25" s="103">
        <f t="shared" si="60"/>
        <v>1216.426585151281</v>
      </c>
      <c r="AO25" s="103">
        <f t="shared" si="60"/>
        <v>1541.205964295656</v>
      </c>
      <c r="AP25" s="103">
        <f t="shared" si="60"/>
        <v>1491.1666526446313</v>
      </c>
      <c r="AQ25" s="51">
        <f t="shared" si="60"/>
        <v>5696.704791146215</v>
      </c>
      <c r="AR25" s="103">
        <f t="shared" si="60"/>
        <v>1552.8978262658381</v>
      </c>
      <c r="AS25" s="103">
        <f t="shared" si="60"/>
        <v>1306.7995179538839</v>
      </c>
      <c r="AT25" s="103">
        <f t="shared" si="60"/>
        <v>1651.4423995583891</v>
      </c>
      <c r="AU25" s="103">
        <f t="shared" si="60"/>
        <v>1597.778149525916</v>
      </c>
      <c r="AV25" s="51">
        <f t="shared" si="60"/>
        <v>6108.9178933040275</v>
      </c>
    </row>
    <row r="26" spans="1:48" ht="16.2" x14ac:dyDescent="0.45">
      <c r="A26" s="23"/>
      <c r="B26" s="210" t="s">
        <v>40</v>
      </c>
      <c r="C26" s="201"/>
      <c r="D26" s="104">
        <v>-0.2</v>
      </c>
      <c r="E26" s="104">
        <v>-4.4000000000000004</v>
      </c>
      <c r="F26" s="104">
        <v>0.4</v>
      </c>
      <c r="G26" s="104">
        <f t="shared" ref="G26" si="61">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v>0.49999999999999983</v>
      </c>
      <c r="W26" s="173">
        <f>SUM(S26:V26)</f>
        <v>1.7999999999999998</v>
      </c>
      <c r="X26" s="104">
        <f>AVERAGE(V26,U26,T26,S26)</f>
        <v>0.44999999999999996</v>
      </c>
      <c r="Y26" s="104">
        <f>AVERAGE(X26,V26,U26,T26)</f>
        <v>0.51249999999999996</v>
      </c>
      <c r="Z26" s="104">
        <f>AVERAGE(Y26,X26,V26,U26)</f>
        <v>0.56562499999999993</v>
      </c>
      <c r="AA26" s="104">
        <f>AVERAGE(Z26,Y26,X26,V26)</f>
        <v>0.50703124999999993</v>
      </c>
      <c r="AB26" s="173">
        <f>SUM(X26:AA26)</f>
        <v>2.0351562499999996</v>
      </c>
      <c r="AC26" s="104">
        <f>AVERAGE(AA26,Z26,Y26,X26)</f>
        <v>0.5087890625</v>
      </c>
      <c r="AD26" s="104">
        <f>AVERAGE(AC26,AA26,Z26,Y26)</f>
        <v>0.52348632812499996</v>
      </c>
      <c r="AE26" s="104">
        <f>AVERAGE(AD26,AC26,AA26,Z26)</f>
        <v>0.52623291015624996</v>
      </c>
      <c r="AF26" s="104">
        <f>AVERAGE(AE26,AD26,AC26,AA26)</f>
        <v>0.51638488769531243</v>
      </c>
      <c r="AG26" s="173">
        <f>SUM(AC26:AF26)</f>
        <v>2.0748931884765622</v>
      </c>
      <c r="AH26" s="104">
        <f>AVERAGE(AF26,AE26,AD26,AC26)</f>
        <v>0.51872329711914067</v>
      </c>
      <c r="AI26" s="104">
        <f>AVERAGE(AH26,AF26,AE26,AD26)</f>
        <v>0.52120685577392578</v>
      </c>
      <c r="AJ26" s="104">
        <f>AVERAGE(AI26,AH26,AF26,AE26)</f>
        <v>0.52063698768615718</v>
      </c>
      <c r="AK26" s="104">
        <f>AVERAGE(AJ26,AI26,AH26,AF26)</f>
        <v>0.51923800706863399</v>
      </c>
      <c r="AL26" s="53">
        <f>SUM(AH26:AK26)</f>
        <v>2.0798051476478578</v>
      </c>
      <c r="AM26" s="104">
        <f>AVERAGE(AK26,AJ26,AI26,AH26)</f>
        <v>0.51995128691196446</v>
      </c>
      <c r="AN26" s="104">
        <f>AVERAGE(AM26,AK26,AJ26,AI26)</f>
        <v>0.52025828436017041</v>
      </c>
      <c r="AO26" s="104">
        <f>AVERAGE(AN26,AM26,AK26,AJ26)</f>
        <v>0.52002114150673151</v>
      </c>
      <c r="AP26" s="104">
        <f>AVERAGE(AO26,AN26,AM26,AK26)</f>
        <v>0.51986717996187504</v>
      </c>
      <c r="AQ26" s="53">
        <f>SUM(AM26:AP26)</f>
        <v>2.0800978927407412</v>
      </c>
      <c r="AR26" s="104">
        <f>AVERAGE(AP26,AO26,AN26,AM26)</f>
        <v>0.5200244731851853</v>
      </c>
      <c r="AS26" s="104">
        <f>AVERAGE(AR26,AP26,AO26,AN26)</f>
        <v>0.52004276975349062</v>
      </c>
      <c r="AT26" s="104">
        <f>AVERAGE(AS26,AR26,AP26,AO26)</f>
        <v>0.51998889110182067</v>
      </c>
      <c r="AU26" s="104">
        <f>AVERAGE(AT26,AS26,AR26,AP26)</f>
        <v>0.51998082850059291</v>
      </c>
      <c r="AV26" s="53">
        <f>SUM(AR26:AU26)</f>
        <v>2.0800369625410893</v>
      </c>
    </row>
    <row r="27" spans="1:48" s="8" customFormat="1" x14ac:dyDescent="0.3">
      <c r="A27" s="20"/>
      <c r="B27" s="209" t="s">
        <v>16</v>
      </c>
      <c r="C27" s="202"/>
      <c r="D27" s="103">
        <f t="shared" ref="D27:AV27" si="62">+D25-D26</f>
        <v>760.60000000000048</v>
      </c>
      <c r="E27" s="103">
        <f t="shared" si="62"/>
        <v>663.1999999999997</v>
      </c>
      <c r="F27" s="103">
        <f t="shared" si="62"/>
        <v>1372.8000000000009</v>
      </c>
      <c r="G27" s="103">
        <f t="shared" si="62"/>
        <v>802.60000000000093</v>
      </c>
      <c r="H27" s="171">
        <f t="shared" si="62"/>
        <v>3599.2000000000053</v>
      </c>
      <c r="I27" s="103">
        <f t="shared" si="62"/>
        <v>885.69999999999879</v>
      </c>
      <c r="J27" s="103">
        <f t="shared" si="62"/>
        <v>328.39999999999907</v>
      </c>
      <c r="K27" s="103">
        <f t="shared" si="62"/>
        <v>-678.39999999999918</v>
      </c>
      <c r="L27" s="50">
        <f t="shared" si="62"/>
        <v>392.60000000000042</v>
      </c>
      <c r="M27" s="51">
        <f t="shared" si="62"/>
        <v>928.30000000000439</v>
      </c>
      <c r="N27" s="50">
        <f t="shared" si="62"/>
        <v>622.20000000000016</v>
      </c>
      <c r="O27" s="103">
        <f t="shared" si="62"/>
        <v>659.4</v>
      </c>
      <c r="P27" s="103">
        <f t="shared" si="62"/>
        <v>1153.399999999999</v>
      </c>
      <c r="Q27" s="103">
        <f t="shared" si="62"/>
        <v>1764.3999999999999</v>
      </c>
      <c r="R27" s="171">
        <f t="shared" si="62"/>
        <v>4199.3999999999978</v>
      </c>
      <c r="S27" s="50">
        <f t="shared" si="62"/>
        <v>815.90000000000009</v>
      </c>
      <c r="T27" s="50">
        <f t="shared" si="62"/>
        <v>674.70000000000016</v>
      </c>
      <c r="U27" s="50">
        <f t="shared" si="62"/>
        <v>912.89999999999964</v>
      </c>
      <c r="V27" s="103">
        <f t="shared" si="62"/>
        <v>877.99999999999864</v>
      </c>
      <c r="W27" s="171">
        <f t="shared" si="62"/>
        <v>3281.499999999995</v>
      </c>
      <c r="X27" s="50">
        <f t="shared" si="62"/>
        <v>831.04973640470439</v>
      </c>
      <c r="Y27" s="50">
        <f t="shared" si="62"/>
        <v>829.81746880559251</v>
      </c>
      <c r="Z27" s="50">
        <f t="shared" si="62"/>
        <v>1066.2579528548733</v>
      </c>
      <c r="AA27" s="50">
        <f>+AA25-AA26</f>
        <v>1169.8152403350643</v>
      </c>
      <c r="AB27" s="51">
        <f>+AB25-AB26</f>
        <v>3896.9403984002238</v>
      </c>
      <c r="AC27" s="50">
        <f t="shared" si="62"/>
        <v>1154.7831758351308</v>
      </c>
      <c r="AD27" s="50">
        <f t="shared" si="62"/>
        <v>970.83497190429296</v>
      </c>
      <c r="AE27" s="50">
        <f t="shared" si="62"/>
        <v>1199.1337620203278</v>
      </c>
      <c r="AF27" s="50">
        <f t="shared" si="62"/>
        <v>1209.3922141209175</v>
      </c>
      <c r="AG27" s="51">
        <f t="shared" si="62"/>
        <v>4534.1441238806756</v>
      </c>
      <c r="AH27" s="50">
        <f t="shared" si="62"/>
        <v>1351.1449103323928</v>
      </c>
      <c r="AI27" s="50">
        <f t="shared" si="62"/>
        <v>1147.8861019612441</v>
      </c>
      <c r="AJ27" s="50">
        <f t="shared" si="62"/>
        <v>1459.6764511965448</v>
      </c>
      <c r="AK27" s="50">
        <f t="shared" si="62"/>
        <v>1383.2777305468455</v>
      </c>
      <c r="AL27" s="51">
        <f t="shared" si="62"/>
        <v>5341.9851940370236</v>
      </c>
      <c r="AM27" s="50">
        <f t="shared" si="62"/>
        <v>1447.3856377677475</v>
      </c>
      <c r="AN27" s="50">
        <f t="shared" si="62"/>
        <v>1215.9063268669208</v>
      </c>
      <c r="AO27" s="50">
        <f t="shared" si="62"/>
        <v>1540.6859431541493</v>
      </c>
      <c r="AP27" s="50">
        <f t="shared" si="62"/>
        <v>1490.6467854646694</v>
      </c>
      <c r="AQ27" s="51">
        <f t="shared" si="62"/>
        <v>5694.6246932534741</v>
      </c>
      <c r="AR27" s="50">
        <f t="shared" si="62"/>
        <v>1552.3778017926529</v>
      </c>
      <c r="AS27" s="50">
        <f t="shared" si="62"/>
        <v>1306.2794751841304</v>
      </c>
      <c r="AT27" s="50">
        <f t="shared" si="62"/>
        <v>1650.9224106672873</v>
      </c>
      <c r="AU27" s="50">
        <f t="shared" si="62"/>
        <v>1597.2581686974154</v>
      </c>
      <c r="AV27" s="51">
        <f t="shared" si="62"/>
        <v>6106.8378563414863</v>
      </c>
    </row>
    <row r="28" spans="1:48" s="8" customFormat="1" ht="16.2" x14ac:dyDescent="0.45">
      <c r="A28" s="20"/>
      <c r="B28" s="87" t="s">
        <v>72</v>
      </c>
      <c r="C28" s="84"/>
      <c r="D28" s="109">
        <f t="shared" ref="D28:AA28" si="63">-D171-D172</f>
        <v>41.449999999998646</v>
      </c>
      <c r="E28" s="109">
        <f t="shared" si="63"/>
        <v>-54.179999999999545</v>
      </c>
      <c r="F28" s="109">
        <f t="shared" si="63"/>
        <v>-544.16000000000076</v>
      </c>
      <c r="G28" s="109">
        <f t="shared" si="63"/>
        <v>-30</v>
      </c>
      <c r="H28" s="178">
        <f>SUM(D28:G28)</f>
        <v>-586.89000000000169</v>
      </c>
      <c r="I28" s="109">
        <f t="shared" si="63"/>
        <v>-11</v>
      </c>
      <c r="J28" s="109">
        <f t="shared" si="63"/>
        <v>-23</v>
      </c>
      <c r="K28" s="109">
        <f t="shared" si="63"/>
        <v>-35.055</v>
      </c>
      <c r="L28" s="91">
        <f>-L171-L172</f>
        <v>-50.810000000000372</v>
      </c>
      <c r="M28" s="92">
        <f>SUM(I28:L28)</f>
        <v>-119.86500000000038</v>
      </c>
      <c r="N28" s="109">
        <f t="shared" si="63"/>
        <v>-35.49</v>
      </c>
      <c r="O28" s="109">
        <f t="shared" si="63"/>
        <v>-11.847999999999999</v>
      </c>
      <c r="P28" s="109">
        <f t="shared" si="63"/>
        <v>-11.862</v>
      </c>
      <c r="Q28" s="109">
        <f t="shared" si="63"/>
        <v>-696.10940000000005</v>
      </c>
      <c r="R28" s="178">
        <f>SUM(N28:Q28)</f>
        <v>-755.3094000000001</v>
      </c>
      <c r="S28" s="91">
        <f t="shared" si="63"/>
        <v>-3.9480000000003299</v>
      </c>
      <c r="T28" s="91">
        <f t="shared" si="63"/>
        <v>-46.156000000000006</v>
      </c>
      <c r="U28" s="91">
        <f t="shared" si="63"/>
        <v>-23.02</v>
      </c>
      <c r="V28" s="109">
        <f t="shared" si="63"/>
        <v>-23.05</v>
      </c>
      <c r="W28" s="178">
        <f>SUM(S28:V28)</f>
        <v>-96.174000000000333</v>
      </c>
      <c r="X28" s="91">
        <f t="shared" si="63"/>
        <v>-17.99786202462888</v>
      </c>
      <c r="Y28" s="91">
        <f t="shared" si="63"/>
        <v>-3.0497426990776444</v>
      </c>
      <c r="Z28" s="91">
        <f t="shared" si="63"/>
        <v>-3.0497426990776444</v>
      </c>
      <c r="AA28" s="91">
        <f t="shared" si="63"/>
        <v>-3.0497426990776444</v>
      </c>
      <c r="AB28" s="92">
        <f>SUM(X28:AA28)</f>
        <v>-27.147090121861812</v>
      </c>
      <c r="AC28" s="91">
        <f t="shared" ref="AC28:AF28" si="64">-AC171-AC172</f>
        <v>-3.0497426990776444</v>
      </c>
      <c r="AD28" s="91">
        <f t="shared" si="64"/>
        <v>-12.556420233463037</v>
      </c>
      <c r="AE28" s="91">
        <f t="shared" si="64"/>
        <v>-12.556420233463037</v>
      </c>
      <c r="AF28" s="91">
        <f t="shared" si="64"/>
        <v>-12.556420233463037</v>
      </c>
      <c r="AG28" s="92">
        <f>SUM(AC28:AF28)</f>
        <v>-40.719003399466757</v>
      </c>
      <c r="AH28" s="91">
        <f t="shared" ref="AH28:AK28" si="65">-AH171-AH172</f>
        <v>-12.556420233463037</v>
      </c>
      <c r="AI28" s="91">
        <f t="shared" si="65"/>
        <v>-12.556420233463037</v>
      </c>
      <c r="AJ28" s="91">
        <f t="shared" si="65"/>
        <v>-12.556420233463037</v>
      </c>
      <c r="AK28" s="91">
        <f t="shared" si="65"/>
        <v>-12.556420233463037</v>
      </c>
      <c r="AL28" s="92">
        <f>SUM(AH28:AK28)</f>
        <v>-50.225680933852146</v>
      </c>
      <c r="AM28" s="91">
        <f t="shared" ref="AM28:AP28" si="66">-AM171-AM172</f>
        <v>-12.556420233463037</v>
      </c>
      <c r="AN28" s="91">
        <f t="shared" si="66"/>
        <v>-12.556420233463037</v>
      </c>
      <c r="AO28" s="91">
        <f t="shared" si="66"/>
        <v>-12.556420233463037</v>
      </c>
      <c r="AP28" s="91">
        <f t="shared" si="66"/>
        <v>-12.556420233463037</v>
      </c>
      <c r="AQ28" s="92">
        <f>SUM(AM28:AP28)</f>
        <v>-50.225680933852146</v>
      </c>
      <c r="AR28" s="91">
        <f t="shared" ref="AR28:AU28" si="67">-AR171-AR172</f>
        <v>-12.556420233463037</v>
      </c>
      <c r="AS28" s="91">
        <f t="shared" si="67"/>
        <v>-12.556420233463037</v>
      </c>
      <c r="AT28" s="91">
        <f t="shared" si="67"/>
        <v>-12.556420233463037</v>
      </c>
      <c r="AU28" s="91">
        <f t="shared" si="67"/>
        <v>-12.556420233463037</v>
      </c>
      <c r="AV28" s="92">
        <f>SUM(AR28:AU28)</f>
        <v>-50.225680933852146</v>
      </c>
    </row>
    <row r="29" spans="1:48" s="8" customFormat="1" x14ac:dyDescent="0.3">
      <c r="A29" s="20"/>
      <c r="B29" s="85" t="s">
        <v>73</v>
      </c>
      <c r="C29" s="86"/>
      <c r="D29" s="108">
        <f t="shared" ref="D29:AV29" si="68">+D19+D20+D21+D22-D24-D26+D28</f>
        <v>940.04999999999916</v>
      </c>
      <c r="E29" s="108">
        <f t="shared" si="68"/>
        <v>750.42000000000007</v>
      </c>
      <c r="F29" s="108">
        <f t="shared" si="68"/>
        <v>953.94</v>
      </c>
      <c r="G29" s="108">
        <f t="shared" si="68"/>
        <v>850.00000000000102</v>
      </c>
      <c r="H29" s="177">
        <f t="shared" si="68"/>
        <v>3494.4100000000039</v>
      </c>
      <c r="I29" s="108">
        <f t="shared" si="68"/>
        <v>946.2999999999987</v>
      </c>
      <c r="J29" s="108">
        <f t="shared" si="68"/>
        <v>372.19999999999902</v>
      </c>
      <c r="K29" s="108">
        <f t="shared" si="68"/>
        <v>-539.7749999999993</v>
      </c>
      <c r="L29" s="80">
        <f>+L19+L20+L21+L22-L24-L26+L28</f>
        <v>601.29</v>
      </c>
      <c r="M29" s="81">
        <f t="shared" si="68"/>
        <v>1380.0150000000035</v>
      </c>
      <c r="N29" s="108">
        <f t="shared" si="68"/>
        <v>721.61000000000024</v>
      </c>
      <c r="O29" s="108">
        <f t="shared" si="68"/>
        <v>735.75199999999995</v>
      </c>
      <c r="P29" s="108">
        <f t="shared" si="68"/>
        <v>1193.2379999999987</v>
      </c>
      <c r="Q29" s="108">
        <f t="shared" si="68"/>
        <v>1183.4905999999996</v>
      </c>
      <c r="R29" s="177">
        <f t="shared" si="68"/>
        <v>3834.0905999999977</v>
      </c>
      <c r="S29" s="80">
        <f t="shared" si="68"/>
        <v>847.15199999999982</v>
      </c>
      <c r="T29" s="80">
        <f t="shared" si="68"/>
        <v>676.04400000000032</v>
      </c>
      <c r="U29" s="80">
        <f t="shared" si="68"/>
        <v>967.37999999999965</v>
      </c>
      <c r="V29" s="108">
        <f t="shared" si="68"/>
        <v>932.04999999999859</v>
      </c>
      <c r="W29" s="177">
        <f t="shared" si="68"/>
        <v>3422.6259999999947</v>
      </c>
      <c r="X29" s="80">
        <f t="shared" si="68"/>
        <v>873.25296601126388</v>
      </c>
      <c r="Y29" s="80">
        <f t="shared" si="68"/>
        <v>836.96881773770315</v>
      </c>
      <c r="Z29" s="80">
        <f t="shared" si="68"/>
        <v>1073.4093017869841</v>
      </c>
      <c r="AA29" s="80">
        <f t="shared" si="68"/>
        <v>1176.9665892671751</v>
      </c>
      <c r="AB29" s="81">
        <f t="shared" si="68"/>
        <v>3960.5976748031153</v>
      </c>
      <c r="AC29" s="80">
        <f t="shared" si="68"/>
        <v>1161.9345247672413</v>
      </c>
      <c r="AD29" s="80">
        <f t="shared" si="68"/>
        <v>1000.2785516708299</v>
      </c>
      <c r="AE29" s="80">
        <f t="shared" si="68"/>
        <v>1228.5773417868647</v>
      </c>
      <c r="AF29" s="80">
        <f t="shared" si="68"/>
        <v>1238.8357938874544</v>
      </c>
      <c r="AG29" s="81">
        <f t="shared" si="68"/>
        <v>4629.6262121123973</v>
      </c>
      <c r="AH29" s="80">
        <f t="shared" si="68"/>
        <v>1380.5884900989297</v>
      </c>
      <c r="AI29" s="80">
        <f t="shared" si="68"/>
        <v>1177.329681727781</v>
      </c>
      <c r="AJ29" s="80">
        <f t="shared" si="68"/>
        <v>1489.1200309630817</v>
      </c>
      <c r="AK29" s="80">
        <f t="shared" si="68"/>
        <v>1412.7213103133824</v>
      </c>
      <c r="AL29" s="81">
        <f t="shared" si="68"/>
        <v>5459.7595131031712</v>
      </c>
      <c r="AM29" s="80">
        <f t="shared" si="68"/>
        <v>1476.8292175342845</v>
      </c>
      <c r="AN29" s="80">
        <f t="shared" si="68"/>
        <v>1245.3499066334577</v>
      </c>
      <c r="AO29" s="80">
        <f t="shared" si="68"/>
        <v>1570.1295229206864</v>
      </c>
      <c r="AP29" s="80">
        <f t="shared" si="68"/>
        <v>1520.0903652312063</v>
      </c>
      <c r="AQ29" s="81">
        <f t="shared" si="68"/>
        <v>5812.3990123196218</v>
      </c>
      <c r="AR29" s="80">
        <f t="shared" si="68"/>
        <v>1581.8213815591898</v>
      </c>
      <c r="AS29" s="80">
        <f t="shared" si="68"/>
        <v>1335.7230549506673</v>
      </c>
      <c r="AT29" s="80">
        <f t="shared" si="68"/>
        <v>1680.3659904338242</v>
      </c>
      <c r="AU29" s="80">
        <f t="shared" si="68"/>
        <v>1626.7017484639523</v>
      </c>
      <c r="AV29" s="81">
        <f t="shared" si="68"/>
        <v>6224.6121754076357</v>
      </c>
    </row>
    <row r="30" spans="1:48" x14ac:dyDescent="0.3">
      <c r="B30" s="486" t="s">
        <v>0</v>
      </c>
      <c r="C30" s="487"/>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01">
        <v>1147.8558123647915</v>
      </c>
      <c r="W30" s="169">
        <f>+(S27/W27*S30)+(T27/W27*T30)+(U27/W27*U30)+(V27/W27*V30)</f>
        <v>1153.3004977163769</v>
      </c>
      <c r="X30" s="16">
        <f>V30*(1+X151)-X155-X158-X161</f>
        <v>1150.1515239895211</v>
      </c>
      <c r="Y30" s="16">
        <f>X30*(1+Y151)-Y155-Y158-Y161</f>
        <v>1152.4518270375002</v>
      </c>
      <c r="Z30" s="16">
        <f>Y30*(1+Z151)-Z155-Z158-Z161</f>
        <v>1154.7567306915751</v>
      </c>
      <c r="AA30" s="16">
        <f>Z30*(1+AA151)-AA155-AA158-AA161</f>
        <v>1157.0662441529582</v>
      </c>
      <c r="AB30" s="17">
        <f>+(X27/AB27*X30)+(Y27/AB27*Y30)+(Z27/AB27*Z30)+(AA27/AB27*AA30)</f>
        <v>1153.9771187970114</v>
      </c>
      <c r="AC30" s="16">
        <f>AA30*(1+AC151)-AC155-AC158-AC161</f>
        <v>1159.3803766412641</v>
      </c>
      <c r="AD30" s="16">
        <f>AC30*(1+AD151)-AD155-AD158-AD161</f>
        <v>1161.6991373945466</v>
      </c>
      <c r="AE30" s="16">
        <f>AD30*(1+AE151)-AE155-AE158-AE161</f>
        <v>1163.1351553270288</v>
      </c>
      <c r="AF30" s="16">
        <f>AE30*(1+AF151)-AF155-AF158-AF161</f>
        <v>1164.574045295376</v>
      </c>
      <c r="AG30" s="17">
        <f>+(AC27/AG27*AC30)+(AD27/AG27*AD30)+(AE27/AG27*AE30)+(AF27/AG27*AF30)</f>
        <v>1162.2551856457083</v>
      </c>
      <c r="AH30" s="16">
        <f>AF30*(1+AH151)-AH155-AH158-AH161</f>
        <v>1166.0580692504363</v>
      </c>
      <c r="AI30" s="16">
        <f>AH30*(1+AI151)-AI155-AI158-AI161</f>
        <v>1167.5450612534069</v>
      </c>
      <c r="AJ30" s="16">
        <f>AI30*(1+AJ151)-AJ155-AJ158-AJ161</f>
        <v>1123.8886548263745</v>
      </c>
      <c r="AK30" s="16">
        <f>AJ30*(1+AK151)-AK155-AK158-AK161</f>
        <v>1080.1449355864879</v>
      </c>
      <c r="AL30" s="17">
        <f>+(AH27/AL27*AH30)+(AI27/AL27*AI30)+(AJ27/AL27*AJ30)+(AK27/AL27*AK30)</f>
        <v>1132.6082333168017</v>
      </c>
      <c r="AM30" s="16">
        <f>AK30*(1+AM151)-AM155-AM158-AM161</f>
        <v>1080.2780087146509</v>
      </c>
      <c r="AN30" s="16">
        <f>AM30*(1+AN151)-AN155-AN158-AN161</f>
        <v>1080.4113479890702</v>
      </c>
      <c r="AO30" s="16">
        <f>AN30*(1+AO151)-AO155-AO158-AO161</f>
        <v>1080.5449539420383</v>
      </c>
      <c r="AP30" s="16">
        <f>AO30*(1+AP151)-AP155-AP158-AP161</f>
        <v>1080.6788271069124</v>
      </c>
      <c r="AQ30" s="17">
        <f>+(AM27/AQ27*AM30)+(AN27/AQ27*AN30)+(AO27/AQ27*AO30)+(AP27/AQ27*AP30)</f>
        <v>1080.4836211189584</v>
      </c>
      <c r="AR30" s="16">
        <f>AP30*(1+AR151)-AR155-AR158-AR161</f>
        <v>1080.8527173660182</v>
      </c>
      <c r="AS30" s="16">
        <f>AR30*(1+AS151)-AS155-AS158-AS161</f>
        <v>1081.0269554056422</v>
      </c>
      <c r="AT30" s="16">
        <f>AS30*(1+AT151)-AT155-AT158-AT161</f>
        <v>1081.2015419213453</v>
      </c>
      <c r="AU30" s="16">
        <f>AT30*(1+AU151)-AU155-AU158-AU161</f>
        <v>1081.37647761008</v>
      </c>
      <c r="AV30" s="17">
        <f>+(AR27/AV27*AR30)+(AS27/AV27*AS30)+(AT27/AV27*AT30)+(AU27/AV27*AU30)</f>
        <v>1081.1212796264851</v>
      </c>
    </row>
    <row r="31" spans="1:48" ht="15.75" customHeight="1" x14ac:dyDescent="0.3">
      <c r="B31" s="486" t="s">
        <v>1</v>
      </c>
      <c r="C31" s="487"/>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v>1152.5</v>
      </c>
      <c r="W31" s="169">
        <f>+(S27/W27*S31)+(T27/W27*T31)+(U27/W27*U31)+(V27/W27*V31)</f>
        <v>1158.3626908426036</v>
      </c>
      <c r="X31" s="16">
        <f>V31*(1+X152)-X155-X158-X161</f>
        <v>1153.6524999999999</v>
      </c>
      <c r="Y31" s="16">
        <f>X31*(1+Y152)-Y155-Y158-Y161</f>
        <v>1154.8061524999998</v>
      </c>
      <c r="Z31" s="16">
        <f>Y31*(1+Z152)-Z155-Z158-Z161</f>
        <v>1155.9609586524996</v>
      </c>
      <c r="AA31" s="16">
        <f>Z31*(1+AA152)-AA155-AA158-AA161</f>
        <v>1157.1169196111521</v>
      </c>
      <c r="AB31" s="17">
        <f>+(X27/AB27*X31)+(Y27/AB27*Y31)+(Z27/AB27*Z31)+(AA27/AB27*AA31)</f>
        <v>1155.5697641843885</v>
      </c>
      <c r="AC31" s="16">
        <f>AA31*(1+AC152)-AC155-AC158-AC161</f>
        <v>1158.2740365307632</v>
      </c>
      <c r="AD31" s="16">
        <f>AC31*(1+AD152)-AD155-AD158-AD161</f>
        <v>1159.4323105672938</v>
      </c>
      <c r="AE31" s="16">
        <f>AD31*(1+AE152)-AE155-AE158-AE161</f>
        <v>1159.7043625355541</v>
      </c>
      <c r="AF31" s="16">
        <f>AE31*(1+AF152)-AF155-AF158-AF161</f>
        <v>1159.9766865557826</v>
      </c>
      <c r="AG31" s="17">
        <f>+(AC27/AG27*AC31)+(AD27/AG27*AD31)+(AE27/AG27*AE31)+(AF27/AG27*AF31)</f>
        <v>1159.3544646544692</v>
      </c>
      <c r="AH31" s="16">
        <f>AF31*(1+AH152)-AH155-AH158-AH161</f>
        <v>1160.2915391068079</v>
      </c>
      <c r="AI31" s="16">
        <f>AH31*(1+AI152)-AI155-AI158-AI161</f>
        <v>1160.6067065103844</v>
      </c>
      <c r="AJ31" s="16">
        <f>AI31*(1+AJ152)-AJ155-AJ158-AJ161</f>
        <v>1115.7758166673552</v>
      </c>
      <c r="AK31" s="16">
        <f>AJ31*(1+AK152)-AK155-AK158-AK161</f>
        <v>1070.9000959344833</v>
      </c>
      <c r="AL31" s="17">
        <f>+(AH27/AL27*AH31)+(AI27/AL27*AI31)+(AJ27/AL27*AJ31)+(AK27/AL27*AK31)</f>
        <v>1125.0480928459708</v>
      </c>
      <c r="AM31" s="16">
        <f>AK31*(1+AM152)-AM155-AM158-AM161</f>
        <v>1069.9437792874076</v>
      </c>
      <c r="AN31" s="16">
        <f>AM31*(1+AN152)-AN155-AN158-AN161</f>
        <v>1068.9865063236848</v>
      </c>
      <c r="AO31" s="16">
        <f>AN31*(1+AO152)-AO155-AO158-AO161</f>
        <v>1068.0282760869984</v>
      </c>
      <c r="AP31" s="16">
        <f>AO31*(1+AP152)-AP155-AP158-AP161</f>
        <v>1067.0690876200752</v>
      </c>
      <c r="AQ31" s="17">
        <f>+(AM27/AQ27*AM31)+(AN27/AQ27*AN31)+(AO27/AQ27*AO31)+(AP27/AQ27*AP31)</f>
        <v>1068.4686525751738</v>
      </c>
      <c r="AR31" s="16">
        <f>AP31*(1+AR152)-AR155-AR158-AR161</f>
        <v>1066.1486893125871</v>
      </c>
      <c r="AS31" s="16">
        <f>AR31*(1+AS152)-AS155-AS158-AS161</f>
        <v>1065.2273706067915</v>
      </c>
      <c r="AT31" s="16">
        <f>AS31*(1+AT152)-AT155-AT158-AT161</f>
        <v>1064.3051305822901</v>
      </c>
      <c r="AU31" s="16">
        <f>AT31*(1+AU152)-AU155-AU158-AU161</f>
        <v>1063.3819683177642</v>
      </c>
      <c r="AV31" s="17">
        <f>+(AR27/AV27*AR31)+(AS27/AV27*AS31)+(AT27/AV27*AT31)+(AU27/AV27*AU31)</f>
        <v>1064.7295850147382</v>
      </c>
    </row>
    <row r="32" spans="1:48" ht="15.75" customHeight="1" x14ac:dyDescent="0.3">
      <c r="B32" s="500" t="s">
        <v>6</v>
      </c>
      <c r="C32" s="501"/>
      <c r="D32" s="110">
        <f t="shared" ref="D32:AV32" si="69">D27/D30</f>
        <v>0.61239935587761718</v>
      </c>
      <c r="E32" s="110">
        <f t="shared" si="69"/>
        <v>0.53518398967075509</v>
      </c>
      <c r="F32" s="110">
        <f t="shared" si="69"/>
        <v>1.1336085879438487</v>
      </c>
      <c r="G32" s="110">
        <f t="shared" si="69"/>
        <v>0.66287276975832043</v>
      </c>
      <c r="H32" s="174">
        <f t="shared" si="69"/>
        <v>2.947264985260404</v>
      </c>
      <c r="I32" s="110">
        <f t="shared" si="69"/>
        <v>0.75033886818027684</v>
      </c>
      <c r="J32" s="110">
        <f t="shared" si="69"/>
        <v>0.28025260283324721</v>
      </c>
      <c r="K32" s="110">
        <f t="shared" si="69"/>
        <v>-0.58057338468121455</v>
      </c>
      <c r="L32" s="110">
        <f t="shared" si="69"/>
        <v>0.3363065065700544</v>
      </c>
      <c r="M32" s="25">
        <f t="shared" si="69"/>
        <v>0.78632786555858059</v>
      </c>
      <c r="N32" s="110">
        <f t="shared" si="69"/>
        <v>0.52953191489361717</v>
      </c>
      <c r="O32" s="110">
        <f t="shared" si="69"/>
        <v>0.55999999999999994</v>
      </c>
      <c r="P32" s="110">
        <f t="shared" si="69"/>
        <v>0.97870173949936268</v>
      </c>
      <c r="Q32" s="110">
        <f t="shared" si="69"/>
        <v>1.495887011112873</v>
      </c>
      <c r="R32" s="174">
        <f t="shared" si="69"/>
        <v>3.5641146798260079</v>
      </c>
      <c r="S32" s="24">
        <f t="shared" si="69"/>
        <v>0.69758891928864586</v>
      </c>
      <c r="T32" s="24">
        <f t="shared" si="69"/>
        <v>0.58710407239819018</v>
      </c>
      <c r="U32" s="24">
        <f t="shared" si="69"/>
        <v>0.79590235396686981</v>
      </c>
      <c r="V32" s="24">
        <f t="shared" si="69"/>
        <v>0.76490443359010318</v>
      </c>
      <c r="W32" s="174">
        <f t="shared" si="69"/>
        <v>2.8453122204469832</v>
      </c>
      <c r="X32" s="24">
        <f t="shared" si="69"/>
        <v>0.72255674063018149</v>
      </c>
      <c r="Y32" s="24">
        <f t="shared" si="69"/>
        <v>0.72004525424609411</v>
      </c>
      <c r="Z32" s="24">
        <f t="shared" si="69"/>
        <v>0.92336153972127055</v>
      </c>
      <c r="AA32" s="24">
        <f t="shared" si="69"/>
        <v>1.0110183805348494</v>
      </c>
      <c r="AB32" s="25">
        <f t="shared" si="69"/>
        <v>3.3769650497599764</v>
      </c>
      <c r="AC32" s="24">
        <f t="shared" si="69"/>
        <v>0.9960347778013533</v>
      </c>
      <c r="AD32" s="24">
        <f t="shared" si="69"/>
        <v>0.83570258482043558</v>
      </c>
      <c r="AE32" s="24">
        <f t="shared" si="69"/>
        <v>1.0309496334354864</v>
      </c>
      <c r="AF32" s="24">
        <f t="shared" si="69"/>
        <v>1.0384846021655705</v>
      </c>
      <c r="AG32" s="25">
        <f t="shared" si="69"/>
        <v>3.9011605883794478</v>
      </c>
      <c r="AH32" s="24">
        <f t="shared" si="69"/>
        <v>1.1587286653750732</v>
      </c>
      <c r="AI32" s="24">
        <f t="shared" si="69"/>
        <v>0.98316214085042841</v>
      </c>
      <c r="AJ32" s="24">
        <f t="shared" si="69"/>
        <v>1.2987731880094875</v>
      </c>
      <c r="AK32" s="24">
        <f t="shared" si="69"/>
        <v>1.2806408519573025</v>
      </c>
      <c r="AL32" s="25">
        <f t="shared" si="69"/>
        <v>4.7165339584308121</v>
      </c>
      <c r="AM32" s="24">
        <f t="shared" si="69"/>
        <v>1.339826994617703</v>
      </c>
      <c r="AN32" s="24">
        <f t="shared" si="69"/>
        <v>1.1254105476863441</v>
      </c>
      <c r="AO32" s="24">
        <f t="shared" si="69"/>
        <v>1.4258415973656877</v>
      </c>
      <c r="AP32" s="24">
        <f t="shared" si="69"/>
        <v>1.3793615161826416</v>
      </c>
      <c r="AQ32" s="25">
        <f t="shared" si="69"/>
        <v>5.2704405526814657</v>
      </c>
      <c r="AR32" s="24">
        <f t="shared" si="69"/>
        <v>1.4362528555932366</v>
      </c>
      <c r="AS32" s="24">
        <f t="shared" si="69"/>
        <v>1.2083690130501556</v>
      </c>
      <c r="AT32" s="24">
        <f t="shared" si="69"/>
        <v>1.526933089397488</v>
      </c>
      <c r="AU32" s="24">
        <f t="shared" si="69"/>
        <v>1.477060211469988</v>
      </c>
      <c r="AV32" s="25">
        <f t="shared" si="69"/>
        <v>5.6486149809680262</v>
      </c>
    </row>
    <row r="33" spans="2:48" x14ac:dyDescent="0.3">
      <c r="B33" s="500" t="s">
        <v>7</v>
      </c>
      <c r="C33" s="501"/>
      <c r="D33" s="110">
        <f t="shared" ref="D33:AV33" si="70">D27/D31</f>
        <v>0.60682942396681061</v>
      </c>
      <c r="E33" s="110">
        <f t="shared" si="70"/>
        <v>0.53026305269049312</v>
      </c>
      <c r="F33" s="110">
        <f t="shared" si="70"/>
        <v>1.1224856909239582</v>
      </c>
      <c r="G33" s="110">
        <f t="shared" si="70"/>
        <v>0.65635470614510849</v>
      </c>
      <c r="H33" s="174">
        <f t="shared" si="70"/>
        <v>2.9185857930587131</v>
      </c>
      <c r="I33" s="110">
        <f t="shared" si="70"/>
        <v>0.74366078925272783</v>
      </c>
      <c r="J33" s="110">
        <f t="shared" si="70"/>
        <v>0.27814008638942922</v>
      </c>
      <c r="K33" s="110">
        <f t="shared" si="70"/>
        <v>-0.58057338468121455</v>
      </c>
      <c r="L33" s="110">
        <f t="shared" si="70"/>
        <v>0.3329940627650555</v>
      </c>
      <c r="M33" s="174">
        <f t="shared" si="70"/>
        <v>0.7744067226924668</v>
      </c>
      <c r="N33" s="110">
        <f t="shared" si="70"/>
        <v>0.52595097210481845</v>
      </c>
      <c r="O33" s="110">
        <f t="shared" si="70"/>
        <v>0.55654962862930457</v>
      </c>
      <c r="P33" s="110">
        <f t="shared" si="70"/>
        <v>0.97234867644579237</v>
      </c>
      <c r="Q33" s="110">
        <f t="shared" si="70"/>
        <v>1.4853102112972469</v>
      </c>
      <c r="R33" s="174">
        <f t="shared" si="70"/>
        <v>3.5401518359379072</v>
      </c>
      <c r="S33" s="24">
        <f t="shared" si="70"/>
        <v>0.69343872174060861</v>
      </c>
      <c r="T33" s="24">
        <f t="shared" si="70"/>
        <v>0.58471271340670783</v>
      </c>
      <c r="U33" s="24">
        <f t="shared" si="70"/>
        <v>0.79313640312771472</v>
      </c>
      <c r="V33" s="24">
        <f t="shared" si="70"/>
        <v>0.76182212581344788</v>
      </c>
      <c r="W33" s="174">
        <f t="shared" si="70"/>
        <v>2.8328778420971088</v>
      </c>
      <c r="X33" s="24">
        <f>X27/X31</f>
        <v>0.72036400597641359</v>
      </c>
      <c r="Y33" s="24">
        <f t="shared" si="70"/>
        <v>0.71857728416942479</v>
      </c>
      <c r="Z33" s="24">
        <f t="shared" si="70"/>
        <v>0.92239962333832382</v>
      </c>
      <c r="AA33" s="24">
        <f>AA27/AA31</f>
        <v>1.01097410340191</v>
      </c>
      <c r="AB33" s="25">
        <f>AB27/AB31</f>
        <v>3.3723108021528403</v>
      </c>
      <c r="AC33" s="24">
        <f t="shared" si="70"/>
        <v>0.99698615302982352</v>
      </c>
      <c r="AD33" s="24">
        <f t="shared" si="70"/>
        <v>0.83733648187644272</v>
      </c>
      <c r="AE33" s="24">
        <f t="shared" si="70"/>
        <v>1.0339995267402169</v>
      </c>
      <c r="AF33" s="24">
        <f t="shared" si="70"/>
        <v>1.0426004489037277</v>
      </c>
      <c r="AG33" s="25">
        <f t="shared" si="70"/>
        <v>3.9109213464167056</v>
      </c>
      <c r="AH33" s="24">
        <f t="shared" si="70"/>
        <v>1.1644874281962823</v>
      </c>
      <c r="AI33" s="24">
        <f t="shared" si="70"/>
        <v>0.98903969408604619</v>
      </c>
      <c r="AJ33" s="24">
        <f t="shared" si="70"/>
        <v>1.3082166053359769</v>
      </c>
      <c r="AK33" s="24">
        <f t="shared" si="70"/>
        <v>1.2916963363793303</v>
      </c>
      <c r="AL33" s="25">
        <f t="shared" si="70"/>
        <v>4.7482283006442012</v>
      </c>
      <c r="AM33" s="24">
        <f t="shared" si="70"/>
        <v>1.3527679358365163</v>
      </c>
      <c r="AN33" s="24">
        <f t="shared" si="70"/>
        <v>1.137438423847372</v>
      </c>
      <c r="AO33" s="24">
        <f t="shared" si="70"/>
        <v>1.4425516417962791</v>
      </c>
      <c r="AP33" s="24">
        <f t="shared" si="70"/>
        <v>1.3969543329095173</v>
      </c>
      <c r="AQ33" s="25">
        <f t="shared" si="70"/>
        <v>5.3297068468303239</v>
      </c>
      <c r="AR33" s="24">
        <f t="shared" si="70"/>
        <v>1.4560612580160543</v>
      </c>
      <c r="AS33" s="24">
        <f t="shared" si="70"/>
        <v>1.2262916924862972</v>
      </c>
      <c r="AT33" s="24">
        <f t="shared" si="70"/>
        <v>1.5511739662140445</v>
      </c>
      <c r="AU33" s="24">
        <f t="shared" si="70"/>
        <v>1.5020549682859736</v>
      </c>
      <c r="AV33" s="25">
        <f t="shared" si="70"/>
        <v>5.7355763775991573</v>
      </c>
    </row>
    <row r="34" spans="2:48" x14ac:dyDescent="0.3">
      <c r="B34" s="93" t="s">
        <v>74</v>
      </c>
      <c r="C34" s="100"/>
      <c r="D34" s="111">
        <f t="shared" ref="D34:AV34" si="71">+D29/D31</f>
        <v>0.74999999999999922</v>
      </c>
      <c r="E34" s="111">
        <f t="shared" si="71"/>
        <v>0.60000000000000009</v>
      </c>
      <c r="F34" s="111">
        <f t="shared" si="71"/>
        <v>0.78</v>
      </c>
      <c r="G34" s="111">
        <f t="shared" si="71"/>
        <v>0.69511774261567683</v>
      </c>
      <c r="H34" s="172">
        <f t="shared" si="71"/>
        <v>2.8336117418099285</v>
      </c>
      <c r="I34" s="111">
        <f t="shared" si="71"/>
        <v>0.79454240134340781</v>
      </c>
      <c r="J34" s="111">
        <f t="shared" si="71"/>
        <v>0.31523672397730074</v>
      </c>
      <c r="K34" s="111">
        <f t="shared" si="71"/>
        <v>-0.46193838254171954</v>
      </c>
      <c r="L34" s="111">
        <f t="shared" si="71"/>
        <v>0.51</v>
      </c>
      <c r="M34" s="172">
        <f t="shared" si="71"/>
        <v>1.1512365543643674</v>
      </c>
      <c r="N34" s="111">
        <f t="shared" si="71"/>
        <v>0.60998309382924787</v>
      </c>
      <c r="O34" s="111">
        <f t="shared" si="71"/>
        <v>0.62099257258609042</v>
      </c>
      <c r="P34" s="111">
        <f t="shared" si="71"/>
        <v>1.0059332321699532</v>
      </c>
      <c r="Q34" s="111">
        <f t="shared" si="71"/>
        <v>0.99628807138648001</v>
      </c>
      <c r="R34" s="172">
        <f>+R29/R31+0.01</f>
        <v>3.2421909979383412</v>
      </c>
      <c r="S34" s="111">
        <f t="shared" si="71"/>
        <v>0.71999999999999986</v>
      </c>
      <c r="T34" s="111">
        <f t="shared" si="71"/>
        <v>0.58587745905191113</v>
      </c>
      <c r="U34" s="111">
        <f t="shared" si="71"/>
        <v>0.84046915725456095</v>
      </c>
      <c r="V34" s="111">
        <f t="shared" si="71"/>
        <v>0.80872017353579051</v>
      </c>
      <c r="W34" s="172">
        <f t="shared" si="71"/>
        <v>2.95471014998795</v>
      </c>
      <c r="X34" s="82">
        <f t="shared" si="71"/>
        <v>0.75694627802675762</v>
      </c>
      <c r="Y34" s="82">
        <f t="shared" si="71"/>
        <v>0.72476996760519363</v>
      </c>
      <c r="Z34" s="82">
        <f t="shared" si="71"/>
        <v>0.92858612027715393</v>
      </c>
      <c r="AA34" s="82">
        <f t="shared" si="71"/>
        <v>1.0171544200241178</v>
      </c>
      <c r="AB34" s="83">
        <f t="shared" si="71"/>
        <v>3.4273981524590518</v>
      </c>
      <c r="AC34" s="82">
        <f t="shared" si="71"/>
        <v>1.0031602955095513</v>
      </c>
      <c r="AD34" s="82">
        <f t="shared" si="71"/>
        <v>0.86273130613498927</v>
      </c>
      <c r="AE34" s="82">
        <f t="shared" si="71"/>
        <v>1.0593883936943449</v>
      </c>
      <c r="AF34" s="82">
        <f t="shared" si="71"/>
        <v>1.0679833553946858</v>
      </c>
      <c r="AG34" s="83">
        <f t="shared" si="71"/>
        <v>3.9932793233277435</v>
      </c>
      <c r="AH34" s="82">
        <f t="shared" si="71"/>
        <v>1.1898634468727629</v>
      </c>
      <c r="AI34" s="82">
        <f t="shared" si="71"/>
        <v>1.0144088218029326</v>
      </c>
      <c r="AJ34" s="82">
        <f t="shared" si="71"/>
        <v>1.3346050422663276</v>
      </c>
      <c r="AK34" s="82">
        <f t="shared" si="71"/>
        <v>1.3191905721892956</v>
      </c>
      <c r="AL34" s="415">
        <f t="shared" si="71"/>
        <v>4.852912109109865</v>
      </c>
      <c r="AM34" s="82">
        <f t="shared" si="71"/>
        <v>1.3802867460175023</v>
      </c>
      <c r="AN34" s="82">
        <f t="shared" si="71"/>
        <v>1.1649818770082498</v>
      </c>
      <c r="AO34" s="82">
        <f t="shared" si="71"/>
        <v>1.4701198068212835</v>
      </c>
      <c r="AP34" s="82">
        <f t="shared" si="71"/>
        <v>1.4245472789597173</v>
      </c>
      <c r="AQ34" s="83">
        <f t="shared" si="71"/>
        <v>5.4399340573173074</v>
      </c>
      <c r="AR34" s="82">
        <f t="shared" si="71"/>
        <v>1.4836780248532588</v>
      </c>
      <c r="AS34" s="82">
        <f t="shared" si="71"/>
        <v>1.2539323451572522</v>
      </c>
      <c r="AT34" s="82">
        <f t="shared" si="71"/>
        <v>1.578838570020312</v>
      </c>
      <c r="AU34" s="82">
        <f t="shared" si="71"/>
        <v>1.529743588785262</v>
      </c>
      <c r="AV34" s="83">
        <f t="shared" si="71"/>
        <v>5.8461906788487275</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39">
        <v>0.53</v>
      </c>
      <c r="W35" s="25">
        <f>+SUM(S35:V35)</f>
        <v>2</v>
      </c>
      <c r="X35" s="240">
        <f>+V35</f>
        <v>0.53</v>
      </c>
      <c r="Y35" s="240">
        <f>+X35</f>
        <v>0.53</v>
      </c>
      <c r="Z35" s="240">
        <f>+Y35</f>
        <v>0.53</v>
      </c>
      <c r="AA35" s="240">
        <f>1.05*Z35</f>
        <v>0.55650000000000011</v>
      </c>
      <c r="AB35" s="25">
        <f>+SUM(X35:AA35)</f>
        <v>2.1465000000000001</v>
      </c>
      <c r="AC35" s="240">
        <f>+AA35</f>
        <v>0.55650000000000011</v>
      </c>
      <c r="AD35" s="240">
        <f>+AC35</f>
        <v>0.55650000000000011</v>
      </c>
      <c r="AE35" s="240">
        <f>+AD35</f>
        <v>0.55650000000000011</v>
      </c>
      <c r="AF35" s="240">
        <f>1.05*AE35</f>
        <v>0.58432500000000009</v>
      </c>
      <c r="AG35" s="25">
        <f>+SUM(AC35:AF35)</f>
        <v>2.2538250000000004</v>
      </c>
      <c r="AH35" s="240">
        <f>+AF35</f>
        <v>0.58432500000000009</v>
      </c>
      <c r="AI35" s="240">
        <f>+AH35</f>
        <v>0.58432500000000009</v>
      </c>
      <c r="AJ35" s="240">
        <f>+AI35</f>
        <v>0.58432500000000009</v>
      </c>
      <c r="AK35" s="240">
        <f>1.05*AJ35</f>
        <v>0.61354125000000015</v>
      </c>
      <c r="AL35" s="25">
        <f>+SUM(AH35:AK35)</f>
        <v>2.3665162500000001</v>
      </c>
      <c r="AM35" s="240">
        <f>+AK35</f>
        <v>0.61354125000000015</v>
      </c>
      <c r="AN35" s="240">
        <f>+AM35</f>
        <v>0.61354125000000015</v>
      </c>
      <c r="AO35" s="240">
        <f>+AN35</f>
        <v>0.61354125000000015</v>
      </c>
      <c r="AP35" s="240">
        <f>1.02*AO35</f>
        <v>0.62581207500000013</v>
      </c>
      <c r="AQ35" s="25">
        <f>+SUM(AM35:AP35)</f>
        <v>2.4664358250000005</v>
      </c>
      <c r="AR35" s="240">
        <f>+AP35</f>
        <v>0.62581207500000013</v>
      </c>
      <c r="AS35" s="240">
        <f>+AR35</f>
        <v>0.62581207500000013</v>
      </c>
      <c r="AT35" s="240">
        <f>+AS35</f>
        <v>0.62581207500000013</v>
      </c>
      <c r="AU35" s="240">
        <f>1.02*AT35</f>
        <v>0.6383283165000001</v>
      </c>
      <c r="AV35" s="25">
        <f>+SUM(AR35:AU35)</f>
        <v>2.5157645415000003</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0.70599584997263765</v>
      </c>
      <c r="X36" s="211"/>
      <c r="Y36" s="211"/>
      <c r="Z36" s="211"/>
      <c r="AA36" s="211"/>
      <c r="AB36" s="244">
        <f>AB35/AB33</f>
        <v>0.63650716850585121</v>
      </c>
      <c r="AC36" s="211"/>
      <c r="AD36" s="211"/>
      <c r="AE36" s="211"/>
      <c r="AF36" s="211"/>
      <c r="AG36" s="244">
        <f>AG35/AG33</f>
        <v>0.57629003510004551</v>
      </c>
      <c r="AH36" s="211"/>
      <c r="AI36" s="211"/>
      <c r="AJ36" s="211"/>
      <c r="AK36" s="211"/>
      <c r="AL36" s="431">
        <f>AL35/AL33</f>
        <v>0.49839984519677166</v>
      </c>
      <c r="AM36" s="211"/>
      <c r="AN36" s="211"/>
      <c r="AO36" s="211"/>
      <c r="AP36" s="211"/>
      <c r="AQ36" s="244">
        <f>AQ35/AQ33</f>
        <v>0.4627713860973115</v>
      </c>
      <c r="AR36" s="211"/>
      <c r="AS36" s="211"/>
      <c r="AT36" s="211"/>
      <c r="AU36" s="211"/>
      <c r="AV36" s="244">
        <f>AV35/AV33</f>
        <v>0.43862453847281324</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494" t="s">
        <v>13</v>
      </c>
      <c r="C38" s="495"/>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3" t="s">
        <v>346</v>
      </c>
      <c r="W38" s="39" t="s">
        <v>346</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12"/>
      <c r="C39" s="513"/>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4" t="s">
        <v>347</v>
      </c>
      <c r="W39" s="40" t="s">
        <v>348</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08" t="s">
        <v>174</v>
      </c>
      <c r="C40" s="509"/>
      <c r="D40" s="14"/>
      <c r="E40" s="14"/>
      <c r="F40" s="14"/>
      <c r="G40" s="14"/>
      <c r="H40" s="40"/>
      <c r="I40" s="14"/>
      <c r="J40" s="14"/>
      <c r="K40" s="14"/>
      <c r="L40" s="14"/>
      <c r="M40" s="40"/>
      <c r="N40" s="14"/>
      <c r="O40" s="14"/>
      <c r="P40" s="14"/>
      <c r="Q40" s="14"/>
      <c r="R40" s="40"/>
      <c r="S40" s="14"/>
      <c r="T40" s="14"/>
      <c r="U40" s="14"/>
      <c r="V40" s="14"/>
      <c r="W40" s="40"/>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510" t="s">
        <v>175</v>
      </c>
      <c r="C41" s="511"/>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10216</v>
      </c>
      <c r="W41" s="191">
        <f>V41</f>
        <v>10216</v>
      </c>
      <c r="X41" s="21">
        <f>+V41+X42</f>
        <v>10276.5</v>
      </c>
      <c r="Y41" s="21">
        <f>+X41+Y42</f>
        <v>10337</v>
      </c>
      <c r="Z41" s="21">
        <f>+Y41+Z42</f>
        <v>10397.5</v>
      </c>
      <c r="AA41" s="21">
        <f>+Z41+AA42</f>
        <v>10458</v>
      </c>
      <c r="AB41" s="191">
        <f>AA41</f>
        <v>10458</v>
      </c>
      <c r="AC41" s="21">
        <f>+AA41+AC42</f>
        <v>10530</v>
      </c>
      <c r="AD41" s="21">
        <f>+AC41+AD42</f>
        <v>10602</v>
      </c>
      <c r="AE41" s="21">
        <f>+AD41+AE42</f>
        <v>10675</v>
      </c>
      <c r="AF41" s="21">
        <f>+AE41+AF42</f>
        <v>10748</v>
      </c>
      <c r="AG41" s="191">
        <f>AF41</f>
        <v>10748</v>
      </c>
      <c r="AH41" s="21">
        <f>+AF41+AH42</f>
        <v>10834</v>
      </c>
      <c r="AI41" s="21">
        <f>+AH41+AI42</f>
        <v>10920</v>
      </c>
      <c r="AJ41" s="21">
        <f>+AI41+AJ42</f>
        <v>11006</v>
      </c>
      <c r="AK41" s="21">
        <f>+AJ41+AK42</f>
        <v>11092</v>
      </c>
      <c r="AL41" s="191">
        <f>AK41</f>
        <v>11092</v>
      </c>
      <c r="AM41" s="21">
        <f>+AK41+AM42</f>
        <v>11188</v>
      </c>
      <c r="AN41" s="21">
        <f>+AM41+AN42</f>
        <v>11284</v>
      </c>
      <c r="AO41" s="21">
        <f>+AN41+AO42</f>
        <v>11380</v>
      </c>
      <c r="AP41" s="21">
        <f>+AO41+AP42</f>
        <v>11476</v>
      </c>
      <c r="AQ41" s="191">
        <f>AP41</f>
        <v>11476</v>
      </c>
      <c r="AR41" s="21">
        <f>+AP41+AR42</f>
        <v>11572</v>
      </c>
      <c r="AS41" s="21">
        <f>+AR41+AS42</f>
        <v>11668</v>
      </c>
      <c r="AT41" s="21">
        <f>+AS41+AT42</f>
        <v>11764</v>
      </c>
      <c r="AU41" s="21">
        <f>+AT41+AU42</f>
        <v>11860</v>
      </c>
      <c r="AV41" s="191">
        <f>AU41</f>
        <v>11860</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101">
        <v>166</v>
      </c>
      <c r="W42" s="122">
        <f>+SUM(S42:V42)</f>
        <v>355</v>
      </c>
      <c r="X42" s="33">
        <v>60.5</v>
      </c>
      <c r="Y42" s="33">
        <v>60.5</v>
      </c>
      <c r="Z42" s="33">
        <v>60.5</v>
      </c>
      <c r="AA42" s="33">
        <v>60.5</v>
      </c>
      <c r="AB42" s="26">
        <f>+SUM(X42:AA42)</f>
        <v>242</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f>D41</f>
        <v>9777</v>
      </c>
      <c r="E43" s="101">
        <f>AVERAGE(D41,E41)</f>
        <v>9776.5</v>
      </c>
      <c r="F43" s="101">
        <f t="shared" ref="F43:G43" si="72">AVERAGE(E41,F41)</f>
        <v>9816.5</v>
      </c>
      <c r="G43" s="101">
        <f t="shared" si="72"/>
        <v>9915.5</v>
      </c>
      <c r="H43" s="122"/>
      <c r="I43" s="101">
        <f>AVERAGE(G41,I41)</f>
        <v>9997</v>
      </c>
      <c r="J43" s="101">
        <f>AVERAGE(I41,J41)</f>
        <v>10035.5</v>
      </c>
      <c r="K43" s="101">
        <f t="shared" ref="K43:L43" si="73">AVERAGE(J41,K41)</f>
        <v>10034</v>
      </c>
      <c r="L43" s="101">
        <f t="shared" si="73"/>
        <v>10063</v>
      </c>
      <c r="M43" s="122"/>
      <c r="N43" s="101">
        <f>AVERAGE(L41,N41)</f>
        <v>10069</v>
      </c>
      <c r="O43" s="101">
        <f>AVERAGE(N41,O41)</f>
        <v>9924.5</v>
      </c>
      <c r="P43" s="101">
        <f t="shared" ref="P43:Q43" si="74">AVERAGE(O41,P41)</f>
        <v>9840</v>
      </c>
      <c r="Q43" s="101">
        <f t="shared" si="74"/>
        <v>9860.5</v>
      </c>
      <c r="R43" s="122"/>
      <c r="S43" s="101">
        <f>AVERAGE(Q41,S41)</f>
        <v>9880.5</v>
      </c>
      <c r="T43" s="101">
        <f>AVERAGE(S41,T41)</f>
        <v>9927</v>
      </c>
      <c r="U43" s="101">
        <f t="shared" ref="U43" si="75">AVERAGE(T41,U41)</f>
        <v>10002</v>
      </c>
      <c r="V43" s="101">
        <f>AVERAGE(U41,V41)</f>
        <v>10133</v>
      </c>
      <c r="W43" s="122"/>
      <c r="X43" s="101">
        <f>AVERAGE(V41,X41)</f>
        <v>10246.25</v>
      </c>
      <c r="Y43" s="101">
        <f>AVERAGE(X41,Y41)</f>
        <v>10306.75</v>
      </c>
      <c r="Z43" s="101">
        <f t="shared" ref="Z43:AA43" si="76">AVERAGE(Y41,Z41)</f>
        <v>10367.25</v>
      </c>
      <c r="AA43" s="101">
        <f t="shared" si="76"/>
        <v>10427.75</v>
      </c>
      <c r="AB43" s="122"/>
      <c r="AC43" s="101">
        <f>AVERAGE(AA41,AC41)</f>
        <v>10494</v>
      </c>
      <c r="AD43" s="101">
        <f>AVERAGE(AC41,AD41)</f>
        <v>10566</v>
      </c>
      <c r="AE43" s="101">
        <f t="shared" ref="AE43:AF43" si="77">AVERAGE(AD41,AE41)</f>
        <v>10638.5</v>
      </c>
      <c r="AF43" s="101">
        <f t="shared" si="77"/>
        <v>10711.5</v>
      </c>
      <c r="AG43" s="122"/>
      <c r="AH43" s="101">
        <f>AVERAGE(AF41,AH41)</f>
        <v>10791</v>
      </c>
      <c r="AI43" s="101">
        <f>AVERAGE(AH41,AI41)</f>
        <v>10877</v>
      </c>
      <c r="AJ43" s="101">
        <f t="shared" ref="AJ43:AK43" si="78">AVERAGE(AI41,AJ41)</f>
        <v>10963</v>
      </c>
      <c r="AK43" s="101">
        <f t="shared" si="78"/>
        <v>11049</v>
      </c>
      <c r="AL43" s="122"/>
      <c r="AM43" s="101">
        <f>AVERAGE(AK41,AM41)</f>
        <v>11140</v>
      </c>
      <c r="AN43" s="101">
        <f>AVERAGE(AM41,AN41)</f>
        <v>11236</v>
      </c>
      <c r="AO43" s="101">
        <f t="shared" ref="AO43:AP43" si="79">AVERAGE(AN41,AO41)</f>
        <v>11332</v>
      </c>
      <c r="AP43" s="101">
        <f t="shared" si="79"/>
        <v>11428</v>
      </c>
      <c r="AQ43" s="122"/>
      <c r="AR43" s="101">
        <f>AVERAGE(AP41,AR41)</f>
        <v>11524</v>
      </c>
      <c r="AS43" s="101">
        <f>AVERAGE(AR41,AS41)</f>
        <v>11620</v>
      </c>
      <c r="AT43" s="101">
        <f t="shared" ref="AT43:AU43" si="80">AVERAGE(AS41,AT41)</f>
        <v>11716</v>
      </c>
      <c r="AU43" s="101">
        <f t="shared" si="80"/>
        <v>11812</v>
      </c>
      <c r="AV43" s="122"/>
    </row>
    <row r="44" spans="2:48" s="8" customFormat="1" outlineLevel="1" x14ac:dyDescent="0.3">
      <c r="B44" s="180" t="s">
        <v>205</v>
      </c>
      <c r="C44" s="206"/>
      <c r="D44" s="474"/>
      <c r="E44" s="43">
        <f>+E45/E43</f>
        <v>0.39376054825346496</v>
      </c>
      <c r="F44" s="43">
        <f>+F45/F43</f>
        <v>0.42603779351092547</v>
      </c>
      <c r="G44" s="43">
        <f>+G45/G43</f>
        <v>0.4199687358176592</v>
      </c>
      <c r="H44" s="473"/>
      <c r="I44" s="43">
        <f>+I45/I43</f>
        <v>0.44723417025107531</v>
      </c>
      <c r="J44" s="43">
        <f>+J45/J43</f>
        <v>0.38499327387773402</v>
      </c>
      <c r="K44" s="43">
        <f>+K45/K43</f>
        <v>0.25601953358580826</v>
      </c>
      <c r="L44" s="43">
        <f>+L45/L43</f>
        <v>0.3851038457716387</v>
      </c>
      <c r="M44" s="473"/>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43">
        <f>+V45/V43</f>
        <v>0.54776472910293106</v>
      </c>
      <c r="W44" s="132"/>
      <c r="X44" s="219">
        <f>S44*1.07</f>
        <v>0.5646563433024645</v>
      </c>
      <c r="Y44" s="219">
        <f>T44*1.07</f>
        <v>0.53206819784426318</v>
      </c>
      <c r="Z44" s="219">
        <f>U44*1.05</f>
        <v>0.57877024595080984</v>
      </c>
      <c r="AA44" s="219">
        <f>V44*1.05</f>
        <v>0.5751529655580776</v>
      </c>
      <c r="AB44" s="97"/>
      <c r="AC44" s="219">
        <f>X44*1.05</f>
        <v>0.59288916046758777</v>
      </c>
      <c r="AD44" s="219">
        <f>Y44*1.05</f>
        <v>0.55867160773647639</v>
      </c>
      <c r="AE44" s="219">
        <f>Z44*1.05</f>
        <v>0.60770875824835036</v>
      </c>
      <c r="AF44" s="219">
        <f>AA44*1.05</f>
        <v>0.60391061383598155</v>
      </c>
      <c r="AG44" s="97"/>
      <c r="AH44" s="219">
        <f>AC44*1.07</f>
        <v>0.63439140170031894</v>
      </c>
      <c r="AI44" s="219">
        <f>AD44*1.07</f>
        <v>0.59777862027802975</v>
      </c>
      <c r="AJ44" s="219">
        <f>AE44*1.07</f>
        <v>0.65024837132573488</v>
      </c>
      <c r="AK44" s="219">
        <f>AF44*1.07</f>
        <v>0.64618435680450026</v>
      </c>
      <c r="AL44" s="97"/>
      <c r="AM44" s="219">
        <f>AH44*1.05</f>
        <v>0.66611097178533496</v>
      </c>
      <c r="AN44" s="219">
        <f>AI44*1.05</f>
        <v>0.6276675512919313</v>
      </c>
      <c r="AO44" s="219">
        <f>AJ44*1.05</f>
        <v>0.6827607898920216</v>
      </c>
      <c r="AP44" s="219">
        <f>AK44*1.05</f>
        <v>0.67849357464472526</v>
      </c>
      <c r="AQ44" s="97"/>
      <c r="AR44" s="219">
        <f>AM44*1.03</f>
        <v>0.68609430093889501</v>
      </c>
      <c r="AS44" s="219">
        <f>AN44*1.03</f>
        <v>0.64649757783068929</v>
      </c>
      <c r="AT44" s="219">
        <f>AO44*1.03</f>
        <v>0.70324361358878229</v>
      </c>
      <c r="AU44" s="219">
        <f>AP44*1.03</f>
        <v>0.69884838188406706</v>
      </c>
      <c r="AV44" s="97"/>
    </row>
    <row r="45" spans="2:48" s="8" customFormat="1" outlineLevel="1" x14ac:dyDescent="0.3">
      <c r="B45" s="500" t="s">
        <v>176</v>
      </c>
      <c r="C45" s="501"/>
      <c r="D45" s="50">
        <v>4092.2</v>
      </c>
      <c r="E45" s="50">
        <v>3849.6</v>
      </c>
      <c r="F45" s="50">
        <v>4182.2</v>
      </c>
      <c r="G45" s="50">
        <v>4164.2</v>
      </c>
      <c r="H45" s="97">
        <f>SUM(D45:G45)</f>
        <v>16288.2</v>
      </c>
      <c r="I45" s="50">
        <v>4471</v>
      </c>
      <c r="J45" s="50">
        <v>3863.6</v>
      </c>
      <c r="K45" s="103">
        <v>2568.9</v>
      </c>
      <c r="L45" s="50">
        <v>3875.3</v>
      </c>
      <c r="M45" s="132">
        <f>SUM(I45:L45)</f>
        <v>14778.8</v>
      </c>
      <c r="N45" s="50">
        <v>4284.8</v>
      </c>
      <c r="O45" s="50">
        <v>4268.3999999999996</v>
      </c>
      <c r="P45" s="50">
        <v>4929.8</v>
      </c>
      <c r="Q45" s="103">
        <v>5254.3</v>
      </c>
      <c r="R45" s="132">
        <f>SUM(N45:Q45)</f>
        <v>18737.3</v>
      </c>
      <c r="S45" s="50">
        <v>5214.1000000000004</v>
      </c>
      <c r="T45" s="50">
        <v>4936.3</v>
      </c>
      <c r="U45" s="50">
        <v>5513.2</v>
      </c>
      <c r="V45" s="50">
        <v>5550.5</v>
      </c>
      <c r="W45" s="132">
        <f>SUM(S45:V45)</f>
        <v>21214.100000000002</v>
      </c>
      <c r="X45" s="50">
        <f>X44*X43</f>
        <v>5785.610057562877</v>
      </c>
      <c r="Y45" s="50">
        <f>Y44*Y43</f>
        <v>5483.8938981313595</v>
      </c>
      <c r="Z45" s="50">
        <f>Z44*Z43</f>
        <v>6000.2558323335334</v>
      </c>
      <c r="AA45" s="50">
        <f>AA44*AA43</f>
        <v>5997.5513365982433</v>
      </c>
      <c r="AB45" s="97">
        <f>SUM(X45:AA45)</f>
        <v>23267.311124626012</v>
      </c>
      <c r="AC45" s="50">
        <f>AC44*AC43</f>
        <v>6221.7788499468661</v>
      </c>
      <c r="AD45" s="50">
        <f>AD44*AD43</f>
        <v>5902.9242073436099</v>
      </c>
      <c r="AE45" s="50">
        <f>AE44*AE43</f>
        <v>6465.1096246250754</v>
      </c>
      <c r="AF45" s="50">
        <f>AF44*AF43</f>
        <v>6468.7885401041167</v>
      </c>
      <c r="AG45" s="97">
        <f>SUM(AC45:AF45)</f>
        <v>25058.601222019668</v>
      </c>
      <c r="AH45" s="50">
        <f>AH44*AH43</f>
        <v>6845.7176157481417</v>
      </c>
      <c r="AI45" s="50">
        <f>AI44*AI43</f>
        <v>6502.0380527641291</v>
      </c>
      <c r="AJ45" s="50">
        <f>AJ44*AJ43</f>
        <v>7128.6728948440314</v>
      </c>
      <c r="AK45" s="50">
        <f>AK44*AK43</f>
        <v>7139.6909583329234</v>
      </c>
      <c r="AL45" s="97">
        <f>SUM(AH45:AK45)</f>
        <v>27616.119521689223</v>
      </c>
      <c r="AM45" s="50">
        <f>AM44*AM43</f>
        <v>7420.4762256886315</v>
      </c>
      <c r="AN45" s="50">
        <f>AN44*AN43</f>
        <v>7052.4726063161397</v>
      </c>
      <c r="AO45" s="50">
        <f>AO44*AO43</f>
        <v>7737.0452710563886</v>
      </c>
      <c r="AP45" s="50">
        <f>AP44*AP43</f>
        <v>7753.8245710399206</v>
      </c>
      <c r="AQ45" s="97">
        <f>SUM(AM45:AP45)</f>
        <v>29963.81867410108</v>
      </c>
      <c r="AR45" s="50">
        <f>AR44*AR43</f>
        <v>7906.5507240198258</v>
      </c>
      <c r="AS45" s="50">
        <f>AS44*AS43</f>
        <v>7512.3018543926091</v>
      </c>
      <c r="AT45" s="50">
        <f>AT44*AT43</f>
        <v>8239.2021768061732</v>
      </c>
      <c r="AU45" s="50">
        <f>AU44*AU43</f>
        <v>8254.7970868146003</v>
      </c>
      <c r="AV45" s="97">
        <f>SUM(AR45:AU45)</f>
        <v>31912.851842033211</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5.6372875549549839E-2</v>
      </c>
      <c r="W46" s="98">
        <f>W45/R45-1</f>
        <v>0.13218553366813812</v>
      </c>
      <c r="X46" s="27">
        <f t="shared" ref="X46:AV46" si="81">X45/S45-1</f>
        <v>0.10960857244066591</v>
      </c>
      <c r="Y46" s="27">
        <f t="shared" si="81"/>
        <v>0.1109320539941574</v>
      </c>
      <c r="Z46" s="27">
        <f t="shared" si="81"/>
        <v>8.83435812837432E-2</v>
      </c>
      <c r="AA46" s="27">
        <f t="shared" si="81"/>
        <v>8.0542534293891244E-2</v>
      </c>
      <c r="AB46" s="98">
        <f t="shared" si="81"/>
        <v>9.6785210054916693E-2</v>
      </c>
      <c r="AC46" s="27">
        <f t="shared" si="81"/>
        <v>7.5388556789069305E-2</v>
      </c>
      <c r="AD46" s="27">
        <f t="shared" si="81"/>
        <v>7.641108981977851E-2</v>
      </c>
      <c r="AE46" s="27">
        <f t="shared" si="81"/>
        <v>7.747232872748322E-2</v>
      </c>
      <c r="AF46" s="27">
        <f t="shared" si="81"/>
        <v>7.8571599817794047E-2</v>
      </c>
      <c r="AG46" s="98">
        <f t="shared" si="81"/>
        <v>7.6987413276893957E-2</v>
      </c>
      <c r="AH46" s="27">
        <f t="shared" si="81"/>
        <v>0.10028301886792468</v>
      </c>
      <c r="AI46" s="27">
        <f t="shared" si="81"/>
        <v>0.10149441605148568</v>
      </c>
      <c r="AJ46" s="27">
        <f t="shared" si="81"/>
        <v>0.10263758988579208</v>
      </c>
      <c r="AK46" s="27">
        <f t="shared" si="81"/>
        <v>0.10371376557905054</v>
      </c>
      <c r="AL46" s="98">
        <f t="shared" si="81"/>
        <v>0.10206149485399818</v>
      </c>
      <c r="AM46" s="27">
        <f t="shared" si="81"/>
        <v>8.3958854601056565E-2</v>
      </c>
      <c r="AN46" s="27">
        <f t="shared" si="81"/>
        <v>8.4655695504275208E-2</v>
      </c>
      <c r="AO46" s="27">
        <f t="shared" si="81"/>
        <v>8.534160357566356E-2</v>
      </c>
      <c r="AP46" s="27">
        <f t="shared" si="81"/>
        <v>8.6016834102633721E-2</v>
      </c>
      <c r="AQ46" s="98">
        <f t="shared" si="81"/>
        <v>8.5011913080982104E-2</v>
      </c>
      <c r="AR46" s="27">
        <f t="shared" si="81"/>
        <v>6.550448833034106E-2</v>
      </c>
      <c r="AS46" s="27">
        <f t="shared" si="81"/>
        <v>6.5201139195443236E-2</v>
      </c>
      <c r="AT46" s="27">
        <f t="shared" si="81"/>
        <v>6.4902929756442074E-2</v>
      </c>
      <c r="AU46" s="27">
        <f t="shared" si="81"/>
        <v>6.4609730486524297E-2</v>
      </c>
      <c r="AV46" s="98">
        <f t="shared" si="81"/>
        <v>6.5046220881611383E-2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v>0.01</v>
      </c>
      <c r="W47" s="223"/>
      <c r="X47" s="224"/>
      <c r="Y47" s="224"/>
      <c r="Z47" s="224"/>
      <c r="AA47" s="224"/>
      <c r="AB47" s="376">
        <f>AB59/W59-1</f>
        <v>9.7768167244326243E-2</v>
      </c>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v>0.1</v>
      </c>
      <c r="W48" s="148"/>
      <c r="X48" s="228"/>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v>0.11</v>
      </c>
      <c r="W49" s="232"/>
      <c r="X49" s="233"/>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06" t="s">
        <v>177</v>
      </c>
      <c r="C50" s="507"/>
      <c r="D50" s="67">
        <v>7876</v>
      </c>
      <c r="E50" s="67">
        <v>7943</v>
      </c>
      <c r="F50" s="117">
        <v>7996</v>
      </c>
      <c r="G50" s="67">
        <v>8093</v>
      </c>
      <c r="H50" s="68"/>
      <c r="I50" s="67">
        <v>8183</v>
      </c>
      <c r="J50" s="67">
        <v>8220</v>
      </c>
      <c r="K50" s="67">
        <v>8218</v>
      </c>
      <c r="L50" s="67">
        <v>6831</v>
      </c>
      <c r="M50" s="68"/>
      <c r="N50" s="67">
        <v>8279</v>
      </c>
      <c r="O50" s="67">
        <f>+N50+O51</f>
        <v>8300</v>
      </c>
      <c r="P50" s="67">
        <f t="shared" ref="P50" si="82">+O50+P51</f>
        <v>8315</v>
      </c>
      <c r="Q50" s="67">
        <v>6965</v>
      </c>
      <c r="R50" s="192"/>
      <c r="S50" s="67">
        <f>+Q50+S51</f>
        <v>6988</v>
      </c>
      <c r="T50" s="67">
        <f>+S50+T51</f>
        <v>6972</v>
      </c>
      <c r="U50" s="67">
        <f t="shared" ref="U50:V50" si="83">+T50+U51</f>
        <v>7000</v>
      </c>
      <c r="V50" s="67">
        <f t="shared" si="83"/>
        <v>7079</v>
      </c>
      <c r="W50" s="253">
        <f>V50</f>
        <v>7079</v>
      </c>
      <c r="X50" s="67">
        <f>+V50+X51</f>
        <v>7147</v>
      </c>
      <c r="Y50" s="67">
        <f>+X50+Y51</f>
        <v>7215</v>
      </c>
      <c r="Z50" s="67">
        <f t="shared" ref="Z50:AA50" si="84">+Y50+Z51</f>
        <v>7283</v>
      </c>
      <c r="AA50" s="67">
        <f t="shared" si="84"/>
        <v>7352</v>
      </c>
      <c r="AB50" s="192">
        <f>AA50</f>
        <v>7352</v>
      </c>
      <c r="AC50" s="67">
        <f>+AA50+AC51</f>
        <v>7434</v>
      </c>
      <c r="AD50" s="67">
        <f>+AC50+AD51</f>
        <v>7516</v>
      </c>
      <c r="AE50" s="67">
        <f t="shared" ref="AE50:AF50" si="85">+AD50+AE51</f>
        <v>7598</v>
      </c>
      <c r="AF50" s="67">
        <f t="shared" si="85"/>
        <v>7681</v>
      </c>
      <c r="AG50" s="192">
        <f>AF50</f>
        <v>7681</v>
      </c>
      <c r="AH50" s="67">
        <f>+AF50+AH51</f>
        <v>7778</v>
      </c>
      <c r="AI50" s="67">
        <f>+AH50+AI51</f>
        <v>7875</v>
      </c>
      <c r="AJ50" s="67">
        <f t="shared" ref="AJ50:AK50" si="86">+AI50+AJ51</f>
        <v>7972</v>
      </c>
      <c r="AK50" s="67">
        <f t="shared" si="86"/>
        <v>8069</v>
      </c>
      <c r="AL50" s="192">
        <f>AK50</f>
        <v>8069</v>
      </c>
      <c r="AM50" s="67">
        <f>+AK50+AM51</f>
        <v>8097</v>
      </c>
      <c r="AN50" s="67">
        <f>+AM50+AN51</f>
        <v>8125</v>
      </c>
      <c r="AO50" s="67">
        <f t="shared" ref="AO50:AP50" si="87">+AN50+AO51</f>
        <v>8153</v>
      </c>
      <c r="AP50" s="67">
        <f t="shared" si="87"/>
        <v>8181</v>
      </c>
      <c r="AQ50" s="192">
        <f>AP50</f>
        <v>8181</v>
      </c>
      <c r="AR50" s="67">
        <f>+AP50+AR51</f>
        <v>8209</v>
      </c>
      <c r="AS50" s="67">
        <f>+AR50+AS51</f>
        <v>8237</v>
      </c>
      <c r="AT50" s="67">
        <f t="shared" ref="AT50:AU50" si="88">+AS50+AT51</f>
        <v>8265</v>
      </c>
      <c r="AU50" s="67">
        <f t="shared" si="88"/>
        <v>8293</v>
      </c>
      <c r="AV50" s="192">
        <f>AU50</f>
        <v>8293</v>
      </c>
    </row>
    <row r="51" spans="2:48" outlineLevel="1" x14ac:dyDescent="0.3">
      <c r="B51" s="180" t="s">
        <v>47</v>
      </c>
      <c r="C51" s="201"/>
      <c r="D51" s="101">
        <f>+D50-7770</f>
        <v>106</v>
      </c>
      <c r="E51" s="101">
        <f>E50-D50</f>
        <v>67</v>
      </c>
      <c r="F51" s="101">
        <f t="shared" ref="F51:G51" si="89">F50-E50</f>
        <v>53</v>
      </c>
      <c r="G51" s="101">
        <f t="shared" si="89"/>
        <v>97</v>
      </c>
      <c r="H51" s="122">
        <f>+SUM(D51:G51)</f>
        <v>323</v>
      </c>
      <c r="I51" s="101">
        <f>I50-G50</f>
        <v>90</v>
      </c>
      <c r="J51" s="101">
        <f t="shared" ref="J51:K51" si="90">J50-I50</f>
        <v>37</v>
      </c>
      <c r="K51" s="101">
        <f t="shared" si="90"/>
        <v>-2</v>
      </c>
      <c r="L51" s="101">
        <v>32</v>
      </c>
      <c r="M51" s="122"/>
      <c r="N51" s="101">
        <v>34</v>
      </c>
      <c r="O51" s="101">
        <v>21</v>
      </c>
      <c r="P51" s="101">
        <v>15</v>
      </c>
      <c r="Q51" s="101">
        <v>73</v>
      </c>
      <c r="R51" s="26"/>
      <c r="S51" s="101">
        <v>23</v>
      </c>
      <c r="T51" s="101">
        <v>-16</v>
      </c>
      <c r="U51" s="101">
        <v>28</v>
      </c>
      <c r="V51" s="101">
        <v>79</v>
      </c>
      <c r="W51" s="122">
        <f>+SUM(S51:V51)</f>
        <v>114</v>
      </c>
      <c r="X51" s="33">
        <v>68</v>
      </c>
      <c r="Y51" s="33">
        <v>68</v>
      </c>
      <c r="Z51" s="33">
        <v>68</v>
      </c>
      <c r="AA51" s="33">
        <v>69</v>
      </c>
      <c r="AB51" s="26">
        <f>+SUM(X51:AA51)</f>
        <v>273</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91">AVERAGE(F50,E50)</f>
        <v>7969.5</v>
      </c>
      <c r="G52" s="16">
        <f t="shared" si="91"/>
        <v>8044.5</v>
      </c>
      <c r="H52" s="26"/>
      <c r="I52" s="16">
        <f>AVERAGE(I50,G50)</f>
        <v>8138</v>
      </c>
      <c r="J52" s="16">
        <f>AVERAGE(J50,I50)</f>
        <v>8201.5</v>
      </c>
      <c r="K52" s="16">
        <f t="shared" ref="K52:L52" si="92">AVERAGE(K50,J50)</f>
        <v>8219</v>
      </c>
      <c r="L52" s="16">
        <f t="shared" si="92"/>
        <v>7524.5</v>
      </c>
      <c r="M52" s="6"/>
      <c r="N52" s="16">
        <f>AVERAGE(N50,L50)</f>
        <v>7555</v>
      </c>
      <c r="O52" s="16">
        <f>AVERAGE(O50,N50)</f>
        <v>8289.5</v>
      </c>
      <c r="P52" s="16">
        <f t="shared" ref="P52:Q52" si="93">AVERAGE(P50,O50)</f>
        <v>8307.5</v>
      </c>
      <c r="Q52" s="16">
        <f t="shared" si="93"/>
        <v>7640</v>
      </c>
      <c r="R52" s="6"/>
      <c r="S52" s="16">
        <f>AVERAGE(S50,Q50)</f>
        <v>6976.5</v>
      </c>
      <c r="T52" s="16">
        <f>AVERAGE(T50,S50)</f>
        <v>6980</v>
      </c>
      <c r="U52" s="16">
        <f t="shared" ref="U52:V52" si="94">AVERAGE(U50,T50)</f>
        <v>6986</v>
      </c>
      <c r="V52" s="16">
        <f t="shared" si="94"/>
        <v>7039.5</v>
      </c>
      <c r="W52" s="130"/>
      <c r="X52" s="16">
        <f>AVERAGE(X50,V50)</f>
        <v>7113</v>
      </c>
      <c r="Y52" s="16">
        <f>AVERAGE(Y50,X50)</f>
        <v>7181</v>
      </c>
      <c r="Z52" s="16">
        <f t="shared" ref="Z52:AA52" si="95">AVERAGE(Z50,Y50)</f>
        <v>7249</v>
      </c>
      <c r="AA52" s="16">
        <f t="shared" si="95"/>
        <v>7317.5</v>
      </c>
      <c r="AB52" s="6"/>
      <c r="AC52" s="16">
        <f>AVERAGE(AC50,AA50)</f>
        <v>7393</v>
      </c>
      <c r="AD52" s="16">
        <f>AVERAGE(AD50,AC50)</f>
        <v>7475</v>
      </c>
      <c r="AE52" s="16">
        <f t="shared" ref="AE52:AF52" si="96">AVERAGE(AE50,AD50)</f>
        <v>7557</v>
      </c>
      <c r="AF52" s="16">
        <f t="shared" si="96"/>
        <v>7639.5</v>
      </c>
      <c r="AG52" s="6"/>
      <c r="AH52" s="16">
        <f>AVERAGE(AH50,AF50)</f>
        <v>7729.5</v>
      </c>
      <c r="AI52" s="16">
        <f>AVERAGE(AI50,AH50)</f>
        <v>7826.5</v>
      </c>
      <c r="AJ52" s="16">
        <f t="shared" ref="AJ52:AK52" si="97">AVERAGE(AJ50,AI50)</f>
        <v>7923.5</v>
      </c>
      <c r="AK52" s="16">
        <f t="shared" si="97"/>
        <v>8020.5</v>
      </c>
      <c r="AL52" s="6"/>
      <c r="AM52" s="16">
        <f>AVERAGE(AM50,AK50)</f>
        <v>8083</v>
      </c>
      <c r="AN52" s="16">
        <f>AVERAGE(AN50,AM50)</f>
        <v>8111</v>
      </c>
      <c r="AO52" s="16">
        <f t="shared" ref="AO52:AP52" si="98">AVERAGE(AO50,AN50)</f>
        <v>8139</v>
      </c>
      <c r="AP52" s="16">
        <f t="shared" si="98"/>
        <v>8167</v>
      </c>
      <c r="AQ52" s="6"/>
      <c r="AR52" s="16">
        <f>AVERAGE(AR50,AP50)</f>
        <v>8195</v>
      </c>
      <c r="AS52" s="16">
        <f>AVERAGE(AS50,AR50)</f>
        <v>8223</v>
      </c>
      <c r="AT52" s="16">
        <f t="shared" ref="AT52:AU52" si="99">AVERAGE(AT50,AS50)</f>
        <v>8251</v>
      </c>
      <c r="AU52" s="16">
        <f t="shared" si="99"/>
        <v>8279</v>
      </c>
      <c r="AV52" s="6"/>
    </row>
    <row r="53" spans="2:48" outlineLevel="1" x14ac:dyDescent="0.3">
      <c r="B53" s="180" t="s">
        <v>202</v>
      </c>
      <c r="C53" s="201"/>
      <c r="D53" s="43">
        <f>+D54/D52</f>
        <v>6.5780391154288645E-2</v>
      </c>
      <c r="E53" s="43">
        <f>+E54/E52</f>
        <v>5.8549845122953414E-2</v>
      </c>
      <c r="F53" s="43">
        <f>+F54/F52</f>
        <v>6.2274923144488362E-2</v>
      </c>
      <c r="G53" s="114">
        <f t="shared" ref="G53:S53" si="100">+G54/G52</f>
        <v>6.016533034992852E-2</v>
      </c>
      <c r="H53" s="127"/>
      <c r="I53" s="114">
        <f t="shared" si="100"/>
        <v>6.6023593020398133E-2</v>
      </c>
      <c r="J53" s="114">
        <f t="shared" si="100"/>
        <v>5.6599402548314331E-2</v>
      </c>
      <c r="K53" s="114">
        <f t="shared" si="100"/>
        <v>2.8653120817617714E-2</v>
      </c>
      <c r="L53" s="114">
        <f t="shared" si="100"/>
        <v>4.4773739118878331E-2</v>
      </c>
      <c r="M53" s="6"/>
      <c r="N53" s="114">
        <f t="shared" si="100"/>
        <v>5.5089344804765052E-2</v>
      </c>
      <c r="O53" s="114">
        <f t="shared" si="100"/>
        <v>4.7554134748778572E-2</v>
      </c>
      <c r="P53" s="114">
        <f t="shared" si="100"/>
        <v>5.6394823954258204E-2</v>
      </c>
      <c r="Q53" s="114">
        <f t="shared" si="100"/>
        <v>6.6295811518324602E-2</v>
      </c>
      <c r="R53" s="6"/>
      <c r="S53" s="114">
        <f t="shared" si="100"/>
        <v>7.3948254855586606E-2</v>
      </c>
      <c r="T53" s="114">
        <f>+T54/T52</f>
        <v>7.2636103151862461E-2</v>
      </c>
      <c r="U53" s="114">
        <f>+U54/U52</f>
        <v>7.7898654451760668E-2</v>
      </c>
      <c r="V53" s="114">
        <f>+V54/V52</f>
        <v>8.2875204204844094E-2</v>
      </c>
      <c r="W53" s="130"/>
      <c r="X53" s="62">
        <f>S53*1.1</f>
        <v>8.1343080341145277E-2</v>
      </c>
      <c r="Y53" s="62">
        <f>T53*1.1</f>
        <v>7.9899713467048716E-2</v>
      </c>
      <c r="Z53" s="62">
        <f>U53*1.05</f>
        <v>8.1793587174348703E-2</v>
      </c>
      <c r="AA53" s="62">
        <f>V53*1.05</f>
        <v>8.7018964415086303E-2</v>
      </c>
      <c r="AB53" s="378"/>
      <c r="AC53" s="62">
        <f>X53*1.05</f>
        <v>8.5410234358202539E-2</v>
      </c>
      <c r="AD53" s="62">
        <f>Y53*1.05</f>
        <v>8.3894699140401152E-2</v>
      </c>
      <c r="AE53" s="62">
        <f>Z53*1.05</f>
        <v>8.5883266533066147E-2</v>
      </c>
      <c r="AF53" s="62">
        <f>AA53*1.05</f>
        <v>9.1369912635840628E-2</v>
      </c>
      <c r="AG53" s="378"/>
      <c r="AH53" s="62">
        <f>AC53*1.07</f>
        <v>9.1388950763276716E-2</v>
      </c>
      <c r="AI53" s="62">
        <f>AD53*1.07</f>
        <v>8.9767328080229233E-2</v>
      </c>
      <c r="AJ53" s="62">
        <f>AE53*1.07</f>
        <v>9.1895095190380777E-2</v>
      </c>
      <c r="AK53" s="62">
        <f>AF53*1.07</f>
        <v>9.7765806520349482E-2</v>
      </c>
      <c r="AL53" s="379"/>
      <c r="AM53" s="219">
        <f>AH53*1.05</f>
        <v>9.5958398301440553E-2</v>
      </c>
      <c r="AN53" s="219">
        <f>AI53*1.05</f>
        <v>9.4255694484240704E-2</v>
      </c>
      <c r="AO53" s="219">
        <f>AJ53*1.05</f>
        <v>9.6489849949899814E-2</v>
      </c>
      <c r="AP53" s="219">
        <f>AK53*1.05</f>
        <v>0.10265409684636696</v>
      </c>
      <c r="AQ53" s="97"/>
      <c r="AR53" s="219">
        <f>AM53*1.03</f>
        <v>9.8837150250483771E-2</v>
      </c>
      <c r="AS53" s="219">
        <f>AN53*1.03</f>
        <v>9.7083365318767934E-2</v>
      </c>
      <c r="AT53" s="219">
        <f>AO53*1.03</f>
        <v>9.938454544839681E-2</v>
      </c>
      <c r="AU53" s="219">
        <f>AP53*1.03</f>
        <v>0.10573371975175798</v>
      </c>
      <c r="AV53" s="6"/>
    </row>
    <row r="54" spans="2:48" s="8" customFormat="1" outlineLevel="1" x14ac:dyDescent="0.3">
      <c r="B54" s="498" t="s">
        <v>178</v>
      </c>
      <c r="C54" s="499"/>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v>583.4</v>
      </c>
      <c r="W54" s="213">
        <f>SUM(S54:V54)</f>
        <v>2150.5</v>
      </c>
      <c r="X54" s="72">
        <f>+X52*X53</f>
        <v>578.59333046656639</v>
      </c>
      <c r="Y54" s="72">
        <f>+Y52*Y53</f>
        <v>573.75984240687683</v>
      </c>
      <c r="Z54" s="72">
        <f t="shared" ref="Z54:AA54" si="101">+Z52*Z53</f>
        <v>592.92171342685378</v>
      </c>
      <c r="AA54" s="72">
        <f t="shared" si="101"/>
        <v>636.76127210739401</v>
      </c>
      <c r="AB54" s="73">
        <f>SUM(X54:AA54)</f>
        <v>2382.0361584076909</v>
      </c>
      <c r="AC54" s="72">
        <f>+AC52*AC53</f>
        <v>631.43786261019136</v>
      </c>
      <c r="AD54" s="72">
        <f>+AD52*AD53</f>
        <v>627.11287607449856</v>
      </c>
      <c r="AE54" s="72">
        <f t="shared" ref="AE54:AF54" si="102">+AE52*AE53</f>
        <v>649.01984519038092</v>
      </c>
      <c r="AF54" s="72">
        <f t="shared" si="102"/>
        <v>698.02044758150453</v>
      </c>
      <c r="AG54" s="73">
        <f>SUM(AC54:AF54)</f>
        <v>2605.5910314565754</v>
      </c>
      <c r="AH54" s="72">
        <f>+AH52*AH53</f>
        <v>706.39089492474739</v>
      </c>
      <c r="AI54" s="72">
        <f>+AI52*AI53</f>
        <v>702.5639932199141</v>
      </c>
      <c r="AJ54" s="72">
        <f t="shared" ref="AJ54:AK54" si="103">+AJ52*AJ53</f>
        <v>728.1307867409821</v>
      </c>
      <c r="AK54" s="72">
        <f t="shared" si="103"/>
        <v>784.13065119646308</v>
      </c>
      <c r="AL54" s="73">
        <f>SUM(AH54:AK54)</f>
        <v>2921.2163260821067</v>
      </c>
      <c r="AM54" s="72">
        <f>+AM52*AM53</f>
        <v>775.63173347054396</v>
      </c>
      <c r="AN54" s="72">
        <f>+AN52*AN53</f>
        <v>764.50793796167636</v>
      </c>
      <c r="AO54" s="72">
        <f t="shared" ref="AO54:AP54" si="104">+AO52*AO53</f>
        <v>785.33088874223461</v>
      </c>
      <c r="AP54" s="72">
        <f t="shared" si="104"/>
        <v>838.37600894427896</v>
      </c>
      <c r="AQ54" s="73">
        <f>SUM(AM54:AP54)</f>
        <v>3163.8465691187339</v>
      </c>
      <c r="AR54" s="72">
        <f>+AR52*AR53</f>
        <v>809.97044630271455</v>
      </c>
      <c r="AS54" s="72">
        <f>+AS52*AS53</f>
        <v>798.31651301622867</v>
      </c>
      <c r="AT54" s="72">
        <f t="shared" ref="AT54:AU54" si="105">+AT52*AT53</f>
        <v>820.02188449472203</v>
      </c>
      <c r="AU54" s="72">
        <f t="shared" si="105"/>
        <v>875.36946582480437</v>
      </c>
      <c r="AV54" s="73">
        <f>SUM(AR54:AU54)</f>
        <v>3303.6783096384697</v>
      </c>
    </row>
    <row r="55" spans="2:48" s="8" customFormat="1" outlineLevel="1" x14ac:dyDescent="0.3">
      <c r="B55" s="500" t="s">
        <v>179</v>
      </c>
      <c r="C55" s="501"/>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v>0.5</v>
      </c>
      <c r="W55" s="166">
        <f>SUM(S55:V55)</f>
        <v>6.1999999999999993</v>
      </c>
      <c r="X55" s="50">
        <f>+S55*(1+X56)</f>
        <v>1.9549999999999998</v>
      </c>
      <c r="Y55" s="50">
        <f>+T55*(1+Y56)</f>
        <v>1.968</v>
      </c>
      <c r="Z55" s="50">
        <f>+U55*(1+Z56)</f>
        <v>1.95</v>
      </c>
      <c r="AA55" s="50">
        <f t="shared" ref="AA55" si="106">+V55*(1+AA56)</f>
        <v>0.5</v>
      </c>
      <c r="AB55" s="191">
        <f>SUM(X55:AA55)</f>
        <v>6.3730000000000002</v>
      </c>
      <c r="AC55" s="50">
        <f>+X55*(1+AC56)</f>
        <v>1.9549999999999998</v>
      </c>
      <c r="AD55" s="50">
        <f>+Y55*(1+AD56)</f>
        <v>1.968</v>
      </c>
      <c r="AE55" s="50">
        <f>+Z55*(1+AE56)</f>
        <v>1.95</v>
      </c>
      <c r="AF55" s="50">
        <f t="shared" ref="AF55" si="107">+AA55*(1+AF56)</f>
        <v>0.5</v>
      </c>
      <c r="AG55" s="191">
        <f>SUM(AC55:AF55)</f>
        <v>6.3730000000000002</v>
      </c>
      <c r="AH55" s="50">
        <f>+AC55*(1+AH56)</f>
        <v>1.9549999999999998</v>
      </c>
      <c r="AI55" s="50">
        <f>+AD55*(1+AI56)</f>
        <v>1.968</v>
      </c>
      <c r="AJ55" s="50">
        <f>+AE55*(1+AJ56)</f>
        <v>1.95</v>
      </c>
      <c r="AK55" s="50">
        <f t="shared" ref="AK55" si="108">+AF55*(1+AK56)</f>
        <v>0.5</v>
      </c>
      <c r="AL55" s="191">
        <f>SUM(AH55:AK55)</f>
        <v>6.3730000000000002</v>
      </c>
      <c r="AM55" s="50">
        <f>+AH55*(1+AM56)</f>
        <v>1.9549999999999998</v>
      </c>
      <c r="AN55" s="50">
        <f>+AI55*(1+AN56)</f>
        <v>1.968</v>
      </c>
      <c r="AO55" s="50">
        <f>+AJ55*(1+AO56)</f>
        <v>1.95</v>
      </c>
      <c r="AP55" s="50">
        <f t="shared" ref="AP55" si="109">+AK55*(1+AP56)</f>
        <v>0.5</v>
      </c>
      <c r="AQ55" s="191">
        <f>SUM(AM55:AP55)</f>
        <v>6.3730000000000002</v>
      </c>
      <c r="AR55" s="50">
        <f>+AM55*(1+AR56)</f>
        <v>1.9549999999999998</v>
      </c>
      <c r="AS55" s="50">
        <f>+AN55*(1+AS56)</f>
        <v>1.968</v>
      </c>
      <c r="AT55" s="50">
        <f>+AO55*(1+AT56)</f>
        <v>1.95</v>
      </c>
      <c r="AU55" s="50">
        <f t="shared" ref="AU55" si="110">+AP55*(1+AU56)</f>
        <v>0.5</v>
      </c>
      <c r="AV55" s="191">
        <f>SUM(AR55:AU55)</f>
        <v>6.3730000000000002</v>
      </c>
    </row>
    <row r="56" spans="2:48" outlineLevel="1" x14ac:dyDescent="0.3">
      <c r="B56" s="69" t="s">
        <v>50</v>
      </c>
      <c r="C56" s="70"/>
      <c r="D56" s="120"/>
      <c r="E56" s="120"/>
      <c r="F56" s="120"/>
      <c r="G56" s="120"/>
      <c r="H56" s="155"/>
      <c r="I56" s="120">
        <f>I55/D55-1</f>
        <v>-0.54385964912280704</v>
      </c>
      <c r="J56" s="120">
        <f t="shared" ref="J56" si="111">J55/E55-1</f>
        <v>0.57142857142857162</v>
      </c>
      <c r="K56" s="120">
        <f>K55/F55-1</f>
        <v>-0.57692307692307687</v>
      </c>
      <c r="L56" s="120">
        <f>L55/G55-1</f>
        <v>-0.46875</v>
      </c>
      <c r="M56" s="58"/>
      <c r="N56" s="120">
        <f>N55/I55-1</f>
        <v>-0.15384615384615385</v>
      </c>
      <c r="O56" s="120">
        <f t="shared" ref="O56" si="112">O55/J55-1</f>
        <v>-9.0909090909090939E-2</v>
      </c>
      <c r="P56" s="120">
        <f>P55/K55-1</f>
        <v>0.81818181818181812</v>
      </c>
      <c r="Q56" s="120">
        <f>Q55/L55-1</f>
        <v>0.29411764705882359</v>
      </c>
      <c r="R56" s="58"/>
      <c r="S56" s="120">
        <f>S55/N55-1</f>
        <v>4.5454545454545192E-2</v>
      </c>
      <c r="T56" s="120">
        <f t="shared" ref="T56:U56" si="113">T55/O55-1</f>
        <v>0.19999999999999996</v>
      </c>
      <c r="U56" s="120">
        <f t="shared" si="113"/>
        <v>-0.5</v>
      </c>
      <c r="V56" s="120">
        <f>V55/Q55-1</f>
        <v>-0.77272727272727271</v>
      </c>
      <c r="W56" s="155"/>
      <c r="X56" s="71">
        <v>-0.15</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14">+D50+D41</f>
        <v>17653</v>
      </c>
      <c r="E57" s="101">
        <f t="shared" si="114"/>
        <v>17719</v>
      </c>
      <c r="F57" s="101">
        <f t="shared" si="114"/>
        <v>17853</v>
      </c>
      <c r="G57" s="101">
        <f t="shared" si="114"/>
        <v>18067</v>
      </c>
      <c r="H57" s="122"/>
      <c r="I57" s="101">
        <f t="shared" ref="I57:L58" si="115">+I50+I41</f>
        <v>18203</v>
      </c>
      <c r="J57" s="101">
        <f t="shared" si="115"/>
        <v>18271</v>
      </c>
      <c r="K57" s="101">
        <f t="shared" si="115"/>
        <v>18235</v>
      </c>
      <c r="L57" s="16">
        <f t="shared" si="115"/>
        <v>16940</v>
      </c>
      <c r="M57" s="6"/>
      <c r="N57" s="16">
        <f t="shared" ref="N57:Q58" si="116">+N50+N41</f>
        <v>18308</v>
      </c>
      <c r="O57" s="16">
        <f t="shared" si="116"/>
        <v>18120</v>
      </c>
      <c r="P57" s="16">
        <f t="shared" si="116"/>
        <v>18175</v>
      </c>
      <c r="Q57" s="101">
        <f t="shared" si="116"/>
        <v>16826</v>
      </c>
      <c r="R57" s="6"/>
      <c r="S57" s="16">
        <f t="shared" ref="S57:V58" si="117">+S50+S41</f>
        <v>16888</v>
      </c>
      <c r="T57" s="16">
        <f t="shared" si="117"/>
        <v>16926</v>
      </c>
      <c r="U57" s="16">
        <f t="shared" si="117"/>
        <v>17050</v>
      </c>
      <c r="V57" s="16">
        <f t="shared" si="117"/>
        <v>17295</v>
      </c>
      <c r="W57" s="254">
        <f>W58/Q57</f>
        <v>2.7873529062165697E-2</v>
      </c>
      <c r="X57" s="16">
        <f t="shared" ref="X57:AA58" si="118">+X50+X41</f>
        <v>17423.5</v>
      </c>
      <c r="Y57" s="16">
        <f t="shared" si="118"/>
        <v>17552</v>
      </c>
      <c r="Z57" s="16">
        <f t="shared" si="118"/>
        <v>17680.5</v>
      </c>
      <c r="AA57" s="16">
        <f t="shared" si="118"/>
        <v>17810</v>
      </c>
      <c r="AB57" s="254">
        <f>AB58/V57</f>
        <v>2.9777392309916162E-2</v>
      </c>
      <c r="AC57" s="16">
        <f t="shared" ref="AC57:AF58" si="119">+AC50+AC41</f>
        <v>17964</v>
      </c>
      <c r="AD57" s="16">
        <f t="shared" si="119"/>
        <v>18118</v>
      </c>
      <c r="AE57" s="16">
        <f t="shared" si="119"/>
        <v>18273</v>
      </c>
      <c r="AF57" s="16">
        <f t="shared" si="119"/>
        <v>18429</v>
      </c>
      <c r="AG57" s="254">
        <f>AG58/AA57</f>
        <v>3.47557551937114E-2</v>
      </c>
      <c r="AH57" s="16">
        <f t="shared" ref="AH57:AK58" si="120">+AH50+AH41</f>
        <v>18612</v>
      </c>
      <c r="AI57" s="16">
        <f t="shared" si="120"/>
        <v>18795</v>
      </c>
      <c r="AJ57" s="16">
        <f t="shared" si="120"/>
        <v>18978</v>
      </c>
      <c r="AK57" s="16">
        <f t="shared" si="120"/>
        <v>19161</v>
      </c>
      <c r="AL57" s="254">
        <f>AL58/AF57</f>
        <v>3.9720006511476474E-2</v>
      </c>
      <c r="AM57" s="16">
        <f t="shared" ref="AM57:AP58" si="121">+AM50+AM41</f>
        <v>19285</v>
      </c>
      <c r="AN57" s="16">
        <f t="shared" si="121"/>
        <v>19409</v>
      </c>
      <c r="AO57" s="16">
        <f t="shared" si="121"/>
        <v>19533</v>
      </c>
      <c r="AP57" s="16">
        <f t="shared" si="121"/>
        <v>19657</v>
      </c>
      <c r="AQ57" s="254">
        <f>AQ58/AK57</f>
        <v>2.5885914096341528E-2</v>
      </c>
      <c r="AR57" s="16">
        <f t="shared" ref="AR57:AU58" si="122">+AR50+AR41</f>
        <v>19781</v>
      </c>
      <c r="AS57" s="16">
        <f t="shared" si="122"/>
        <v>19905</v>
      </c>
      <c r="AT57" s="16">
        <f t="shared" si="122"/>
        <v>20029</v>
      </c>
      <c r="AU57" s="16">
        <f t="shared" si="122"/>
        <v>20153</v>
      </c>
      <c r="AV57" s="254">
        <f>AV58/AP57</f>
        <v>2.5232741517016839E-2</v>
      </c>
    </row>
    <row r="58" spans="2:48" outlineLevel="1" x14ac:dyDescent="0.3">
      <c r="B58" s="180" t="s">
        <v>181</v>
      </c>
      <c r="C58" s="207"/>
      <c r="D58" s="101">
        <f t="shared" si="114"/>
        <v>193</v>
      </c>
      <c r="E58" s="101">
        <f t="shared" si="114"/>
        <v>66</v>
      </c>
      <c r="F58" s="101">
        <f t="shared" si="114"/>
        <v>134</v>
      </c>
      <c r="G58" s="101">
        <f t="shared" si="114"/>
        <v>214</v>
      </c>
      <c r="H58" s="122">
        <f>+H51+H42</f>
        <v>607</v>
      </c>
      <c r="I58" s="101">
        <f t="shared" si="115"/>
        <v>136</v>
      </c>
      <c r="J58" s="101">
        <f t="shared" si="115"/>
        <v>68</v>
      </c>
      <c r="K58" s="101">
        <f t="shared" si="115"/>
        <v>-36</v>
      </c>
      <c r="L58" s="16">
        <f t="shared" si="115"/>
        <v>124</v>
      </c>
      <c r="M58" s="122"/>
      <c r="N58" s="16">
        <f t="shared" si="116"/>
        <v>-46</v>
      </c>
      <c r="O58" s="16">
        <f t="shared" si="116"/>
        <v>-188</v>
      </c>
      <c r="P58" s="16">
        <f t="shared" si="116"/>
        <v>55</v>
      </c>
      <c r="Q58" s="101">
        <f t="shared" si="116"/>
        <v>74</v>
      </c>
      <c r="R58" s="122"/>
      <c r="S58" s="16">
        <f t="shared" si="117"/>
        <v>62</v>
      </c>
      <c r="T58" s="16">
        <f t="shared" si="117"/>
        <v>38</v>
      </c>
      <c r="U58" s="16">
        <f t="shared" si="117"/>
        <v>124</v>
      </c>
      <c r="V58" s="16">
        <f t="shared" si="117"/>
        <v>245</v>
      </c>
      <c r="W58" s="122">
        <f>+W51+W42</f>
        <v>469</v>
      </c>
      <c r="X58" s="16">
        <f t="shared" si="118"/>
        <v>128.5</v>
      </c>
      <c r="Y58" s="16">
        <f t="shared" si="118"/>
        <v>128.5</v>
      </c>
      <c r="Z58" s="16">
        <f t="shared" si="118"/>
        <v>128.5</v>
      </c>
      <c r="AA58" s="16">
        <f t="shared" si="118"/>
        <v>129.5</v>
      </c>
      <c r="AB58" s="122">
        <f>+AB51+AB42</f>
        <v>515</v>
      </c>
      <c r="AC58" s="16">
        <f t="shared" si="119"/>
        <v>154</v>
      </c>
      <c r="AD58" s="16">
        <f t="shared" si="119"/>
        <v>154</v>
      </c>
      <c r="AE58" s="16">
        <f t="shared" si="119"/>
        <v>155</v>
      </c>
      <c r="AF58" s="16">
        <f t="shared" si="119"/>
        <v>156</v>
      </c>
      <c r="AG58" s="122">
        <f>+AG51+AG42</f>
        <v>619</v>
      </c>
      <c r="AH58" s="16">
        <f t="shared" si="120"/>
        <v>183</v>
      </c>
      <c r="AI58" s="16">
        <f t="shared" si="120"/>
        <v>183</v>
      </c>
      <c r="AJ58" s="16">
        <f t="shared" si="120"/>
        <v>183</v>
      </c>
      <c r="AK58" s="16">
        <f t="shared" si="120"/>
        <v>183</v>
      </c>
      <c r="AL58" s="122">
        <f>+AL51+AL42</f>
        <v>732</v>
      </c>
      <c r="AM58" s="16">
        <f t="shared" si="121"/>
        <v>124</v>
      </c>
      <c r="AN58" s="16">
        <f t="shared" si="121"/>
        <v>124</v>
      </c>
      <c r="AO58" s="16">
        <f t="shared" si="121"/>
        <v>124</v>
      </c>
      <c r="AP58" s="16">
        <f t="shared" si="121"/>
        <v>124</v>
      </c>
      <c r="AQ58" s="122">
        <f>+AQ51+AQ42</f>
        <v>496</v>
      </c>
      <c r="AR58" s="16">
        <f t="shared" si="122"/>
        <v>124</v>
      </c>
      <c r="AS58" s="16">
        <f t="shared" si="122"/>
        <v>124</v>
      </c>
      <c r="AT58" s="16">
        <f t="shared" si="122"/>
        <v>124</v>
      </c>
      <c r="AU58" s="16">
        <f t="shared" si="122"/>
        <v>124</v>
      </c>
      <c r="AV58" s="122">
        <f>+AV51+AV42</f>
        <v>496</v>
      </c>
    </row>
    <row r="59" spans="2:48" outlineLevel="1" x14ac:dyDescent="0.3">
      <c r="B59" s="502" t="s">
        <v>182</v>
      </c>
      <c r="C59" s="503"/>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6134.4</v>
      </c>
      <c r="W59" s="97">
        <f>SUM(S59:V59)</f>
        <v>23370.800000000003</v>
      </c>
      <c r="X59" s="72">
        <f>+X55+X54+X45</f>
        <v>6366.1583880294438</v>
      </c>
      <c r="Y59" s="72">
        <f>+Y55+Y54+Y45</f>
        <v>6059.6217405382358</v>
      </c>
      <c r="Z59" s="72">
        <f>+Z55+Z54+Z45</f>
        <v>6595.127545760387</v>
      </c>
      <c r="AA59" s="72">
        <f>+AA55+AA54+AA45</f>
        <v>6634.8126087056371</v>
      </c>
      <c r="AB59" s="97">
        <f>SUM(X59:AA59)</f>
        <v>25655.720283033705</v>
      </c>
      <c r="AC59" s="72">
        <f>+AC55+AC54+AC45</f>
        <v>6855.1717125570576</v>
      </c>
      <c r="AD59" s="72">
        <f>+AD55+AD54+AD45</f>
        <v>6532.0050834181084</v>
      </c>
      <c r="AE59" s="72">
        <f>+AE55+AE54+AE45</f>
        <v>7116.0794698154568</v>
      </c>
      <c r="AF59" s="72">
        <f>+AF55+AF54+AF45</f>
        <v>7167.3089876856211</v>
      </c>
      <c r="AG59" s="97">
        <f>SUM(AC59:AF59)</f>
        <v>27670.565253476245</v>
      </c>
      <c r="AH59" s="72">
        <f>+AH55+AH54+AH45</f>
        <v>7554.0635106728896</v>
      </c>
      <c r="AI59" s="72">
        <f>+AI55+AI54+AI45</f>
        <v>7206.5700459840427</v>
      </c>
      <c r="AJ59" s="72">
        <f>+AJ55+AJ54+AJ45</f>
        <v>7858.7536815850135</v>
      </c>
      <c r="AK59" s="72">
        <f>+AK55+AK54+AK45</f>
        <v>7924.3216095293865</v>
      </c>
      <c r="AL59" s="97">
        <f>SUM(AH59:AK59)</f>
        <v>30543.708847771333</v>
      </c>
      <c r="AM59" s="72">
        <f>+AM55+AM54+AM45</f>
        <v>8198.0629591591751</v>
      </c>
      <c r="AN59" s="72">
        <f>+AN55+AN54+AN45</f>
        <v>7818.9485442778159</v>
      </c>
      <c r="AO59" s="72">
        <f>+AO55+AO54+AO45</f>
        <v>8524.3261597986238</v>
      </c>
      <c r="AP59" s="72">
        <f>+AP55+AP54+AP45</f>
        <v>8592.7005799841991</v>
      </c>
      <c r="AQ59" s="97">
        <f>SUM(AM59:AP59)</f>
        <v>33134.038243219817</v>
      </c>
      <c r="AR59" s="72">
        <f>+AR55+AR54+AR45</f>
        <v>8718.4761703225413</v>
      </c>
      <c r="AS59" s="72">
        <f>+AS55+AS54+AS45</f>
        <v>8312.5863674088378</v>
      </c>
      <c r="AT59" s="72">
        <f>+AT55+AT54+AT45</f>
        <v>9061.1740613008951</v>
      </c>
      <c r="AU59" s="72">
        <f>+AU55+AU54+AU45</f>
        <v>9130.6665526394045</v>
      </c>
      <c r="AV59" s="97">
        <f>SUM(AR59:AU59)</f>
        <v>35222.903151671679</v>
      </c>
    </row>
    <row r="60" spans="2:48" outlineLevel="1" x14ac:dyDescent="0.3">
      <c r="B60" s="504" t="s">
        <v>100</v>
      </c>
      <c r="C60" s="505"/>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v>1770.6</v>
      </c>
      <c r="W60" s="76">
        <f>SUM(S60:V60)</f>
        <v>6677.2000000000007</v>
      </c>
      <c r="X60" s="48">
        <f t="shared" ref="X60:AA60" si="123">X61*X59</f>
        <v>1841.4043448691943</v>
      </c>
      <c r="Y60" s="48">
        <f t="shared" si="123"/>
        <v>1740.3177556974863</v>
      </c>
      <c r="Z60" s="48">
        <f t="shared" si="123"/>
        <v>1864.9763157593911</v>
      </c>
      <c r="AA60" s="48">
        <f t="shared" si="123"/>
        <v>1832.1012281785752</v>
      </c>
      <c r="AB60" s="76">
        <f>SUM(X60:AA60)</f>
        <v>7278.7996445046465</v>
      </c>
      <c r="AC60" s="48">
        <f t="shared" ref="AC60:AF60" si="124">AC61*AC59</f>
        <v>1914.2991965530443</v>
      </c>
      <c r="AD60" s="48">
        <f t="shared" si="124"/>
        <v>1869.4538094979803</v>
      </c>
      <c r="AE60" s="48">
        <f t="shared" si="124"/>
        <v>2005.1755070361667</v>
      </c>
      <c r="AF60" s="48">
        <f t="shared" si="124"/>
        <v>2050.8149848332378</v>
      </c>
      <c r="AG60" s="76">
        <f>SUM(AC60:AF60)</f>
        <v>7839.743497920429</v>
      </c>
      <c r="AH60" s="48">
        <f t="shared" ref="AH60:AK60" si="125">AH61*AH59</f>
        <v>2101.9099026075091</v>
      </c>
      <c r="AI60" s="48">
        <f t="shared" si="125"/>
        <v>2055.3071074279178</v>
      </c>
      <c r="AJ60" s="48">
        <f t="shared" si="125"/>
        <v>2206.5881851119793</v>
      </c>
      <c r="AK60" s="48">
        <f t="shared" si="125"/>
        <v>2259.4981558339023</v>
      </c>
      <c r="AL60" s="76">
        <f>SUM(AH60:AK60)</f>
        <v>8623.3033509813085</v>
      </c>
      <c r="AM60" s="48">
        <f t="shared" ref="AM60:AP60" si="126">AM61*AM59</f>
        <v>2281.1020441793403</v>
      </c>
      <c r="AN60" s="48">
        <f t="shared" si="126"/>
        <v>2229.956888384479</v>
      </c>
      <c r="AO60" s="48">
        <f t="shared" si="126"/>
        <v>2393.4682460309577</v>
      </c>
      <c r="AP60" s="48">
        <f t="shared" si="126"/>
        <v>2450.0761163907682</v>
      </c>
      <c r="AQ60" s="76">
        <f>SUM(AM60:AP60)</f>
        <v>9354.6032949855453</v>
      </c>
      <c r="AR60" s="48">
        <f t="shared" ref="AR60:AU60" si="127">AR61*AR59</f>
        <v>2425.9064505027145</v>
      </c>
      <c r="AS60" s="48">
        <f t="shared" si="127"/>
        <v>2370.7419386792194</v>
      </c>
      <c r="AT60" s="48">
        <f t="shared" si="127"/>
        <v>2544.2049002962372</v>
      </c>
      <c r="AU60" s="48">
        <f t="shared" si="127"/>
        <v>2603.4688209036808</v>
      </c>
      <c r="AV60" s="76">
        <f>SUM(AR60:AU60)</f>
        <v>9944.3221103818523</v>
      </c>
    </row>
    <row r="61" spans="2:48" s="184" customFormat="1" outlineLevel="1" x14ac:dyDescent="0.3">
      <c r="B61" s="181" t="s">
        <v>151</v>
      </c>
      <c r="C61" s="185"/>
      <c r="D61" s="167">
        <f>D60/D59</f>
        <v>0.29296476964769647</v>
      </c>
      <c r="E61" s="167">
        <f t="shared" ref="E61:V61" si="128">E60/E59</f>
        <v>0.28290952921814511</v>
      </c>
      <c r="F61" s="167">
        <f t="shared" si="128"/>
        <v>0.28283950353549381</v>
      </c>
      <c r="G61" s="167">
        <f t="shared" si="128"/>
        <v>0.27494947757664362</v>
      </c>
      <c r="H61" s="186"/>
      <c r="I61" s="167">
        <f t="shared" si="128"/>
        <v>0.27707597437586068</v>
      </c>
      <c r="J61" s="167">
        <f t="shared" si="128"/>
        <v>0.28826789838337186</v>
      </c>
      <c r="K61" s="167">
        <f t="shared" si="128"/>
        <v>0.28715024059882377</v>
      </c>
      <c r="L61" s="187">
        <f t="shared" si="128"/>
        <v>0.27487600560051256</v>
      </c>
      <c r="M61" s="188"/>
      <c r="N61" s="187">
        <f t="shared" si="128"/>
        <v>0.27134716788569485</v>
      </c>
      <c r="O61" s="167">
        <f t="shared" si="128"/>
        <v>0.26317369120610556</v>
      </c>
      <c r="P61" s="167">
        <f t="shared" si="128"/>
        <v>0.26224469010980872</v>
      </c>
      <c r="Q61" s="167">
        <f t="shared" si="128"/>
        <v>0.27421481867083114</v>
      </c>
      <c r="R61" s="188"/>
      <c r="S61" s="187">
        <f t="shared" si="128"/>
        <v>0.28424890532595992</v>
      </c>
      <c r="T61" s="167">
        <f t="shared" si="128"/>
        <v>0.28719907449914611</v>
      </c>
      <c r="U61" s="167">
        <f t="shared" si="128"/>
        <v>0.28278093225934242</v>
      </c>
      <c r="V61" s="167">
        <f t="shared" si="128"/>
        <v>0.28863458528951486</v>
      </c>
      <c r="W61" s="188">
        <f t="shared" ref="W61" si="129">W60/W59</f>
        <v>0.28570695055368239</v>
      </c>
      <c r="X61" s="189">
        <f>S61+0.5%</f>
        <v>0.28924890532595993</v>
      </c>
      <c r="Y61" s="189">
        <f>T61+0.25%-0.25%</f>
        <v>0.28719907449914611</v>
      </c>
      <c r="Z61" s="189">
        <f>U61+0.25%-0.25%</f>
        <v>0.28278093225934242</v>
      </c>
      <c r="AA61" s="189">
        <f>V61-1%-0.25%</f>
        <v>0.27613458528951484</v>
      </c>
      <c r="AB61" s="188">
        <f t="shared" ref="AB61" si="130">AB60/AB59</f>
        <v>0.28371059413670657</v>
      </c>
      <c r="AC61" s="189">
        <f>X61-1%</f>
        <v>0.27924890532595992</v>
      </c>
      <c r="AD61" s="189">
        <f>Y61-0.1%</f>
        <v>0.28619907449914611</v>
      </c>
      <c r="AE61" s="189">
        <f>Z61-0.1%</f>
        <v>0.28178093225934242</v>
      </c>
      <c r="AF61" s="189">
        <f>AA61+1%</f>
        <v>0.28613458528951485</v>
      </c>
      <c r="AG61" s="188">
        <f t="shared" ref="AG61" si="131">AG60/AG59</f>
        <v>0.28332429880287768</v>
      </c>
      <c r="AH61" s="189">
        <f t="shared" ref="AH61:AK61" si="132">AC61-0.1%</f>
        <v>0.27824890532595992</v>
      </c>
      <c r="AI61" s="189">
        <f t="shared" si="132"/>
        <v>0.28519907449914611</v>
      </c>
      <c r="AJ61" s="189">
        <f t="shared" si="132"/>
        <v>0.28078093225934242</v>
      </c>
      <c r="AK61" s="189">
        <f t="shared" si="132"/>
        <v>0.28513458528951485</v>
      </c>
      <c r="AL61" s="188">
        <f t="shared" ref="AL61" si="133">AL60/AL59</f>
        <v>0.28232666157078434</v>
      </c>
      <c r="AM61" s="189">
        <f>AH61</f>
        <v>0.27824890532595992</v>
      </c>
      <c r="AN61" s="189">
        <f t="shared" ref="AN61:AP61" si="134">AI61</f>
        <v>0.28519907449914611</v>
      </c>
      <c r="AO61" s="189">
        <f t="shared" si="134"/>
        <v>0.28078093225934242</v>
      </c>
      <c r="AP61" s="189">
        <f t="shared" si="134"/>
        <v>0.28513458528951485</v>
      </c>
      <c r="AQ61" s="188">
        <f t="shared" ref="AQ61" si="135">AQ60/AQ59</f>
        <v>0.28232608492566608</v>
      </c>
      <c r="AR61" s="189">
        <f>AM61</f>
        <v>0.27824890532595992</v>
      </c>
      <c r="AS61" s="189">
        <f t="shared" ref="AS61:AU61" si="136">AN61</f>
        <v>0.28519907449914611</v>
      </c>
      <c r="AT61" s="189">
        <f t="shared" si="136"/>
        <v>0.28078093225934242</v>
      </c>
      <c r="AU61" s="189">
        <f t="shared" si="136"/>
        <v>0.28513458528951485</v>
      </c>
      <c r="AV61" s="188">
        <f t="shared" ref="AV61" si="137">AV60/AV59</f>
        <v>0.28232545362774547</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v>2862.2</v>
      </c>
      <c r="W62" s="49">
        <f>SUM(S62:V62)</f>
        <v>10860</v>
      </c>
      <c r="X62" s="48">
        <f>X63*X45</f>
        <v>3027.5342564514699</v>
      </c>
      <c r="Y62" s="48">
        <f>Y63*Y45</f>
        <v>2930.3507493015891</v>
      </c>
      <c r="Z62" s="48">
        <f>Z63*Z45</f>
        <v>2965.8799203509302</v>
      </c>
      <c r="AA62" s="48">
        <f>AA63*AA45</f>
        <v>3092.7288416559754</v>
      </c>
      <c r="AB62" s="49">
        <f>SUM(X62:AA62)</f>
        <v>12016.493767759965</v>
      </c>
      <c r="AC62" s="48">
        <f>AC63*AC45</f>
        <v>3193.5579061753456</v>
      </c>
      <c r="AD62" s="48">
        <f>AD63*AD45</f>
        <v>3148.3591194025844</v>
      </c>
      <c r="AE62" s="48">
        <f>AE63*AE45</f>
        <v>3189.188434881974</v>
      </c>
      <c r="AF62" s="48">
        <f>AF63*AF45</f>
        <v>3400.4173799485598</v>
      </c>
      <c r="AG62" s="49">
        <f>SUM(AC62:AF62)</f>
        <v>12931.522840408465</v>
      </c>
      <c r="AH62" s="48">
        <f>AH63*AH45</f>
        <v>3506.9718163203893</v>
      </c>
      <c r="AI62" s="48">
        <f>AI63*AI45</f>
        <v>3461.3979516939557</v>
      </c>
      <c r="AJ62" s="48">
        <f>AJ63*AJ45</f>
        <v>3509.3903766350572</v>
      </c>
      <c r="AK62" s="48">
        <f>AK63*AK45</f>
        <v>3745.9477800051409</v>
      </c>
      <c r="AL62" s="49">
        <f>SUM(AH62:AK62)</f>
        <v>14223.707924654544</v>
      </c>
      <c r="AM62" s="48">
        <f>AM63*AM45</f>
        <v>3801.4131531368362</v>
      </c>
      <c r="AN62" s="48">
        <f>AN63*AN45</f>
        <v>3754.4250027116809</v>
      </c>
      <c r="AO62" s="48">
        <f>AO63*AO45</f>
        <v>3808.8873789500949</v>
      </c>
      <c r="AP62" s="48">
        <f>AP63*AP45</f>
        <v>4068.1623487549723</v>
      </c>
      <c r="AQ62" s="49">
        <f>SUM(AM62:AP62)</f>
        <v>15432.887883553583</v>
      </c>
      <c r="AR62" s="48">
        <f>AR63*AR45</f>
        <v>4050.422776665293</v>
      </c>
      <c r="AS62" s="48">
        <f>AS63*AS45</f>
        <v>3999.217789912338</v>
      </c>
      <c r="AT62" s="48">
        <f>AT63*AT45</f>
        <v>4056.0953289562913</v>
      </c>
      <c r="AU62" s="48">
        <f>AU63*AU45</f>
        <v>4331.0052216834565</v>
      </c>
      <c r="AV62" s="49">
        <f>SUM(AR62:AU62)</f>
        <v>16436.741117217378</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S62/S45</f>
        <v>0.51828695268598601</v>
      </c>
      <c r="T63" s="187">
        <f>T62/T45</f>
        <v>0.53185584344549564</v>
      </c>
      <c r="U63" s="187">
        <f>U62/U45</f>
        <v>0.48429224406878041</v>
      </c>
      <c r="V63" s="187">
        <f>V62/V45</f>
        <v>0.51566525538239794</v>
      </c>
      <c r="W63" s="188">
        <f>W62/W45</f>
        <v>0.51192367340589506</v>
      </c>
      <c r="X63" s="189">
        <f>S63+0.5%</f>
        <v>0.52328695268598602</v>
      </c>
      <c r="Y63" s="189">
        <f>T63+0.25%</f>
        <v>0.53435584344549558</v>
      </c>
      <c r="Z63" s="189">
        <f>U63+1%</f>
        <v>0.49429224406878042</v>
      </c>
      <c r="AA63" s="189">
        <f>V63</f>
        <v>0.51566525538239794</v>
      </c>
      <c r="AB63" s="188">
        <f>AB62/AB45</f>
        <v>0.51645390837799754</v>
      </c>
      <c r="AC63" s="189">
        <f>X63-1%</f>
        <v>0.51328695268598601</v>
      </c>
      <c r="AD63" s="189">
        <f>Y63-0.1%</f>
        <v>0.53335584344549558</v>
      </c>
      <c r="AE63" s="189">
        <f>Z63-0.1%</f>
        <v>0.49329224406878042</v>
      </c>
      <c r="AF63" s="189">
        <f>AA63+1%</f>
        <v>0.52566525538239794</v>
      </c>
      <c r="AG63" s="188">
        <f>AG62/AG45</f>
        <v>0.51605126422799641</v>
      </c>
      <c r="AH63" s="189">
        <f t="shared" ref="AH63:AK63" si="138">AC63-0.1%</f>
        <v>0.51228695268598601</v>
      </c>
      <c r="AI63" s="189">
        <f t="shared" si="138"/>
        <v>0.53235584344549558</v>
      </c>
      <c r="AJ63" s="189">
        <f t="shared" si="138"/>
        <v>0.49229224406878042</v>
      </c>
      <c r="AK63" s="189">
        <f t="shared" si="138"/>
        <v>0.52466525538239794</v>
      </c>
      <c r="AL63" s="188">
        <f>AL62/AL45</f>
        <v>0.51505092572776157</v>
      </c>
      <c r="AM63" s="189">
        <f>AH63</f>
        <v>0.51228695268598601</v>
      </c>
      <c r="AN63" s="189">
        <f t="shared" ref="AN63:AP63" si="139">AI63</f>
        <v>0.53235584344549558</v>
      </c>
      <c r="AO63" s="189">
        <f t="shared" si="139"/>
        <v>0.49229224406878042</v>
      </c>
      <c r="AP63" s="189">
        <f t="shared" si="139"/>
        <v>0.52466525538239794</v>
      </c>
      <c r="AQ63" s="188">
        <f>AQ62/AQ45</f>
        <v>0.51505077011071498</v>
      </c>
      <c r="AR63" s="189">
        <f>AM63</f>
        <v>0.51228695268598601</v>
      </c>
      <c r="AS63" s="189">
        <f t="shared" ref="AS63:AU63" si="140">AN63</f>
        <v>0.53235584344549558</v>
      </c>
      <c r="AT63" s="189">
        <f t="shared" si="140"/>
        <v>0.49229224406878042</v>
      </c>
      <c r="AU63" s="189">
        <f t="shared" si="140"/>
        <v>0.52466525538239794</v>
      </c>
      <c r="AV63" s="188">
        <f>AV62/AV45</f>
        <v>0.51505083903432713</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v>51.4</v>
      </c>
      <c r="W64" s="49">
        <f>SUM(S64:V64)</f>
        <v>202.10000000000002</v>
      </c>
      <c r="X64" s="48">
        <f>X59*X65</f>
        <v>53.529793329556938</v>
      </c>
      <c r="Y64" s="48">
        <f>Y59*Y65</f>
        <v>52.409824995749105</v>
      </c>
      <c r="Z64" s="48">
        <f t="shared" ref="Z64:AA64" si="141">Z59*Z65</f>
        <v>60.308013012532257</v>
      </c>
      <c r="AA64" s="48">
        <f t="shared" si="141"/>
        <v>55.592946023648565</v>
      </c>
      <c r="AB64" s="49">
        <f>SUM(X64:AA64)</f>
        <v>221.84057736148685</v>
      </c>
      <c r="AC64" s="48">
        <f>AC59*AC65</f>
        <v>57.641658068358289</v>
      </c>
      <c r="AD64" s="48">
        <f>AD59*AD65</f>
        <v>56.49548073323777</v>
      </c>
      <c r="AE64" s="48">
        <f t="shared" ref="AE64:AF64" si="142">AE59*AE65</f>
        <v>65.071768557337961</v>
      </c>
      <c r="AF64" s="48">
        <f t="shared" si="142"/>
        <v>60.054721238758631</v>
      </c>
      <c r="AG64" s="49">
        <f>SUM(AC64:AF64)</f>
        <v>239.26362859769267</v>
      </c>
      <c r="AH64" s="48">
        <f>AH59*AH65</f>
        <v>63.518284321203232</v>
      </c>
      <c r="AI64" s="48">
        <f>AI59*AI65</f>
        <v>62.329810523137233</v>
      </c>
      <c r="AJ64" s="48">
        <f t="shared" ref="AJ64:AK64" si="143">AJ59*AJ65</f>
        <v>71.863025544666868</v>
      </c>
      <c r="AK64" s="48">
        <f t="shared" si="143"/>
        <v>66.397713016727067</v>
      </c>
      <c r="AL64" s="49">
        <f>SUM(AH64:AK64)</f>
        <v>264.1088334057344</v>
      </c>
      <c r="AM64" s="48">
        <f>AM59*AM65</f>
        <v>68.933348678797742</v>
      </c>
      <c r="AN64" s="48">
        <f>AN59*AN65</f>
        <v>67.626287976841382</v>
      </c>
      <c r="AO64" s="48">
        <f t="shared" ref="AO64:AP64" si="144">AO59*AO65</f>
        <v>77.949238949696905</v>
      </c>
      <c r="AP64" s="48">
        <f t="shared" si="144"/>
        <v>71.998045417838398</v>
      </c>
      <c r="AQ64" s="49">
        <f>SUM(AM64:AP64)</f>
        <v>286.50692102317441</v>
      </c>
      <c r="AR64" s="48">
        <f>AR59*AR65</f>
        <v>73.309239120343761</v>
      </c>
      <c r="AS64" s="48">
        <f>AS59*AS65</f>
        <v>71.8957742631721</v>
      </c>
      <c r="AT64" s="48">
        <f t="shared" ref="AT64:AU64" si="145">AT59*AT65</f>
        <v>82.858352534674097</v>
      </c>
      <c r="AU64" s="48">
        <f t="shared" si="145"/>
        <v>76.505650235665328</v>
      </c>
      <c r="AV64" s="49">
        <f>SUM(AR64:AU64)</f>
        <v>304.56901615385527</v>
      </c>
    </row>
    <row r="65" spans="2:48" s="184" customFormat="1" outlineLevel="1" x14ac:dyDescent="0.3">
      <c r="B65" s="181" t="s">
        <v>152</v>
      </c>
      <c r="C65" s="190"/>
      <c r="D65" s="187">
        <f>D64/D59</f>
        <v>9.6476964769647705E-3</v>
      </c>
      <c r="E65" s="187">
        <f t="shared" ref="E65:V65" si="146">E64/E59</f>
        <v>9.1328434667717479E-3</v>
      </c>
      <c r="F65" s="187">
        <f t="shared" si="146"/>
        <v>8.908162611352034E-3</v>
      </c>
      <c r="G65" s="187">
        <f t="shared" si="146"/>
        <v>7.352625016124179E-3</v>
      </c>
      <c r="H65" s="188"/>
      <c r="I65" s="187">
        <f t="shared" si="146"/>
        <v>8.4815103075295863E-3</v>
      </c>
      <c r="J65" s="187">
        <f t="shared" si="146"/>
        <v>9.6535796766743648E-3</v>
      </c>
      <c r="K65" s="187">
        <f t="shared" si="146"/>
        <v>1.4507217964712174E-2</v>
      </c>
      <c r="L65" s="187">
        <f t="shared" si="146"/>
        <v>9.017774508175324E-3</v>
      </c>
      <c r="M65" s="188"/>
      <c r="N65" s="187">
        <f t="shared" si="146"/>
        <v>9.1001871066507915E-3</v>
      </c>
      <c r="O65" s="187">
        <f t="shared" si="146"/>
        <v>8.982549414740814E-3</v>
      </c>
      <c r="P65" s="187">
        <f t="shared" si="146"/>
        <v>7.3514434383275002E-3</v>
      </c>
      <c r="Q65" s="167">
        <f t="shared" si="146"/>
        <v>8.2075307999305916E-3</v>
      </c>
      <c r="R65" s="188"/>
      <c r="S65" s="187">
        <f t="shared" si="146"/>
        <v>8.4084922282504412E-3</v>
      </c>
      <c r="T65" s="187">
        <f t="shared" si="146"/>
        <v>8.6490258368988378E-3</v>
      </c>
      <c r="U65" s="187">
        <f t="shared" si="146"/>
        <v>9.1443285355869534E-3</v>
      </c>
      <c r="V65" s="187">
        <f t="shared" si="146"/>
        <v>8.3789775691184148E-3</v>
      </c>
      <c r="W65" s="188">
        <f t="shared" ref="W65" si="147">W64/W59</f>
        <v>8.6475430879559105E-3</v>
      </c>
      <c r="X65" s="189">
        <f>S65</f>
        <v>8.4084922282504412E-3</v>
      </c>
      <c r="Y65" s="189">
        <f t="shared" ref="Y65:AA65" si="148">T65</f>
        <v>8.6490258368988378E-3</v>
      </c>
      <c r="Z65" s="189">
        <f t="shared" si="148"/>
        <v>9.1443285355869534E-3</v>
      </c>
      <c r="AA65" s="189">
        <f t="shared" si="148"/>
        <v>8.3789775691184148E-3</v>
      </c>
      <c r="AB65" s="188">
        <f t="shared" ref="AB65" si="149">AB64/AB59</f>
        <v>8.646827097978281E-3</v>
      </c>
      <c r="AC65" s="189">
        <f>X65</f>
        <v>8.4084922282504412E-3</v>
      </c>
      <c r="AD65" s="189">
        <f t="shared" ref="AD65:AF65" si="150">Y65</f>
        <v>8.6490258368988378E-3</v>
      </c>
      <c r="AE65" s="189">
        <f t="shared" si="150"/>
        <v>9.1443285355869534E-3</v>
      </c>
      <c r="AF65" s="189">
        <f t="shared" si="150"/>
        <v>8.3789775691184148E-3</v>
      </c>
      <c r="AG65" s="188">
        <f t="shared" ref="AG65" si="151">AG64/AG59</f>
        <v>8.6468645076787521E-3</v>
      </c>
      <c r="AH65" s="189">
        <f>AC65</f>
        <v>8.4084922282504412E-3</v>
      </c>
      <c r="AI65" s="189">
        <f t="shared" ref="AI65:AK65" si="152">AD65</f>
        <v>8.6490258368988378E-3</v>
      </c>
      <c r="AJ65" s="189">
        <f t="shared" si="152"/>
        <v>9.1443285355869534E-3</v>
      </c>
      <c r="AK65" s="189">
        <f t="shared" si="152"/>
        <v>8.3789775691184148E-3</v>
      </c>
      <c r="AL65" s="188">
        <f t="shared" ref="AL65" si="153">AL64/AL59</f>
        <v>8.6469143194771343E-3</v>
      </c>
      <c r="AM65" s="189">
        <f>AH65</f>
        <v>8.4084922282504412E-3</v>
      </c>
      <c r="AN65" s="189">
        <f t="shared" ref="AN65:AP65" si="154">AI65</f>
        <v>8.6490258368988378E-3</v>
      </c>
      <c r="AO65" s="189">
        <f t="shared" si="154"/>
        <v>9.1443285355869534E-3</v>
      </c>
      <c r="AP65" s="189">
        <f t="shared" si="154"/>
        <v>8.3789775691184148E-3</v>
      </c>
      <c r="AQ65" s="188">
        <f t="shared" ref="AQ65" si="155">AQ64/AQ59</f>
        <v>8.6469062092605631E-3</v>
      </c>
      <c r="AR65" s="189">
        <f>AM65</f>
        <v>8.4084922282504412E-3</v>
      </c>
      <c r="AS65" s="189">
        <f t="shared" ref="AS65:AU65" si="156">AN65</f>
        <v>8.6490258368988378E-3</v>
      </c>
      <c r="AT65" s="189">
        <f t="shared" si="156"/>
        <v>9.1443285355869534E-3</v>
      </c>
      <c r="AU65" s="189">
        <f t="shared" si="156"/>
        <v>8.3789775691184148E-3</v>
      </c>
      <c r="AV65" s="188">
        <f t="shared" ref="AV65" si="157">AV64/AV59</f>
        <v>8.6469026940330564E-3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v>205.2</v>
      </c>
      <c r="W66" s="170">
        <f t="shared" ref="W66:W67" si="158">SUM(S66:V66)</f>
        <v>808.40000000000009</v>
      </c>
      <c r="X66" s="358">
        <f>(V66/(V66+V99+V114+V127))*'CFS (Before Changes) '!X7*0.95</f>
        <v>212.7175239465667</v>
      </c>
      <c r="Y66" s="358">
        <f>(X66/(X66+X99+X114+X127))*'CFS (Before Changes) '!Y7*0.95</f>
        <v>218.73288085390695</v>
      </c>
      <c r="Z66" s="358">
        <f>(Y66/(Y66+Y99+Y114+Y127))*'CFS (Before Changes) '!Z7*0.95</f>
        <v>223.13665036080616</v>
      </c>
      <c r="AA66" s="358">
        <f>(Z66/(Z66+Z99+Z114+Z127))*'CFS (Before Changes) '!AA7*0.95</f>
        <v>228.60594584374309</v>
      </c>
      <c r="AB66" s="170">
        <f t="shared" ref="AB66:AB67" si="159">SUM(X66:AA66)</f>
        <v>883.19300100502278</v>
      </c>
      <c r="AC66" s="358">
        <f>(AA66/(AA66+AA99+AA114+AA127))*'CFS (Before Changes) '!AC7*0.95</f>
        <v>239.07337515644468</v>
      </c>
      <c r="AD66" s="358">
        <f>(AC66/(AC66+AC99+AC114+AC127))*'CFS (Before Changes) '!AD7*0.95</f>
        <v>246.21992982226269</v>
      </c>
      <c r="AE66" s="358">
        <f>(AD66/(AD66+AD99+AD114+AD127))*'CFS (Before Changes) '!AE7*0.95</f>
        <v>251.87089078989706</v>
      </c>
      <c r="AF66" s="358">
        <f>(AE66/(AE66+AE99+AE114+AE127))*'CFS (Before Changes) '!AF7*0.95</f>
        <v>259.48882452005785</v>
      </c>
      <c r="AG66" s="170">
        <f t="shared" ref="AG66:AG67" si="160">SUM(AC66:AF66)</f>
        <v>996.65302028866233</v>
      </c>
      <c r="AH66" s="358">
        <f>(AF66/(AF66+AF99+AF114+AF127))*'CFS (Before Changes) '!AH7*0.95</f>
        <v>267.99811159663273</v>
      </c>
      <c r="AI66" s="358">
        <f>(AH66/(AH66+AH99+AH114+AH127))*'CFS (Before Changes) '!AI7*0.95</f>
        <v>273.80446630899928</v>
      </c>
      <c r="AJ66" s="358">
        <f>(AI66/(AI66+AI99+AI114+AI127))*'CFS (Before Changes) '!AJ7*0.95</f>
        <v>278.17407193942466</v>
      </c>
      <c r="AK66" s="358">
        <f>(AJ66/(AJ66+AJ99+AJ114+AJ127))*'CFS (Before Changes) '!AK7*0.95</f>
        <v>284.3710573463926</v>
      </c>
      <c r="AL66" s="170">
        <f t="shared" ref="AL66:AL67" si="161">SUM(AH66:AK66)</f>
        <v>1104.3477071914494</v>
      </c>
      <c r="AM66" s="358">
        <f>(AK66/(AK66+AK99+AK114+AK127))*'CFS (Before Changes) '!AM7*0.95</f>
        <v>291.060285913565</v>
      </c>
      <c r="AN66" s="358">
        <f>(AM66/(AM66+AM99+AM114+AM127))*'CFS (Before Changes) '!AN7*0.95</f>
        <v>297.8157248969892</v>
      </c>
      <c r="AO66" s="358">
        <f>(AN66/(AN66+AN99+AN114+AN127))*'CFS (Before Changes) '!AO7*0.95</f>
        <v>302.77606335179252</v>
      </c>
      <c r="AP66" s="358">
        <f>(AO66/(AO66+AO99+AO114+AO127))*'CFS (Before Changes) '!AP7*0.95</f>
        <v>309.54357503729329</v>
      </c>
      <c r="AQ66" s="170">
        <f t="shared" ref="AQ66:AQ67" si="162">SUM(AM66:AP66)</f>
        <v>1201.19564919964</v>
      </c>
      <c r="AR66" s="358">
        <f>(AP66/(AP66+AP99+AP114+AP127))*'CFS (Before Changes) '!AR7*0.95</f>
        <v>316.71796569150666</v>
      </c>
      <c r="AS66" s="358">
        <f>(AR66/(AR66+AR99+AR114+AR127))*'CFS (Before Changes) '!AS7*0.95</f>
        <v>323.55127598715245</v>
      </c>
      <c r="AT66" s="358">
        <f>(AS66/(AS66+AS99+AS114+AS127))*'CFS (Before Changes) '!AT7*0.95</f>
        <v>328.44688593417447</v>
      </c>
      <c r="AU66" s="358">
        <f>(AT66/(AT66+AT99+AT114+AT127))*'CFS (Before Changes) '!AU7*0.95</f>
        <v>335.26508343305233</v>
      </c>
      <c r="AV66" s="170">
        <f t="shared" ref="AV66:AV67" si="163">SUM(AR66:AU66)</f>
        <v>1303.9812110458859</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v>78.8</v>
      </c>
      <c r="W67" s="49">
        <f t="shared" si="158"/>
        <v>303.3</v>
      </c>
      <c r="X67" s="48">
        <f>X68*X59</f>
        <v>117.0120190848986</v>
      </c>
      <c r="Y67" s="48">
        <f>Y68*Y59</f>
        <v>94.487069684613346</v>
      </c>
      <c r="Z67" s="48">
        <f t="shared" ref="Z67:AA67" si="164">Z68*Z59</f>
        <v>99.765129251742451</v>
      </c>
      <c r="AA67" s="48">
        <f t="shared" si="164"/>
        <v>18.879970151533257</v>
      </c>
      <c r="AB67" s="49">
        <f t="shared" si="159"/>
        <v>330.14418817278766</v>
      </c>
      <c r="AC67" s="48">
        <f>AC68*AC59</f>
        <v>105.43472462517802</v>
      </c>
      <c r="AD67" s="48">
        <f>AD68*AD59</f>
        <v>114.91690559894525</v>
      </c>
      <c r="AE67" s="48">
        <f t="shared" ref="AE67:AF67" si="165">AE68*AE59</f>
        <v>100.52953968552382</v>
      </c>
      <c r="AF67" s="48">
        <f t="shared" si="165"/>
        <v>13.227928637679566</v>
      </c>
      <c r="AG67" s="49">
        <f t="shared" si="160"/>
        <v>334.1090985473266</v>
      </c>
      <c r="AH67" s="48">
        <f>AH68*AH59</f>
        <v>108.62983959856267</v>
      </c>
      <c r="AI67" s="48">
        <f>AI68*AI59</f>
        <v>119.57788879788014</v>
      </c>
      <c r="AJ67" s="48">
        <f t="shared" ref="AJ67:AK67" si="166">AJ68*AJ59</f>
        <v>103.16261608568449</v>
      </c>
      <c r="AK67" s="48">
        <f t="shared" si="166"/>
        <v>6.7007435206297012</v>
      </c>
      <c r="AL67" s="49">
        <f t="shared" si="161"/>
        <v>338.07108800275699</v>
      </c>
      <c r="AM67" s="48">
        <f>AM68*AM59</f>
        <v>117.89075681110494</v>
      </c>
      <c r="AN67" s="48">
        <f>AN68*AN59</f>
        <v>129.7390233603607</v>
      </c>
      <c r="AO67" s="48">
        <f t="shared" ref="AO67:AP67" si="167">AO68*AO59</f>
        <v>111.89965007722448</v>
      </c>
      <c r="AP67" s="48">
        <f t="shared" si="167"/>
        <v>7.2659194784321279</v>
      </c>
      <c r="AQ67" s="49">
        <f t="shared" si="162"/>
        <v>366.79534972712224</v>
      </c>
      <c r="AR67" s="48">
        <f>AR68*AR59</f>
        <v>125.37446456306871</v>
      </c>
      <c r="AS67" s="48">
        <f>AS68*AS59</f>
        <v>137.92990589451205</v>
      </c>
      <c r="AT67" s="48">
        <f t="shared" ref="AT67:AU67" si="168">AT68*AT59</f>
        <v>118.94690415885567</v>
      </c>
      <c r="AU67" s="48">
        <f t="shared" si="168"/>
        <v>7.7208192393471444</v>
      </c>
      <c r="AV67" s="49">
        <f t="shared" si="163"/>
        <v>389.97209385578356</v>
      </c>
    </row>
    <row r="68" spans="2:48" s="184" customFormat="1" outlineLevel="1" x14ac:dyDescent="0.3">
      <c r="B68" s="181" t="s">
        <v>153</v>
      </c>
      <c r="C68" s="190"/>
      <c r="D68" s="187">
        <f>D67/D59</f>
        <v>1.6281842818428184E-2</v>
      </c>
      <c r="E68" s="187">
        <f t="shared" ref="E68:Q68" si="169">E67/E59</f>
        <v>1.6434482279038501E-2</v>
      </c>
      <c r="F68" s="187">
        <f t="shared" si="169"/>
        <v>1.5381000192262503E-2</v>
      </c>
      <c r="G68" s="187">
        <f t="shared" si="169"/>
        <v>2.2788837769273769E-2</v>
      </c>
      <c r="H68" s="188"/>
      <c r="I68" s="187">
        <f t="shared" si="169"/>
        <v>1.4448502265062167E-2</v>
      </c>
      <c r="J68" s="187">
        <f t="shared" si="169"/>
        <v>1.5750577367205542E-2</v>
      </c>
      <c r="K68" s="187">
        <f t="shared" si="169"/>
        <v>2.2170736054179293E-2</v>
      </c>
      <c r="L68" s="187">
        <f t="shared" si="169"/>
        <v>1.5472602577185029E-2</v>
      </c>
      <c r="M68" s="188"/>
      <c r="N68" s="187">
        <f t="shared" si="169"/>
        <v>1.5053580540908319E-2</v>
      </c>
      <c r="O68" s="187">
        <f t="shared" si="169"/>
        <v>1.6657376838314114E-2</v>
      </c>
      <c r="P68" s="187">
        <f t="shared" si="169"/>
        <v>1.3554802510971613E-2</v>
      </c>
      <c r="Q68" s="167">
        <f t="shared" si="169"/>
        <v>1.3604025681068889E-2</v>
      </c>
      <c r="R68" s="188"/>
      <c r="S68" s="187">
        <f t="shared" ref="S68:V68" si="170">S67/S59</f>
        <v>1.3380318545784415E-2</v>
      </c>
      <c r="T68" s="187">
        <f t="shared" si="170"/>
        <v>1.3092898984519897E-2</v>
      </c>
      <c r="U68" s="187">
        <f t="shared" si="170"/>
        <v>1.2627096263039747E-2</v>
      </c>
      <c r="V68" s="187">
        <f t="shared" si="170"/>
        <v>1.2845592070944184E-2</v>
      </c>
      <c r="W68" s="188">
        <f t="shared" ref="W68" si="171">W67/W59</f>
        <v>1.2977732897461789E-2</v>
      </c>
      <c r="X68" s="189">
        <f>S68+0.5%</f>
        <v>1.8380318545784414E-2</v>
      </c>
      <c r="Y68" s="189">
        <f>T68+0.25%</f>
        <v>1.5592898984519897E-2</v>
      </c>
      <c r="Z68" s="189">
        <f>U68+0.25%</f>
        <v>1.5127096263039748E-2</v>
      </c>
      <c r="AA68" s="189">
        <f>V68-1%</f>
        <v>2.8455920709441838E-3</v>
      </c>
      <c r="AB68" s="188">
        <f t="shared" ref="AB68" si="172">AB67/AB59</f>
        <v>1.2868248660752439E-2</v>
      </c>
      <c r="AC68" s="189">
        <f>X68-0.3%</f>
        <v>1.5380318545784415E-2</v>
      </c>
      <c r="AD68" s="189">
        <f>Y68+0.2%</f>
        <v>1.7592898984519899E-2</v>
      </c>
      <c r="AE68" s="189">
        <f>Z68-0.1%</f>
        <v>1.4127096263039748E-2</v>
      </c>
      <c r="AF68" s="189">
        <f>AA68-0.1%</f>
        <v>1.8455920709441838E-3</v>
      </c>
      <c r="AG68" s="188">
        <f t="shared" ref="AG68" si="173">AG67/AG59</f>
        <v>1.2074531021926E-2</v>
      </c>
      <c r="AH68" s="189">
        <f t="shared" ref="AH68:AK68" si="174">AC68-0.1%</f>
        <v>1.4380318545784414E-2</v>
      </c>
      <c r="AI68" s="189">
        <f t="shared" si="174"/>
        <v>1.6592898984519898E-2</v>
      </c>
      <c r="AJ68" s="189">
        <f t="shared" si="174"/>
        <v>1.3127096263039748E-2</v>
      </c>
      <c r="AK68" s="189">
        <f t="shared" si="174"/>
        <v>8.4559207094418373E-4</v>
      </c>
      <c r="AL68" s="188">
        <f t="shared" ref="AL68" si="175">AL67/AL59</f>
        <v>1.1068436046443812E-2</v>
      </c>
      <c r="AM68" s="189">
        <f>AH68</f>
        <v>1.4380318545784414E-2</v>
      </c>
      <c r="AN68" s="189">
        <f t="shared" ref="AN68:AP68" si="176">AI68</f>
        <v>1.6592898984519898E-2</v>
      </c>
      <c r="AO68" s="189">
        <f t="shared" si="176"/>
        <v>1.3127096263039748E-2</v>
      </c>
      <c r="AP68" s="189">
        <f t="shared" si="176"/>
        <v>8.4559207094418373E-4</v>
      </c>
      <c r="AQ68" s="188">
        <f t="shared" ref="AQ68" si="177">AQ67/AQ59</f>
        <v>1.1070046670275066E-2</v>
      </c>
      <c r="AR68" s="189">
        <f>AM68</f>
        <v>1.4380318545784414E-2</v>
      </c>
      <c r="AS68" s="189">
        <f t="shared" ref="AS68:AU68" si="178">AN68</f>
        <v>1.6592898984519898E-2</v>
      </c>
      <c r="AT68" s="189">
        <f t="shared" si="178"/>
        <v>1.3127096263039748E-2</v>
      </c>
      <c r="AU68" s="189">
        <f t="shared" si="178"/>
        <v>8.4559207094418373E-4</v>
      </c>
      <c r="AV68" s="188">
        <f t="shared" ref="AV68" si="179">AV67/AV59</f>
        <v>1.1071548877630647E-2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v>24.4</v>
      </c>
      <c r="W69" s="173">
        <f>SUM(S69:V69)</f>
        <v>33.299999999999997</v>
      </c>
      <c r="X69" s="119">
        <f>IFERROR((X163*(V69/V163)),0)</f>
        <v>34.757834757834758</v>
      </c>
      <c r="Y69" s="119">
        <f t="shared" ref="Y69:AA69" si="180">IFERROR((Y163*(X69/X163)),0)</f>
        <v>0</v>
      </c>
      <c r="Z69" s="119">
        <f t="shared" si="180"/>
        <v>0</v>
      </c>
      <c r="AA69" s="119">
        <f t="shared" si="180"/>
        <v>0</v>
      </c>
      <c r="AB69" s="173">
        <f>SUM(X69:AA69)</f>
        <v>34.757834757834758</v>
      </c>
      <c r="AC69" s="119">
        <f>IFERROR((AC163*(AA69/AA163)),0)</f>
        <v>0</v>
      </c>
      <c r="AD69" s="119">
        <f t="shared" ref="AD69:AF69" si="181">IFERROR((AD163*(AC69/AC163)),0)</f>
        <v>0</v>
      </c>
      <c r="AE69" s="119">
        <f t="shared" si="181"/>
        <v>0</v>
      </c>
      <c r="AF69" s="119">
        <f t="shared" si="181"/>
        <v>0</v>
      </c>
      <c r="AG69" s="173">
        <f>SUM(AC69:AF69)</f>
        <v>0</v>
      </c>
      <c r="AH69" s="119">
        <f>IFERROR((AH163*(AF69/AF163)),0)</f>
        <v>0</v>
      </c>
      <c r="AI69" s="119">
        <f t="shared" ref="AI69:AK69" si="182">IFERROR((AI163*(AH69/AH163)),0)</f>
        <v>0</v>
      </c>
      <c r="AJ69" s="119">
        <f t="shared" si="182"/>
        <v>0</v>
      </c>
      <c r="AK69" s="119">
        <f t="shared" si="182"/>
        <v>0</v>
      </c>
      <c r="AL69" s="173">
        <f>SUM(AH69:AK69)</f>
        <v>0</v>
      </c>
      <c r="AM69" s="119">
        <f>IFERROR((AM163*(AK69/AK163)),0)</f>
        <v>0</v>
      </c>
      <c r="AN69" s="119">
        <f t="shared" ref="AN69:AP69" si="183">IFERROR((AN163*(AM69/AM163)),0)</f>
        <v>0</v>
      </c>
      <c r="AO69" s="119">
        <f t="shared" si="183"/>
        <v>0</v>
      </c>
      <c r="AP69" s="119">
        <f t="shared" si="183"/>
        <v>0</v>
      </c>
      <c r="AQ69" s="173">
        <f>SUM(AM69:AP69)</f>
        <v>0</v>
      </c>
      <c r="AR69" s="119">
        <f>IFERROR((AR163*(AP69/AP163)),0)</f>
        <v>0</v>
      </c>
      <c r="AS69" s="119">
        <f t="shared" ref="AS69:AU69" si="184">IFERROR((AS163*(AR69/AR163)),0)</f>
        <v>0</v>
      </c>
      <c r="AT69" s="119">
        <f t="shared" si="184"/>
        <v>0</v>
      </c>
      <c r="AU69" s="119">
        <f t="shared" si="184"/>
        <v>0</v>
      </c>
      <c r="AV69" s="173">
        <f>SUM(AR69:AU69)</f>
        <v>0</v>
      </c>
    </row>
    <row r="70" spans="2:48" outlineLevel="1" x14ac:dyDescent="0.3">
      <c r="B70" s="46" t="s">
        <v>183</v>
      </c>
      <c r="C70" s="19"/>
      <c r="D70" s="103">
        <f>+D60+D62+D64+D66+D67+D69</f>
        <v>3643.7999999999997</v>
      </c>
      <c r="E70" s="103">
        <f t="shared" ref="E70:G70" si="185">+E60+E62+E64+E66+E67+E69</f>
        <v>3457.7</v>
      </c>
      <c r="F70" s="103">
        <f t="shared" si="185"/>
        <v>3662.3999999999996</v>
      </c>
      <c r="G70" s="103">
        <f t="shared" si="185"/>
        <v>3712.4999999999995</v>
      </c>
      <c r="H70" s="166">
        <f>+H60+H62+H64+H66+H67+H69</f>
        <v>0</v>
      </c>
      <c r="I70" s="103">
        <f t="shared" ref="I70:L70" si="186">+I60+I62+I64+I66+I67+I69</f>
        <v>3912.1</v>
      </c>
      <c r="J70" s="103">
        <f t="shared" si="186"/>
        <v>3708.8</v>
      </c>
      <c r="K70" s="103">
        <f t="shared" si="186"/>
        <v>3210.3999999999996</v>
      </c>
      <c r="L70" s="50">
        <f t="shared" si="186"/>
        <v>3707.8999999999996</v>
      </c>
      <c r="M70" s="191"/>
      <c r="N70" s="50">
        <f t="shared" ref="N70:Q70" si="187">+N60+N62+N64+N66+N67+N69</f>
        <v>3889.7000000000003</v>
      </c>
      <c r="O70" s="50">
        <f t="shared" si="187"/>
        <v>3759.2999999999997</v>
      </c>
      <c r="P70" s="50">
        <f t="shared" si="187"/>
        <v>4084.6</v>
      </c>
      <c r="Q70" s="103">
        <f t="shared" si="187"/>
        <v>4507.2</v>
      </c>
      <c r="R70" s="191"/>
      <c r="S70" s="50">
        <f>+S60+S62+S64+S66+S67+S69</f>
        <v>4649.2</v>
      </c>
      <c r="T70" s="50">
        <f t="shared" ref="T70:AK70" si="188">+T60+T62+T64+T66+T67+T69</f>
        <v>4514.2</v>
      </c>
      <c r="U70" s="50">
        <f t="shared" si="188"/>
        <v>4728.2999999999993</v>
      </c>
      <c r="V70" s="50">
        <f>+V60+V62+V64+V66+V67+V69</f>
        <v>4992.5999999999985</v>
      </c>
      <c r="W70" s="191">
        <f>+W60+W62+W64+W66+W67+W69</f>
        <v>18884.3</v>
      </c>
      <c r="X70" s="50">
        <f t="shared" si="188"/>
        <v>5286.9557724395208</v>
      </c>
      <c r="Y70" s="50">
        <f t="shared" si="188"/>
        <v>5036.298280533345</v>
      </c>
      <c r="Z70" s="50">
        <f t="shared" si="188"/>
        <v>5214.0660287354021</v>
      </c>
      <c r="AA70" s="50">
        <f t="shared" si="188"/>
        <v>5227.9089318534752</v>
      </c>
      <c r="AB70" s="191">
        <f>+AB60+AB62+AB64+AB66+AB67+AB69</f>
        <v>20765.229013561744</v>
      </c>
      <c r="AC70" s="50">
        <f t="shared" si="188"/>
        <v>5510.0068605783708</v>
      </c>
      <c r="AD70" s="50">
        <f t="shared" si="188"/>
        <v>5435.4452450550107</v>
      </c>
      <c r="AE70" s="50">
        <f t="shared" si="188"/>
        <v>5611.8361409508998</v>
      </c>
      <c r="AF70" s="50">
        <f t="shared" si="188"/>
        <v>5784.0038391782937</v>
      </c>
      <c r="AG70" s="191">
        <f>+AG60+AG62+AG64+AG66+AG67+AG69</f>
        <v>22341.292085762572</v>
      </c>
      <c r="AH70" s="50">
        <f t="shared" si="188"/>
        <v>6049.0279544442965</v>
      </c>
      <c r="AI70" s="50">
        <f t="shared" si="188"/>
        <v>5972.4172247518909</v>
      </c>
      <c r="AJ70" s="50">
        <f t="shared" si="188"/>
        <v>6169.1782753168136</v>
      </c>
      <c r="AK70" s="50">
        <f t="shared" si="188"/>
        <v>6362.9154497227919</v>
      </c>
      <c r="AL70" s="191">
        <f>+AL60+AL62+AL64+AL66+AL67+AL69</f>
        <v>24553.538904235793</v>
      </c>
      <c r="AM70" s="50">
        <f t="shared" ref="AM70:AP70" si="189">+AM60+AM62+AM64+AM66+AM67+AM69</f>
        <v>6560.3995887196443</v>
      </c>
      <c r="AN70" s="50">
        <f t="shared" si="189"/>
        <v>6479.5629273303512</v>
      </c>
      <c r="AO70" s="50">
        <f t="shared" si="189"/>
        <v>6694.9805773597673</v>
      </c>
      <c r="AP70" s="50">
        <f t="shared" si="189"/>
        <v>6907.0460050793045</v>
      </c>
      <c r="AQ70" s="191">
        <f>+AQ60+AQ62+AQ64+AQ66+AQ67+AQ69</f>
        <v>26641.989098489066</v>
      </c>
      <c r="AR70" s="50">
        <f t="shared" ref="AR70:AU70" si="190">+AR60+AR62+AR64+AR66+AR67+AR69</f>
        <v>6991.7308965429265</v>
      </c>
      <c r="AS70" s="50">
        <f t="shared" si="190"/>
        <v>6903.3366847363932</v>
      </c>
      <c r="AT70" s="50">
        <f t="shared" si="190"/>
        <v>7130.5523718802324</v>
      </c>
      <c r="AU70" s="50">
        <f t="shared" si="190"/>
        <v>7353.9655954952023</v>
      </c>
      <c r="AV70" s="191">
        <f>+AV60+AV62+AV64+AV66+AV67+AV69</f>
        <v>28379.585548654755</v>
      </c>
    </row>
    <row r="71" spans="2:48" outlineLevel="1" x14ac:dyDescent="0.3">
      <c r="B71" s="46" t="s">
        <v>184</v>
      </c>
      <c r="C71" s="44"/>
      <c r="D71" s="156">
        <f t="shared" ref="D71:G71" si="191">+D59-D70</f>
        <v>968.70000000000027</v>
      </c>
      <c r="E71" s="156">
        <f t="shared" si="191"/>
        <v>856.40000000000055</v>
      </c>
      <c r="F71" s="156">
        <f t="shared" si="191"/>
        <v>1018.6999999999998</v>
      </c>
      <c r="G71" s="156">
        <f t="shared" si="191"/>
        <v>938.90000000000009</v>
      </c>
      <c r="H71" s="132">
        <f>SUM(D71:G71)</f>
        <v>3782.7000000000007</v>
      </c>
      <c r="I71" s="156">
        <f t="shared" ref="I71:L71" si="192">+I59-I70</f>
        <v>1098.7999999999997</v>
      </c>
      <c r="J71" s="156">
        <f t="shared" si="192"/>
        <v>621.19999999999982</v>
      </c>
      <c r="K71" s="156">
        <f t="shared" si="192"/>
        <v>-404.89999999999964</v>
      </c>
      <c r="L71" s="74">
        <f t="shared" si="192"/>
        <v>506.00000000000091</v>
      </c>
      <c r="M71" s="97"/>
      <c r="N71" s="74">
        <f>+N59-N70</f>
        <v>813.49999999999955</v>
      </c>
      <c r="O71" s="74">
        <f t="shared" ref="O71:Q71" si="193">+O59-O70</f>
        <v>905.29999999999973</v>
      </c>
      <c r="P71" s="74">
        <f t="shared" si="193"/>
        <v>1315.7000000000003</v>
      </c>
      <c r="Q71" s="74">
        <f t="shared" si="193"/>
        <v>1255.8000000000002</v>
      </c>
      <c r="R71" s="97"/>
      <c r="S71" s="74">
        <f t="shared" ref="S71:U71" si="194">+S59-S70</f>
        <v>1083.1000000000004</v>
      </c>
      <c r="T71" s="74">
        <f t="shared" si="194"/>
        <v>931.5</v>
      </c>
      <c r="U71" s="74">
        <f t="shared" si="194"/>
        <v>1330.1000000000004</v>
      </c>
      <c r="V71" s="156">
        <f>+V59-V70</f>
        <v>1141.8000000000011</v>
      </c>
      <c r="W71" s="97">
        <f>SUM(S71:V71)</f>
        <v>4486.5000000000018</v>
      </c>
      <c r="X71" s="74">
        <f t="shared" ref="X71:AA71" si="195">+X59-X70</f>
        <v>1079.202615589923</v>
      </c>
      <c r="Y71" s="74">
        <f t="shared" si="195"/>
        <v>1023.3234600048909</v>
      </c>
      <c r="Z71" s="74">
        <f t="shared" si="195"/>
        <v>1381.0615170249848</v>
      </c>
      <c r="AA71" s="74">
        <f t="shared" si="195"/>
        <v>1406.9036768521619</v>
      </c>
      <c r="AB71" s="97">
        <f>SUM(X71:AA71)</f>
        <v>4890.4912694719605</v>
      </c>
      <c r="AC71" s="74">
        <f t="shared" ref="AC71:AF71" si="196">+AC59-AC70</f>
        <v>1345.1648519786868</v>
      </c>
      <c r="AD71" s="74">
        <f t="shared" si="196"/>
        <v>1096.5598383630977</v>
      </c>
      <c r="AE71" s="74">
        <f t="shared" si="196"/>
        <v>1504.243328864557</v>
      </c>
      <c r="AF71" s="74">
        <f t="shared" si="196"/>
        <v>1383.3051485073274</v>
      </c>
      <c r="AG71" s="97">
        <f>SUM(AC71:AF71)</f>
        <v>5329.273167713669</v>
      </c>
      <c r="AH71" s="74">
        <f t="shared" ref="AH71:AK71" si="197">+AH59-AH70</f>
        <v>1505.0355562285931</v>
      </c>
      <c r="AI71" s="74">
        <f t="shared" si="197"/>
        <v>1234.1528212321518</v>
      </c>
      <c r="AJ71" s="74">
        <f t="shared" si="197"/>
        <v>1689.5754062681999</v>
      </c>
      <c r="AK71" s="74">
        <f t="shared" si="197"/>
        <v>1561.4061598065946</v>
      </c>
      <c r="AL71" s="97">
        <f>SUM(AH71:AK71)</f>
        <v>5990.1699435355395</v>
      </c>
      <c r="AM71" s="74">
        <f t="shared" ref="AM71:AP71" si="198">+AM59-AM70</f>
        <v>1637.6633704395308</v>
      </c>
      <c r="AN71" s="74">
        <f t="shared" si="198"/>
        <v>1339.3856169474648</v>
      </c>
      <c r="AO71" s="74">
        <f t="shared" si="198"/>
        <v>1829.3455824388566</v>
      </c>
      <c r="AP71" s="74">
        <f t="shared" si="198"/>
        <v>1685.6545749048946</v>
      </c>
      <c r="AQ71" s="97">
        <f>SUM(AM71:AP71)</f>
        <v>6492.0491447307468</v>
      </c>
      <c r="AR71" s="74">
        <f t="shared" ref="AR71:AU71" si="199">+AR59-AR70</f>
        <v>1726.7452737796148</v>
      </c>
      <c r="AS71" s="74">
        <f t="shared" si="199"/>
        <v>1409.2496826724446</v>
      </c>
      <c r="AT71" s="74">
        <f t="shared" si="199"/>
        <v>1930.6216894206627</v>
      </c>
      <c r="AU71" s="74">
        <f t="shared" si="199"/>
        <v>1776.7009571442022</v>
      </c>
      <c r="AV71" s="97">
        <f>SUM(AR71:AU71)</f>
        <v>6843.3176030169243</v>
      </c>
    </row>
    <row r="72" spans="2:48" outlineLevel="1" x14ac:dyDescent="0.3">
      <c r="B72" s="46" t="s">
        <v>185</v>
      </c>
      <c r="C72" s="44"/>
      <c r="D72" s="157">
        <f t="shared" ref="D72:G72" si="200">+D71/D59</f>
        <v>0.21001626016260169</v>
      </c>
      <c r="E72" s="157">
        <f t="shared" si="200"/>
        <v>0.19851185647064287</v>
      </c>
      <c r="F72" s="157">
        <f t="shared" si="200"/>
        <v>0.21761979022024736</v>
      </c>
      <c r="G72" s="157">
        <f t="shared" si="200"/>
        <v>0.20185320548652022</v>
      </c>
      <c r="H72" s="133">
        <f>H71/H59</f>
        <v>0.20716793270205</v>
      </c>
      <c r="I72" s="157">
        <f t="shared" ref="I72:L72" si="201">+I71/I59</f>
        <v>0.21928196531561192</v>
      </c>
      <c r="J72" s="157">
        <f t="shared" si="201"/>
        <v>0.14346420323325632</v>
      </c>
      <c r="K72" s="157">
        <f t="shared" si="201"/>
        <v>-0.14432364997326666</v>
      </c>
      <c r="L72" s="75">
        <f t="shared" si="201"/>
        <v>0.12007878687201899</v>
      </c>
      <c r="M72" s="98"/>
      <c r="N72" s="75">
        <f>+N71/N59</f>
        <v>0.17296734138458913</v>
      </c>
      <c r="O72" s="75">
        <f t="shared" ref="O72:Q72" si="202">+O71/O59</f>
        <v>0.19407880632851687</v>
      </c>
      <c r="P72" s="75">
        <f t="shared" si="202"/>
        <v>0.24363461289187641</v>
      </c>
      <c r="Q72" s="75">
        <f t="shared" si="202"/>
        <v>0.21790733992712133</v>
      </c>
      <c r="R72" s="98"/>
      <c r="S72" s="75">
        <f t="shared" ref="S72:V72" si="203">+S71/S59</f>
        <v>0.188946845070914</v>
      </c>
      <c r="T72" s="75">
        <f t="shared" si="203"/>
        <v>0.17105238995905026</v>
      </c>
      <c r="U72" s="75">
        <f t="shared" si="203"/>
        <v>0.21954641489502186</v>
      </c>
      <c r="V72" s="75">
        <f t="shared" si="203"/>
        <v>0.18613067292644778</v>
      </c>
      <c r="W72" s="98">
        <f>W71/W59</f>
        <v>0.19197032194019895</v>
      </c>
      <c r="X72" s="75">
        <f t="shared" ref="X72:AA72" si="204">+X71/X59</f>
        <v>0.16952179788979069</v>
      </c>
      <c r="Y72" s="75">
        <f t="shared" si="204"/>
        <v>0.16887579849398254</v>
      </c>
      <c r="Z72" s="75">
        <f t="shared" si="204"/>
        <v>0.20940633936833969</v>
      </c>
      <c r="AA72" s="75">
        <f t="shared" si="204"/>
        <v>0.21204874347259522</v>
      </c>
      <c r="AB72" s="98">
        <f>AB71/AB59</f>
        <v>0.19061991694328201</v>
      </c>
      <c r="AC72" s="75">
        <f t="shared" ref="AC72:AF72" si="205">+AC71/AC59</f>
        <v>0.19622628117610272</v>
      </c>
      <c r="AD72" s="75">
        <f t="shared" si="205"/>
        <v>0.16787492115503422</v>
      </c>
      <c r="AE72" s="75">
        <f t="shared" si="205"/>
        <v>0.21138652754584358</v>
      </c>
      <c r="AF72" s="75">
        <f t="shared" si="205"/>
        <v>0.19300202501162256</v>
      </c>
      <c r="AG72" s="98">
        <f>AG71/AG59</f>
        <v>0.19259719195812791</v>
      </c>
      <c r="AH72" s="75">
        <f t="shared" ref="AH72:AK72" si="206">+AH71/AH59</f>
        <v>0.1992352267229654</v>
      </c>
      <c r="AI72" s="75">
        <f t="shared" si="206"/>
        <v>0.17125384383378053</v>
      </c>
      <c r="AJ72" s="75">
        <f t="shared" si="206"/>
        <v>0.21499279335186308</v>
      </c>
      <c r="AK72" s="75">
        <f t="shared" si="206"/>
        <v>0.19703972614247847</v>
      </c>
      <c r="AL72" s="98">
        <f>AL71/AL59</f>
        <v>0.19611796240562387</v>
      </c>
      <c r="AM72" s="75">
        <f t="shared" ref="AM72:AP72" si="207">+AM71/AM59</f>
        <v>0.19976223390793474</v>
      </c>
      <c r="AN72" s="75">
        <f t="shared" si="207"/>
        <v>0.17129996563638658</v>
      </c>
      <c r="AO72" s="75">
        <f t="shared" si="207"/>
        <v>0.21460295490172474</v>
      </c>
      <c r="AP72" s="75">
        <f t="shared" si="207"/>
        <v>0.19617285150508459</v>
      </c>
      <c r="AQ72" s="98">
        <f>AQ71/AQ59</f>
        <v>0.19593292846093724</v>
      </c>
      <c r="AR72" s="75">
        <f t="shared" ref="AR72:AU72" si="208">+AR71/AR59</f>
        <v>0.19805585747397111</v>
      </c>
      <c r="AS72" s="75">
        <f t="shared" si="208"/>
        <v>0.16953203496299185</v>
      </c>
      <c r="AT72" s="75">
        <f t="shared" si="208"/>
        <v>0.21306529113772341</v>
      </c>
      <c r="AU72" s="75">
        <f t="shared" si="208"/>
        <v>0.19458611777150167</v>
      </c>
      <c r="AV72" s="98">
        <f>AV71/AV59</f>
        <v>0.19428601820665486</v>
      </c>
    </row>
    <row r="73" spans="2:48" ht="17.399999999999999" x14ac:dyDescent="0.45">
      <c r="B73" s="508" t="s">
        <v>114</v>
      </c>
      <c r="C73" s="509"/>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4" t="s">
        <v>347</v>
      </c>
      <c r="W73" s="40" t="s">
        <v>348</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510" t="s">
        <v>115</v>
      </c>
      <c r="C74" s="511"/>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09">+O74+P75</f>
        <v>7013</v>
      </c>
      <c r="Q74" s="21">
        <f t="shared" si="209"/>
        <v>7272</v>
      </c>
      <c r="R74" s="191">
        <f>Q74</f>
        <v>7272</v>
      </c>
      <c r="S74" s="21">
        <f>+Q74+S75</f>
        <v>7485</v>
      </c>
      <c r="T74" s="21">
        <f>+S74+T75</f>
        <v>7587</v>
      </c>
      <c r="U74" s="21">
        <f t="shared" ref="U74:V74" si="210">+T74+U75</f>
        <v>7717</v>
      </c>
      <c r="V74" s="21">
        <f t="shared" si="210"/>
        <v>8037</v>
      </c>
      <c r="W74" s="191">
        <f>V74</f>
        <v>8037</v>
      </c>
      <c r="X74" s="21">
        <f>+V74+X75</f>
        <v>8292</v>
      </c>
      <c r="Y74" s="21">
        <f>+X74+Y75</f>
        <v>8547</v>
      </c>
      <c r="Z74" s="21">
        <f t="shared" ref="Z74:AA74" si="211">+Y74+Z75</f>
        <v>8802</v>
      </c>
      <c r="AA74" s="21">
        <f t="shared" si="211"/>
        <v>9059</v>
      </c>
      <c r="AB74" s="191">
        <f>AA74</f>
        <v>9059</v>
      </c>
      <c r="AC74" s="21">
        <f>+AA74+AC75</f>
        <v>9323</v>
      </c>
      <c r="AD74" s="21">
        <f>+AC74+AD75</f>
        <v>9587</v>
      </c>
      <c r="AE74" s="21">
        <f t="shared" ref="AE74:AF74" si="212">+AD74+AE75</f>
        <v>9851</v>
      </c>
      <c r="AF74" s="21">
        <f t="shared" si="212"/>
        <v>10119</v>
      </c>
      <c r="AG74" s="191">
        <f>AF74</f>
        <v>10119</v>
      </c>
      <c r="AH74" s="21">
        <f>+AF74+AH75</f>
        <v>10393</v>
      </c>
      <c r="AI74" s="21">
        <f>+AH74+AI75</f>
        <v>10667</v>
      </c>
      <c r="AJ74" s="21">
        <f t="shared" ref="AJ74:AK74" si="213">+AI74+AJ75</f>
        <v>10941</v>
      </c>
      <c r="AK74" s="21">
        <f t="shared" si="213"/>
        <v>11217</v>
      </c>
      <c r="AL74" s="191">
        <f>AK74</f>
        <v>11217</v>
      </c>
      <c r="AM74" s="21">
        <f>+AK74+AM75</f>
        <v>11347</v>
      </c>
      <c r="AN74" s="21">
        <f>+AM74+AN75</f>
        <v>11477</v>
      </c>
      <c r="AO74" s="21">
        <f t="shared" ref="AO74:AP74" si="214">+AN74+AO75</f>
        <v>11607</v>
      </c>
      <c r="AP74" s="21">
        <f t="shared" si="214"/>
        <v>11737</v>
      </c>
      <c r="AQ74" s="191">
        <f>AP74</f>
        <v>11737</v>
      </c>
      <c r="AR74" s="21">
        <f>+AP74+AR75</f>
        <v>11867</v>
      </c>
      <c r="AS74" s="21">
        <f>+AR74+AS75</f>
        <v>11997</v>
      </c>
      <c r="AT74" s="21">
        <f t="shared" ref="AT74:AU74" si="215">+AS74+AT75</f>
        <v>12127</v>
      </c>
      <c r="AU74" s="21">
        <f t="shared" si="215"/>
        <v>12257</v>
      </c>
      <c r="AV74" s="191">
        <f>AU74</f>
        <v>12257</v>
      </c>
    </row>
    <row r="75" spans="2:48" outlineLevel="1" x14ac:dyDescent="0.3">
      <c r="B75" s="180" t="s">
        <v>46</v>
      </c>
      <c r="C75" s="201"/>
      <c r="D75" s="101">
        <f>+D74-5651</f>
        <v>188</v>
      </c>
      <c r="E75" s="101">
        <f>+E74-D74</f>
        <v>40</v>
      </c>
      <c r="F75" s="101">
        <f t="shared" ref="F75:G75" si="216">+F74-E74</f>
        <v>-233</v>
      </c>
      <c r="G75" s="101">
        <f t="shared" si="216"/>
        <v>214</v>
      </c>
      <c r="H75" s="26">
        <f>+SUM(D75:G75)</f>
        <v>209</v>
      </c>
      <c r="I75" s="101">
        <f>+I74-G74</f>
        <v>199</v>
      </c>
      <c r="J75" s="101">
        <f t="shared" ref="J75:L75" si="217">+J74-I74</f>
        <v>78</v>
      </c>
      <c r="K75" s="101">
        <f t="shared" si="217"/>
        <v>117</v>
      </c>
      <c r="L75" s="101">
        <f t="shared" si="217"/>
        <v>274</v>
      </c>
      <c r="M75" s="26">
        <f>+SUM(I75:L75)</f>
        <v>668</v>
      </c>
      <c r="N75" s="101">
        <v>185</v>
      </c>
      <c r="O75" s="101">
        <v>123</v>
      </c>
      <c r="P75" s="101">
        <v>177</v>
      </c>
      <c r="Q75" s="101">
        <v>259</v>
      </c>
      <c r="R75" s="26">
        <f>+SUM(N75:Q75)</f>
        <v>744</v>
      </c>
      <c r="S75" s="101">
        <v>213</v>
      </c>
      <c r="T75" s="101">
        <v>102</v>
      </c>
      <c r="U75" s="101">
        <v>130</v>
      </c>
      <c r="V75" s="101">
        <v>320</v>
      </c>
      <c r="W75" s="122">
        <f>+SUM(S75:V75)</f>
        <v>765</v>
      </c>
      <c r="X75" s="33">
        <v>255</v>
      </c>
      <c r="Y75" s="33">
        <v>255</v>
      </c>
      <c r="Z75" s="33">
        <v>255</v>
      </c>
      <c r="AA75" s="33">
        <v>257</v>
      </c>
      <c r="AB75" s="26">
        <f>+SUM(X75:AA75)</f>
        <v>1022</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18">AVERAGE(E74,F74)</f>
        <v>5762.5</v>
      </c>
      <c r="G76" s="101">
        <f t="shared" si="218"/>
        <v>5753</v>
      </c>
      <c r="H76" s="26"/>
      <c r="I76" s="101">
        <f>AVERAGE(G74,I74)</f>
        <v>5959.5</v>
      </c>
      <c r="J76" s="101">
        <f t="shared" ref="J76:L76" si="219">AVERAGE(I74,J74)</f>
        <v>6098</v>
      </c>
      <c r="K76" s="101">
        <f t="shared" si="219"/>
        <v>6195.5</v>
      </c>
      <c r="L76" s="101">
        <f t="shared" si="219"/>
        <v>6391</v>
      </c>
      <c r="M76" s="26"/>
      <c r="N76" s="101">
        <f>AVERAGE(L74,N74)</f>
        <v>6620.5</v>
      </c>
      <c r="O76" s="101">
        <f t="shared" ref="O76:Q76" si="220">AVERAGE(N74,O74)</f>
        <v>6774.5</v>
      </c>
      <c r="P76" s="101">
        <f t="shared" si="220"/>
        <v>6924.5</v>
      </c>
      <c r="Q76" s="101">
        <f t="shared" si="220"/>
        <v>7142.5</v>
      </c>
      <c r="R76" s="26"/>
      <c r="S76" s="101">
        <f>AVERAGE(Q74,S74)</f>
        <v>7378.5</v>
      </c>
      <c r="T76" s="101">
        <f>AVERAGE(S74,T74)</f>
        <v>7536</v>
      </c>
      <c r="U76" s="101">
        <f t="shared" ref="U76:V76" si="221">AVERAGE(T74,U74)</f>
        <v>7652</v>
      </c>
      <c r="V76" s="101">
        <f t="shared" si="221"/>
        <v>7877</v>
      </c>
      <c r="W76" s="122"/>
      <c r="X76" s="101">
        <f>AVERAGE(V74,X74)</f>
        <v>8164.5</v>
      </c>
      <c r="Y76" s="101">
        <f t="shared" ref="Y76:AA76" si="222">AVERAGE(X74,Y74)</f>
        <v>8419.5</v>
      </c>
      <c r="Z76" s="101">
        <f t="shared" si="222"/>
        <v>8674.5</v>
      </c>
      <c r="AA76" s="101">
        <f t="shared" si="222"/>
        <v>8930.5</v>
      </c>
      <c r="AB76" s="26"/>
      <c r="AC76" s="101">
        <f>AVERAGE(AA74,AC74)</f>
        <v>9191</v>
      </c>
      <c r="AD76" s="101">
        <f t="shared" ref="AD76:AF76" si="223">AVERAGE(AC74,AD74)</f>
        <v>9455</v>
      </c>
      <c r="AE76" s="101">
        <f t="shared" si="223"/>
        <v>9719</v>
      </c>
      <c r="AF76" s="101">
        <f t="shared" si="223"/>
        <v>9985</v>
      </c>
      <c r="AG76" s="26"/>
      <c r="AH76" s="101">
        <f>AVERAGE(AF74,AH74)</f>
        <v>10256</v>
      </c>
      <c r="AI76" s="101">
        <f t="shared" ref="AI76:AK76" si="224">AVERAGE(AH74,AI74)</f>
        <v>10530</v>
      </c>
      <c r="AJ76" s="101">
        <f t="shared" si="224"/>
        <v>10804</v>
      </c>
      <c r="AK76" s="101">
        <f t="shared" si="224"/>
        <v>11079</v>
      </c>
      <c r="AL76" s="26"/>
      <c r="AM76" s="101">
        <f>AVERAGE(AK74,AM74)</f>
        <v>11282</v>
      </c>
      <c r="AN76" s="101">
        <f t="shared" ref="AN76:AP76" si="225">AVERAGE(AM74,AN74)</f>
        <v>11412</v>
      </c>
      <c r="AO76" s="101">
        <f t="shared" si="225"/>
        <v>11542</v>
      </c>
      <c r="AP76" s="101">
        <f t="shared" si="225"/>
        <v>11672</v>
      </c>
      <c r="AQ76" s="26"/>
      <c r="AR76" s="101">
        <f>AVERAGE(AP74,AR74)</f>
        <v>11802</v>
      </c>
      <c r="AS76" s="101">
        <f t="shared" ref="AS76:AU76" si="226">AVERAGE(AR74,AS74)</f>
        <v>11932</v>
      </c>
      <c r="AT76" s="101">
        <f t="shared" si="226"/>
        <v>12062</v>
      </c>
      <c r="AU76" s="101">
        <f t="shared" si="226"/>
        <v>12192</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43">
        <f>+V78/V76</f>
        <v>0.17149930176463121</v>
      </c>
      <c r="W77" s="132"/>
      <c r="X77" s="62">
        <f>S77*0.85</f>
        <v>0.17375550586162497</v>
      </c>
      <c r="Y77" s="62">
        <f>T77*0.95</f>
        <v>0.16897292993630575</v>
      </c>
      <c r="Z77" s="62">
        <f>U77*1.2</f>
        <v>0.18227391531625717</v>
      </c>
      <c r="AA77" s="62">
        <f>V77*1.2</f>
        <v>0.20579916211755744</v>
      </c>
      <c r="AB77" s="97"/>
      <c r="AC77" s="62">
        <f>X77*1.2</f>
        <v>0.20850660703394996</v>
      </c>
      <c r="AD77" s="62">
        <f>Y77*1.05</f>
        <v>0.17742157643312104</v>
      </c>
      <c r="AE77" s="62">
        <f>Z77*1.05</f>
        <v>0.19138761108207003</v>
      </c>
      <c r="AF77" s="62">
        <f>AA77*1.05</f>
        <v>0.21608912022343532</v>
      </c>
      <c r="AG77" s="97"/>
      <c r="AH77" s="62">
        <f>AC77*1.05</f>
        <v>0.21893193738564748</v>
      </c>
      <c r="AI77" s="62">
        <f t="shared" ref="AI77:AK77" si="227">AD77*1.05</f>
        <v>0.18629265525477709</v>
      </c>
      <c r="AJ77" s="62">
        <f t="shared" si="227"/>
        <v>0.20095699163617353</v>
      </c>
      <c r="AK77" s="62">
        <f t="shared" si="227"/>
        <v>0.2268935762346071</v>
      </c>
      <c r="AL77" s="97"/>
      <c r="AM77" s="62">
        <f>AH77*1.05</f>
        <v>0.22987853425492985</v>
      </c>
      <c r="AN77" s="62">
        <f>AI77*1.05</f>
        <v>0.19560728801751595</v>
      </c>
      <c r="AO77" s="62">
        <f>AJ77*1.05</f>
        <v>0.21100484121798221</v>
      </c>
      <c r="AP77" s="62">
        <f>AK77*1.05</f>
        <v>0.23823825504633747</v>
      </c>
      <c r="AQ77" s="97"/>
      <c r="AR77" s="62">
        <f>AM77*1.03</f>
        <v>0.23677489028257775</v>
      </c>
      <c r="AS77" s="62">
        <f>AN77*1.03</f>
        <v>0.20147550665804143</v>
      </c>
      <c r="AT77" s="62">
        <f>AO77*1.03</f>
        <v>0.21733498645452168</v>
      </c>
      <c r="AU77" s="62">
        <f>AP77*1.03</f>
        <v>0.2453854026977276</v>
      </c>
      <c r="AV77" s="97"/>
    </row>
    <row r="78" spans="2:48" s="8" customFormat="1" outlineLevel="1" x14ac:dyDescent="0.3">
      <c r="B78" s="500" t="s">
        <v>116</v>
      </c>
      <c r="C78" s="501"/>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v>1350.9</v>
      </c>
      <c r="W78" s="132">
        <f>SUM(S78:V78)</f>
        <v>5361.9</v>
      </c>
      <c r="X78" s="50">
        <f>X77*X76</f>
        <v>1418.6268276072371</v>
      </c>
      <c r="Y78" s="50">
        <f>Y77*Y76</f>
        <v>1422.6675835987262</v>
      </c>
      <c r="Z78" s="50">
        <f>Z77*Z76</f>
        <v>1581.1350784108729</v>
      </c>
      <c r="AA78" s="50">
        <f>AA77*AA76</f>
        <v>1837.8894172908467</v>
      </c>
      <c r="AB78" s="97">
        <f>SUM(X78:AA78)</f>
        <v>6260.3189069076825</v>
      </c>
      <c r="AC78" s="50">
        <f>AC77*AC76</f>
        <v>1916.3842252490342</v>
      </c>
      <c r="AD78" s="50">
        <f>AD77*AD76</f>
        <v>1677.5210051751594</v>
      </c>
      <c r="AE78" s="50">
        <f>AE77*AE76</f>
        <v>1860.0961921066387</v>
      </c>
      <c r="AF78" s="50">
        <f>AF77*AF76</f>
        <v>2157.6498654310017</v>
      </c>
      <c r="AG78" s="97">
        <f>SUM(AC78:AF78)</f>
        <v>7611.651287961834</v>
      </c>
      <c r="AH78" s="50">
        <f>AH77*AH76</f>
        <v>2245.3659498272004</v>
      </c>
      <c r="AI78" s="50">
        <f>AI77*AI76</f>
        <v>1961.6616598328028</v>
      </c>
      <c r="AJ78" s="50">
        <f>AJ77*AJ76</f>
        <v>2171.1393376372189</v>
      </c>
      <c r="AK78" s="50">
        <f>AK77*AK76</f>
        <v>2513.7539311032119</v>
      </c>
      <c r="AL78" s="97">
        <f>SUM(AH78:AK78)</f>
        <v>8891.9208784004331</v>
      </c>
      <c r="AM78" s="50">
        <f>AM77*AM76</f>
        <v>2593.4896234641187</v>
      </c>
      <c r="AN78" s="50">
        <f>AN77*AN76</f>
        <v>2232.270370855892</v>
      </c>
      <c r="AO78" s="50">
        <f>AO77*AO76</f>
        <v>2435.4178773379508</v>
      </c>
      <c r="AP78" s="50">
        <f>AP77*AP76</f>
        <v>2780.7169129008512</v>
      </c>
      <c r="AQ78" s="97">
        <f>SUM(AM78:AP78)</f>
        <v>10041.894784558814</v>
      </c>
      <c r="AR78" s="50">
        <f>AR77*AR76</f>
        <v>2794.4172551149827</v>
      </c>
      <c r="AS78" s="50">
        <f>AS77*AS76</f>
        <v>2404.0057454437501</v>
      </c>
      <c r="AT78" s="50">
        <f>AT77*AT76</f>
        <v>2621.4946066144403</v>
      </c>
      <c r="AU78" s="50">
        <f>AU77*AU76</f>
        <v>2991.7388296906947</v>
      </c>
      <c r="AV78" s="97">
        <f>SUM(AR78:AU78)</f>
        <v>10811.656436863868</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228">S78/N78-1</f>
        <v>4.6195463688700755E-2</v>
      </c>
      <c r="T79" s="27">
        <f t="shared" si="228"/>
        <v>-3.1992489347873132E-2</v>
      </c>
      <c r="U79" s="27">
        <f t="shared" si="228"/>
        <v>-0.18907416451545389</v>
      </c>
      <c r="V79" s="27">
        <f t="shared" si="228"/>
        <v>-0.16093167701863353</v>
      </c>
      <c r="W79" s="375">
        <f t="shared" si="228"/>
        <v>-8.6512087500212997E-2</v>
      </c>
      <c r="X79" s="27">
        <f t="shared" si="228"/>
        <v>-5.9453140882293143E-2</v>
      </c>
      <c r="Y79" s="27">
        <f t="shared" si="228"/>
        <v>6.1375398089172029E-2</v>
      </c>
      <c r="Z79" s="27">
        <f t="shared" si="228"/>
        <v>0.36035023523261889</v>
      </c>
      <c r="AA79" s="27">
        <f t="shared" si="228"/>
        <v>0.36049257331471352</v>
      </c>
      <c r="AB79" s="375">
        <f t="shared" si="228"/>
        <v>0.16755607283009444</v>
      </c>
      <c r="AC79" s="27">
        <f t="shared" si="228"/>
        <v>0.35087268050707321</v>
      </c>
      <c r="AD79" s="27">
        <f t="shared" si="228"/>
        <v>0.1791377160163905</v>
      </c>
      <c r="AE79" s="27">
        <f t="shared" si="228"/>
        <v>0.17643091820854218</v>
      </c>
      <c r="AF79" s="27">
        <f t="shared" si="228"/>
        <v>0.17398241979732387</v>
      </c>
      <c r="AG79" s="375">
        <f t="shared" si="228"/>
        <v>0.21585679597936802</v>
      </c>
      <c r="AH79" s="27">
        <f t="shared" si="228"/>
        <v>0.17166793602437158</v>
      </c>
      <c r="AI79" s="27">
        <f t="shared" si="228"/>
        <v>0.16938127974616601</v>
      </c>
      <c r="AJ79" s="27">
        <f t="shared" si="228"/>
        <v>0.16721884967589262</v>
      </c>
      <c r="AK79" s="27">
        <f t="shared" si="228"/>
        <v>0.16504256384576865</v>
      </c>
      <c r="AL79" s="375">
        <f t="shared" si="228"/>
        <v>0.16819866570390607</v>
      </c>
      <c r="AM79" s="27">
        <f t="shared" si="228"/>
        <v>0.15504095163806553</v>
      </c>
      <c r="AN79" s="27">
        <f t="shared" si="228"/>
        <v>0.13794871794871799</v>
      </c>
      <c r="AO79" s="27">
        <f t="shared" si="228"/>
        <v>0.1217234357645316</v>
      </c>
      <c r="AP79" s="27">
        <f t="shared" si="228"/>
        <v>0.10620092066070974</v>
      </c>
      <c r="AQ79" s="97"/>
      <c r="AR79" s="27">
        <f>AR78/AM78-1</f>
        <v>7.7473852153873368E-2</v>
      </c>
      <c r="AS79" s="27">
        <f>AS78/AN78-1</f>
        <v>7.6933052926743795E-2</v>
      </c>
      <c r="AT79" s="27">
        <f>AT78/AO78-1</f>
        <v>7.6404435972968088E-2</v>
      </c>
      <c r="AU79" s="27">
        <f>AU78/AP78-1</f>
        <v>7.5887594242631806E-2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v>-0.05</v>
      </c>
      <c r="W80" s="223"/>
      <c r="X80" s="224"/>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v>-0.01</v>
      </c>
      <c r="W81" s="148"/>
      <c r="X81" s="59"/>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v>-0.05</v>
      </c>
      <c r="W82" s="377">
        <f>W92/R92-1</f>
        <v>1.4886958556345364E-2</v>
      </c>
      <c r="X82" s="157"/>
      <c r="Y82" s="157"/>
      <c r="Z82" s="157"/>
      <c r="AA82" s="157"/>
      <c r="AB82" s="377">
        <f>AB92/W92-1</f>
        <v>0.19199942767140343</v>
      </c>
      <c r="AC82" s="157"/>
      <c r="AD82" s="157"/>
      <c r="AE82" s="157"/>
      <c r="AF82" s="157"/>
      <c r="AG82" s="377">
        <f>AG92/AB92-1</f>
        <v>0.19816064359639762</v>
      </c>
      <c r="AH82" s="157"/>
      <c r="AI82" s="157"/>
      <c r="AJ82" s="157"/>
      <c r="AK82" s="157"/>
      <c r="AL82" s="377">
        <f>AL92/AG92-1</f>
        <v>0.16213762394965126</v>
      </c>
      <c r="AM82" s="157"/>
      <c r="AN82" s="157"/>
      <c r="AO82" s="157"/>
      <c r="AP82" s="157">
        <v>0.04</v>
      </c>
      <c r="AQ82" s="134"/>
      <c r="AR82" s="157"/>
      <c r="AS82" s="157"/>
      <c r="AT82" s="157"/>
      <c r="AU82" s="157">
        <v>0.04</v>
      </c>
      <c r="AV82" s="61"/>
    </row>
    <row r="83" spans="1:48" s="8" customFormat="1" outlineLevel="1" x14ac:dyDescent="0.3">
      <c r="B83" s="506" t="s">
        <v>117</v>
      </c>
      <c r="C83" s="507"/>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229">+O83+P84</f>
        <v>8107</v>
      </c>
      <c r="Q83" s="67">
        <v>9735</v>
      </c>
      <c r="R83" s="192">
        <f>Q83</f>
        <v>9735</v>
      </c>
      <c r="S83" s="67">
        <f>+Q83+S84</f>
        <v>9944</v>
      </c>
      <c r="T83" s="67">
        <f>+S83+T84</f>
        <v>10117</v>
      </c>
      <c r="U83" s="67">
        <f t="shared" ref="U83:V83" si="230">+T83+U84</f>
        <v>10181</v>
      </c>
      <c r="V83" s="67">
        <f t="shared" si="230"/>
        <v>10379</v>
      </c>
      <c r="W83" s="253">
        <f>V83</f>
        <v>10379</v>
      </c>
      <c r="X83" s="67">
        <f>+V83+X84</f>
        <v>10615</v>
      </c>
      <c r="Y83" s="67">
        <f>+X83+Y84</f>
        <v>10851</v>
      </c>
      <c r="Z83" s="67">
        <f t="shared" ref="Z83:AA83" si="231">+Y83+Z84</f>
        <v>11087</v>
      </c>
      <c r="AA83" s="67">
        <f t="shared" si="231"/>
        <v>11325</v>
      </c>
      <c r="AB83" s="192">
        <f>AA83</f>
        <v>11325</v>
      </c>
      <c r="AC83" s="67">
        <f>+AA83+AC84</f>
        <v>11569</v>
      </c>
      <c r="AD83" s="67">
        <f>+AC83+AD84</f>
        <v>11813</v>
      </c>
      <c r="AE83" s="67">
        <f t="shared" ref="AE83:AF83" si="232">+AD83+AE84</f>
        <v>12057</v>
      </c>
      <c r="AF83" s="67">
        <f t="shared" si="232"/>
        <v>12303</v>
      </c>
      <c r="AG83" s="192">
        <f>AF83</f>
        <v>12303</v>
      </c>
      <c r="AH83" s="67">
        <f>+AF83+AH84</f>
        <v>12556</v>
      </c>
      <c r="AI83" s="67">
        <f>+AH83+AI84</f>
        <v>12809</v>
      </c>
      <c r="AJ83" s="67">
        <f t="shared" ref="AJ83:AK83" si="233">+AI83+AJ84</f>
        <v>13062</v>
      </c>
      <c r="AK83" s="67">
        <f t="shared" si="233"/>
        <v>13316</v>
      </c>
      <c r="AL83" s="192">
        <f>AK83</f>
        <v>13316</v>
      </c>
      <c r="AM83" s="67">
        <f>+AK83+AM84</f>
        <v>13380</v>
      </c>
      <c r="AN83" s="67">
        <f>+AM83+AN84</f>
        <v>13444</v>
      </c>
      <c r="AO83" s="67">
        <f t="shared" ref="AO83:AP83" si="234">+AN83+AO84</f>
        <v>13508</v>
      </c>
      <c r="AP83" s="67">
        <f t="shared" si="234"/>
        <v>13572</v>
      </c>
      <c r="AQ83" s="192">
        <f>AP83</f>
        <v>13572</v>
      </c>
      <c r="AR83" s="67">
        <f>+AP83+AR84</f>
        <v>13636</v>
      </c>
      <c r="AS83" s="67">
        <f>+AR83+AS84</f>
        <v>13700</v>
      </c>
      <c r="AT83" s="67">
        <f t="shared" ref="AT83:AU83" si="235">+AS83+AT84</f>
        <v>13764</v>
      </c>
      <c r="AU83" s="67">
        <f t="shared" si="235"/>
        <v>13828</v>
      </c>
      <c r="AV83" s="192">
        <f>AU83</f>
        <v>13828</v>
      </c>
    </row>
    <row r="84" spans="1:48" outlineLevel="1" x14ac:dyDescent="0.3">
      <c r="B84" s="180" t="s">
        <v>47</v>
      </c>
      <c r="C84" s="201"/>
      <c r="D84" s="101">
        <f>+D83-6201</f>
        <v>172</v>
      </c>
      <c r="E84" s="101">
        <f>+E83-D83</f>
        <v>213</v>
      </c>
      <c r="F84" s="101">
        <f t="shared" ref="F84:G84" si="236">+F83-E83</f>
        <v>541</v>
      </c>
      <c r="G84" s="101">
        <f t="shared" si="236"/>
        <v>202</v>
      </c>
      <c r="H84" s="122">
        <f>+SUM(D84:G84)</f>
        <v>1128</v>
      </c>
      <c r="I84" s="101">
        <f>+I83-G83</f>
        <v>204</v>
      </c>
      <c r="J84" s="101">
        <f t="shared" ref="J84:K84" si="237">+J83-I83</f>
        <v>109</v>
      </c>
      <c r="K84" s="101">
        <f t="shared" si="237"/>
        <v>49</v>
      </c>
      <c r="L84" s="101">
        <v>82</v>
      </c>
      <c r="M84" s="122">
        <f>+SUM(I84:L84)</f>
        <v>444</v>
      </c>
      <c r="N84" s="101">
        <v>139</v>
      </c>
      <c r="O84" s="101">
        <v>70</v>
      </c>
      <c r="P84" s="101">
        <v>120</v>
      </c>
      <c r="Q84" s="101">
        <v>205</v>
      </c>
      <c r="R84" s="122">
        <f>+SUM(N84:Q84)</f>
        <v>534</v>
      </c>
      <c r="S84" s="101">
        <v>209</v>
      </c>
      <c r="T84" s="101">
        <v>173</v>
      </c>
      <c r="U84" s="101">
        <v>64</v>
      </c>
      <c r="V84" s="101">
        <v>198</v>
      </c>
      <c r="W84" s="122">
        <f>+SUM(S84:V84)</f>
        <v>644</v>
      </c>
      <c r="X84" s="33">
        <v>236</v>
      </c>
      <c r="Y84" s="33">
        <v>236</v>
      </c>
      <c r="Z84" s="33">
        <v>236</v>
      </c>
      <c r="AA84" s="33">
        <v>238</v>
      </c>
      <c r="AB84" s="122">
        <f>+SUM(X84:AA84)</f>
        <v>946</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238">AVERAGE(F83,E83)</f>
        <v>6856.5</v>
      </c>
      <c r="G85" s="16">
        <f t="shared" si="238"/>
        <v>7228</v>
      </c>
      <c r="H85" s="26"/>
      <c r="I85" s="16">
        <f>AVERAGE(I83,G83)</f>
        <v>7431</v>
      </c>
      <c r="J85" s="16">
        <f>AVERAGE(J83,I83)</f>
        <v>7587.5</v>
      </c>
      <c r="K85" s="16">
        <f t="shared" ref="K85:L85" si="239">AVERAGE(K83,J83)</f>
        <v>7666.5</v>
      </c>
      <c r="L85" s="16">
        <f t="shared" si="239"/>
        <v>8713</v>
      </c>
      <c r="M85" s="6"/>
      <c r="N85" s="16">
        <f>AVERAGE(N83,L83)</f>
        <v>8826</v>
      </c>
      <c r="O85" s="16">
        <f>AVERAGE(O83,N83)</f>
        <v>7952</v>
      </c>
      <c r="P85" s="16">
        <f t="shared" ref="P85:Q85" si="240">AVERAGE(P83,O83)</f>
        <v>8047</v>
      </c>
      <c r="Q85" s="16">
        <f t="shared" si="240"/>
        <v>8921</v>
      </c>
      <c r="R85" s="6"/>
      <c r="S85" s="16">
        <f>AVERAGE(S83,Q83)</f>
        <v>9839.5</v>
      </c>
      <c r="T85" s="16">
        <f>AVERAGE(T83,S83)</f>
        <v>10030.5</v>
      </c>
      <c r="U85" s="16">
        <f t="shared" ref="U85:V85" si="241">AVERAGE(U83,T83)</f>
        <v>10149</v>
      </c>
      <c r="V85" s="16">
        <f t="shared" si="241"/>
        <v>10280</v>
      </c>
      <c r="W85" s="130"/>
      <c r="X85" s="16">
        <f>AVERAGE(X83,V83)</f>
        <v>10497</v>
      </c>
      <c r="Y85" s="16">
        <f>AVERAGE(Y83,X83)</f>
        <v>10733</v>
      </c>
      <c r="Z85" s="16">
        <f t="shared" ref="Z85:AA85" si="242">AVERAGE(Z83,Y83)</f>
        <v>10969</v>
      </c>
      <c r="AA85" s="16">
        <f t="shared" si="242"/>
        <v>11206</v>
      </c>
      <c r="AB85" s="6"/>
      <c r="AC85" s="16">
        <f>AVERAGE(AC83,AA83)</f>
        <v>11447</v>
      </c>
      <c r="AD85" s="16">
        <f>AVERAGE(AD83,AC83)</f>
        <v>11691</v>
      </c>
      <c r="AE85" s="16">
        <f t="shared" ref="AE85:AF85" si="243">AVERAGE(AE83,AD83)</f>
        <v>11935</v>
      </c>
      <c r="AF85" s="16">
        <f t="shared" si="243"/>
        <v>12180</v>
      </c>
      <c r="AG85" s="6"/>
      <c r="AH85" s="16">
        <f>AVERAGE(AH83,AF83)</f>
        <v>12429.5</v>
      </c>
      <c r="AI85" s="16">
        <f>AVERAGE(AI83,AH83)</f>
        <v>12682.5</v>
      </c>
      <c r="AJ85" s="16">
        <f t="shared" ref="AJ85:AK85" si="244">AVERAGE(AJ83,AI83)</f>
        <v>12935.5</v>
      </c>
      <c r="AK85" s="16">
        <f t="shared" si="244"/>
        <v>13189</v>
      </c>
      <c r="AL85" s="6"/>
      <c r="AM85" s="16">
        <f>AVERAGE(AM83,AK83)</f>
        <v>13348</v>
      </c>
      <c r="AN85" s="16">
        <f>AVERAGE(AN83,AM83)</f>
        <v>13412</v>
      </c>
      <c r="AO85" s="16">
        <f t="shared" ref="AO85:AP85" si="245">AVERAGE(AO83,AN83)</f>
        <v>13476</v>
      </c>
      <c r="AP85" s="16">
        <f t="shared" si="245"/>
        <v>13540</v>
      </c>
      <c r="AQ85" s="6"/>
      <c r="AR85" s="16">
        <f>AVERAGE(AR83,AP83)</f>
        <v>13604</v>
      </c>
      <c r="AS85" s="16">
        <f>AVERAGE(AS83,AR83)</f>
        <v>13668</v>
      </c>
      <c r="AT85" s="16">
        <f t="shared" ref="AT85:AU85" si="246">AVERAGE(AT83,AS83)</f>
        <v>13732</v>
      </c>
      <c r="AU85" s="16">
        <f t="shared" si="246"/>
        <v>13796</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247">+I87/I85</f>
        <v>3.4275333064190554E-2</v>
      </c>
      <c r="J86" s="114">
        <f t="shared" si="247"/>
        <v>2.97331136738056E-2</v>
      </c>
      <c r="K86" s="114">
        <f t="shared" si="247"/>
        <v>8.4784451835909474E-3</v>
      </c>
      <c r="L86" s="114">
        <f t="shared" si="247"/>
        <v>2.3837943303110294E-2</v>
      </c>
      <c r="M86" s="6"/>
      <c r="N86" s="114">
        <f t="shared" si="247"/>
        <v>2.2388397915250397E-2</v>
      </c>
      <c r="O86" s="114">
        <f t="shared" si="247"/>
        <v>2.5251509054325959E-2</v>
      </c>
      <c r="P86" s="114">
        <f t="shared" si="247"/>
        <v>2.6307940847520812E-2</v>
      </c>
      <c r="Q86" s="114">
        <f t="shared" si="247"/>
        <v>3.228337630310503E-2</v>
      </c>
      <c r="R86" s="6"/>
      <c r="S86" s="114">
        <f t="shared" si="247"/>
        <v>3.4036282331419275E-2</v>
      </c>
      <c r="T86" s="114">
        <f>+T87/T85</f>
        <v>3.4145855141817456E-2</v>
      </c>
      <c r="U86" s="114">
        <f>+U87/U85</f>
        <v>4.065425165040891E-2</v>
      </c>
      <c r="V86" s="114">
        <f>+V87/V85</f>
        <v>4.0369649805447473E-2</v>
      </c>
      <c r="W86" s="130"/>
      <c r="X86" s="62">
        <f>S86*1.2</f>
        <v>4.0843538797703131E-2</v>
      </c>
      <c r="Y86" s="62">
        <f>T86*1.2</f>
        <v>4.0975026170180943E-2</v>
      </c>
      <c r="Z86" s="62">
        <f>U86*1.2</f>
        <v>4.8785101980490693E-2</v>
      </c>
      <c r="AA86" s="62">
        <f>V86*1.2</f>
        <v>4.8443579766536966E-2</v>
      </c>
      <c r="AB86" s="6"/>
      <c r="AC86" s="62">
        <f>X86*1.05</f>
        <v>4.2885715737588287E-2</v>
      </c>
      <c r="AD86" s="62">
        <f>Y86*1.05</f>
        <v>4.302377747868999E-2</v>
      </c>
      <c r="AE86" s="62">
        <f>Z86*1.05</f>
        <v>5.1224357079515233E-2</v>
      </c>
      <c r="AF86" s="62">
        <f>AA86*1.05</f>
        <v>5.0865758754863814E-2</v>
      </c>
      <c r="AG86" s="6"/>
      <c r="AH86" s="62">
        <f>AC86*1.05</f>
        <v>4.5030001524467705E-2</v>
      </c>
      <c r="AI86" s="62">
        <f t="shared" ref="AI86:AK86" si="248">AD86*1.05</f>
        <v>4.5174966352624489E-2</v>
      </c>
      <c r="AJ86" s="62">
        <f t="shared" si="248"/>
        <v>5.3785574933490995E-2</v>
      </c>
      <c r="AK86" s="62">
        <f t="shared" si="248"/>
        <v>5.3409046692607008E-2</v>
      </c>
      <c r="AL86" s="6"/>
      <c r="AM86" s="62">
        <f>AH86*1.05</f>
        <v>4.7281501600691091E-2</v>
      </c>
      <c r="AN86" s="62">
        <f>AI86*1.05</f>
        <v>4.7433714670255714E-2</v>
      </c>
      <c r="AO86" s="62">
        <f>AJ86*1.05</f>
        <v>5.6474853680165547E-2</v>
      </c>
      <c r="AP86" s="62">
        <f>AK86*1.05</f>
        <v>5.6079499027237363E-2</v>
      </c>
      <c r="AQ86" s="6"/>
      <c r="AR86" s="62">
        <f>AM86*1.03</f>
        <v>4.8699946648711821E-2</v>
      </c>
      <c r="AS86" s="62">
        <f>AN86*1.03</f>
        <v>4.8856726110363388E-2</v>
      </c>
      <c r="AT86" s="62">
        <f>AO86*1.03</f>
        <v>5.8169099290570514E-2</v>
      </c>
      <c r="AU86" s="62">
        <f>AP86*1.03</f>
        <v>5.7761883998054486E-2</v>
      </c>
      <c r="AV86" s="6"/>
    </row>
    <row r="87" spans="1:48" s="8" customFormat="1" outlineLevel="1" x14ac:dyDescent="0.3">
      <c r="B87" s="498" t="s">
        <v>118</v>
      </c>
      <c r="C87" s="499"/>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v>415</v>
      </c>
      <c r="W87" s="213">
        <f>SUM(S87:V87)</f>
        <v>1505</v>
      </c>
      <c r="X87" s="72">
        <f>+X85*X86</f>
        <v>428.73462675948974</v>
      </c>
      <c r="Y87" s="72">
        <f>+Y85*Y86</f>
        <v>439.78495588455206</v>
      </c>
      <c r="Z87" s="72">
        <f t="shared" ref="Z87:AA87" si="249">+Z85*Z86</f>
        <v>535.12378362400239</v>
      </c>
      <c r="AA87" s="72">
        <f t="shared" si="249"/>
        <v>542.85875486381326</v>
      </c>
      <c r="AB87" s="73">
        <f>SUM(X87:AA87)</f>
        <v>1946.5021211318576</v>
      </c>
      <c r="AC87" s="72">
        <f>+AC85*AC86</f>
        <v>490.91278804817313</v>
      </c>
      <c r="AD87" s="72">
        <f>+AD85*AD86</f>
        <v>502.99098250336465</v>
      </c>
      <c r="AE87" s="72">
        <f t="shared" ref="AE87:AF87" si="250">+AE85*AE86</f>
        <v>611.36270174401432</v>
      </c>
      <c r="AF87" s="72">
        <f t="shared" si="250"/>
        <v>619.54494163424124</v>
      </c>
      <c r="AG87" s="73">
        <f>SUM(AC87:AF87)</f>
        <v>2224.8114139297932</v>
      </c>
      <c r="AH87" s="72">
        <f>+AH85*AH86</f>
        <v>559.70040394837133</v>
      </c>
      <c r="AI87" s="72">
        <f>+AI85*AI86</f>
        <v>572.93151076716003</v>
      </c>
      <c r="AJ87" s="72">
        <f t="shared" ref="AJ87:AK87" si="251">+AJ85*AJ86</f>
        <v>695.74330455217273</v>
      </c>
      <c r="AK87" s="72">
        <f t="shared" si="251"/>
        <v>704.41191682879378</v>
      </c>
      <c r="AL87" s="73">
        <f>SUM(AH87:AK87)</f>
        <v>2532.7871360964978</v>
      </c>
      <c r="AM87" s="72">
        <f>+AM85*AM86</f>
        <v>631.11348336602464</v>
      </c>
      <c r="AN87" s="72">
        <f>+AN85*AN86</f>
        <v>636.18098115746966</v>
      </c>
      <c r="AO87" s="72">
        <f t="shared" ref="AO87:AP87" si="252">+AO85*AO86</f>
        <v>761.05512819391095</v>
      </c>
      <c r="AP87" s="72">
        <f t="shared" si="252"/>
        <v>759.31641682879388</v>
      </c>
      <c r="AQ87" s="73">
        <f>SUM(AM87:AP87)</f>
        <v>2787.6660095461993</v>
      </c>
      <c r="AR87" s="72">
        <f>+AR85*AR86</f>
        <v>662.5140742090756</v>
      </c>
      <c r="AS87" s="72">
        <f>+AS85*AS86</f>
        <v>667.77373247644675</v>
      </c>
      <c r="AT87" s="72">
        <f t="shared" ref="AT87:AU87" si="253">+AT85*AT86</f>
        <v>798.77807145811425</v>
      </c>
      <c r="AU87" s="72">
        <f t="shared" si="253"/>
        <v>796.88295163715975</v>
      </c>
      <c r="AV87" s="73">
        <f>SUM(AR87:AU87)</f>
        <v>2925.9488297807966</v>
      </c>
    </row>
    <row r="88" spans="1:48" s="8" customFormat="1" outlineLevel="1" x14ac:dyDescent="0.3">
      <c r="B88" s="500" t="s">
        <v>119</v>
      </c>
      <c r="C88" s="501"/>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v>11.1</v>
      </c>
      <c r="W88" s="132">
        <f>SUM(S88:V88)</f>
        <v>73.099999999999994</v>
      </c>
      <c r="X88" s="50">
        <f>+S88*(1+X89)</f>
        <v>26.160000000000004</v>
      </c>
      <c r="Y88" s="50">
        <f>+T88*(1+Y89)</f>
        <v>17.55</v>
      </c>
      <c r="Z88" s="50">
        <f>+U88*(1+Z89)</f>
        <v>10.290000000000001</v>
      </c>
      <c r="AA88" s="50">
        <f t="shared" ref="AA88" si="254">+V88*(1+AA89)</f>
        <v>11.654999999999999</v>
      </c>
      <c r="AB88" s="97">
        <f>SUM(X88:AA88)</f>
        <v>65.655000000000001</v>
      </c>
      <c r="AC88" s="50">
        <f>+X88*(1+AC89)</f>
        <v>28.776000000000007</v>
      </c>
      <c r="AD88" s="50">
        <f>+Y88*(1+AD89)</f>
        <v>20.182500000000001</v>
      </c>
      <c r="AE88" s="50">
        <f>+Z88*(1+AE89)</f>
        <v>12.348000000000001</v>
      </c>
      <c r="AF88" s="50">
        <f t="shared" ref="AF88" si="255">+AA88*(1+AF89)</f>
        <v>13.985999999999999</v>
      </c>
      <c r="AG88" s="97">
        <f>SUM(AC88:AF88)</f>
        <v>75.292500000000004</v>
      </c>
      <c r="AH88" s="50">
        <f>+AC88*(1+AH89)</f>
        <v>35.970000000000006</v>
      </c>
      <c r="AI88" s="50">
        <f>+AD88*(1+AI89)</f>
        <v>25.228125000000002</v>
      </c>
      <c r="AJ88" s="50">
        <f>+AE88*(1+AJ89)</f>
        <v>15.435</v>
      </c>
      <c r="AK88" s="50">
        <f t="shared" ref="AK88" si="256">+AF88*(1+AK89)</f>
        <v>17.482499999999998</v>
      </c>
      <c r="AL88" s="97">
        <f>SUM(AH88:AK88)</f>
        <v>94.115625000000009</v>
      </c>
      <c r="AM88" s="50">
        <f>+AH88*(1+AM89)</f>
        <v>39.567000000000007</v>
      </c>
      <c r="AN88" s="50">
        <f>+AI88*(1+AN89)</f>
        <v>27.750937500000006</v>
      </c>
      <c r="AO88" s="50">
        <f>+AJ88*(1+AO89)</f>
        <v>16.9785</v>
      </c>
      <c r="AP88" s="50">
        <f t="shared" ref="AP88" si="257">+AK88*(1+AP89)</f>
        <v>19.23075</v>
      </c>
      <c r="AQ88" s="97">
        <f>SUM(AM88:AP88)</f>
        <v>103.52718750000001</v>
      </c>
      <c r="AR88" s="50">
        <f>+AM88*(1+AR89)</f>
        <v>41.545350000000006</v>
      </c>
      <c r="AS88" s="50">
        <f>+AN88*(1+AS89)</f>
        <v>29.138484375000008</v>
      </c>
      <c r="AT88" s="50">
        <f>+AO88*(1+AT89)</f>
        <v>17.827425000000002</v>
      </c>
      <c r="AU88" s="50">
        <f t="shared" ref="AU88" si="258">+AP88*(1+AU89)</f>
        <v>20.192287500000003</v>
      </c>
      <c r="AV88" s="97">
        <f>SUM(AR88:AU88)</f>
        <v>108.70354687500003</v>
      </c>
    </row>
    <row r="89" spans="1:48" outlineLevel="1" x14ac:dyDescent="0.3">
      <c r="B89" s="69" t="s">
        <v>50</v>
      </c>
      <c r="C89" s="70"/>
      <c r="D89" s="120"/>
      <c r="E89" s="120"/>
      <c r="F89" s="120"/>
      <c r="G89" s="120"/>
      <c r="H89" s="58"/>
      <c r="I89" s="120">
        <f>I88/D88-1</f>
        <v>0.97058823529411775</v>
      </c>
      <c r="J89" s="120">
        <f t="shared" ref="J89:L89" si="259">J88/E88-1</f>
        <v>0.3469387755102038</v>
      </c>
      <c r="K89" s="120">
        <f t="shared" si="259"/>
        <v>1.3947368421052633</v>
      </c>
      <c r="L89" s="120">
        <f t="shared" si="259"/>
        <v>-3.6363636363636376E-2</v>
      </c>
      <c r="M89" s="58"/>
      <c r="N89" s="120">
        <f>N88/I88-1</f>
        <v>1.2388059701492535</v>
      </c>
      <c r="O89" s="120">
        <f t="shared" ref="O89:Q89" si="260">O88/J88-1</f>
        <v>2.8484848484848486</v>
      </c>
      <c r="P89" s="120">
        <f t="shared" si="260"/>
        <v>0.47252747252747263</v>
      </c>
      <c r="Q89" s="120">
        <f t="shared" si="260"/>
        <v>2.1320754716981134</v>
      </c>
      <c r="R89" s="58"/>
      <c r="S89" s="120">
        <f>S88/N88-1</f>
        <v>1.1800000000000002</v>
      </c>
      <c r="T89" s="120">
        <f t="shared" ref="T89:U89" si="261">T88/O88-1</f>
        <v>-0.23228346456692905</v>
      </c>
      <c r="U89" s="120">
        <f t="shared" si="261"/>
        <v>-0.26865671641791045</v>
      </c>
      <c r="V89" s="120">
        <f>V88/Q88-1</f>
        <v>-0.3313253012048194</v>
      </c>
      <c r="W89" s="155"/>
      <c r="X89" s="71">
        <v>-0.2</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262">+D83+D74</f>
        <v>12212</v>
      </c>
      <c r="E90" s="101">
        <f t="shared" si="262"/>
        <v>12465</v>
      </c>
      <c r="F90" s="101">
        <f t="shared" si="262"/>
        <v>12773</v>
      </c>
      <c r="G90" s="101">
        <f t="shared" si="262"/>
        <v>13189</v>
      </c>
      <c r="H90" s="6"/>
      <c r="I90" s="101">
        <f t="shared" ref="I90:L91" si="263">+I83+I74</f>
        <v>13592</v>
      </c>
      <c r="J90" s="101">
        <f t="shared" si="263"/>
        <v>13779</v>
      </c>
      <c r="K90" s="101">
        <f t="shared" si="263"/>
        <v>13945</v>
      </c>
      <c r="L90" s="16">
        <f t="shared" si="263"/>
        <v>16263</v>
      </c>
      <c r="M90" s="6"/>
      <c r="N90" s="16">
        <f t="shared" ref="N90:Q91" si="264">+N83+N74</f>
        <v>14630</v>
      </c>
      <c r="O90" s="16">
        <f t="shared" si="264"/>
        <v>14823</v>
      </c>
      <c r="P90" s="16">
        <f t="shared" si="264"/>
        <v>15120</v>
      </c>
      <c r="Q90" s="16">
        <f t="shared" si="264"/>
        <v>17007</v>
      </c>
      <c r="R90" s="6"/>
      <c r="S90" s="16">
        <f t="shared" ref="S90:V91" si="265">+S83+S74</f>
        <v>17429</v>
      </c>
      <c r="T90" s="16">
        <f t="shared" si="265"/>
        <v>17704</v>
      </c>
      <c r="U90" s="16">
        <f t="shared" si="265"/>
        <v>17898</v>
      </c>
      <c r="V90" s="16">
        <f t="shared" si="265"/>
        <v>18416</v>
      </c>
      <c r="W90" s="254">
        <f>W91/Q90</f>
        <v>8.2848238960428061E-2</v>
      </c>
      <c r="X90" s="16">
        <f t="shared" ref="X90:AA91" si="266">+X83+X74</f>
        <v>18907</v>
      </c>
      <c r="Y90" s="16">
        <f t="shared" si="266"/>
        <v>19398</v>
      </c>
      <c r="Z90" s="16">
        <f t="shared" si="266"/>
        <v>19889</v>
      </c>
      <c r="AA90" s="16">
        <f t="shared" si="266"/>
        <v>20384</v>
      </c>
      <c r="AB90" s="254">
        <f>AB91/V90</f>
        <v>0.10686359687228497</v>
      </c>
      <c r="AC90" s="16">
        <f t="shared" ref="AC90:AF91" si="267">+AC83+AC74</f>
        <v>20892</v>
      </c>
      <c r="AD90" s="16">
        <f t="shared" si="267"/>
        <v>21400</v>
      </c>
      <c r="AE90" s="16">
        <f t="shared" si="267"/>
        <v>21908</v>
      </c>
      <c r="AF90" s="16">
        <f t="shared" si="267"/>
        <v>22422</v>
      </c>
      <c r="AG90" s="254">
        <f>AG91/AA90</f>
        <v>9.9980376766091048E-2</v>
      </c>
      <c r="AH90" s="16">
        <f t="shared" ref="AH90:AK91" si="268">+AH83+AH74</f>
        <v>22949</v>
      </c>
      <c r="AI90" s="16">
        <f t="shared" si="268"/>
        <v>23476</v>
      </c>
      <c r="AJ90" s="16">
        <f t="shared" si="268"/>
        <v>24003</v>
      </c>
      <c r="AK90" s="16">
        <f t="shared" si="268"/>
        <v>24533</v>
      </c>
      <c r="AL90" s="254">
        <f>AL91/AF90</f>
        <v>9.4148604049594145E-2</v>
      </c>
      <c r="AM90" s="16">
        <f t="shared" ref="AM90:AP91" si="269">+AM83+AM74</f>
        <v>24727</v>
      </c>
      <c r="AN90" s="16">
        <f t="shared" si="269"/>
        <v>24921</v>
      </c>
      <c r="AO90" s="16">
        <f t="shared" si="269"/>
        <v>25115</v>
      </c>
      <c r="AP90" s="16">
        <f t="shared" si="269"/>
        <v>25309</v>
      </c>
      <c r="AQ90" s="254">
        <f>AQ91/AK90</f>
        <v>3.1630864549790076E-2</v>
      </c>
      <c r="AR90" s="16">
        <f t="shared" ref="AR90:AU91" si="270">+AR83+AR74</f>
        <v>25503</v>
      </c>
      <c r="AS90" s="16">
        <f t="shared" si="270"/>
        <v>25697</v>
      </c>
      <c r="AT90" s="16">
        <f t="shared" si="270"/>
        <v>25891</v>
      </c>
      <c r="AU90" s="16">
        <f t="shared" si="270"/>
        <v>26085</v>
      </c>
      <c r="AV90" s="254">
        <f>AV91/AP90</f>
        <v>3.066102967323877E-2</v>
      </c>
    </row>
    <row r="91" spans="1:48" outlineLevel="1" x14ac:dyDescent="0.3">
      <c r="B91" s="180" t="s">
        <v>121</v>
      </c>
      <c r="C91" s="207"/>
      <c r="D91" s="101">
        <f t="shared" si="262"/>
        <v>360</v>
      </c>
      <c r="E91" s="101">
        <f t="shared" si="262"/>
        <v>253</v>
      </c>
      <c r="F91" s="101">
        <f t="shared" si="262"/>
        <v>308</v>
      </c>
      <c r="G91" s="101">
        <f t="shared" si="262"/>
        <v>416</v>
      </c>
      <c r="H91" s="122">
        <f>+H84+H75</f>
        <v>1337</v>
      </c>
      <c r="I91" s="101">
        <f t="shared" si="263"/>
        <v>403</v>
      </c>
      <c r="J91" s="101">
        <f t="shared" si="263"/>
        <v>187</v>
      </c>
      <c r="K91" s="101">
        <f t="shared" si="263"/>
        <v>166</v>
      </c>
      <c r="L91" s="101">
        <f t="shared" si="263"/>
        <v>356</v>
      </c>
      <c r="M91" s="122">
        <f>+M84+M75</f>
        <v>1112</v>
      </c>
      <c r="N91" s="101">
        <f t="shared" si="264"/>
        <v>324</v>
      </c>
      <c r="O91" s="101">
        <f t="shared" si="264"/>
        <v>193</v>
      </c>
      <c r="P91" s="101">
        <f t="shared" si="264"/>
        <v>297</v>
      </c>
      <c r="Q91" s="101">
        <f t="shared" si="264"/>
        <v>464</v>
      </c>
      <c r="R91" s="122">
        <f>+R84+R75</f>
        <v>1278</v>
      </c>
      <c r="S91" s="16">
        <f t="shared" si="265"/>
        <v>422</v>
      </c>
      <c r="T91" s="16">
        <f t="shared" si="265"/>
        <v>275</v>
      </c>
      <c r="U91" s="16">
        <f t="shared" si="265"/>
        <v>194</v>
      </c>
      <c r="V91" s="16">
        <f t="shared" si="265"/>
        <v>518</v>
      </c>
      <c r="W91" s="122">
        <f>+W84+W75</f>
        <v>1409</v>
      </c>
      <c r="X91" s="16">
        <f t="shared" si="266"/>
        <v>491</v>
      </c>
      <c r="Y91" s="16">
        <f t="shared" si="266"/>
        <v>491</v>
      </c>
      <c r="Z91" s="16">
        <f t="shared" si="266"/>
        <v>491</v>
      </c>
      <c r="AA91" s="16">
        <f t="shared" si="266"/>
        <v>495</v>
      </c>
      <c r="AB91" s="26">
        <f>+AB84+AB75</f>
        <v>1968</v>
      </c>
      <c r="AC91" s="16">
        <f t="shared" si="267"/>
        <v>508</v>
      </c>
      <c r="AD91" s="16">
        <f t="shared" si="267"/>
        <v>508</v>
      </c>
      <c r="AE91" s="16">
        <f t="shared" si="267"/>
        <v>508</v>
      </c>
      <c r="AF91" s="16">
        <f t="shared" si="267"/>
        <v>514</v>
      </c>
      <c r="AG91" s="26">
        <f>+AG84+AG75</f>
        <v>2038</v>
      </c>
      <c r="AH91" s="16">
        <f t="shared" si="268"/>
        <v>527</v>
      </c>
      <c r="AI91" s="16">
        <f t="shared" si="268"/>
        <v>527</v>
      </c>
      <c r="AJ91" s="16">
        <f t="shared" si="268"/>
        <v>527</v>
      </c>
      <c r="AK91" s="16">
        <f t="shared" si="268"/>
        <v>530</v>
      </c>
      <c r="AL91" s="26">
        <f>+AL84+AL75</f>
        <v>2111</v>
      </c>
      <c r="AM91" s="16">
        <f t="shared" si="269"/>
        <v>194</v>
      </c>
      <c r="AN91" s="16">
        <f t="shared" si="269"/>
        <v>194</v>
      </c>
      <c r="AO91" s="16">
        <f t="shared" si="269"/>
        <v>194</v>
      </c>
      <c r="AP91" s="16">
        <f t="shared" si="269"/>
        <v>194</v>
      </c>
      <c r="AQ91" s="26">
        <f>+AQ84+AQ75</f>
        <v>776</v>
      </c>
      <c r="AR91" s="16">
        <f t="shared" si="270"/>
        <v>194</v>
      </c>
      <c r="AS91" s="16">
        <f t="shared" si="270"/>
        <v>194</v>
      </c>
      <c r="AT91" s="16">
        <f t="shared" si="270"/>
        <v>194</v>
      </c>
      <c r="AU91" s="16">
        <f t="shared" si="270"/>
        <v>194</v>
      </c>
      <c r="AV91" s="26">
        <f>+AV84+AV75</f>
        <v>776</v>
      </c>
    </row>
    <row r="92" spans="1:48" outlineLevel="1" x14ac:dyDescent="0.3">
      <c r="B92" s="502" t="s">
        <v>122</v>
      </c>
      <c r="C92" s="503"/>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1777</v>
      </c>
      <c r="W92" s="213">
        <f>SUM(S92:V92)</f>
        <v>6940</v>
      </c>
      <c r="X92" s="72">
        <f>+X88+X87+X78</f>
        <v>1873.5214543667269</v>
      </c>
      <c r="Y92" s="72">
        <f>+Y88+Y87+Y78</f>
        <v>1880.0025394832783</v>
      </c>
      <c r="Z92" s="72">
        <f>+Z88+Z87+Z78</f>
        <v>2126.5488620348751</v>
      </c>
      <c r="AA92" s="72">
        <f>+AA88+AA87+AA78</f>
        <v>2392.4031721546598</v>
      </c>
      <c r="AB92" s="73">
        <f>SUM(X92:AA92)</f>
        <v>8272.4760280395403</v>
      </c>
      <c r="AC92" s="72">
        <f>+AC88+AC87+AC78</f>
        <v>2436.0730132972076</v>
      </c>
      <c r="AD92" s="72">
        <f>+AD88+AD87+AD78</f>
        <v>2200.6944876785242</v>
      </c>
      <c r="AE92" s="72">
        <f>+AE88+AE87+AE78</f>
        <v>2483.8068938506531</v>
      </c>
      <c r="AF92" s="72">
        <f>+AF88+AF87+AF78</f>
        <v>2791.1808070652428</v>
      </c>
      <c r="AG92" s="73">
        <f>SUM(AC92:AF92)</f>
        <v>9911.7552018916267</v>
      </c>
      <c r="AH92" s="72">
        <f>+AH88+AH87+AH78</f>
        <v>2841.036353775572</v>
      </c>
      <c r="AI92" s="72">
        <f>+AI88+AI87+AI78</f>
        <v>2559.8212955999629</v>
      </c>
      <c r="AJ92" s="72">
        <f>+AJ88+AJ87+AJ78</f>
        <v>2882.3176421893913</v>
      </c>
      <c r="AK92" s="72">
        <f>+AK88+AK87+AK78</f>
        <v>3235.6483479320059</v>
      </c>
      <c r="AL92" s="73">
        <f>SUM(AH92:AK92)</f>
        <v>11518.823639496932</v>
      </c>
      <c r="AM92" s="72">
        <f>+AM88+AM87+AM78</f>
        <v>3264.1701068301436</v>
      </c>
      <c r="AN92" s="72">
        <f>+AN88+AN87+AN78</f>
        <v>2896.2022895133614</v>
      </c>
      <c r="AO92" s="72">
        <f>+AO88+AO87+AO78</f>
        <v>3213.4515055318616</v>
      </c>
      <c r="AP92" s="72">
        <f>+AP88+AP87+AP78</f>
        <v>3559.2640797296453</v>
      </c>
      <c r="AQ92" s="73">
        <f>SUM(AM92:AP92)</f>
        <v>12933.087981605011</v>
      </c>
      <c r="AR92" s="72">
        <f>+AR88+AR87+AR78</f>
        <v>3498.4766793240583</v>
      </c>
      <c r="AS92" s="72">
        <f>+AS88+AS87+AS78</f>
        <v>3100.917962295197</v>
      </c>
      <c r="AT92" s="72">
        <f>+AT88+AT87+AT78</f>
        <v>3438.1001030725547</v>
      </c>
      <c r="AU92" s="72">
        <f>+AU88+AU87+AU78</f>
        <v>3808.8140688278545</v>
      </c>
      <c r="AV92" s="73">
        <f>SUM(AR92:AU92)</f>
        <v>13846.308813519665</v>
      </c>
    </row>
    <row r="93" spans="1:48" outlineLevel="1" x14ac:dyDescent="0.3">
      <c r="B93" s="504" t="s">
        <v>100</v>
      </c>
      <c r="C93" s="505"/>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v>611</v>
      </c>
      <c r="W93" s="76">
        <f>SUM(S93:V93)</f>
        <v>2357.6</v>
      </c>
      <c r="X93" s="48">
        <f>X94*X92</f>
        <v>652.48962605893769</v>
      </c>
      <c r="Y93" s="48">
        <f>Y94*Y92</f>
        <v>622.26052099264541</v>
      </c>
      <c r="Z93" s="48">
        <f t="shared" ref="Z93:AA93" si="271">Z94*Z92</f>
        <v>727.82869241462629</v>
      </c>
      <c r="AA93" s="48">
        <f t="shared" si="271"/>
        <v>810.63693641075008</v>
      </c>
      <c r="AB93" s="76">
        <f>SUM(X93:AA93)</f>
        <v>2813.2157758769595</v>
      </c>
      <c r="AC93" s="48">
        <f>AC94*AC92</f>
        <v>799.68748951885516</v>
      </c>
      <c r="AD93" s="48">
        <f>AD94*AD92</f>
        <v>684.39219996632141</v>
      </c>
      <c r="AE93" s="48">
        <f t="shared" ref="AE93:AF93" si="272">AE94*AE92</f>
        <v>850.10316764219624</v>
      </c>
      <c r="AF93" s="48">
        <f t="shared" si="272"/>
        <v>945.75792439284669</v>
      </c>
      <c r="AG93" s="76">
        <f>SUM(AC93:AF93)</f>
        <v>3279.9407815202194</v>
      </c>
      <c r="AH93" s="48">
        <f>AH94*AH92</f>
        <v>926.94236711066787</v>
      </c>
      <c r="AI93" s="48">
        <f>AI94*AI92</f>
        <v>790.95711309894159</v>
      </c>
      <c r="AJ93" s="48">
        <f t="shared" ref="AJ93:AK93" si="273">AJ94*AJ92</f>
        <v>957.67354513987425</v>
      </c>
      <c r="AK93" s="48">
        <f t="shared" si="273"/>
        <v>1089.88908879377</v>
      </c>
      <c r="AL93" s="76">
        <f>SUM(AH93:AK93)</f>
        <v>3765.462114143254</v>
      </c>
      <c r="AM93" s="48">
        <f>AM94*AM92</f>
        <v>1064.9978348415145</v>
      </c>
      <c r="AN93" s="48">
        <f>AN94*AN92</f>
        <v>894.895204521349</v>
      </c>
      <c r="AO93" s="48">
        <f t="shared" ref="AO93:AP93" si="274">AO94*AO92</f>
        <v>1067.6954720022325</v>
      </c>
      <c r="AP93" s="48">
        <f t="shared" si="274"/>
        <v>1198.8951417147191</v>
      </c>
      <c r="AQ93" s="76">
        <f>SUM(AM93:AP93)</f>
        <v>4226.4836530798148</v>
      </c>
      <c r="AR93" s="48">
        <f>AR94*AR92</f>
        <v>1141.4448287873911</v>
      </c>
      <c r="AS93" s="48">
        <f>AS94*AS92</f>
        <v>958.15013478853302</v>
      </c>
      <c r="AT93" s="48">
        <f t="shared" ref="AT93:AU93" si="275">AT94*AT92</f>
        <v>1142.3368007955703</v>
      </c>
      <c r="AU93" s="48">
        <f t="shared" si="275"/>
        <v>1282.9530432479849</v>
      </c>
      <c r="AV93" s="76">
        <f>SUM(AR93:AU93)</f>
        <v>4524.8848076194799</v>
      </c>
    </row>
    <row r="94" spans="1:48" s="183" customFormat="1" outlineLevel="1" x14ac:dyDescent="0.3">
      <c r="A94" s="238"/>
      <c r="B94" s="181" t="s">
        <v>151</v>
      </c>
      <c r="C94" s="182"/>
      <c r="D94" s="167">
        <f>D93/D92</f>
        <v>0.30764627659574467</v>
      </c>
      <c r="E94" s="167">
        <f t="shared" ref="E94:V94" si="276">E93/E92</f>
        <v>0.30744082646789589</v>
      </c>
      <c r="F94" s="167">
        <f t="shared" si="276"/>
        <v>0.30032170567085098</v>
      </c>
      <c r="G94" s="167">
        <f t="shared" si="276"/>
        <v>0.30920424909356908</v>
      </c>
      <c r="H94" s="186">
        <f>H93/H92</f>
        <v>0.30611552626477995</v>
      </c>
      <c r="I94" s="167">
        <f t="shared" si="276"/>
        <v>0.31092864871745912</v>
      </c>
      <c r="J94" s="167">
        <f t="shared" si="276"/>
        <v>0.34170632822139962</v>
      </c>
      <c r="K94" s="167">
        <f t="shared" si="276"/>
        <v>0.35562342038753159</v>
      </c>
      <c r="L94" s="167">
        <f t="shared" si="276"/>
        <v>0.31707801230728511</v>
      </c>
      <c r="M94" s="186">
        <f>M93/M92</f>
        <v>0.32770100259358192</v>
      </c>
      <c r="N94" s="167">
        <f t="shared" si="276"/>
        <v>0.31457414011968809</v>
      </c>
      <c r="O94" s="167">
        <f t="shared" si="276"/>
        <v>0.31876590725681292</v>
      </c>
      <c r="P94" s="167">
        <f t="shared" si="276"/>
        <v>0.30252050168837435</v>
      </c>
      <c r="Q94" s="167">
        <f t="shared" si="276"/>
        <v>0.31604512691946102</v>
      </c>
      <c r="R94" s="188">
        <f>R93/R92</f>
        <v>0.31305021789359783</v>
      </c>
      <c r="S94" s="167">
        <f t="shared" si="276"/>
        <v>0.32826909749986671</v>
      </c>
      <c r="T94" s="167">
        <f t="shared" si="276"/>
        <v>0.34098919172932329</v>
      </c>
      <c r="U94" s="167">
        <f t="shared" si="276"/>
        <v>0.34725815611787714</v>
      </c>
      <c r="V94" s="167">
        <f t="shared" si="276"/>
        <v>0.34383792909397859</v>
      </c>
      <c r="W94" s="188">
        <f>W93/W92</f>
        <v>0.33971181556195962</v>
      </c>
      <c r="X94" s="189">
        <f>S94+2%</f>
        <v>0.34826909749986673</v>
      </c>
      <c r="Y94" s="189">
        <f>T94-1%</f>
        <v>0.33098919172932328</v>
      </c>
      <c r="Z94" s="189">
        <f>U94-0.5%</f>
        <v>0.34225815611787713</v>
      </c>
      <c r="AA94" s="189">
        <f>V94-0.5%</f>
        <v>0.33883792909397858</v>
      </c>
      <c r="AB94" s="188">
        <f>AB93/AB92</f>
        <v>0.34006937781887436</v>
      </c>
      <c r="AC94" s="189">
        <f>X94-2%</f>
        <v>0.32826909749986671</v>
      </c>
      <c r="AD94" s="189">
        <f>Y94-2%</f>
        <v>0.31098919172932327</v>
      </c>
      <c r="AE94" s="189">
        <f t="shared" ref="AE94:AF94" si="277">Z94</f>
        <v>0.34225815611787713</v>
      </c>
      <c r="AF94" s="189">
        <f t="shared" si="277"/>
        <v>0.33883792909397858</v>
      </c>
      <c r="AG94" s="188">
        <f>AG93/AG92</f>
        <v>0.33091422404119236</v>
      </c>
      <c r="AH94" s="189">
        <f>AC94-0.2%</f>
        <v>0.32626909749986671</v>
      </c>
      <c r="AI94" s="189">
        <f>AD94-0.2%</f>
        <v>0.30898919172932326</v>
      </c>
      <c r="AJ94" s="189">
        <f>AE94-1%</f>
        <v>0.33225815611787712</v>
      </c>
      <c r="AK94" s="189">
        <f>AF94-0.2%</f>
        <v>0.33683792909397858</v>
      </c>
      <c r="AL94" s="188">
        <f>AL93/AL92</f>
        <v>0.32689641164674565</v>
      </c>
      <c r="AM94" s="189">
        <f>AH94</f>
        <v>0.32626909749986671</v>
      </c>
      <c r="AN94" s="189">
        <f t="shared" ref="AN94:AP94" si="278">AI94</f>
        <v>0.30898919172932326</v>
      </c>
      <c r="AO94" s="189">
        <f t="shared" si="278"/>
        <v>0.33225815611787712</v>
      </c>
      <c r="AP94" s="189">
        <f t="shared" si="278"/>
        <v>0.33683792909397858</v>
      </c>
      <c r="AQ94" s="188">
        <f>AQ93/AQ92</f>
        <v>0.32679617266125666</v>
      </c>
      <c r="AR94" s="189">
        <f>AM94</f>
        <v>0.32626909749986671</v>
      </c>
      <c r="AS94" s="189">
        <f t="shared" ref="AS94:AU94" si="279">AN94</f>
        <v>0.30898919172932326</v>
      </c>
      <c r="AT94" s="189">
        <f t="shared" si="279"/>
        <v>0.33225815611787712</v>
      </c>
      <c r="AU94" s="189">
        <f t="shared" si="279"/>
        <v>0.33683792909397858</v>
      </c>
      <c r="AV94" s="188">
        <f>AV93/AV92</f>
        <v>0.32679357860351493</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v>682.5</v>
      </c>
      <c r="W95" s="49">
        <f>SUM(S95:V95)</f>
        <v>2701.9</v>
      </c>
      <c r="X95" s="48">
        <f>X96*X78</f>
        <v>684.4980254726571</v>
      </c>
      <c r="Y95" s="48">
        <f>Y96*Y78</f>
        <v>717.37938606687896</v>
      </c>
      <c r="Z95" s="48">
        <f>Z96*Z78</f>
        <v>852.51584839257714</v>
      </c>
      <c r="AA95" s="48">
        <f>AA96*AA78</f>
        <v>919.34673420083789</v>
      </c>
      <c r="AB95" s="49">
        <f>SUM(X95:AA95)</f>
        <v>3173.7399941329513</v>
      </c>
      <c r="AC95" s="48">
        <f>AC96*AC78</f>
        <v>924.66968247204727</v>
      </c>
      <c r="AD95" s="48">
        <f>AD96*AD78</f>
        <v>812.33867070063695</v>
      </c>
      <c r="AE95" s="48">
        <f>AE96*AE78</f>
        <v>1002.9260023118139</v>
      </c>
      <c r="AF95" s="48">
        <f>AF96*AF78</f>
        <v>1079.2969036498666</v>
      </c>
      <c r="AG95" s="49">
        <f>SUM(AC95:AF95)</f>
        <v>3819.2312591343648</v>
      </c>
      <c r="AH95" s="48">
        <f>AH96*AH78</f>
        <v>1078.9150864666803</v>
      </c>
      <c r="AI95" s="48">
        <f>AI96*AI78</f>
        <v>946.01031101154456</v>
      </c>
      <c r="AJ95" s="48">
        <f>AJ96*AJ78</f>
        <v>1127.2113479756927</v>
      </c>
      <c r="AK95" s="48">
        <f>AK96*AK78</f>
        <v>1252.3993239168337</v>
      </c>
      <c r="AL95" s="49">
        <f>SUM(AH95:AK95)</f>
        <v>4404.5360693707516</v>
      </c>
      <c r="AM95" s="48">
        <f>AM96*AM78</f>
        <v>1246.1911082091403</v>
      </c>
      <c r="AN95" s="48">
        <f>AN96*AN78</f>
        <v>1076.511220581855</v>
      </c>
      <c r="AO95" s="48">
        <f>AO96*AO78</f>
        <v>1264.419386084063</v>
      </c>
      <c r="AP95" s="48">
        <f>AP96*AP78</f>
        <v>1385.4052851516519</v>
      </c>
      <c r="AQ95" s="49">
        <f>SUM(AM95:AP95)</f>
        <v>4972.5270000267101</v>
      </c>
      <c r="AR95" s="48">
        <f>AR96*AR78</f>
        <v>1342.7383338820068</v>
      </c>
      <c r="AS95" s="48">
        <f>AS96*AS78</f>
        <v>1159.3305152911125</v>
      </c>
      <c r="AT95" s="48">
        <f>AT96*AT78</f>
        <v>1361.0266361111026</v>
      </c>
      <c r="AU95" s="48">
        <f>AU96*AU78</f>
        <v>1490.540359292838</v>
      </c>
      <c r="AV95" s="49">
        <f>SUM(AR95:AU95)</f>
        <v>5353.6358445770602</v>
      </c>
    </row>
    <row r="96" spans="1:48" s="184" customFormat="1" outlineLevel="1" x14ac:dyDescent="0.3">
      <c r="B96" s="181" t="s">
        <v>150</v>
      </c>
      <c r="C96" s="190"/>
      <c r="D96" s="167">
        <f t="shared" ref="D96:V96" si="280">D95/D78</f>
        <v>0.47234175729598632</v>
      </c>
      <c r="E96" s="167">
        <f t="shared" si="280"/>
        <v>0.4722773789521918</v>
      </c>
      <c r="F96" s="167">
        <f t="shared" si="280"/>
        <v>0.45032525133057366</v>
      </c>
      <c r="G96" s="167">
        <f t="shared" si="280"/>
        <v>0.45390987157078799</v>
      </c>
      <c r="H96" s="186">
        <f t="shared" si="280"/>
        <v>0.46204482325634483</v>
      </c>
      <c r="I96" s="167">
        <f t="shared" si="280"/>
        <v>0.46354126899289916</v>
      </c>
      <c r="J96" s="167">
        <f t="shared" si="280"/>
        <v>0.62367021276595747</v>
      </c>
      <c r="K96" s="167">
        <f t="shared" si="280"/>
        <v>0.5521416333523701</v>
      </c>
      <c r="L96" s="167">
        <f t="shared" si="280"/>
        <v>0.47962720480628518</v>
      </c>
      <c r="M96" s="186">
        <f t="shared" si="280"/>
        <v>0.51893568024806769</v>
      </c>
      <c r="N96" s="167">
        <f t="shared" si="280"/>
        <v>0.43594367760282998</v>
      </c>
      <c r="O96" s="167">
        <f t="shared" si="280"/>
        <v>0.44789485087022463</v>
      </c>
      <c r="P96" s="167">
        <f t="shared" si="280"/>
        <v>0.4326379683248448</v>
      </c>
      <c r="Q96" s="167">
        <f t="shared" si="280"/>
        <v>0.43639751552795031</v>
      </c>
      <c r="R96" s="188">
        <f t="shared" si="280"/>
        <v>0.43808031074841985</v>
      </c>
      <c r="S96" s="167">
        <f t="shared" si="280"/>
        <v>0.46250745872836974</v>
      </c>
      <c r="T96" s="167">
        <f t="shared" si="280"/>
        <v>0.51424947776783048</v>
      </c>
      <c r="U96" s="167">
        <f t="shared" si="280"/>
        <v>0.54417964380968775</v>
      </c>
      <c r="V96" s="167">
        <f t="shared" si="280"/>
        <v>0.50521874306018211</v>
      </c>
      <c r="W96" s="188">
        <f>W95/W78</f>
        <v>0.50390719707566356</v>
      </c>
      <c r="X96" s="189">
        <f>S96+2%</f>
        <v>0.48250745872836975</v>
      </c>
      <c r="Y96" s="189">
        <f>T96-1%</f>
        <v>0.50424947776783047</v>
      </c>
      <c r="Z96" s="189">
        <f>U96-0.5%</f>
        <v>0.53917964380968775</v>
      </c>
      <c r="AA96" s="189">
        <f>V96-0.5%</f>
        <v>0.5002187430601821</v>
      </c>
      <c r="AB96" s="188">
        <f>AB95/AB78</f>
        <v>0.50696139307392518</v>
      </c>
      <c r="AC96" s="189">
        <f>X96</f>
        <v>0.48250745872836975</v>
      </c>
      <c r="AD96" s="189">
        <f>Y96-2%</f>
        <v>0.48424947776783045</v>
      </c>
      <c r="AE96" s="189">
        <f t="shared" ref="AE96:AF96" si="281">Z96</f>
        <v>0.53917964380968775</v>
      </c>
      <c r="AF96" s="189">
        <f t="shared" si="281"/>
        <v>0.5002187430601821</v>
      </c>
      <c r="AG96" s="188">
        <f>AG95/AG78</f>
        <v>0.50176119670309249</v>
      </c>
      <c r="AH96" s="189">
        <f>AC96-0.2%</f>
        <v>0.48050745872836975</v>
      </c>
      <c r="AI96" s="189">
        <f>AD96-0.2%</f>
        <v>0.48224947776783045</v>
      </c>
      <c r="AJ96" s="189">
        <f>AE96-2%</f>
        <v>0.51917964380968773</v>
      </c>
      <c r="AK96" s="189">
        <f>AF96-0.2%</f>
        <v>0.4982187430601821</v>
      </c>
      <c r="AL96" s="188">
        <f>AL95/AL78</f>
        <v>0.4953413474550713</v>
      </c>
      <c r="AM96" s="189">
        <f>AH96</f>
        <v>0.48050745872836975</v>
      </c>
      <c r="AN96" s="189">
        <f t="shared" ref="AN96:AP96" si="282">AI96</f>
        <v>0.48224947776783045</v>
      </c>
      <c r="AO96" s="189">
        <f t="shared" si="282"/>
        <v>0.51917964380968773</v>
      </c>
      <c r="AP96" s="189">
        <f t="shared" si="282"/>
        <v>0.4982187430601821</v>
      </c>
      <c r="AQ96" s="188">
        <f>AQ95/AQ78</f>
        <v>0.49517816176214557</v>
      </c>
      <c r="AR96" s="189">
        <f>AM96</f>
        <v>0.48050745872836975</v>
      </c>
      <c r="AS96" s="189">
        <f t="shared" ref="AS96:AU96" si="283">AN96</f>
        <v>0.48224947776783045</v>
      </c>
      <c r="AT96" s="189">
        <f t="shared" si="283"/>
        <v>0.51917964380968773</v>
      </c>
      <c r="AU96" s="189">
        <f t="shared" si="283"/>
        <v>0.4982187430601821</v>
      </c>
      <c r="AV96" s="188">
        <f>AV95/AV78</f>
        <v>0.49517258302095907</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v>52.4</v>
      </c>
      <c r="W97" s="49">
        <f>SUM(S97:V97)</f>
        <v>191.3</v>
      </c>
      <c r="X97" s="48">
        <f>X98*X92</f>
        <v>39.150296397023133</v>
      </c>
      <c r="Y97" s="48">
        <f>Y98*Y92</f>
        <v>43.62082959914796</v>
      </c>
      <c r="Z97" s="48">
        <f t="shared" ref="Z97:AA97" si="284">Z98*Z92</f>
        <v>70.151152638459109</v>
      </c>
      <c r="AA97" s="48">
        <f t="shared" si="284"/>
        <v>70.546947788916242</v>
      </c>
      <c r="AB97" s="49">
        <f>SUM(X97:AA97)</f>
        <v>223.46922642354644</v>
      </c>
      <c r="AC97" s="48">
        <f>AC98*AC92</f>
        <v>50.905731713444503</v>
      </c>
      <c r="AD97" s="48">
        <f>AD98*AD92</f>
        <v>51.061696583236433</v>
      </c>
      <c r="AE97" s="48">
        <f t="shared" ref="AE97:AF97" si="285">AE98*AE92</f>
        <v>69.517439996818339</v>
      </c>
      <c r="AF97" s="48">
        <f t="shared" si="285"/>
        <v>82.306063190894037</v>
      </c>
      <c r="AG97" s="49">
        <f>SUM(AC97:AF97)</f>
        <v>253.79093148439333</v>
      </c>
      <c r="AH97" s="48">
        <f>AH98*AH92</f>
        <v>53.686030639110427</v>
      </c>
      <c r="AI97" s="48">
        <f>AI98*AI92</f>
        <v>54.274707253841498</v>
      </c>
      <c r="AJ97" s="48">
        <f t="shared" ref="AJ97:AK97" si="286">AJ98*AJ92</f>
        <v>63.377157681934058</v>
      </c>
      <c r="AK97" s="48">
        <f t="shared" si="286"/>
        <v>88.941181318563167</v>
      </c>
      <c r="AL97" s="49">
        <f>SUM(AH97:AK97)</f>
        <v>260.27907689344914</v>
      </c>
      <c r="AM97" s="48">
        <f>AM98*AM92</f>
        <v>61.681835268903626</v>
      </c>
      <c r="AN97" s="48">
        <f>AN98*AN92</f>
        <v>61.406837923192356</v>
      </c>
      <c r="AO97" s="48">
        <f t="shared" ref="AO97:AP97" si="287">AO98*AO92</f>
        <v>70.658216078725701</v>
      </c>
      <c r="AP97" s="48">
        <f t="shared" si="287"/>
        <v>97.836698502236487</v>
      </c>
      <c r="AQ97" s="49">
        <f>SUM(AM97:AP97)</f>
        <v>291.58358777305818</v>
      </c>
      <c r="AR97" s="48">
        <f>AR98*AR92</f>
        <v>66.109441347627865</v>
      </c>
      <c r="AS97" s="48">
        <f>AS98*AS92</f>
        <v>65.747329671427153</v>
      </c>
      <c r="AT97" s="48">
        <f t="shared" ref="AT97:AU97" si="288">AT98*AT92</f>
        <v>75.59784847071532</v>
      </c>
      <c r="AU97" s="48">
        <f t="shared" si="288"/>
        <v>104.69630388630577</v>
      </c>
      <c r="AV97" s="49">
        <f>SUM(AR97:AU97)</f>
        <v>312.15092337607609</v>
      </c>
    </row>
    <row r="98" spans="1:48" s="184" customFormat="1" outlineLevel="1" x14ac:dyDescent="0.3">
      <c r="B98" s="181" t="s">
        <v>152</v>
      </c>
      <c r="C98" s="190"/>
      <c r="D98" s="167">
        <f>D97/D92</f>
        <v>2.0811170212765958E-2</v>
      </c>
      <c r="E98" s="167">
        <f t="shared" ref="E98:V98" si="289">E97/E92</f>
        <v>1.7196286125277887E-2</v>
      </c>
      <c r="F98" s="167">
        <f t="shared" si="289"/>
        <v>1.6842238062196431E-2</v>
      </c>
      <c r="G98" s="167">
        <f t="shared" si="289"/>
        <v>2.0291330068061827E-2</v>
      </c>
      <c r="H98" s="186">
        <f t="shared" si="289"/>
        <v>1.8769787426503842E-2</v>
      </c>
      <c r="I98" s="167">
        <f t="shared" si="289"/>
        <v>2.2850232321303544E-2</v>
      </c>
      <c r="J98" s="167">
        <f t="shared" si="289"/>
        <v>2.8027498677948178E-2</v>
      </c>
      <c r="K98" s="167">
        <f t="shared" si="289"/>
        <v>3.9490311710193765E-2</v>
      </c>
      <c r="L98" s="167">
        <f t="shared" si="289"/>
        <v>2.6401111625752663E-2</v>
      </c>
      <c r="M98" s="186">
        <f t="shared" si="289"/>
        <v>2.8084233344946388E-2</v>
      </c>
      <c r="N98" s="167">
        <f t="shared" si="289"/>
        <v>2.0733845130871061E-2</v>
      </c>
      <c r="O98" s="167">
        <f t="shared" si="289"/>
        <v>1.8188590229064498E-2</v>
      </c>
      <c r="P98" s="167">
        <f t="shared" si="289"/>
        <v>2.3094548962855763E-2</v>
      </c>
      <c r="Q98" s="167">
        <f t="shared" si="289"/>
        <v>2.0787631881332914E-2</v>
      </c>
      <c r="R98" s="188">
        <f t="shared" si="289"/>
        <v>2.0721827381474659E-2</v>
      </c>
      <c r="S98" s="167">
        <f t="shared" si="289"/>
        <v>2.0896636281251667E-2</v>
      </c>
      <c r="T98" s="167">
        <f t="shared" si="289"/>
        <v>2.3202537593984961E-2</v>
      </c>
      <c r="U98" s="167">
        <f t="shared" si="289"/>
        <v>3.7988262762668014E-2</v>
      </c>
      <c r="V98" s="167">
        <f t="shared" si="289"/>
        <v>2.948790095666854E-2</v>
      </c>
      <c r="W98" s="188">
        <f t="shared" ref="W98" si="290">W97/W92</f>
        <v>2.7564841498559079E-2</v>
      </c>
      <c r="X98" s="189">
        <f>S98</f>
        <v>2.0896636281251667E-2</v>
      </c>
      <c r="Y98" s="189">
        <f t="shared" ref="Y98" si="291">T98</f>
        <v>2.3202537593984961E-2</v>
      </c>
      <c r="Z98" s="189">
        <f>U98-0.5%</f>
        <v>3.2988262762668016E-2</v>
      </c>
      <c r="AA98" s="189">
        <f t="shared" ref="AA98" si="292">V98</f>
        <v>2.948790095666854E-2</v>
      </c>
      <c r="AB98" s="188">
        <f t="shared" ref="AB98" si="293">AB97/AB92</f>
        <v>2.7013584042564518E-2</v>
      </c>
      <c r="AC98" s="189">
        <f>X98</f>
        <v>2.0896636281251667E-2</v>
      </c>
      <c r="AD98" s="189">
        <f t="shared" ref="AD98" si="294">Y98</f>
        <v>2.3202537593984961E-2</v>
      </c>
      <c r="AE98" s="189">
        <f>Z98-0.5%</f>
        <v>2.7988262762668015E-2</v>
      </c>
      <c r="AF98" s="189">
        <f t="shared" ref="AF98" si="295">AA98</f>
        <v>2.948790095666854E-2</v>
      </c>
      <c r="AG98" s="188">
        <f t="shared" ref="AG98" si="296">AG97/AG92</f>
        <v>2.5605044345320207E-2</v>
      </c>
      <c r="AH98" s="189">
        <f>AC98-0.2%</f>
        <v>1.8896636281251669E-2</v>
      </c>
      <c r="AI98" s="189">
        <f>AD98-0.2%</f>
        <v>2.1202537593984959E-2</v>
      </c>
      <c r="AJ98" s="189">
        <f>AE98-0.6%</f>
        <v>2.1988262762668014E-2</v>
      </c>
      <c r="AK98" s="189">
        <f>AF98-0.2%</f>
        <v>2.7487900956668539E-2</v>
      </c>
      <c r="AL98" s="188">
        <f t="shared" ref="AL98" si="297">AL97/AL92</f>
        <v>2.2595977249011554E-2</v>
      </c>
      <c r="AM98" s="189">
        <f>AH98</f>
        <v>1.8896636281251669E-2</v>
      </c>
      <c r="AN98" s="189">
        <f t="shared" ref="AN98:AP98" si="298">AI98</f>
        <v>2.1202537593984959E-2</v>
      </c>
      <c r="AO98" s="189">
        <f t="shared" si="298"/>
        <v>2.1988262762668014E-2</v>
      </c>
      <c r="AP98" s="189">
        <f t="shared" si="298"/>
        <v>2.7487900956668539E-2</v>
      </c>
      <c r="AQ98" s="188">
        <f t="shared" ref="AQ98" si="299">AQ97/AQ92</f>
        <v>2.2545550466198275E-2</v>
      </c>
      <c r="AR98" s="189">
        <f>AM98</f>
        <v>1.8896636281251669E-2</v>
      </c>
      <c r="AS98" s="189">
        <f t="shared" ref="AS98:AU98" si="300">AN98</f>
        <v>2.1202537593984959E-2</v>
      </c>
      <c r="AT98" s="189">
        <f t="shared" si="300"/>
        <v>2.1988262762668014E-2</v>
      </c>
      <c r="AU98" s="189">
        <f t="shared" si="300"/>
        <v>2.7487900956668539E-2</v>
      </c>
      <c r="AV98" s="188">
        <f t="shared" ref="AV98" si="301">AV97/AV92</f>
        <v>2.2543981040729716E-2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v>121.5</v>
      </c>
      <c r="W99" s="126">
        <f>SUM(S99:V99)</f>
        <v>513</v>
      </c>
      <c r="X99" s="358">
        <f>(V99/(V66+V99+V114+V127))*'CFS (Before Changes) '!X7*0.95</f>
        <v>125.95116549467765</v>
      </c>
      <c r="Y99" s="358">
        <f>(X99/(X66+X99+X114+X127))*'CFS (Before Changes) '!Y7*0.95</f>
        <v>129.51288997928702</v>
      </c>
      <c r="Z99" s="358">
        <f>(Y99/(Y66+Y99+Y114+Y127))*'CFS (Before Changes) '!Z7*0.95</f>
        <v>132.12038508205629</v>
      </c>
      <c r="AA99" s="358">
        <f>(Z99/(Z66+Z99+Z114+Z127))*'CFS (Before Changes) '!AA7*0.95</f>
        <v>135.35878372326894</v>
      </c>
      <c r="AB99" s="126">
        <f>SUM(X99:AA99)</f>
        <v>522.94322427928989</v>
      </c>
      <c r="AC99" s="358">
        <f>(AA99/(AA66+AA99+AA114+AA127))*'CFS (Before Changes) '!AC7*0.95</f>
        <v>141.55660371105279</v>
      </c>
      <c r="AD99" s="358">
        <f>(AC99/(AC66+AC99+AC114+AC127))*'CFS (Before Changes) '!AD7*0.95</f>
        <v>145.78811634212923</v>
      </c>
      <c r="AE99" s="358">
        <f>(AD99/(AD66+AD99+AD114+AD127))*'CFS (Before Changes) '!AE7*0.95</f>
        <v>149.13408007296539</v>
      </c>
      <c r="AF99" s="358">
        <f>(AE99/(AE66+AE99+AE114+AE127))*'CFS (Before Changes) '!AF7*0.95</f>
        <v>153.64469872898161</v>
      </c>
      <c r="AG99" s="126">
        <f>SUM(AC99:AF99)</f>
        <v>590.12349885512901</v>
      </c>
      <c r="AH99" s="358">
        <f>(AF99/(AF66+AF99+AF114+AF127))*'CFS (Before Changes) '!AH7*0.95</f>
        <v>158.68309239274308</v>
      </c>
      <c r="AI99" s="358">
        <f>(AH99/(AH66+AH99+AH114+AH127))*'CFS (Before Changes) '!AI7*0.95</f>
        <v>162.12106557769698</v>
      </c>
      <c r="AJ99" s="358">
        <f>(AI99/(AI66+AI99+AI114+AI127))*'CFS (Before Changes) '!AJ7*0.95</f>
        <v>164.70833206939622</v>
      </c>
      <c r="AK99" s="358">
        <f>(AJ99/(AJ66+AJ99+AJ114+AJ127))*'CFS (Before Changes) '!AK7*0.95</f>
        <v>168.37759974457461</v>
      </c>
      <c r="AL99" s="126">
        <f>SUM(AH99:AK99)</f>
        <v>653.89008978441086</v>
      </c>
      <c r="AM99" s="358">
        <f>(AK99/(AK66+AK99+AK114+AK127))*'CFS (Before Changes) '!AM7*0.95</f>
        <v>172.3383271856635</v>
      </c>
      <c r="AN99" s="358">
        <f>(AM99/(AM66+AM99+AM114+AM127))*'CFS (Before Changes) '!AN7*0.95</f>
        <v>176.33825816269101</v>
      </c>
      <c r="AO99" s="358">
        <f>(AN99/(AN66+AN99+AN114+AN127))*'CFS (Before Changes) '!AO7*0.95</f>
        <v>179.27530066882457</v>
      </c>
      <c r="AP99" s="358">
        <f>(AO99/(AO66+AO99+AO114+AO127))*'CFS (Before Changes) '!AP7*0.95</f>
        <v>183.28237995629217</v>
      </c>
      <c r="AQ99" s="126">
        <f>SUM(AM99:AP99)</f>
        <v>711.23426597347122</v>
      </c>
      <c r="AR99" s="358">
        <f>(AP99/(AP66+AP99+AP114+AP127))*'CFS (Before Changes) '!AR7*0.95</f>
        <v>187.53037442260273</v>
      </c>
      <c r="AS99" s="358">
        <f>(AR99/(AR66+AR99+AR114+AR127))*'CFS (Before Changes) '!AS7*0.95</f>
        <v>191.57641341344566</v>
      </c>
      <c r="AT99" s="358">
        <f>(AS99/(AS66+AS99+AS114+AS127))*'CFS (Before Changes) '!AT7*0.95</f>
        <v>194.47512982944554</v>
      </c>
      <c r="AU99" s="358">
        <f>(AT99/(AT66+AT99+AT114+AT127))*'CFS (Before Changes) '!AU7*0.95</f>
        <v>198.51222045378105</v>
      </c>
      <c r="AV99" s="126">
        <f>SUM(AR99:AU99)</f>
        <v>772.09413811927504</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v>92.6</v>
      </c>
      <c r="W100" s="49">
        <f>SUM(S100:V100)</f>
        <v>345.29999999999995</v>
      </c>
      <c r="X100" s="48">
        <f>X101*X92</f>
        <v>91.184236251229891</v>
      </c>
      <c r="Y100" s="48">
        <f>Y101*Y92</f>
        <v>87.904254078282975</v>
      </c>
      <c r="Z100" s="48">
        <f t="shared" ref="Z100:AA100" si="302">Z101*Z92</f>
        <v>99.136736925676431</v>
      </c>
      <c r="AA100" s="48">
        <f t="shared" si="302"/>
        <v>112.70682698757869</v>
      </c>
      <c r="AB100" s="49">
        <f>SUM(X100:AA100)</f>
        <v>390.932054242768</v>
      </c>
      <c r="AC100" s="48">
        <f>AC101*AC92</f>
        <v>111.2553856906564</v>
      </c>
      <c r="AD100" s="48">
        <f>AD101*AD92</f>
        <v>102.89901387406633</v>
      </c>
      <c r="AE100" s="48">
        <f t="shared" ref="AE100:AF100" si="303">AE101*AE92</f>
        <v>115.79160724020809</v>
      </c>
      <c r="AF100" s="48">
        <f t="shared" si="303"/>
        <v>131.49336030583387</v>
      </c>
      <c r="AG100" s="49">
        <f>SUM(AC100:AF100)</f>
        <v>461.43936711076469</v>
      </c>
      <c r="AH100" s="48">
        <f>AH101*AH92</f>
        <v>124.06797730128031</v>
      </c>
      <c r="AI100" s="48">
        <f>AI101*AI92</f>
        <v>114.57124975475698</v>
      </c>
      <c r="AJ100" s="48">
        <f t="shared" ref="AJ100:AK100" si="304">AJ101*AJ92</f>
        <v>128.60498628008423</v>
      </c>
      <c r="AK100" s="48">
        <f t="shared" si="304"/>
        <v>145.96106202508582</v>
      </c>
      <c r="AL100" s="49">
        <f>SUM(AH100:AK100)</f>
        <v>513.20527536120733</v>
      </c>
      <c r="AM100" s="48">
        <f>AM101*AM92</f>
        <v>142.54621634233101</v>
      </c>
      <c r="AN100" s="48">
        <f>AN101*AN92</f>
        <v>129.62682841278692</v>
      </c>
      <c r="AO100" s="48">
        <f t="shared" ref="AO100:AP100" si="305">AO101*AO92</f>
        <v>143.37971663203879</v>
      </c>
      <c r="AP100" s="48">
        <f t="shared" si="305"/>
        <v>160.55946420664495</v>
      </c>
      <c r="AQ100" s="49">
        <f>SUM(AM100:AP100)</f>
        <v>576.11222559380167</v>
      </c>
      <c r="AR100" s="48">
        <f>AR101*AR92</f>
        <v>152.77837774325204</v>
      </c>
      <c r="AS100" s="48">
        <f>AS101*AS92</f>
        <v>138.78939398535888</v>
      </c>
      <c r="AT100" s="48">
        <f t="shared" ref="AT100:AU100" si="306">AT101*AT92</f>
        <v>153.40322319553317</v>
      </c>
      <c r="AU100" s="48">
        <f t="shared" si="306"/>
        <v>171.81673864451864</v>
      </c>
      <c r="AV100" s="49">
        <f>SUM(AR100:AU100)</f>
        <v>616.7877335686627</v>
      </c>
    </row>
    <row r="101" spans="1:48" s="184" customFormat="1" outlineLevel="1" x14ac:dyDescent="0.3">
      <c r="B101" s="181" t="s">
        <v>153</v>
      </c>
      <c r="C101" s="190"/>
      <c r="D101" s="167">
        <f>D100/D92</f>
        <v>4.6077127659574467E-2</v>
      </c>
      <c r="E101" s="167">
        <f t="shared" ref="E101:V101" si="307">E100/E92</f>
        <v>5.2438864914345497E-2</v>
      </c>
      <c r="F101" s="167">
        <f t="shared" si="307"/>
        <v>5.4248407241531571E-2</v>
      </c>
      <c r="G101" s="167">
        <f t="shared" si="307"/>
        <v>5.2413968577062528E-2</v>
      </c>
      <c r="H101" s="186">
        <f t="shared" si="307"/>
        <v>5.1350390902629703E-2</v>
      </c>
      <c r="I101" s="167">
        <f t="shared" si="307"/>
        <v>4.277257972121444E-2</v>
      </c>
      <c r="J101" s="167">
        <f t="shared" si="307"/>
        <v>5.6143134144191795E-2</v>
      </c>
      <c r="K101" s="167">
        <f t="shared" si="307"/>
        <v>6.9608256107834873E-2</v>
      </c>
      <c r="L101" s="167">
        <f t="shared" si="307"/>
        <v>5.5912128630979954E-2</v>
      </c>
      <c r="M101" s="186">
        <f t="shared" si="307"/>
        <v>5.4484573994503162E-2</v>
      </c>
      <c r="N101" s="167">
        <f t="shared" si="307"/>
        <v>4.9930484192709908E-2</v>
      </c>
      <c r="O101" s="167">
        <f t="shared" si="307"/>
        <v>4.9537525606803648E-2</v>
      </c>
      <c r="P101" s="167">
        <f t="shared" si="307"/>
        <v>5.5656054027978775E-2</v>
      </c>
      <c r="Q101" s="167">
        <f t="shared" si="307"/>
        <v>5.139454716389847E-2</v>
      </c>
      <c r="R101" s="188">
        <f t="shared" si="307"/>
        <v>5.1636395542686682E-2</v>
      </c>
      <c r="S101" s="167">
        <f t="shared" si="307"/>
        <v>4.8669971746894823E-2</v>
      </c>
      <c r="T101" s="167">
        <f t="shared" si="307"/>
        <v>4.6757518796992477E-2</v>
      </c>
      <c r="U101" s="167">
        <f t="shared" si="307"/>
        <v>5.1618602890136929E-2</v>
      </c>
      <c r="V101" s="167">
        <f t="shared" si="307"/>
        <v>5.211029825548677E-2</v>
      </c>
      <c r="W101" s="188">
        <f t="shared" ref="W101" si="308">W100/W92</f>
        <v>4.9755043227665698E-2</v>
      </c>
      <c r="X101" s="189">
        <f>S101</f>
        <v>4.8669971746894823E-2</v>
      </c>
      <c r="Y101" s="189">
        <f t="shared" ref="Y101" si="309">T101</f>
        <v>4.6757518796992477E-2</v>
      </c>
      <c r="Z101" s="189">
        <f>U101-0.5%</f>
        <v>4.6618602890136931E-2</v>
      </c>
      <c r="AA101" s="189">
        <f>V101-0.5%</f>
        <v>4.7110298255486772E-2</v>
      </c>
      <c r="AB101" s="188">
        <f t="shared" ref="AB101" si="310">AB100/AB92</f>
        <v>4.7256958245355397E-2</v>
      </c>
      <c r="AC101" s="189">
        <f>X101-0.3%</f>
        <v>4.566997174689482E-2</v>
      </c>
      <c r="AD101" s="189">
        <f t="shared" ref="AD101:AF101" si="311">Y101</f>
        <v>4.6757518796992477E-2</v>
      </c>
      <c r="AE101" s="189">
        <f t="shared" si="311"/>
        <v>4.6618602890136931E-2</v>
      </c>
      <c r="AF101" s="189">
        <f t="shared" si="311"/>
        <v>4.7110298255486772E-2</v>
      </c>
      <c r="AG101" s="188">
        <f t="shared" ref="AG101" si="312">AG100/AG92</f>
        <v>4.6554758235221594E-2</v>
      </c>
      <c r="AH101" s="189">
        <f>AC101-0.2%</f>
        <v>4.3669971746894819E-2</v>
      </c>
      <c r="AI101" s="189">
        <f>AD101-0.2%</f>
        <v>4.4757518796992475E-2</v>
      </c>
      <c r="AJ101" s="189">
        <f>AE101-0.2%</f>
        <v>4.461860289013693E-2</v>
      </c>
      <c r="AK101" s="189">
        <f>AF101-0.2%</f>
        <v>4.5110298255486771E-2</v>
      </c>
      <c r="AL101" s="188">
        <f t="shared" ref="AL101" si="313">AL100/AL92</f>
        <v>4.4553618617918248E-2</v>
      </c>
      <c r="AM101" s="189">
        <f>AH101</f>
        <v>4.3669971746894819E-2</v>
      </c>
      <c r="AN101" s="189">
        <f t="shared" ref="AN101:AP101" si="314">AI101</f>
        <v>4.4757518796992475E-2</v>
      </c>
      <c r="AO101" s="189">
        <f t="shared" si="314"/>
        <v>4.461860289013693E-2</v>
      </c>
      <c r="AP101" s="189">
        <f t="shared" si="314"/>
        <v>4.5110298255486771E-2</v>
      </c>
      <c r="AQ101" s="188">
        <f t="shared" ref="AQ101" si="315">AQ100/AQ92</f>
        <v>4.4545604763009235E-2</v>
      </c>
      <c r="AR101" s="189">
        <f>AM101</f>
        <v>4.3669971746894819E-2</v>
      </c>
      <c r="AS101" s="189">
        <f t="shared" ref="AS101:AU101" si="316">AN101</f>
        <v>4.4757518796992475E-2</v>
      </c>
      <c r="AT101" s="189">
        <f t="shared" si="316"/>
        <v>4.461860289013693E-2</v>
      </c>
      <c r="AU101" s="189">
        <f t="shared" si="316"/>
        <v>4.5110298255486771E-2</v>
      </c>
      <c r="AV101" s="188">
        <f t="shared" ref="AV101" si="317">AV100/AV92</f>
        <v>4.4545282203039223E-2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318">IFERROR((Y163*(X102/X163)),0)</f>
        <v>0</v>
      </c>
      <c r="Z102" s="119">
        <f t="shared" si="318"/>
        <v>0</v>
      </c>
      <c r="AA102" s="119">
        <f t="shared" si="318"/>
        <v>0</v>
      </c>
      <c r="AB102" s="131">
        <f>SUM(X102:AA102)</f>
        <v>0</v>
      </c>
      <c r="AC102" s="119">
        <f>IFERROR((AC163*(AA102/AA163)),0)</f>
        <v>0</v>
      </c>
      <c r="AD102" s="119">
        <f t="shared" ref="AD102:AF102" si="319">IFERROR((AD163*(AC102/AC163)),0)</f>
        <v>0</v>
      </c>
      <c r="AE102" s="119">
        <f t="shared" si="319"/>
        <v>0</v>
      </c>
      <c r="AF102" s="119">
        <f t="shared" si="319"/>
        <v>0</v>
      </c>
      <c r="AG102" s="131">
        <f>SUM(AC102:AF102)</f>
        <v>0</v>
      </c>
      <c r="AH102" s="119">
        <f>IFERROR((AH163*(AF102/AF163)),0)</f>
        <v>0</v>
      </c>
      <c r="AI102" s="119">
        <f t="shared" ref="AI102:AK102" si="320">IFERROR((AI163*(AH102/AH163)),0)</f>
        <v>0</v>
      </c>
      <c r="AJ102" s="119">
        <f t="shared" si="320"/>
        <v>0</v>
      </c>
      <c r="AK102" s="119">
        <f t="shared" si="320"/>
        <v>0</v>
      </c>
      <c r="AL102" s="131">
        <f>SUM(AH102:AK102)</f>
        <v>0</v>
      </c>
      <c r="AM102" s="119">
        <f>IFERROR((AM163*(AK102/AK163)),0)</f>
        <v>0</v>
      </c>
      <c r="AN102" s="119">
        <f t="shared" ref="AN102:AP102" si="321">IFERROR((AN163*(AM102/AM163)),0)</f>
        <v>0</v>
      </c>
      <c r="AO102" s="119">
        <f t="shared" si="321"/>
        <v>0</v>
      </c>
      <c r="AP102" s="119">
        <f t="shared" si="321"/>
        <v>0</v>
      </c>
      <c r="AQ102" s="131">
        <f>SUM(AM102:AP102)</f>
        <v>0</v>
      </c>
      <c r="AR102" s="119">
        <f>IFERROR((AR163*(AP102/AP163)),0)</f>
        <v>0</v>
      </c>
      <c r="AS102" s="119">
        <f t="shared" ref="AS102:AU102" si="322">IFERROR((AS163*(AR102/AR163)),0)</f>
        <v>0</v>
      </c>
      <c r="AT102" s="119">
        <f t="shared" si="322"/>
        <v>0</v>
      </c>
      <c r="AU102" s="119">
        <f t="shared" si="322"/>
        <v>0</v>
      </c>
      <c r="AV102" s="131">
        <f>SUM(AR102:AU102)</f>
        <v>0</v>
      </c>
    </row>
    <row r="103" spans="1:48" outlineLevel="1" x14ac:dyDescent="0.3">
      <c r="B103" s="46" t="s">
        <v>123</v>
      </c>
      <c r="C103" s="19"/>
      <c r="D103" s="103">
        <f>D93+D95+D97+D99+D100+D102</f>
        <v>1300.4000000000001</v>
      </c>
      <c r="E103" s="103">
        <f t="shared" ref="E103:G103" si="323">E93+E95+E97+E99+E100+E102</f>
        <v>1349.7</v>
      </c>
      <c r="F103" s="103">
        <f t="shared" si="323"/>
        <v>1342.3000000000002</v>
      </c>
      <c r="G103" s="103">
        <f t="shared" si="323"/>
        <v>1336.2000000000003</v>
      </c>
      <c r="H103" s="171">
        <f>H93+H95+H97+H99+H100+H102</f>
        <v>5328.5999999999995</v>
      </c>
      <c r="I103" s="103">
        <f>I93+I95+I97+I99+I100+I102</f>
        <v>1326.1</v>
      </c>
      <c r="J103" s="103">
        <f t="shared" ref="J103:L103" si="324">J93+J95+J97+J99+J100+J102</f>
        <v>1174.8</v>
      </c>
      <c r="K103" s="103">
        <f t="shared" si="324"/>
        <v>1052.9999999999998</v>
      </c>
      <c r="L103" s="103">
        <f t="shared" si="324"/>
        <v>1358.8000000000002</v>
      </c>
      <c r="M103" s="171">
        <f>M93+M95+M97+M99+M100+M102</f>
        <v>4912.7000000000007</v>
      </c>
      <c r="N103" s="103">
        <f>N93+N95+N97+N99+N100+N102</f>
        <v>1405.8</v>
      </c>
      <c r="O103" s="103">
        <f t="shared" ref="O103:P103" si="325">O93+O95+O97+O99+O100+O102</f>
        <v>1386.2</v>
      </c>
      <c r="P103" s="103">
        <f t="shared" si="325"/>
        <v>1382.1</v>
      </c>
      <c r="Q103" s="103">
        <f>Q93+Q95+Q97+Q99+Q100+Q102</f>
        <v>1577.5</v>
      </c>
      <c r="R103" s="171">
        <f>R93+R95+R97+R99+R100+R102</f>
        <v>5751.6</v>
      </c>
      <c r="S103" s="103">
        <f>S93+S95+S97+S99+S100+S102</f>
        <v>1577</v>
      </c>
      <c r="T103" s="103">
        <f t="shared" ref="T103:V103" si="326">T93+T95+T97+T99+T100+T102</f>
        <v>1522.3</v>
      </c>
      <c r="U103" s="103">
        <f t="shared" si="326"/>
        <v>1449.8</v>
      </c>
      <c r="V103" s="103">
        <f t="shared" si="326"/>
        <v>1560</v>
      </c>
      <c r="W103" s="171">
        <f>W93+W95+W97+W99+W100+W102</f>
        <v>6109.1</v>
      </c>
      <c r="X103" s="103">
        <f>X93+X95+X97+X99+X100+X102</f>
        <v>1593.2733496745254</v>
      </c>
      <c r="Y103" s="103">
        <f t="shared" ref="Y103:AA103" si="327">Y93+Y95+Y97+Y99+Y100+Y102</f>
        <v>1600.6778807162423</v>
      </c>
      <c r="Z103" s="103">
        <f t="shared" si="327"/>
        <v>1881.7528154533952</v>
      </c>
      <c r="AA103" s="103">
        <f t="shared" si="327"/>
        <v>2048.5962291113519</v>
      </c>
      <c r="AB103" s="171">
        <f>AB93+AB95+AB97+AB99+AB100+AB102</f>
        <v>7124.3002749555144</v>
      </c>
      <c r="AC103" s="103">
        <f>AC93+AC95+AC97+AC99+AC100+AC102</f>
        <v>2028.0748931060559</v>
      </c>
      <c r="AD103" s="103">
        <f t="shared" ref="AD103:AF103" si="328">AD93+AD95+AD97+AD99+AD100+AD102</f>
        <v>1796.4796974663905</v>
      </c>
      <c r="AE103" s="103">
        <f t="shared" si="328"/>
        <v>2187.4722972640025</v>
      </c>
      <c r="AF103" s="103">
        <f t="shared" si="328"/>
        <v>2392.4989502684225</v>
      </c>
      <c r="AG103" s="171">
        <f>AG93+AG95+AG97+AG99+AG100+AG102</f>
        <v>8404.5258381048716</v>
      </c>
      <c r="AH103" s="103">
        <f>AH93+AH95+AH97+AH99+AH100+AH102</f>
        <v>2342.2945539104821</v>
      </c>
      <c r="AI103" s="103">
        <f t="shared" ref="AI103:AK103" si="329">AI93+AI95+AI97+AI99+AI100+AI102</f>
        <v>2067.9344466967818</v>
      </c>
      <c r="AJ103" s="103">
        <f t="shared" si="329"/>
        <v>2441.5753691469818</v>
      </c>
      <c r="AK103" s="103">
        <f t="shared" si="329"/>
        <v>2745.5682557988275</v>
      </c>
      <c r="AL103" s="171">
        <f>AL93+AL95+AL97+AL99+AL100+AL102</f>
        <v>9597.3726255530728</v>
      </c>
      <c r="AM103" s="103">
        <f>AM93+AM95+AM97+AM99+AM100+AM102</f>
        <v>2687.7553218475532</v>
      </c>
      <c r="AN103" s="103">
        <f t="shared" ref="AN103:AP103" si="330">AN93+AN95+AN97+AN99+AN100+AN102</f>
        <v>2338.7783496018742</v>
      </c>
      <c r="AO103" s="103">
        <f t="shared" si="330"/>
        <v>2725.4280914658843</v>
      </c>
      <c r="AP103" s="103">
        <f t="shared" si="330"/>
        <v>3025.9789695315444</v>
      </c>
      <c r="AQ103" s="171">
        <f>AQ93+AQ95+AQ97+AQ99+AQ100+AQ102</f>
        <v>10777.940732446856</v>
      </c>
      <c r="AR103" s="103">
        <f>AR93+AR95+AR97+AR99+AR100+AR102</f>
        <v>2890.6013561828804</v>
      </c>
      <c r="AS103" s="103">
        <f t="shared" ref="AS103:AU103" si="331">AS93+AS95+AS97+AS99+AS100+AS102</f>
        <v>2513.5937871498772</v>
      </c>
      <c r="AT103" s="103">
        <f t="shared" si="331"/>
        <v>2926.8396384023667</v>
      </c>
      <c r="AU103" s="103">
        <f t="shared" si="331"/>
        <v>3248.5186655254283</v>
      </c>
      <c r="AV103" s="171">
        <f>AV93+AV95+AV97+AV99+AV100+AV102</f>
        <v>11579.553447260554</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104">
        <v>0.6</v>
      </c>
      <c r="W104" s="193">
        <f>SUM(S104:V104)</f>
        <v>2.2999999999999998</v>
      </c>
      <c r="X104" s="56">
        <v>0.4</v>
      </c>
      <c r="Y104" s="56">
        <v>0.5</v>
      </c>
      <c r="Z104" s="56">
        <v>0.6</v>
      </c>
      <c r="AA104" s="56">
        <v>0.7</v>
      </c>
      <c r="AB104" s="193">
        <f>SUM(X104:AA104)</f>
        <v>2.2000000000000002</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332">+E92-E103+E104</f>
        <v>201.80000000000004</v>
      </c>
      <c r="F105" s="156">
        <f t="shared" si="332"/>
        <v>270.19999999999976</v>
      </c>
      <c r="G105" s="156">
        <f t="shared" si="332"/>
        <v>262.69999999999987</v>
      </c>
      <c r="H105" s="132">
        <f>SUM(D105:G105)</f>
        <v>964.69999999999959</v>
      </c>
      <c r="I105" s="156">
        <f t="shared" si="332"/>
        <v>275.89999999999998</v>
      </c>
      <c r="J105" s="156">
        <f t="shared" si="332"/>
        <v>-15.400000000000045</v>
      </c>
      <c r="K105" s="156">
        <f>+K92-K103+K104</f>
        <v>-85.999999999999744</v>
      </c>
      <c r="L105" s="156">
        <f t="shared" si="332"/>
        <v>181.69999999999976</v>
      </c>
      <c r="M105" s="132">
        <f>SUM(I105:L105)</f>
        <v>356.19999999999993</v>
      </c>
      <c r="N105" s="156">
        <f t="shared" si="332"/>
        <v>274.8</v>
      </c>
      <c r="O105" s="156">
        <f t="shared" si="332"/>
        <v>251.50000000000006</v>
      </c>
      <c r="P105" s="156">
        <f t="shared" si="332"/>
        <v>318.29999999999995</v>
      </c>
      <c r="Q105" s="156">
        <f t="shared" si="332"/>
        <v>377.39999999999992</v>
      </c>
      <c r="R105" s="97">
        <f>SUM(N105:Q105)</f>
        <v>1222</v>
      </c>
      <c r="S105" s="74">
        <f t="shared" si="332"/>
        <v>299.59999999999985</v>
      </c>
      <c r="T105" s="74">
        <f t="shared" si="332"/>
        <v>180.70000000000013</v>
      </c>
      <c r="U105" s="74">
        <f t="shared" si="332"/>
        <v>135.3000000000001</v>
      </c>
      <c r="V105" s="74">
        <f t="shared" si="332"/>
        <v>217.6</v>
      </c>
      <c r="W105" s="97">
        <f>SUM(S105:V105)</f>
        <v>833.2</v>
      </c>
      <c r="X105" s="74">
        <f t="shared" ref="X105:AA105" si="333">+X92-X103+X104</f>
        <v>280.6481046922014</v>
      </c>
      <c r="Y105" s="74">
        <f t="shared" si="333"/>
        <v>279.824658767036</v>
      </c>
      <c r="Z105" s="74">
        <f t="shared" si="333"/>
        <v>245.39604658147991</v>
      </c>
      <c r="AA105" s="74">
        <f t="shared" si="333"/>
        <v>344.5069430433079</v>
      </c>
      <c r="AB105" s="97">
        <f>SUM(X105:AA105)</f>
        <v>1150.3757530840253</v>
      </c>
      <c r="AC105" s="74">
        <f t="shared" ref="AC105:AF105" si="334">+AC92-AC103+AC104</f>
        <v>408.99812019115166</v>
      </c>
      <c r="AD105" s="74">
        <f t="shared" si="334"/>
        <v>405.21479021213372</v>
      </c>
      <c r="AE105" s="74">
        <f t="shared" si="334"/>
        <v>297.3345965866506</v>
      </c>
      <c r="AF105" s="74">
        <f t="shared" si="334"/>
        <v>399.68185679682028</v>
      </c>
      <c r="AG105" s="97">
        <f>SUM(AC105:AF105)</f>
        <v>1511.2293637867563</v>
      </c>
      <c r="AH105" s="74">
        <f t="shared" ref="AH105:AK105" si="335">+AH92-AH103+AH104</f>
        <v>499.74179986508989</v>
      </c>
      <c r="AI105" s="74">
        <f t="shared" si="335"/>
        <v>492.88684890318109</v>
      </c>
      <c r="AJ105" s="74">
        <f t="shared" si="335"/>
        <v>441.74227304240958</v>
      </c>
      <c r="AK105" s="74">
        <f t="shared" si="335"/>
        <v>491.08009213317837</v>
      </c>
      <c r="AL105" s="97">
        <f>SUM(AH105:AK105)</f>
        <v>1925.4510139438589</v>
      </c>
      <c r="AM105" s="74">
        <f t="shared" ref="AM105:AP105" si="336">+AM92-AM103+AM104</f>
        <v>577.41478498259039</v>
      </c>
      <c r="AN105" s="74">
        <f t="shared" si="336"/>
        <v>558.4239399114872</v>
      </c>
      <c r="AO105" s="74">
        <f t="shared" si="336"/>
        <v>489.02341406597725</v>
      </c>
      <c r="AP105" s="74">
        <f t="shared" si="336"/>
        <v>534.28511019810094</v>
      </c>
      <c r="AQ105" s="97">
        <f>SUM(AM105:AP105)</f>
        <v>2159.1472491581558</v>
      </c>
      <c r="AR105" s="74">
        <f t="shared" ref="AR105:AU105" si="337">+AR92-AR103+AR104</f>
        <v>608.87532314117789</v>
      </c>
      <c r="AS105" s="74">
        <f t="shared" si="337"/>
        <v>588.32417514531971</v>
      </c>
      <c r="AT105" s="74">
        <f t="shared" si="337"/>
        <v>512.26046467018796</v>
      </c>
      <c r="AU105" s="74">
        <f t="shared" si="337"/>
        <v>561.29540330242617</v>
      </c>
      <c r="AV105" s="97">
        <f>SUM(AR105:AU105)</f>
        <v>2270.7553662591117</v>
      </c>
    </row>
    <row r="106" spans="1:48" outlineLevel="1" x14ac:dyDescent="0.3">
      <c r="B106" s="46" t="s">
        <v>125</v>
      </c>
      <c r="C106" s="44"/>
      <c r="D106" s="157">
        <f t="shared" ref="D106:G106" si="338">+D105/D92</f>
        <v>0.15292553191489355</v>
      </c>
      <c r="E106" s="157">
        <f t="shared" si="338"/>
        <v>0.1319471688243756</v>
      </c>
      <c r="F106" s="157">
        <f t="shared" si="338"/>
        <v>0.17044092600769556</v>
      </c>
      <c r="G106" s="157">
        <f t="shared" si="338"/>
        <v>0.16710132943196987</v>
      </c>
      <c r="H106" s="133">
        <f>H105/H92</f>
        <v>0.15582800284292814</v>
      </c>
      <c r="I106" s="157">
        <f t="shared" ref="I106:L106" si="339">+I105/I92</f>
        <v>0.17560944561135511</v>
      </c>
      <c r="J106" s="157">
        <f t="shared" si="339"/>
        <v>-1.3573065397496956E-2</v>
      </c>
      <c r="K106" s="157">
        <f t="shared" si="339"/>
        <v>-9.0564448188710761E-2</v>
      </c>
      <c r="L106" s="157">
        <f t="shared" si="339"/>
        <v>0.12022761860649757</v>
      </c>
      <c r="M106" s="133">
        <f>M105/M92</f>
        <v>6.8942825068710564E-2</v>
      </c>
      <c r="N106" s="157">
        <f t="shared" ref="N106:Q106" si="340">+N105/N92</f>
        <v>0.16611255515928189</v>
      </c>
      <c r="O106" s="157">
        <f t="shared" si="340"/>
        <v>0.1561239058911168</v>
      </c>
      <c r="P106" s="157">
        <f t="shared" si="340"/>
        <v>0.19193198263386396</v>
      </c>
      <c r="Q106" s="157">
        <f t="shared" si="340"/>
        <v>0.19711689125665932</v>
      </c>
      <c r="R106" s="98">
        <f>R105/R92</f>
        <v>0.17870199760170807</v>
      </c>
      <c r="S106" s="75">
        <f t="shared" ref="S106:V106" si="341">+S105/S92</f>
        <v>0.15971000586385195</v>
      </c>
      <c r="T106" s="75">
        <f t="shared" si="341"/>
        <v>0.1061442669172933</v>
      </c>
      <c r="U106" s="75">
        <f t="shared" si="341"/>
        <v>8.5378936076228998E-2</v>
      </c>
      <c r="V106" s="75">
        <f t="shared" si="341"/>
        <v>0.12245357343837929</v>
      </c>
      <c r="W106" s="98">
        <f>W105/W92</f>
        <v>0.12005763688760808</v>
      </c>
      <c r="X106" s="75">
        <f t="shared" ref="X106:AA106" si="342">+X105/X92</f>
        <v>0.14979711283160294</v>
      </c>
      <c r="Y106" s="75">
        <f t="shared" si="342"/>
        <v>0.14884270254440521</v>
      </c>
      <c r="Z106" s="75">
        <f t="shared" si="342"/>
        <v>0.11539638282595711</v>
      </c>
      <c r="AA106" s="75">
        <f t="shared" si="342"/>
        <v>0.14400037044468392</v>
      </c>
      <c r="AB106" s="98">
        <f>AB105/AB92</f>
        <v>0.13906063301783275</v>
      </c>
      <c r="AC106" s="75">
        <f t="shared" ref="AC106:AF106" si="343">+AC105/AC92</f>
        <v>0.16789238990730232</v>
      </c>
      <c r="AD106" s="75">
        <f t="shared" si="343"/>
        <v>0.18413041541244921</v>
      </c>
      <c r="AE106" s="75">
        <f t="shared" si="343"/>
        <v>0.11970922430515196</v>
      </c>
      <c r="AF106" s="75">
        <f t="shared" si="343"/>
        <v>0.14319454181725386</v>
      </c>
      <c r="AG106" s="98">
        <f>AG105/AG92</f>
        <v>0.15246839061343473</v>
      </c>
      <c r="AH106" s="75">
        <f t="shared" ref="AH106:AK106" si="344">+AH105/AH92</f>
        <v>0.17590123378779088</v>
      </c>
      <c r="AI106" s="75">
        <f t="shared" si="344"/>
        <v>0.19254736639248865</v>
      </c>
      <c r="AJ106" s="75">
        <f t="shared" si="344"/>
        <v>0.15325940020506024</v>
      </c>
      <c r="AK106" s="75">
        <f t="shared" si="344"/>
        <v>0.15177177471928971</v>
      </c>
      <c r="AL106" s="98">
        <f>AL105/AL92</f>
        <v>0.16715691412634132</v>
      </c>
      <c r="AM106" s="75">
        <f t="shared" ref="AM106:AP106" si="345">+AM105/AM92</f>
        <v>0.17689482045509006</v>
      </c>
      <c r="AN106" s="75">
        <f t="shared" si="345"/>
        <v>0.19281247788990499</v>
      </c>
      <c r="AO106" s="75">
        <f t="shared" si="345"/>
        <v>0.15218011325957087</v>
      </c>
      <c r="AP106" s="75">
        <f t="shared" si="345"/>
        <v>0.15011111798107551</v>
      </c>
      <c r="AQ106" s="98">
        <f>AQ105/AQ92</f>
        <v>0.16694754201232945</v>
      </c>
      <c r="AR106" s="75">
        <f t="shared" ref="AR106:AU106" si="346">+AR105/AR92</f>
        <v>0.17404012630400578</v>
      </c>
      <c r="AS106" s="75">
        <f t="shared" si="346"/>
        <v>0.18972581096916916</v>
      </c>
      <c r="AT106" s="75">
        <f t="shared" si="346"/>
        <v>0.14899521518073078</v>
      </c>
      <c r="AU106" s="75">
        <f t="shared" si="346"/>
        <v>0.14736749895359486</v>
      </c>
      <c r="AV106" s="98">
        <f>AV105/AV92</f>
        <v>0.1639971632036637</v>
      </c>
    </row>
    <row r="107" spans="1:48" ht="17.399999999999999" x14ac:dyDescent="0.45">
      <c r="B107" s="494" t="s">
        <v>51</v>
      </c>
      <c r="C107" s="495"/>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4" t="s">
        <v>347</v>
      </c>
      <c r="W107" s="40" t="s">
        <v>348</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00" t="s">
        <v>126</v>
      </c>
      <c r="C108" s="501"/>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50">
        <v>483.7</v>
      </c>
      <c r="W108" s="31">
        <f>SUM(S108:V108)</f>
        <v>1843.6000000000001</v>
      </c>
      <c r="X108" s="50">
        <f>+S108*(1+X109)</f>
        <v>458.81000000000006</v>
      </c>
      <c r="Y108" s="50">
        <f>+T108*(1+Y109)</f>
        <v>481.62400000000002</v>
      </c>
      <c r="Z108" s="50">
        <f>+U108*(1+Z109)</f>
        <v>498.88800000000003</v>
      </c>
      <c r="AA108" s="50">
        <f t="shared" ref="AA108" si="347">+V108*(1+AA109)</f>
        <v>503.048</v>
      </c>
      <c r="AB108" s="31">
        <f>SUM(X108:AA108)</f>
        <v>1942.3700000000001</v>
      </c>
      <c r="AC108" s="50">
        <f>+X108*(1+AC109)</f>
        <v>477.1624000000001</v>
      </c>
      <c r="AD108" s="50">
        <f>+Y108*(1+AD109)</f>
        <v>500.88896000000005</v>
      </c>
      <c r="AE108" s="50">
        <f>+Z108*(1+AE109)</f>
        <v>518.84352000000001</v>
      </c>
      <c r="AF108" s="50">
        <f t="shared" ref="AF108" si="348">+AA108*(1+AF109)</f>
        <v>523.16992000000005</v>
      </c>
      <c r="AG108" s="31">
        <f>SUM(AC108:AF108)</f>
        <v>2020.0648000000003</v>
      </c>
      <c r="AH108" s="50">
        <f>+AC108*(1+AH109)</f>
        <v>496.24889600000012</v>
      </c>
      <c r="AI108" s="50">
        <f>+AD108*(1+AI109)</f>
        <v>520.92451840000012</v>
      </c>
      <c r="AJ108" s="50">
        <f>+AE108*(1+AJ109)</f>
        <v>539.59726080000007</v>
      </c>
      <c r="AK108" s="50">
        <f t="shared" ref="AK108" si="349">+AF108*(1+AK109)</f>
        <v>544.09671680000008</v>
      </c>
      <c r="AL108" s="31">
        <f>SUM(AH108:AK108)</f>
        <v>2100.8673920000006</v>
      </c>
      <c r="AM108" s="50">
        <f>+AH108*(1+AM109)</f>
        <v>516.09885184000018</v>
      </c>
      <c r="AN108" s="50">
        <f>+AI108*(1+AN109)</f>
        <v>541.76149913600011</v>
      </c>
      <c r="AO108" s="50">
        <f>+AJ108*(1+AO109)</f>
        <v>561.18115123200005</v>
      </c>
      <c r="AP108" s="50">
        <f t="shared" ref="AP108" si="350">+AK108*(1+AP109)</f>
        <v>565.86058547200014</v>
      </c>
      <c r="AQ108" s="31">
        <f>SUM(AM108:AP108)</f>
        <v>2184.9020876800005</v>
      </c>
      <c r="AR108" s="50">
        <f>+AM108*(1+AR109)</f>
        <v>536.74280591360025</v>
      </c>
      <c r="AS108" s="50">
        <f>+AN108*(1+AS109)</f>
        <v>563.43195910144016</v>
      </c>
      <c r="AT108" s="50">
        <f>+AO108*(1+AT109)</f>
        <v>583.62839728128006</v>
      </c>
      <c r="AU108" s="50">
        <f t="shared" ref="AU108" si="351">+AP108*(1+AU109)</f>
        <v>588.49500889088017</v>
      </c>
      <c r="AV108" s="31">
        <f>SUM(AR108:AU108)</f>
        <v>2272.2981711872008</v>
      </c>
    </row>
    <row r="109" spans="1:48" outlineLevel="1" x14ac:dyDescent="0.3">
      <c r="B109" s="69" t="s">
        <v>58</v>
      </c>
      <c r="C109" s="70"/>
      <c r="D109" s="120"/>
      <c r="E109" s="120"/>
      <c r="F109" s="120"/>
      <c r="G109" s="120"/>
      <c r="H109" s="58"/>
      <c r="I109" s="120">
        <f>I108/D108-1</f>
        <v>-1.9817677368212494E-2</v>
      </c>
      <c r="J109" s="120">
        <f t="shared" ref="J109" si="352">J108/E108-1</f>
        <v>0.16233766233766223</v>
      </c>
      <c r="K109" s="120">
        <f>K108/F108-1</f>
        <v>-0.1612600787549221</v>
      </c>
      <c r="L109" s="120">
        <f>L108/G108-1</f>
        <v>-8.6793938201141563E-2</v>
      </c>
      <c r="M109" s="168">
        <f>M108/H108-1</f>
        <v>-3.3925524440429511E-2</v>
      </c>
      <c r="N109" s="120">
        <f>N108/I108-1</f>
        <v>-0.24909017387788124</v>
      </c>
      <c r="O109" s="120">
        <f t="shared" ref="O109" si="353">O108/J108-1</f>
        <v>-0.28742053554228475</v>
      </c>
      <c r="P109" s="120">
        <f>P108/K108-1</f>
        <v>-7.4446680080482941E-2</v>
      </c>
      <c r="Q109" s="120">
        <f>Q108/L108-1</f>
        <v>-5.5387931034482696E-2</v>
      </c>
      <c r="R109" s="168">
        <f>R108/M108-1</f>
        <v>-0.17215584415584417</v>
      </c>
      <c r="S109" s="120">
        <f>S108/N108-1</f>
        <v>0.12304792676359733</v>
      </c>
      <c r="T109" s="120">
        <f t="shared" ref="T109:U109" si="354">T108/O108-1</f>
        <v>0.25195998918626672</v>
      </c>
      <c r="U109" s="120">
        <f t="shared" si="354"/>
        <v>0.15869565217391313</v>
      </c>
      <c r="V109" s="120">
        <f>V108/Q108-1</f>
        <v>0.10358202144649775</v>
      </c>
      <c r="W109" s="168">
        <f>W108/R108-1</f>
        <v>0.15687751004016071</v>
      </c>
      <c r="X109" s="197">
        <v>0.1</v>
      </c>
      <c r="Y109" s="197">
        <v>0.04</v>
      </c>
      <c r="Z109" s="197">
        <v>0.04</v>
      </c>
      <c r="AA109" s="197">
        <v>0.04</v>
      </c>
      <c r="AB109" s="168">
        <f>AB108/W108-1</f>
        <v>5.3574528097201091E-2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4.0000000000000036E-2</v>
      </c>
      <c r="AR109" s="197">
        <v>0.04</v>
      </c>
      <c r="AS109" s="197">
        <v>0.04</v>
      </c>
      <c r="AT109" s="197">
        <v>0.04</v>
      </c>
      <c r="AU109" s="197">
        <v>0.04</v>
      </c>
      <c r="AV109" s="168">
        <f>AV108/AQ108-1</f>
        <v>4.0000000000000036E-2</v>
      </c>
    </row>
    <row r="110" spans="1:48" outlineLevel="1" x14ac:dyDescent="0.3">
      <c r="B110" s="504" t="s">
        <v>100</v>
      </c>
      <c r="C110" s="505"/>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48">
        <v>309</v>
      </c>
      <c r="W110" s="76">
        <f>SUM(S110:V110)</f>
        <v>1194.0999999999999</v>
      </c>
      <c r="X110" s="48">
        <f t="shared" ref="X110:AA110" si="355">X111*X108</f>
        <v>291.56215000000003</v>
      </c>
      <c r="Y110" s="48">
        <f t="shared" si="355"/>
        <v>312.52</v>
      </c>
      <c r="Z110" s="48">
        <f t="shared" si="355"/>
        <v>336.33756000000005</v>
      </c>
      <c r="AA110" s="48">
        <f t="shared" si="355"/>
        <v>306.26855999999998</v>
      </c>
      <c r="AB110" s="76">
        <f>SUM(X110:AA110)</f>
        <v>1246.6882700000001</v>
      </c>
      <c r="AC110" s="48">
        <f t="shared" ref="AC110:AF110" si="356">AC111*AC108</f>
        <v>303.22463600000009</v>
      </c>
      <c r="AD110" s="48">
        <f t="shared" si="356"/>
        <v>325.02080000000001</v>
      </c>
      <c r="AE110" s="48">
        <f t="shared" si="356"/>
        <v>339.41419200000001</v>
      </c>
      <c r="AF110" s="48">
        <f t="shared" si="356"/>
        <v>318.51930240000002</v>
      </c>
      <c r="AG110" s="76">
        <f>SUM(AC110:AF110)</f>
        <v>1286.1789304000001</v>
      </c>
      <c r="AH110" s="48">
        <f t="shared" ref="AH110:AK110" si="357">AH111*AH108</f>
        <v>315.3536214400001</v>
      </c>
      <c r="AI110" s="48">
        <f t="shared" si="357"/>
        <v>338.02163200000007</v>
      </c>
      <c r="AJ110" s="48">
        <f t="shared" si="357"/>
        <v>347.59478707200009</v>
      </c>
      <c r="AK110" s="48">
        <f t="shared" si="357"/>
        <v>331.26007449600007</v>
      </c>
      <c r="AL110" s="76">
        <f>SUM(AH110:AK110)</f>
        <v>1332.2301150080002</v>
      </c>
      <c r="AM110" s="48">
        <f t="shared" ref="AM110:AP110" si="358">AM111*AM108</f>
        <v>327.96776629760012</v>
      </c>
      <c r="AN110" s="48">
        <f t="shared" si="358"/>
        <v>351.54249728000008</v>
      </c>
      <c r="AO110" s="48">
        <f t="shared" si="358"/>
        <v>361.49857855488005</v>
      </c>
      <c r="AP110" s="48">
        <f t="shared" si="358"/>
        <v>344.5104774758401</v>
      </c>
      <c r="AQ110" s="76">
        <f>SUM(AM110:AP110)</f>
        <v>1385.5193196083205</v>
      </c>
      <c r="AR110" s="48">
        <f t="shared" ref="AR110:AU110" si="359">AR111*AR108</f>
        <v>341.08647694950417</v>
      </c>
      <c r="AS110" s="48">
        <f t="shared" si="359"/>
        <v>365.6041971712001</v>
      </c>
      <c r="AT110" s="48">
        <f t="shared" si="359"/>
        <v>375.95852169707524</v>
      </c>
      <c r="AU110" s="48">
        <f t="shared" si="359"/>
        <v>358.29089657487373</v>
      </c>
      <c r="AV110" s="76">
        <f>SUM(AR110:AU110)</f>
        <v>1440.9400923926532</v>
      </c>
    </row>
    <row r="111" spans="1:48" s="183" customFormat="1" outlineLevel="1" x14ac:dyDescent="0.3">
      <c r="A111" s="238"/>
      <c r="B111" s="181" t="s">
        <v>151</v>
      </c>
      <c r="C111" s="182"/>
      <c r="D111" s="167">
        <f>D110/D108</f>
        <v>0.69044787950852149</v>
      </c>
      <c r="E111" s="167">
        <f t="shared" ref="E111:V111" si="360">E110/E108</f>
        <v>0.68383340797133896</v>
      </c>
      <c r="F111" s="167">
        <f t="shared" si="360"/>
        <v>0.70710669416838567</v>
      </c>
      <c r="G111" s="167">
        <f t="shared" si="360"/>
        <v>0.70675063963786655</v>
      </c>
      <c r="H111" s="188">
        <f t="shared" si="360"/>
        <v>0.69758104988457292</v>
      </c>
      <c r="I111" s="167">
        <f t="shared" si="360"/>
        <v>0.68499797816417307</v>
      </c>
      <c r="J111" s="167">
        <f t="shared" si="360"/>
        <v>0.6773261413985745</v>
      </c>
      <c r="K111" s="167">
        <f t="shared" si="360"/>
        <v>0.71517996870109535</v>
      </c>
      <c r="L111" s="187">
        <f t="shared" si="360"/>
        <v>0.70646551724137929</v>
      </c>
      <c r="M111" s="188">
        <f t="shared" si="360"/>
        <v>0.69511688311688313</v>
      </c>
      <c r="N111" s="187">
        <f t="shared" si="360"/>
        <v>0.62870220786214326</v>
      </c>
      <c r="O111" s="167">
        <f t="shared" si="360"/>
        <v>0.62692619626926205</v>
      </c>
      <c r="P111" s="167">
        <f t="shared" si="360"/>
        <v>0.6480676328502416</v>
      </c>
      <c r="Q111" s="167">
        <f t="shared" si="360"/>
        <v>0.63312799452429835</v>
      </c>
      <c r="R111" s="188">
        <f t="shared" si="360"/>
        <v>0.63453815261044189</v>
      </c>
      <c r="S111" s="187">
        <f t="shared" si="360"/>
        <v>0.62047470630544233</v>
      </c>
      <c r="T111" s="167">
        <f t="shared" si="360"/>
        <v>0.64888792917296478</v>
      </c>
      <c r="U111" s="167">
        <f t="shared" si="360"/>
        <v>0.67917448405253289</v>
      </c>
      <c r="V111" s="167">
        <f t="shared" si="360"/>
        <v>0.63882571842050861</v>
      </c>
      <c r="W111" s="188">
        <f t="shared" ref="W111" si="361">W110/W108</f>
        <v>0.64770015187676278</v>
      </c>
      <c r="X111" s="189">
        <f>S111+1.5%</f>
        <v>0.63547470630544234</v>
      </c>
      <c r="Y111" s="189">
        <f t="shared" ref="Y111" si="362">T111</f>
        <v>0.64888792917296478</v>
      </c>
      <c r="Z111" s="189">
        <f>U111-0.5%</f>
        <v>0.67417448405253289</v>
      </c>
      <c r="AA111" s="189">
        <f>V111-3%</f>
        <v>0.60882571842050859</v>
      </c>
      <c r="AB111" s="188">
        <f t="shared" ref="AB111" si="363">AB110/AB108</f>
        <v>0.64183871764905764</v>
      </c>
      <c r="AC111" s="189">
        <f t="shared" ref="AC111:AD111" si="364">X111</f>
        <v>0.63547470630544234</v>
      </c>
      <c r="AD111" s="189">
        <f t="shared" si="364"/>
        <v>0.64888792917296478</v>
      </c>
      <c r="AE111" s="189">
        <f>Z111-2%</f>
        <v>0.65417448405253287</v>
      </c>
      <c r="AF111" s="189">
        <f t="shared" ref="AF111" si="365">AA111</f>
        <v>0.60882571842050859</v>
      </c>
      <c r="AG111" s="188">
        <f t="shared" ref="AG111" si="366">AG110/AG108</f>
        <v>0.63670181788227775</v>
      </c>
      <c r="AH111" s="189">
        <f t="shared" ref="AH111:AI111" si="367">AC111</f>
        <v>0.63547470630544234</v>
      </c>
      <c r="AI111" s="189">
        <f t="shared" si="367"/>
        <v>0.64888792917296478</v>
      </c>
      <c r="AJ111" s="189">
        <f>AE111-1%</f>
        <v>0.64417448405253286</v>
      </c>
      <c r="AK111" s="189">
        <f t="shared" ref="AK111" si="368">AF111</f>
        <v>0.60882571842050859</v>
      </c>
      <c r="AL111" s="188">
        <f t="shared" ref="AL111" si="369">AL110/AL108</f>
        <v>0.63413336799888786</v>
      </c>
      <c r="AM111" s="189">
        <f t="shared" ref="AM111:AP111" si="370">AH111</f>
        <v>0.63547470630544234</v>
      </c>
      <c r="AN111" s="189">
        <f t="shared" si="370"/>
        <v>0.64888792917296478</v>
      </c>
      <c r="AO111" s="189">
        <f t="shared" si="370"/>
        <v>0.64417448405253286</v>
      </c>
      <c r="AP111" s="189">
        <f t="shared" si="370"/>
        <v>0.60882571842050859</v>
      </c>
      <c r="AQ111" s="188">
        <f t="shared" ref="AQ111" si="371">AQ110/AQ108</f>
        <v>0.63413336799888809</v>
      </c>
      <c r="AR111" s="189">
        <f t="shared" ref="AR111:AU111" si="372">AM111</f>
        <v>0.63547470630544234</v>
      </c>
      <c r="AS111" s="189">
        <f t="shared" si="372"/>
        <v>0.64888792917296478</v>
      </c>
      <c r="AT111" s="189">
        <f t="shared" si="372"/>
        <v>0.64417448405253286</v>
      </c>
      <c r="AU111" s="189">
        <f t="shared" si="372"/>
        <v>0.60882571842050859</v>
      </c>
      <c r="AV111" s="188">
        <f t="shared" ref="AV111" si="373">AV110/AV108</f>
        <v>0.63413336799888798</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48">
        <v>16</v>
      </c>
      <c r="W112" s="49">
        <f>SUM(S112:V112)</f>
        <v>51.7</v>
      </c>
      <c r="X112" s="48">
        <f t="shared" ref="X112:AA112" si="374">X113*X108</f>
        <v>21.716200000000004</v>
      </c>
      <c r="Y112" s="48">
        <f t="shared" si="374"/>
        <v>11.128</v>
      </c>
      <c r="Z112" s="48">
        <f t="shared" si="374"/>
        <v>11.649560000000001</v>
      </c>
      <c r="AA112" s="48">
        <f t="shared" si="374"/>
        <v>1.5485600000000008</v>
      </c>
      <c r="AB112" s="49">
        <f>SUM(X112:AA112)</f>
        <v>46.042320000000004</v>
      </c>
      <c r="AC112" s="48">
        <f t="shared" ref="AC112:AF112" si="375">AC113*AC108</f>
        <v>13.041600000000003</v>
      </c>
      <c r="AD112" s="48">
        <f t="shared" si="375"/>
        <v>11.573120000000001</v>
      </c>
      <c r="AE112" s="48">
        <f t="shared" si="375"/>
        <v>12.115542399999999</v>
      </c>
      <c r="AF112" s="48">
        <f t="shared" si="375"/>
        <v>-8.8528959999999994</v>
      </c>
      <c r="AG112" s="49">
        <f>SUM(AC112:AF112)</f>
        <v>27.8773664</v>
      </c>
      <c r="AH112" s="48">
        <f t="shared" ref="AH112:AK112" si="376">AH113*AH108</f>
        <v>12.074517312000003</v>
      </c>
      <c r="AI112" s="48">
        <f t="shared" si="376"/>
        <v>12.036044800000003</v>
      </c>
      <c r="AJ112" s="48">
        <f t="shared" si="376"/>
        <v>12.600164096</v>
      </c>
      <c r="AK112" s="48">
        <f t="shared" si="376"/>
        <v>-11.383398707200001</v>
      </c>
      <c r="AL112" s="49">
        <f>SUM(AH112:AK112)</f>
        <v>25.327327500800003</v>
      </c>
      <c r="AM112" s="48">
        <f t="shared" ref="AM112:AP112" si="377">AM113*AM108</f>
        <v>12.557498004480005</v>
      </c>
      <c r="AN112" s="48">
        <f t="shared" si="377"/>
        <v>12.517486592000003</v>
      </c>
      <c r="AO112" s="48">
        <f t="shared" si="377"/>
        <v>13.104170659840001</v>
      </c>
      <c r="AP112" s="48">
        <f t="shared" si="377"/>
        <v>-11.838734655488002</v>
      </c>
      <c r="AQ112" s="49">
        <f>SUM(AM112:AP112)</f>
        <v>26.340420600832005</v>
      </c>
      <c r="AR112" s="48">
        <f t="shared" ref="AR112:AU112" si="378">AR113*AR108</f>
        <v>13.059797924659206</v>
      </c>
      <c r="AS112" s="48">
        <f t="shared" si="378"/>
        <v>13.018186055680003</v>
      </c>
      <c r="AT112" s="48">
        <f t="shared" si="378"/>
        <v>13.628337486233601</v>
      </c>
      <c r="AU112" s="48">
        <f t="shared" si="378"/>
        <v>-12.312284041707523</v>
      </c>
      <c r="AV112" s="49">
        <f>SUM(AR112:AU112)</f>
        <v>27.394037424865289</v>
      </c>
    </row>
    <row r="113" spans="2:48" s="184" customFormat="1" outlineLevel="1" x14ac:dyDescent="0.3">
      <c r="B113" s="181" t="s">
        <v>154</v>
      </c>
      <c r="C113" s="190"/>
      <c r="D113" s="187">
        <f>D112/D108</f>
        <v>3.6860879904875153E-2</v>
      </c>
      <c r="E113" s="187">
        <f t="shared" ref="E113:V113" si="379">E112/E108</f>
        <v>3.8289296909986566E-2</v>
      </c>
      <c r="F113" s="187">
        <f t="shared" si="379"/>
        <v>3.7877367335458469E-2</v>
      </c>
      <c r="G113" s="187">
        <f t="shared" si="379"/>
        <v>3.9952765203700058E-2</v>
      </c>
      <c r="H113" s="188">
        <f t="shared" si="379"/>
        <v>3.8241493526046375E-2</v>
      </c>
      <c r="I113" s="187">
        <f t="shared" si="379"/>
        <v>4.1649818034775576E-2</v>
      </c>
      <c r="J113" s="187">
        <f t="shared" si="379"/>
        <v>3.4097476401464072E-2</v>
      </c>
      <c r="K113" s="187">
        <f t="shared" si="379"/>
        <v>0.11491169237648111</v>
      </c>
      <c r="L113" s="187">
        <f t="shared" si="379"/>
        <v>3.9870689655172417E-2</v>
      </c>
      <c r="M113" s="188">
        <f t="shared" si="379"/>
        <v>5.62077922077922E-2</v>
      </c>
      <c r="N113" s="187">
        <f t="shared" si="379"/>
        <v>2.9886914378029081E-2</v>
      </c>
      <c r="O113" s="187">
        <f t="shared" si="379"/>
        <v>3.5414977020816439E-2</v>
      </c>
      <c r="P113" s="187">
        <f t="shared" si="379"/>
        <v>-2.391304347826087E-2</v>
      </c>
      <c r="Q113" s="167">
        <f t="shared" si="379"/>
        <v>3.8786219484371436E-2</v>
      </c>
      <c r="R113" s="188">
        <f t="shared" si="379"/>
        <v>1.964106425702811E-2</v>
      </c>
      <c r="S113" s="187">
        <f t="shared" si="379"/>
        <v>2.7331575161831694E-2</v>
      </c>
      <c r="T113" s="187">
        <f t="shared" si="379"/>
        <v>2.3105160872381774E-2</v>
      </c>
      <c r="U113" s="187">
        <f t="shared" si="379"/>
        <v>2.8351052741296644E-2</v>
      </c>
      <c r="V113" s="187">
        <f t="shared" si="379"/>
        <v>3.3078354351870995E-2</v>
      </c>
      <c r="W113" s="188">
        <f t="shared" ref="W113" si="380">W112/W108</f>
        <v>2.8042959427207637E-2</v>
      </c>
      <c r="X113" s="189">
        <f>S113+2%</f>
        <v>4.7331575161831695E-2</v>
      </c>
      <c r="Y113" s="189">
        <f t="shared" ref="Y113" si="381">T113</f>
        <v>2.3105160872381774E-2</v>
      </c>
      <c r="Z113" s="189">
        <f>U113-0.5%</f>
        <v>2.3351052741296643E-2</v>
      </c>
      <c r="AA113" s="189">
        <f>V113-3%</f>
        <v>3.078354351870996E-3</v>
      </c>
      <c r="AB113" s="188">
        <f t="shared" ref="AB113" si="382">AB112/AB108</f>
        <v>2.370419641983762E-2</v>
      </c>
      <c r="AC113" s="189">
        <f>X113-2%</f>
        <v>2.7331575161831694E-2</v>
      </c>
      <c r="AD113" s="189">
        <f t="shared" ref="AD113:AE113" si="383">Y113</f>
        <v>2.3105160872381774E-2</v>
      </c>
      <c r="AE113" s="189">
        <f t="shared" si="383"/>
        <v>2.3351052741296643E-2</v>
      </c>
      <c r="AF113" s="189">
        <f>AA113-2%</f>
        <v>-1.6921645648129004E-2</v>
      </c>
      <c r="AG113" s="188">
        <f t="shared" ref="AG113" si="384">AG112/AG108</f>
        <v>1.3800233735076219E-2</v>
      </c>
      <c r="AH113" s="189">
        <f>AC113-0.3%</f>
        <v>2.4331575161831695E-2</v>
      </c>
      <c r="AI113" s="189">
        <f t="shared" ref="AI113:AJ113" si="385">AD113</f>
        <v>2.3105160872381774E-2</v>
      </c>
      <c r="AJ113" s="189">
        <f t="shared" si="385"/>
        <v>2.3351052741296643E-2</v>
      </c>
      <c r="AK113" s="189">
        <f>AF113-0.4%</f>
        <v>-2.0921645648129004E-2</v>
      </c>
      <c r="AL113" s="188">
        <f t="shared" ref="AL113" si="386">AL112/AL108</f>
        <v>1.2055652630549276E-2</v>
      </c>
      <c r="AM113" s="189">
        <f t="shared" ref="AM113:AP113" si="387">AH113</f>
        <v>2.4331575161831695E-2</v>
      </c>
      <c r="AN113" s="189">
        <f t="shared" si="387"/>
        <v>2.3105160872381774E-2</v>
      </c>
      <c r="AO113" s="189">
        <f t="shared" si="387"/>
        <v>2.3351052741296643E-2</v>
      </c>
      <c r="AP113" s="189">
        <f t="shared" si="387"/>
        <v>-2.0921645648129004E-2</v>
      </c>
      <c r="AQ113" s="188">
        <f t="shared" ref="AQ113" si="388">AQ112/AQ108</f>
        <v>1.2055652630549276E-2</v>
      </c>
      <c r="AR113" s="189">
        <f t="shared" ref="AR113:AU113" si="389">AM113</f>
        <v>2.4331575161831695E-2</v>
      </c>
      <c r="AS113" s="189">
        <f t="shared" si="389"/>
        <v>2.3105160872381774E-2</v>
      </c>
      <c r="AT113" s="189">
        <f t="shared" si="389"/>
        <v>2.3351052741296643E-2</v>
      </c>
      <c r="AU113" s="189">
        <f t="shared" si="389"/>
        <v>-2.0921645648129004E-2</v>
      </c>
      <c r="AV113" s="188">
        <f t="shared" ref="AV113" si="390">AV112/AV108</f>
        <v>1.2055652630549278E-2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58">
        <v>0</v>
      </c>
      <c r="W114" s="126">
        <f>SUM(S114:V114)</f>
        <v>0</v>
      </c>
      <c r="X114" s="360">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48">
        <v>4.0999999999999996</v>
      </c>
      <c r="W115" s="49">
        <f>SUM(S115:V115)</f>
        <v>12.2</v>
      </c>
      <c r="X115" s="48">
        <f t="shared" ref="X115:AA115" si="391">X116*X108</f>
        <v>3.63</v>
      </c>
      <c r="Y115" s="48">
        <f t="shared" si="391"/>
        <v>2.6</v>
      </c>
      <c r="Z115" s="48">
        <f t="shared" si="391"/>
        <v>2.3920000000000003</v>
      </c>
      <c r="AA115" s="48">
        <f t="shared" si="391"/>
        <v>4.2639999999999993</v>
      </c>
      <c r="AB115" s="49">
        <f>SUM(X115:AA115)</f>
        <v>12.885999999999999</v>
      </c>
      <c r="AC115" s="48">
        <f t="shared" ref="AC115:AF115" si="392">AC116*AC108</f>
        <v>3.7751999999999999</v>
      </c>
      <c r="AD115" s="48">
        <f t="shared" si="392"/>
        <v>2.7040000000000002</v>
      </c>
      <c r="AE115" s="48">
        <f t="shared" si="392"/>
        <v>2.4876800000000001</v>
      </c>
      <c r="AF115" s="48">
        <f t="shared" si="392"/>
        <v>4.4345600000000003</v>
      </c>
      <c r="AG115" s="49">
        <f>SUM(AC115:AF115)</f>
        <v>13.401440000000001</v>
      </c>
      <c r="AH115" s="48">
        <f t="shared" ref="AH115:AK115" si="393">AH116*AH108</f>
        <v>3.9262080000000004</v>
      </c>
      <c r="AI115" s="48">
        <f t="shared" si="393"/>
        <v>2.8121600000000004</v>
      </c>
      <c r="AJ115" s="48">
        <f t="shared" si="393"/>
        <v>2.5871872000000002</v>
      </c>
      <c r="AK115" s="48">
        <f t="shared" si="393"/>
        <v>4.6119424000000002</v>
      </c>
      <c r="AL115" s="49">
        <f>SUM(AH115:AK115)</f>
        <v>13.937497600000002</v>
      </c>
      <c r="AM115" s="48">
        <f t="shared" ref="AM115:AP115" si="394">AM116*AM108</f>
        <v>4.0832563200000003</v>
      </c>
      <c r="AN115" s="48">
        <f t="shared" si="394"/>
        <v>2.9246464000000003</v>
      </c>
      <c r="AO115" s="48">
        <f t="shared" si="394"/>
        <v>2.6906746880000001</v>
      </c>
      <c r="AP115" s="48">
        <f t="shared" si="394"/>
        <v>4.7964200960000012</v>
      </c>
      <c r="AQ115" s="49">
        <f>SUM(AM115:AP115)</f>
        <v>14.494997504000001</v>
      </c>
      <c r="AR115" s="48">
        <f t="shared" ref="AR115:AU115" si="395">AR116*AR108</f>
        <v>4.246586572800001</v>
      </c>
      <c r="AS115" s="48">
        <f t="shared" si="395"/>
        <v>3.0416322560000006</v>
      </c>
      <c r="AT115" s="48">
        <f t="shared" si="395"/>
        <v>2.7983016755200003</v>
      </c>
      <c r="AU115" s="48">
        <f t="shared" si="395"/>
        <v>4.9882768998400016</v>
      </c>
      <c r="AV115" s="49">
        <f>SUM(AR115:AU115)</f>
        <v>15.074797404160005</v>
      </c>
    </row>
    <row r="116" spans="2:48" s="184" customFormat="1" outlineLevel="1" x14ac:dyDescent="0.3">
      <c r="B116" s="181" t="s">
        <v>153</v>
      </c>
      <c r="C116" s="190"/>
      <c r="D116" s="187">
        <f>D115/D108</f>
        <v>6.3416567578279829E-3</v>
      </c>
      <c r="E116" s="187">
        <f t="shared" ref="E116:V116" si="396">E115/E108</f>
        <v>6.9413345275414241E-3</v>
      </c>
      <c r="F116" s="187">
        <f t="shared" si="396"/>
        <v>5.0628164260266275E-3</v>
      </c>
      <c r="G116" s="187">
        <f t="shared" si="396"/>
        <v>5.1171029324936033E-3</v>
      </c>
      <c r="H116" s="188">
        <f t="shared" si="396"/>
        <v>5.8215396968784505E-3</v>
      </c>
      <c r="I116" s="187">
        <f t="shared" si="396"/>
        <v>4.8524059846340476E-3</v>
      </c>
      <c r="J116" s="187">
        <f t="shared" si="396"/>
        <v>5.7792332883837404E-3</v>
      </c>
      <c r="K116" s="187">
        <f t="shared" si="396"/>
        <v>5.5890900961323492E-3</v>
      </c>
      <c r="L116" s="187">
        <f t="shared" si="396"/>
        <v>5.387931034482759E-3</v>
      </c>
      <c r="M116" s="188">
        <f t="shared" si="396"/>
        <v>5.4025974025974028E-3</v>
      </c>
      <c r="N116" s="187">
        <f t="shared" si="396"/>
        <v>5.9235325794291874E-3</v>
      </c>
      <c r="O116" s="187">
        <f t="shared" si="396"/>
        <v>6.2178967288456337E-3</v>
      </c>
      <c r="P116" s="187">
        <f t="shared" si="396"/>
        <v>7.0048309178743955E-3</v>
      </c>
      <c r="Q116" s="167">
        <f t="shared" si="396"/>
        <v>7.7572438968742862E-3</v>
      </c>
      <c r="R116" s="188">
        <f t="shared" si="396"/>
        <v>6.7771084337349408E-3</v>
      </c>
      <c r="S116" s="187">
        <f t="shared" si="396"/>
        <v>7.9117717573723313E-3</v>
      </c>
      <c r="T116" s="187">
        <f t="shared" si="396"/>
        <v>5.3984020729863956E-3</v>
      </c>
      <c r="U116" s="187">
        <f t="shared" si="396"/>
        <v>4.7946633312486971E-3</v>
      </c>
      <c r="V116" s="187">
        <f t="shared" si="396"/>
        <v>8.4763283026669418E-3</v>
      </c>
      <c r="W116" s="188">
        <f t="shared" ref="W116" si="397">W115/W108</f>
        <v>6.6174875244087647E-3</v>
      </c>
      <c r="X116" s="189">
        <f t="shared" ref="X116:AA116" si="398">S116</f>
        <v>7.9117717573723313E-3</v>
      </c>
      <c r="Y116" s="189">
        <f t="shared" si="398"/>
        <v>5.3984020729863956E-3</v>
      </c>
      <c r="Z116" s="189">
        <f t="shared" si="398"/>
        <v>4.7946633312486971E-3</v>
      </c>
      <c r="AA116" s="189">
        <f t="shared" si="398"/>
        <v>8.4763283026669418E-3</v>
      </c>
      <c r="AB116" s="188">
        <f t="shared" ref="AB116" si="399">AB115/AB108</f>
        <v>6.6341634189160652E-3</v>
      </c>
      <c r="AC116" s="189">
        <f t="shared" ref="AC116:AF116" si="400">X116</f>
        <v>7.9117717573723313E-3</v>
      </c>
      <c r="AD116" s="189">
        <f t="shared" si="400"/>
        <v>5.3984020729863956E-3</v>
      </c>
      <c r="AE116" s="189">
        <f t="shared" si="400"/>
        <v>4.7946633312486971E-3</v>
      </c>
      <c r="AF116" s="189">
        <f t="shared" si="400"/>
        <v>8.4763283026669418E-3</v>
      </c>
      <c r="AG116" s="188">
        <f t="shared" ref="AG116" si="401">AG115/AG108</f>
        <v>6.6341634189160661E-3</v>
      </c>
      <c r="AH116" s="189">
        <f t="shared" ref="AH116:AK116" si="402">AC116</f>
        <v>7.9117717573723313E-3</v>
      </c>
      <c r="AI116" s="189">
        <f t="shared" si="402"/>
        <v>5.3984020729863956E-3</v>
      </c>
      <c r="AJ116" s="189">
        <f t="shared" si="402"/>
        <v>4.7946633312486971E-3</v>
      </c>
      <c r="AK116" s="189">
        <f t="shared" si="402"/>
        <v>8.4763283026669418E-3</v>
      </c>
      <c r="AL116" s="188">
        <f t="shared" ref="AL116" si="403">AL115/AL108</f>
        <v>6.6341634189160661E-3</v>
      </c>
      <c r="AM116" s="189">
        <f t="shared" ref="AM116:AP116" si="404">AH116</f>
        <v>7.9117717573723313E-3</v>
      </c>
      <c r="AN116" s="189">
        <f t="shared" si="404"/>
        <v>5.3984020729863956E-3</v>
      </c>
      <c r="AO116" s="189">
        <f t="shared" si="404"/>
        <v>4.7946633312486971E-3</v>
      </c>
      <c r="AP116" s="189">
        <f t="shared" si="404"/>
        <v>8.4763283026669418E-3</v>
      </c>
      <c r="AQ116" s="188">
        <f t="shared" ref="AQ116" si="405">AQ115/AQ108</f>
        <v>6.6341634189160652E-3</v>
      </c>
      <c r="AR116" s="189">
        <f t="shared" ref="AR116:AU116" si="406">AM116</f>
        <v>7.9117717573723313E-3</v>
      </c>
      <c r="AS116" s="189">
        <f t="shared" si="406"/>
        <v>5.3984020729863956E-3</v>
      </c>
      <c r="AT116" s="189">
        <f t="shared" si="406"/>
        <v>4.7946633312486971E-3</v>
      </c>
      <c r="AU116" s="189">
        <f t="shared" si="406"/>
        <v>8.4763283026669418E-3</v>
      </c>
      <c r="AV116" s="188">
        <f t="shared" ref="AV116" si="407">AV115/AV108</f>
        <v>6.634163418916067E-3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408">IFERROR((Y163*(X117/X163)),0)</f>
        <v>0</v>
      </c>
      <c r="Z117" s="119">
        <f t="shared" si="408"/>
        <v>0</v>
      </c>
      <c r="AA117" s="119">
        <f t="shared" si="408"/>
        <v>0</v>
      </c>
      <c r="AB117" s="131">
        <f>SUM(X117:AA117)</f>
        <v>0</v>
      </c>
      <c r="AC117" s="119">
        <f>IFERROR((AC163*(AA117/AA163)),0)</f>
        <v>0</v>
      </c>
      <c r="AD117" s="119">
        <f t="shared" ref="AD117:AF117" si="409">IFERROR((AD163*(AC117/AC163)),0)</f>
        <v>0</v>
      </c>
      <c r="AE117" s="119">
        <f t="shared" si="409"/>
        <v>0</v>
      </c>
      <c r="AF117" s="119">
        <f t="shared" si="409"/>
        <v>0</v>
      </c>
      <c r="AG117" s="131">
        <f>SUM(AC117:AF117)</f>
        <v>0</v>
      </c>
      <c r="AH117" s="119">
        <f>IFERROR((AH163*(AF117/AF163)),0)</f>
        <v>0</v>
      </c>
      <c r="AI117" s="119">
        <f t="shared" ref="AI117:AK117" si="410">IFERROR((AI163*(AH117/AH163)),0)</f>
        <v>0</v>
      </c>
      <c r="AJ117" s="119">
        <f t="shared" si="410"/>
        <v>0</v>
      </c>
      <c r="AK117" s="119">
        <f t="shared" si="410"/>
        <v>0</v>
      </c>
      <c r="AL117" s="131">
        <f>SUM(AH117:AK117)</f>
        <v>0</v>
      </c>
      <c r="AM117" s="119">
        <f>IFERROR((AM163*(AK117/AK163)),0)</f>
        <v>0</v>
      </c>
      <c r="AN117" s="119">
        <f t="shared" ref="AN117:AP117" si="411">IFERROR((AN163*(AM117/AM163)),0)</f>
        <v>0</v>
      </c>
      <c r="AO117" s="119">
        <f t="shared" si="411"/>
        <v>0</v>
      </c>
      <c r="AP117" s="119">
        <f t="shared" si="411"/>
        <v>0</v>
      </c>
      <c r="AQ117" s="131">
        <f>SUM(AM117:AP117)</f>
        <v>0</v>
      </c>
      <c r="AR117" s="119">
        <f>IFERROR((AR163*(AP117/AP163)),0)</f>
        <v>0</v>
      </c>
      <c r="AS117" s="119">
        <f t="shared" ref="AS117:AU117" si="412">IFERROR((AS163*(AR117/AR163)),0)</f>
        <v>0</v>
      </c>
      <c r="AT117" s="119">
        <f t="shared" si="412"/>
        <v>0</v>
      </c>
      <c r="AU117" s="119">
        <f t="shared" si="412"/>
        <v>0</v>
      </c>
      <c r="AV117" s="131">
        <f>SUM(AR117:AU117)</f>
        <v>0</v>
      </c>
    </row>
    <row r="118" spans="2:48" outlineLevel="1" x14ac:dyDescent="0.3">
      <c r="B118" s="46" t="s">
        <v>52</v>
      </c>
      <c r="C118" s="19"/>
      <c r="D118" s="50">
        <f>D110+D112+D114+D115+D117</f>
        <v>370.2</v>
      </c>
      <c r="E118" s="50">
        <f t="shared" ref="E118:AV118" si="413">E110+E112+E114+E115+E117</f>
        <v>337.90000000000003</v>
      </c>
      <c r="F118" s="50">
        <f t="shared" si="413"/>
        <v>400.2</v>
      </c>
      <c r="G118" s="50">
        <f t="shared" si="413"/>
        <v>382.30000000000007</v>
      </c>
      <c r="H118" s="26">
        <f t="shared" si="413"/>
        <v>1490.6</v>
      </c>
      <c r="I118" s="50">
        <f t="shared" si="413"/>
        <v>362.1</v>
      </c>
      <c r="J118" s="50">
        <f t="shared" si="413"/>
        <v>372.6</v>
      </c>
      <c r="K118" s="50">
        <f t="shared" si="413"/>
        <v>374.09999999999997</v>
      </c>
      <c r="L118" s="50">
        <f t="shared" si="413"/>
        <v>349.1</v>
      </c>
      <c r="M118" s="26">
        <f t="shared" si="413"/>
        <v>1457.9000000000003</v>
      </c>
      <c r="N118" s="50">
        <f t="shared" si="413"/>
        <v>246.99999999999997</v>
      </c>
      <c r="O118" s="50">
        <f t="shared" si="413"/>
        <v>247.60000000000002</v>
      </c>
      <c r="P118" s="50">
        <f t="shared" si="413"/>
        <v>261.5</v>
      </c>
      <c r="Q118" s="103">
        <f t="shared" si="413"/>
        <v>298.2</v>
      </c>
      <c r="R118" s="26">
        <f t="shared" si="413"/>
        <v>1054.3</v>
      </c>
      <c r="S118" s="50">
        <f t="shared" si="413"/>
        <v>273.5</v>
      </c>
      <c r="T118" s="50">
        <f t="shared" si="413"/>
        <v>313.7</v>
      </c>
      <c r="U118" s="50">
        <f t="shared" si="413"/>
        <v>341.70000000000005</v>
      </c>
      <c r="V118" s="50">
        <f t="shared" si="413"/>
        <v>329.1</v>
      </c>
      <c r="W118" s="26">
        <f t="shared" si="413"/>
        <v>1258</v>
      </c>
      <c r="X118" s="50">
        <f t="shared" si="413"/>
        <v>316.90835000000004</v>
      </c>
      <c r="Y118" s="50">
        <f t="shared" si="413"/>
        <v>326.24799999999999</v>
      </c>
      <c r="Z118" s="50">
        <f t="shared" si="413"/>
        <v>350.37912000000006</v>
      </c>
      <c r="AA118" s="50">
        <f t="shared" si="413"/>
        <v>312.08112</v>
      </c>
      <c r="AB118" s="26">
        <f t="shared" si="413"/>
        <v>1305.6165900000001</v>
      </c>
      <c r="AC118" s="50">
        <f t="shared" si="413"/>
        <v>320.04143600000009</v>
      </c>
      <c r="AD118" s="50">
        <f t="shared" si="413"/>
        <v>339.29792000000003</v>
      </c>
      <c r="AE118" s="50">
        <f t="shared" si="413"/>
        <v>354.01741440000001</v>
      </c>
      <c r="AF118" s="50">
        <f t="shared" si="413"/>
        <v>314.1009664</v>
      </c>
      <c r="AG118" s="26">
        <f t="shared" si="413"/>
        <v>1327.4577368000002</v>
      </c>
      <c r="AH118" s="50">
        <f t="shared" si="413"/>
        <v>331.35434675200008</v>
      </c>
      <c r="AI118" s="50">
        <f t="shared" si="413"/>
        <v>352.86983680000009</v>
      </c>
      <c r="AJ118" s="50">
        <f t="shared" si="413"/>
        <v>362.78213836800012</v>
      </c>
      <c r="AK118" s="50">
        <f t="shared" si="413"/>
        <v>324.48861818880005</v>
      </c>
      <c r="AL118" s="26">
        <f t="shared" si="413"/>
        <v>1371.4949401088002</v>
      </c>
      <c r="AM118" s="50">
        <f t="shared" si="413"/>
        <v>344.60852062208011</v>
      </c>
      <c r="AN118" s="50">
        <f t="shared" si="413"/>
        <v>366.98463027200012</v>
      </c>
      <c r="AO118" s="50">
        <f t="shared" si="413"/>
        <v>377.29342390272006</v>
      </c>
      <c r="AP118" s="50">
        <f t="shared" si="413"/>
        <v>337.46816291635213</v>
      </c>
      <c r="AQ118" s="26">
        <f t="shared" si="413"/>
        <v>1426.3547377131524</v>
      </c>
      <c r="AR118" s="50">
        <f t="shared" si="413"/>
        <v>358.39286144696342</v>
      </c>
      <c r="AS118" s="50">
        <f t="shared" si="413"/>
        <v>381.66401548288013</v>
      </c>
      <c r="AT118" s="50">
        <f t="shared" si="413"/>
        <v>392.38516085882884</v>
      </c>
      <c r="AU118" s="50">
        <f t="shared" si="413"/>
        <v>350.9668894330062</v>
      </c>
      <c r="AV118" s="26">
        <f t="shared" si="413"/>
        <v>1483.4089272216786</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104">
        <v>90</v>
      </c>
      <c r="W119" s="193">
        <f>SUM(S119:V119)</f>
        <v>231.8</v>
      </c>
      <c r="X119" s="56">
        <f>V119</f>
        <v>90</v>
      </c>
      <c r="Y119" s="56">
        <f>X119</f>
        <v>90</v>
      </c>
      <c r="Z119" s="56">
        <f>Y119</f>
        <v>90</v>
      </c>
      <c r="AA119" s="56">
        <f>Z119</f>
        <v>90</v>
      </c>
      <c r="AB119" s="193">
        <f>SUM(X119:AA119)</f>
        <v>360</v>
      </c>
      <c r="AC119" s="56">
        <f>AA119</f>
        <v>90</v>
      </c>
      <c r="AD119" s="56">
        <f>AC119</f>
        <v>90</v>
      </c>
      <c r="AE119" s="56">
        <f>AD119</f>
        <v>90</v>
      </c>
      <c r="AF119" s="56">
        <f>AE119</f>
        <v>90</v>
      </c>
      <c r="AG119" s="193">
        <f>SUM(AC119:AF119)</f>
        <v>360</v>
      </c>
      <c r="AH119" s="56">
        <f>AF119</f>
        <v>90</v>
      </c>
      <c r="AI119" s="56">
        <f>AH119</f>
        <v>90</v>
      </c>
      <c r="AJ119" s="56">
        <f>AI119</f>
        <v>90</v>
      </c>
      <c r="AK119" s="56">
        <f>AJ119</f>
        <v>90</v>
      </c>
      <c r="AL119" s="193">
        <f>SUM(AH119:AK119)</f>
        <v>360</v>
      </c>
      <c r="AM119" s="56">
        <f>AK119</f>
        <v>90</v>
      </c>
      <c r="AN119" s="56">
        <f>AM119</f>
        <v>90</v>
      </c>
      <c r="AO119" s="56">
        <f>AN119</f>
        <v>90</v>
      </c>
      <c r="AP119" s="56">
        <f>AO119</f>
        <v>90</v>
      </c>
      <c r="AQ119" s="193">
        <f>SUM(AM119:AP119)</f>
        <v>360</v>
      </c>
      <c r="AR119" s="56">
        <f>AP119</f>
        <v>90</v>
      </c>
      <c r="AS119" s="56">
        <f>AR119</f>
        <v>90</v>
      </c>
      <c r="AT119" s="56">
        <f>AS119</f>
        <v>90</v>
      </c>
      <c r="AU119" s="56">
        <f>AT119</f>
        <v>90</v>
      </c>
      <c r="AV119" s="193">
        <f>SUM(AR119:AU119)</f>
        <v>360</v>
      </c>
    </row>
    <row r="120" spans="2:48" outlineLevel="1" x14ac:dyDescent="0.3">
      <c r="B120" s="46" t="s">
        <v>53</v>
      </c>
      <c r="C120" s="44"/>
      <c r="D120" s="156">
        <f t="shared" ref="D120:AV120" si="414">D108-D118+D119</f>
        <v>175.80000000000004</v>
      </c>
      <c r="E120" s="156">
        <f t="shared" si="414"/>
        <v>148.89999999999998</v>
      </c>
      <c r="F120" s="156">
        <f t="shared" si="414"/>
        <v>181.89999999999998</v>
      </c>
      <c r="G120" s="156">
        <f t="shared" si="414"/>
        <v>190.89999999999995</v>
      </c>
      <c r="H120" s="97">
        <f t="shared" si="414"/>
        <v>697.5</v>
      </c>
      <c r="I120" s="156">
        <f t="shared" si="414"/>
        <v>175.5</v>
      </c>
      <c r="J120" s="156">
        <f t="shared" si="414"/>
        <v>189.6</v>
      </c>
      <c r="K120" s="156">
        <f t="shared" si="414"/>
        <v>124.20000000000005</v>
      </c>
      <c r="L120" s="74">
        <f t="shared" si="414"/>
        <v>197.89999999999998</v>
      </c>
      <c r="M120" s="97">
        <f t="shared" si="414"/>
        <v>687.1999999999997</v>
      </c>
      <c r="N120" s="74">
        <f t="shared" si="414"/>
        <v>180.8</v>
      </c>
      <c r="O120" s="74">
        <f t="shared" si="414"/>
        <v>172.59999999999997</v>
      </c>
      <c r="P120" s="74">
        <f t="shared" si="414"/>
        <v>216</v>
      </c>
      <c r="Q120" s="74">
        <f t="shared" si="414"/>
        <v>219.8</v>
      </c>
      <c r="R120" s="97">
        <f t="shared" si="414"/>
        <v>789.19999999999993</v>
      </c>
      <c r="S120" s="74">
        <f t="shared" si="414"/>
        <v>183.20000000000002</v>
      </c>
      <c r="T120" s="74">
        <f t="shared" si="414"/>
        <v>197.90000000000003</v>
      </c>
      <c r="U120" s="74">
        <f t="shared" si="414"/>
        <v>191.69999999999993</v>
      </c>
      <c r="V120" s="74">
        <f t="shared" si="414"/>
        <v>244.59999999999997</v>
      </c>
      <c r="W120" s="97">
        <f t="shared" si="414"/>
        <v>817.40000000000009</v>
      </c>
      <c r="X120" s="74">
        <f t="shared" si="414"/>
        <v>231.90165000000002</v>
      </c>
      <c r="Y120" s="74">
        <f t="shared" si="414"/>
        <v>245.37600000000003</v>
      </c>
      <c r="Z120" s="74">
        <f t="shared" si="414"/>
        <v>238.50887999999998</v>
      </c>
      <c r="AA120" s="74">
        <f t="shared" si="414"/>
        <v>280.96688</v>
      </c>
      <c r="AB120" s="97">
        <f t="shared" si="414"/>
        <v>996.75341000000003</v>
      </c>
      <c r="AC120" s="74">
        <f t="shared" si="414"/>
        <v>247.12096400000001</v>
      </c>
      <c r="AD120" s="74">
        <f t="shared" si="414"/>
        <v>251.59104000000002</v>
      </c>
      <c r="AE120" s="74">
        <f t="shared" si="414"/>
        <v>254.82610560000001</v>
      </c>
      <c r="AF120" s="74">
        <f t="shared" si="414"/>
        <v>299.06895360000004</v>
      </c>
      <c r="AG120" s="97">
        <f t="shared" si="414"/>
        <v>1052.6070632000001</v>
      </c>
      <c r="AH120" s="74">
        <f t="shared" si="414"/>
        <v>254.89454924800003</v>
      </c>
      <c r="AI120" s="74">
        <f t="shared" si="414"/>
        <v>258.05468160000004</v>
      </c>
      <c r="AJ120" s="74">
        <f t="shared" si="414"/>
        <v>266.81512243199995</v>
      </c>
      <c r="AK120" s="74">
        <f t="shared" si="414"/>
        <v>309.60809861120003</v>
      </c>
      <c r="AL120" s="97">
        <f t="shared" si="414"/>
        <v>1089.3724518912004</v>
      </c>
      <c r="AM120" s="74">
        <f t="shared" si="414"/>
        <v>261.49033121792007</v>
      </c>
      <c r="AN120" s="74">
        <f t="shared" si="414"/>
        <v>264.77686886399999</v>
      </c>
      <c r="AO120" s="74">
        <f t="shared" si="414"/>
        <v>273.88772732927998</v>
      </c>
      <c r="AP120" s="74">
        <f t="shared" si="414"/>
        <v>318.39242255564801</v>
      </c>
      <c r="AQ120" s="97">
        <f t="shared" si="414"/>
        <v>1118.5473499668481</v>
      </c>
      <c r="AR120" s="74">
        <f t="shared" si="414"/>
        <v>268.34994446663683</v>
      </c>
      <c r="AS120" s="74">
        <f t="shared" si="414"/>
        <v>271.76794361856003</v>
      </c>
      <c r="AT120" s="74">
        <f t="shared" si="414"/>
        <v>281.24323642245122</v>
      </c>
      <c r="AU120" s="74">
        <f t="shared" si="414"/>
        <v>327.52811945787397</v>
      </c>
      <c r="AV120" s="97">
        <f t="shared" si="414"/>
        <v>1148.8892439655222</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V121" si="415">+I120/I108</f>
        <v>0.3548321876263647</v>
      </c>
      <c r="J121" s="157">
        <f t="shared" si="415"/>
        <v>0.36524754382585239</v>
      </c>
      <c r="K121" s="157">
        <f t="shared" si="415"/>
        <v>0.27766599597585523</v>
      </c>
      <c r="L121" s="75">
        <f t="shared" si="415"/>
        <v>0.42650862068965512</v>
      </c>
      <c r="M121" s="98">
        <f t="shared" si="415"/>
        <v>0.35698701298701285</v>
      </c>
      <c r="N121" s="75">
        <f t="shared" si="415"/>
        <v>0.48680667743672595</v>
      </c>
      <c r="O121" s="75">
        <f t="shared" si="415"/>
        <v>0.46661259799945926</v>
      </c>
      <c r="P121" s="75">
        <f t="shared" si="415"/>
        <v>0.52173913043478259</v>
      </c>
      <c r="Q121" s="75">
        <f t="shared" si="415"/>
        <v>0.50148300250969657</v>
      </c>
      <c r="R121" s="98">
        <f t="shared" si="415"/>
        <v>0.49523092369477911</v>
      </c>
      <c r="S121" s="75">
        <f t="shared" si="415"/>
        <v>0.43922320786382163</v>
      </c>
      <c r="T121" s="75">
        <f t="shared" si="415"/>
        <v>0.42733750809760318</v>
      </c>
      <c r="U121" s="75">
        <f t="shared" si="415"/>
        <v>0.3996247654784239</v>
      </c>
      <c r="V121" s="75">
        <f t="shared" si="415"/>
        <v>0.50568534215422778</v>
      </c>
      <c r="W121" s="98">
        <f t="shared" si="415"/>
        <v>0.44337166413538731</v>
      </c>
      <c r="X121" s="75">
        <f t="shared" si="415"/>
        <v>0.50544157712342797</v>
      </c>
      <c r="Y121" s="75">
        <f t="shared" si="415"/>
        <v>0.50947627194658074</v>
      </c>
      <c r="Z121" s="75">
        <f t="shared" si="415"/>
        <v>0.47808101217106835</v>
      </c>
      <c r="AA121" s="75">
        <f t="shared" si="415"/>
        <v>0.55852896741464031</v>
      </c>
      <c r="AB121" s="98">
        <f t="shared" si="415"/>
        <v>0.51316351158636098</v>
      </c>
      <c r="AC121" s="75">
        <f t="shared" si="415"/>
        <v>0.51789697595619433</v>
      </c>
      <c r="AD121" s="75">
        <f t="shared" si="415"/>
        <v>0.50228905025177639</v>
      </c>
      <c r="AE121" s="75">
        <f t="shared" si="415"/>
        <v>0.49114250400583204</v>
      </c>
      <c r="AF121" s="75">
        <f t="shared" si="415"/>
        <v>0.57164783785734474</v>
      </c>
      <c r="AG121" s="98">
        <f t="shared" si="415"/>
        <v>0.52107588984274167</v>
      </c>
      <c r="AH121" s="75">
        <f t="shared" si="415"/>
        <v>0.51364255175693119</v>
      </c>
      <c r="AI121" s="75">
        <f t="shared" si="415"/>
        <v>0.49537826016061826</v>
      </c>
      <c r="AJ121" s="75">
        <f t="shared" si="415"/>
        <v>0.4944708615392584</v>
      </c>
      <c r="AK121" s="75">
        <f t="shared" si="415"/>
        <v>0.56903136712917579</v>
      </c>
      <c r="AL121" s="98">
        <f t="shared" si="415"/>
        <v>0.51853460910454274</v>
      </c>
      <c r="AM121" s="75">
        <f t="shared" si="415"/>
        <v>0.50666714387302436</v>
      </c>
      <c r="AN121" s="75">
        <f t="shared" si="415"/>
        <v>0.48873326968835085</v>
      </c>
      <c r="AO121" s="75">
        <f t="shared" si="415"/>
        <v>0.48805582070601478</v>
      </c>
      <c r="AP121" s="75">
        <f t="shared" si="415"/>
        <v>0.56266937604439793</v>
      </c>
      <c r="AQ121" s="98">
        <f t="shared" si="415"/>
        <v>0.51194392475250816</v>
      </c>
      <c r="AR121" s="75">
        <f t="shared" si="415"/>
        <v>0.49996002090772923</v>
      </c>
      <c r="AS121" s="75">
        <f t="shared" si="415"/>
        <v>0.48234385577270916</v>
      </c>
      <c r="AT121" s="75">
        <f t="shared" si="415"/>
        <v>0.48188751221251125</v>
      </c>
      <c r="AU121" s="75">
        <f t="shared" si="415"/>
        <v>0.55655207692441933</v>
      </c>
      <c r="AV121" s="98">
        <f t="shared" si="415"/>
        <v>0.50560672826016728</v>
      </c>
    </row>
    <row r="122" spans="2:48" ht="17.399999999999999" x14ac:dyDescent="0.45">
      <c r="B122" s="494" t="s">
        <v>55</v>
      </c>
      <c r="C122" s="495"/>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4" t="s">
        <v>347</v>
      </c>
      <c r="W122" s="40" t="s">
        <v>348</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486" t="s">
        <v>127</v>
      </c>
      <c r="C123" s="487"/>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v>19.100000000000001</v>
      </c>
      <c r="W123" s="31">
        <f>SUM(S123:V123)</f>
        <v>95.9</v>
      </c>
      <c r="X123" s="48">
        <f>+S123*(1+X124)</f>
        <v>27.610000000000003</v>
      </c>
      <c r="Y123" s="48">
        <f>+T123*(1+Y124)</f>
        <v>26.84</v>
      </c>
      <c r="Z123" s="48">
        <f>+U123*(1+Z124)</f>
        <v>30.030000000000005</v>
      </c>
      <c r="AA123" s="48">
        <f t="shared" ref="AA123" si="416">+V123*(1+AA124)</f>
        <v>21.01</v>
      </c>
      <c r="AB123" s="31">
        <f>SUM(X123:AA123)</f>
        <v>105.49000000000001</v>
      </c>
      <c r="AC123" s="48">
        <f>+X123*(1+AC124)</f>
        <v>30.371000000000006</v>
      </c>
      <c r="AD123" s="48">
        <f>+Y123*(1+AD124)</f>
        <v>29.524000000000001</v>
      </c>
      <c r="AE123" s="48">
        <f>+Z123*(1+AE124)</f>
        <v>33.033000000000008</v>
      </c>
      <c r="AF123" s="48">
        <f t="shared" ref="AF123" si="417">+AA123*(1+AF124)</f>
        <v>23.111000000000004</v>
      </c>
      <c r="AG123" s="31">
        <f>SUM(AC123:AF123)</f>
        <v>116.03900000000003</v>
      </c>
      <c r="AH123" s="48">
        <f>+AC123*(1+AH124)</f>
        <v>33.408100000000012</v>
      </c>
      <c r="AI123" s="48">
        <f>+AD123*(1+AI124)</f>
        <v>32.476400000000005</v>
      </c>
      <c r="AJ123" s="48">
        <f>+AE123*(1+AJ124)</f>
        <v>36.336300000000016</v>
      </c>
      <c r="AK123" s="48">
        <f t="shared" ref="AK123" si="418">+AF123*(1+AK124)</f>
        <v>25.422100000000007</v>
      </c>
      <c r="AL123" s="31">
        <f>SUM(AH123:AK123)</f>
        <v>127.64290000000003</v>
      </c>
      <c r="AM123" s="48">
        <f>+AH123*(1+AM124)</f>
        <v>36.748910000000016</v>
      </c>
      <c r="AN123" s="48">
        <f>+AI123*(1+AN124)</f>
        <v>35.724040000000009</v>
      </c>
      <c r="AO123" s="48">
        <f>+AJ123*(1+AO124)</f>
        <v>39.969930000000019</v>
      </c>
      <c r="AP123" s="48">
        <f t="shared" ref="AP123" si="419">+AK123*(1+AP124)</f>
        <v>27.964310000000012</v>
      </c>
      <c r="AQ123" s="31">
        <f>SUM(AM123:AP123)</f>
        <v>140.40719000000007</v>
      </c>
      <c r="AR123" s="48">
        <f>+AM123*(1+AR124)</f>
        <v>40.423801000000019</v>
      </c>
      <c r="AS123" s="48">
        <f>+AN123*(1+AS124)</f>
        <v>39.296444000000015</v>
      </c>
      <c r="AT123" s="48">
        <f>+AO123*(1+AT124)</f>
        <v>43.966923000000023</v>
      </c>
      <c r="AU123" s="48">
        <f t="shared" ref="AU123" si="420">+AP123*(1+AU124)</f>
        <v>30.760741000000014</v>
      </c>
      <c r="AV123" s="31">
        <f>SUM(AR123:AU123)</f>
        <v>154.44790900000007</v>
      </c>
    </row>
    <row r="124" spans="2:48" s="8" customFormat="1" outlineLevel="1" x14ac:dyDescent="0.3">
      <c r="B124" s="38" t="s">
        <v>128</v>
      </c>
      <c r="C124" s="201"/>
      <c r="D124" s="30"/>
      <c r="E124" s="30"/>
      <c r="F124" s="30"/>
      <c r="G124" s="118"/>
      <c r="H124" s="130"/>
      <c r="I124" s="118">
        <f t="shared" ref="I124:J124" si="421">I123/D123-1</f>
        <v>0.76724137931034497</v>
      </c>
      <c r="J124" s="118">
        <f t="shared" si="421"/>
        <v>-0.24050632911392411</v>
      </c>
      <c r="K124" s="118">
        <f>K123/F123-1</f>
        <v>-0.15450643776824036</v>
      </c>
      <c r="L124" s="118">
        <f>L123/G123-1</f>
        <v>-9.740259740259738E-2</v>
      </c>
      <c r="M124" s="128">
        <f>M123/H123-1</f>
        <v>0</v>
      </c>
      <c r="N124" s="118">
        <f t="shared" ref="N124:Q124" si="422">N123/I123-1</f>
        <v>0</v>
      </c>
      <c r="O124" s="118">
        <f t="shared" si="422"/>
        <v>0.88333333333333353</v>
      </c>
      <c r="P124" s="118">
        <f t="shared" si="422"/>
        <v>0.20812182741116758</v>
      </c>
      <c r="Q124" s="118">
        <f t="shared" si="422"/>
        <v>1.2158273381294964</v>
      </c>
      <c r="R124" s="128">
        <f>R123/M123-1</f>
        <v>0.47806354009077134</v>
      </c>
      <c r="S124" s="118">
        <f t="shared" ref="S124:V124" si="423">S123/N123-1</f>
        <v>0.224390243902439</v>
      </c>
      <c r="T124" s="118">
        <f t="shared" si="423"/>
        <v>7.9646017699114946E-2</v>
      </c>
      <c r="U124" s="118">
        <f t="shared" si="423"/>
        <v>0.14705882352941169</v>
      </c>
      <c r="V124" s="118">
        <f t="shared" si="423"/>
        <v>-0.3798701298701298</v>
      </c>
      <c r="W124" s="128">
        <f>W123/R123-1</f>
        <v>-1.842374616171949E-2</v>
      </c>
      <c r="X124" s="34">
        <v>0.1</v>
      </c>
      <c r="Y124" s="34">
        <v>0.1</v>
      </c>
      <c r="Z124" s="34">
        <v>0.1</v>
      </c>
      <c r="AA124" s="34">
        <v>0.1</v>
      </c>
      <c r="AB124" s="128">
        <f>AB123/W123-1</f>
        <v>0.10000000000000009</v>
      </c>
      <c r="AC124" s="34">
        <v>0.1</v>
      </c>
      <c r="AD124" s="34">
        <v>0.1</v>
      </c>
      <c r="AE124" s="34">
        <v>0.1</v>
      </c>
      <c r="AF124" s="34">
        <v>0.1</v>
      </c>
      <c r="AG124" s="128">
        <f>AG123/AB123-1</f>
        <v>0.10000000000000009</v>
      </c>
      <c r="AH124" s="34">
        <v>0.1</v>
      </c>
      <c r="AI124" s="34">
        <v>0.1</v>
      </c>
      <c r="AJ124" s="34">
        <v>0.1</v>
      </c>
      <c r="AK124" s="34">
        <v>0.1</v>
      </c>
      <c r="AL124" s="128">
        <f>AL123/AG123-1</f>
        <v>9.9999999999999867E-2</v>
      </c>
      <c r="AM124" s="34">
        <v>0.1</v>
      </c>
      <c r="AN124" s="34">
        <v>0.1</v>
      </c>
      <c r="AO124" s="34">
        <v>0.1</v>
      </c>
      <c r="AP124" s="34">
        <v>0.1</v>
      </c>
      <c r="AQ124" s="128">
        <f>AQ123/AL123-1</f>
        <v>0.10000000000000031</v>
      </c>
      <c r="AR124" s="34">
        <v>0.1</v>
      </c>
      <c r="AS124" s="34">
        <v>0.1</v>
      </c>
      <c r="AT124" s="34">
        <v>0.1</v>
      </c>
      <c r="AU124" s="34">
        <v>0.1</v>
      </c>
      <c r="AV124" s="128">
        <f>AV123/AQ123-1</f>
        <v>9.9999999999999867E-2</v>
      </c>
    </row>
    <row r="125" spans="2:48" outlineLevel="1" x14ac:dyDescent="0.3">
      <c r="B125" s="504" t="s">
        <v>100</v>
      </c>
      <c r="C125" s="505"/>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105">
        <v>20.399999999999999</v>
      </c>
      <c r="W125" s="31">
        <f>SUM(S125:V125)</f>
        <v>88.4</v>
      </c>
      <c r="X125" s="95">
        <v>24.3</v>
      </c>
      <c r="Y125" s="95">
        <v>24.3</v>
      </c>
      <c r="Z125" s="95">
        <v>24.3</v>
      </c>
      <c r="AA125" s="95">
        <v>24.3</v>
      </c>
      <c r="AB125" s="31">
        <f>SUM(X125:AA125)</f>
        <v>97.2</v>
      </c>
      <c r="AC125" s="95">
        <v>24.3</v>
      </c>
      <c r="AD125" s="95">
        <v>24.3</v>
      </c>
      <c r="AE125" s="95">
        <v>24.3</v>
      </c>
      <c r="AF125" s="95">
        <v>24.3</v>
      </c>
      <c r="AG125" s="31">
        <f>SUM(AC125:AF125)</f>
        <v>97.2</v>
      </c>
      <c r="AH125" s="95">
        <v>24.3</v>
      </c>
      <c r="AI125" s="95">
        <v>24.3</v>
      </c>
      <c r="AJ125" s="95">
        <v>24.3</v>
      </c>
      <c r="AK125" s="95">
        <v>24.3</v>
      </c>
      <c r="AL125" s="31">
        <f>SUM(AH125:AK125)</f>
        <v>97.2</v>
      </c>
      <c r="AM125" s="95">
        <v>24.3</v>
      </c>
      <c r="AN125" s="95">
        <v>24.3</v>
      </c>
      <c r="AO125" s="95">
        <v>24.3</v>
      </c>
      <c r="AP125" s="95">
        <v>24.3</v>
      </c>
      <c r="AQ125" s="31">
        <f>SUM(AM125:AP125)</f>
        <v>97.2</v>
      </c>
      <c r="AR125" s="95">
        <v>24.3</v>
      </c>
      <c r="AS125" s="95">
        <v>24.3</v>
      </c>
      <c r="AT125" s="95">
        <v>24.3</v>
      </c>
      <c r="AU125" s="95">
        <v>24.3</v>
      </c>
      <c r="AV125" s="31">
        <f>SUM(AR125:AU125)</f>
        <v>97.2</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424">SUM(I126:L126)</f>
        <v>13.9</v>
      </c>
      <c r="N126" s="105">
        <v>3.6</v>
      </c>
      <c r="O126" s="105">
        <v>3.4</v>
      </c>
      <c r="P126" s="105">
        <v>3.3</v>
      </c>
      <c r="Q126" s="105">
        <v>4.5</v>
      </c>
      <c r="R126" s="31">
        <f t="shared" ref="R126:R129" si="425">SUM(N126:Q126)</f>
        <v>14.8</v>
      </c>
      <c r="S126" s="105">
        <v>2.9</v>
      </c>
      <c r="T126" s="105">
        <v>4.4000000000000004</v>
      </c>
      <c r="U126" s="105">
        <v>5.9</v>
      </c>
      <c r="V126" s="105">
        <v>3.3</v>
      </c>
      <c r="W126" s="31">
        <f t="shared" ref="W126:W129" si="426">SUM(S126:V126)</f>
        <v>16.5</v>
      </c>
      <c r="X126" s="95">
        <v>5.9</v>
      </c>
      <c r="Y126" s="95">
        <v>5.9</v>
      </c>
      <c r="Z126" s="95">
        <v>5.9</v>
      </c>
      <c r="AA126" s="95">
        <v>5.9</v>
      </c>
      <c r="AB126" s="31">
        <f t="shared" ref="AB126:AB129" si="427">SUM(X126:AA126)</f>
        <v>23.6</v>
      </c>
      <c r="AC126" s="95">
        <v>5.9</v>
      </c>
      <c r="AD126" s="95">
        <v>5.9</v>
      </c>
      <c r="AE126" s="95">
        <v>5.9</v>
      </c>
      <c r="AF126" s="95">
        <v>5.9</v>
      </c>
      <c r="AG126" s="31">
        <f t="shared" ref="AG126:AG129" si="428">SUM(AC126:AF126)</f>
        <v>23.6</v>
      </c>
      <c r="AH126" s="95">
        <v>5.9</v>
      </c>
      <c r="AI126" s="95">
        <v>5.9</v>
      </c>
      <c r="AJ126" s="95">
        <v>5.9</v>
      </c>
      <c r="AK126" s="95">
        <v>5.9</v>
      </c>
      <c r="AL126" s="31">
        <f t="shared" ref="AL126:AL129" si="429">SUM(AH126:AK126)</f>
        <v>23.6</v>
      </c>
      <c r="AM126" s="95">
        <v>5.9</v>
      </c>
      <c r="AN126" s="95">
        <v>5.9</v>
      </c>
      <c r="AO126" s="95">
        <v>5.9</v>
      </c>
      <c r="AP126" s="95">
        <v>5.9</v>
      </c>
      <c r="AQ126" s="31">
        <f t="shared" ref="AQ126:AQ129" si="430">SUM(AM126:AP126)</f>
        <v>23.6</v>
      </c>
      <c r="AR126" s="95">
        <v>5.9</v>
      </c>
      <c r="AS126" s="95">
        <v>5.9</v>
      </c>
      <c r="AT126" s="95">
        <v>5.9</v>
      </c>
      <c r="AU126" s="95">
        <v>5.9</v>
      </c>
      <c r="AV126" s="31">
        <f t="shared" ref="AV126:AV129" si="431">SUM(AR126:AU126)</f>
        <v>23.6</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424"/>
        <v>149.80000000000001</v>
      </c>
      <c r="N127" s="358">
        <v>37</v>
      </c>
      <c r="O127" s="358">
        <v>37</v>
      </c>
      <c r="P127" s="358">
        <v>35.5</v>
      </c>
      <c r="Q127" s="358">
        <v>32.9</v>
      </c>
      <c r="R127" s="126">
        <f t="shared" si="425"/>
        <v>142.4</v>
      </c>
      <c r="S127" s="358">
        <v>32.9</v>
      </c>
      <c r="T127" s="358">
        <v>32.299999999999997</v>
      </c>
      <c r="U127" s="358">
        <v>30.6</v>
      </c>
      <c r="V127" s="358">
        <v>30.7</v>
      </c>
      <c r="W127" s="126">
        <f t="shared" si="426"/>
        <v>126.49999999999999</v>
      </c>
      <c r="X127" s="358">
        <f>(V127/(V66+V99+V114+V127))*'CFS (Before Changes) '!X7*0.95</f>
        <v>31.824697783428835</v>
      </c>
      <c r="Y127" s="358">
        <f>(X127/(X66+X99+X114+X127))*'CFS (Before Changes) '!Y7*0.95</f>
        <v>32.724656151144941</v>
      </c>
      <c r="Z127" s="358">
        <f>(Y127/(Y66+Y99+Y114+Y127))*'CFS (Before Changes) '!Z7*0.95</f>
        <v>33.383504707976364</v>
      </c>
      <c r="AA127" s="358">
        <f>(Z127/(Z66+Z99+Z114+Z127))*'CFS (Before Changes) '!AA7*0.95</f>
        <v>34.201766751476185</v>
      </c>
      <c r="AB127" s="126">
        <f t="shared" si="427"/>
        <v>132.13462539402633</v>
      </c>
      <c r="AC127" s="358">
        <f>(AA127/(AA66+AA99+AA114+AA127))*'CFS (Before Changes) '!AC7*0.95</f>
        <v>35.767800279253663</v>
      </c>
      <c r="AD127" s="358">
        <f>(AC127/(AC66+AC99+AC114+AC127))*'CFS (Before Changes) '!AD7*0.95</f>
        <v>36.836997297970093</v>
      </c>
      <c r="AE127" s="358">
        <f>(AD127/(AD66+AD99+AD114+AD127))*'CFS (Before Changes) '!AE7*0.95</f>
        <v>37.682438339424166</v>
      </c>
      <c r="AF127" s="358">
        <f>(AE127/(AE66+AE99+AE114+AE127))*'CFS (Before Changes) '!AF7*0.95</f>
        <v>38.822158444277655</v>
      </c>
      <c r="AG127" s="126">
        <f t="shared" si="428"/>
        <v>149.10939436092559</v>
      </c>
      <c r="AH127" s="358">
        <f>(AF127/(AF66+AF99+AF114+AF127))*'CFS (Before Changes) '!AH7*0.95</f>
        <v>40.095234044915323</v>
      </c>
      <c r="AI127" s="358">
        <f>(AH127/(AH66+AH99+AH114+AH127))*'CFS (Before Changes) '!AI7*0.95</f>
        <v>40.963923565722602</v>
      </c>
      <c r="AJ127" s="358">
        <f>(AI127/(AI66+AI99+AI114+AI127))*'CFS (Before Changes) '!AJ7*0.95</f>
        <v>41.617660860333032</v>
      </c>
      <c r="AK127" s="358">
        <f>(AJ127/(AJ66+AJ99+AJ114+AJ127))*'CFS (Before Changes) '!AK7*0.95</f>
        <v>42.544792692662064</v>
      </c>
      <c r="AL127" s="126">
        <f t="shared" si="429"/>
        <v>165.22161116363301</v>
      </c>
      <c r="AM127" s="358">
        <f>(AK127/(AK66+AK99+AK114+AK127))*'CFS (Before Changes) '!AM7*0.95</f>
        <v>43.54556909135696</v>
      </c>
      <c r="AN127" s="358">
        <f>(AM127/(AM66+AM99+AM114+AM127))*'CFS (Before Changes) '!AN7*0.95</f>
        <v>44.556251239461851</v>
      </c>
      <c r="AO127" s="358">
        <f>(AN127/(AN66+AN99+AN114+AN127))*'CFS (Before Changes) '!AO7*0.95</f>
        <v>45.29836815253428</v>
      </c>
      <c r="AP127" s="358">
        <f>(AO127/(AO66+AO99+AO114+AO127))*'CFS (Before Changes) '!AP7*0.95</f>
        <v>46.31085649924421</v>
      </c>
      <c r="AQ127" s="126">
        <f t="shared" si="430"/>
        <v>179.71104498259729</v>
      </c>
      <c r="AR127" s="358">
        <f>(AP127/(AP66+AP99+AP114+AP127))*'CFS (Before Changes) '!AR7*0.95</f>
        <v>47.384218063982765</v>
      </c>
      <c r="AS127" s="358">
        <f>(AR127/(AR66+AR99+AR114+AR127))*'CFS (Before Changes) '!AS7*0.95</f>
        <v>48.406550549734838</v>
      </c>
      <c r="AT127" s="358">
        <f>(AS127/(AS66+AS99+AS114+AS127))*'CFS (Before Changes) '!AT7*0.95</f>
        <v>49.138983421925751</v>
      </c>
      <c r="AU127" s="358">
        <f>(AT127/(AT66+AT99+AT114+AT127))*'CFS (Before Changes) '!AU7*0.95</f>
        <v>50.159054880091198</v>
      </c>
      <c r="AV127" s="126">
        <f t="shared" si="431"/>
        <v>195.08880691573455</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424"/>
        <v>1121.7</v>
      </c>
      <c r="N128" s="105">
        <v>316.5</v>
      </c>
      <c r="O128" s="105">
        <v>304.60000000000002</v>
      </c>
      <c r="P128" s="105">
        <v>326.5</v>
      </c>
      <c r="Q128" s="105">
        <v>321</v>
      </c>
      <c r="R128" s="31">
        <f t="shared" si="425"/>
        <v>1268.5999999999999</v>
      </c>
      <c r="S128" s="105">
        <v>354.5</v>
      </c>
      <c r="T128" s="105">
        <v>328.1</v>
      </c>
      <c r="U128" s="105">
        <v>326.10000000000002</v>
      </c>
      <c r="V128" s="105">
        <v>362.5</v>
      </c>
      <c r="W128" s="31">
        <f t="shared" si="426"/>
        <v>1371.2</v>
      </c>
      <c r="X128" s="95">
        <v>332.42500000000001</v>
      </c>
      <c r="Y128" s="95">
        <v>332.42500000000001</v>
      </c>
      <c r="Z128" s="95">
        <v>332.42500000000001</v>
      </c>
      <c r="AA128" s="95">
        <v>332.42500000000001</v>
      </c>
      <c r="AB128" s="31">
        <f t="shared" si="427"/>
        <v>1329.7</v>
      </c>
      <c r="AC128" s="95">
        <v>332.42500000000001</v>
      </c>
      <c r="AD128" s="95">
        <v>332.42500000000001</v>
      </c>
      <c r="AE128" s="95">
        <v>332.42500000000001</v>
      </c>
      <c r="AF128" s="95">
        <v>332.42500000000001</v>
      </c>
      <c r="AG128" s="31">
        <f t="shared" si="428"/>
        <v>1329.7</v>
      </c>
      <c r="AH128" s="95">
        <v>332.42500000000001</v>
      </c>
      <c r="AI128" s="95">
        <v>332.42500000000001</v>
      </c>
      <c r="AJ128" s="95">
        <v>332.42500000000001</v>
      </c>
      <c r="AK128" s="95">
        <v>332.42500000000001</v>
      </c>
      <c r="AL128" s="31">
        <f t="shared" si="429"/>
        <v>1329.7</v>
      </c>
      <c r="AM128" s="95">
        <v>332.42500000000001</v>
      </c>
      <c r="AN128" s="95">
        <v>332.42500000000001</v>
      </c>
      <c r="AO128" s="95">
        <v>332.42500000000001</v>
      </c>
      <c r="AP128" s="95">
        <v>332.42500000000001</v>
      </c>
      <c r="AQ128" s="31">
        <f t="shared" si="430"/>
        <v>1329.7</v>
      </c>
      <c r="AR128" s="95">
        <v>332.42500000000001</v>
      </c>
      <c r="AS128" s="95">
        <v>332.42500000000001</v>
      </c>
      <c r="AT128" s="95">
        <v>332.42500000000001</v>
      </c>
      <c r="AU128" s="95">
        <v>332.42500000000001</v>
      </c>
      <c r="AV128" s="31">
        <f t="shared" si="431"/>
        <v>1329.7</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424"/>
        <v>22.400000000000002</v>
      </c>
      <c r="N129" s="119">
        <v>0</v>
      </c>
      <c r="O129" s="119">
        <v>0</v>
      </c>
      <c r="P129" s="119">
        <v>0</v>
      </c>
      <c r="Q129" s="119">
        <v>15</v>
      </c>
      <c r="R129" s="193">
        <f t="shared" si="425"/>
        <v>15</v>
      </c>
      <c r="S129" s="119">
        <v>0</v>
      </c>
      <c r="T129" s="119">
        <v>0</v>
      </c>
      <c r="U129" s="119">
        <v>2</v>
      </c>
      <c r="V129" s="119">
        <v>10.7</v>
      </c>
      <c r="W129" s="193">
        <f t="shared" si="426"/>
        <v>12.7</v>
      </c>
      <c r="X129" s="119">
        <f>IFERROR((X163*(V129/V163)),0)</f>
        <v>15.242165242165239</v>
      </c>
      <c r="Y129" s="119">
        <f t="shared" ref="Y129:AA129" si="432">IFERROR((Y163*(X129/X163)),0)</f>
        <v>0</v>
      </c>
      <c r="Z129" s="119">
        <f t="shared" si="432"/>
        <v>0</v>
      </c>
      <c r="AA129" s="119">
        <f t="shared" si="432"/>
        <v>0</v>
      </c>
      <c r="AB129" s="193">
        <f t="shared" si="427"/>
        <v>15.242165242165239</v>
      </c>
      <c r="AC129" s="119">
        <f>IFERROR((AC163*(AA129/AA163)),0)</f>
        <v>0</v>
      </c>
      <c r="AD129" s="119">
        <f t="shared" ref="AD129:AF129" si="433">IFERROR((AD163*(AC129/AC163)),0)</f>
        <v>0</v>
      </c>
      <c r="AE129" s="119">
        <f t="shared" si="433"/>
        <v>0</v>
      </c>
      <c r="AF129" s="119">
        <f t="shared" si="433"/>
        <v>0</v>
      </c>
      <c r="AG129" s="193">
        <f t="shared" si="428"/>
        <v>0</v>
      </c>
      <c r="AH129" s="119">
        <f>IFERROR((AH163*(AF129/AF163)),0)</f>
        <v>0</v>
      </c>
      <c r="AI129" s="119">
        <f t="shared" ref="AI129:AK129" si="434">IFERROR((AI163*(AH129/AH163)),0)</f>
        <v>0</v>
      </c>
      <c r="AJ129" s="119">
        <f t="shared" si="434"/>
        <v>0</v>
      </c>
      <c r="AK129" s="119">
        <f t="shared" si="434"/>
        <v>0</v>
      </c>
      <c r="AL129" s="193">
        <f t="shared" si="429"/>
        <v>0</v>
      </c>
      <c r="AM129" s="119">
        <f>IFERROR((AM163*(AK129/AK163)),0)</f>
        <v>0</v>
      </c>
      <c r="AN129" s="119">
        <f t="shared" ref="AN129:AP129" si="435">IFERROR((AN163*(AM129/AM163)),0)</f>
        <v>0</v>
      </c>
      <c r="AO129" s="119">
        <f t="shared" si="435"/>
        <v>0</v>
      </c>
      <c r="AP129" s="119">
        <f t="shared" si="435"/>
        <v>0</v>
      </c>
      <c r="AQ129" s="193">
        <f t="shared" si="430"/>
        <v>0</v>
      </c>
      <c r="AR129" s="119">
        <f>IFERROR((AR163*(AP129/AP163)),0)</f>
        <v>0</v>
      </c>
      <c r="AS129" s="119">
        <f t="shared" ref="AS129:AU129" si="436">IFERROR((AS163*(AR129/AR163)),0)</f>
        <v>0</v>
      </c>
      <c r="AT129" s="119">
        <f t="shared" si="436"/>
        <v>0</v>
      </c>
      <c r="AU129" s="119">
        <f t="shared" si="436"/>
        <v>0</v>
      </c>
      <c r="AV129" s="193">
        <f t="shared" si="431"/>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V130" si="437">SUM(I125:I129)</f>
        <v>350.9</v>
      </c>
      <c r="J130" s="103">
        <f t="shared" si="437"/>
        <v>320</v>
      </c>
      <c r="K130" s="103">
        <f t="shared" si="437"/>
        <v>356.90000000000003</v>
      </c>
      <c r="L130" s="50">
        <f t="shared" si="437"/>
        <v>343.3</v>
      </c>
      <c r="M130" s="51">
        <f t="shared" si="437"/>
        <v>1371.1000000000001</v>
      </c>
      <c r="N130" s="50">
        <f t="shared" si="437"/>
        <v>376.1</v>
      </c>
      <c r="O130" s="50">
        <f t="shared" si="437"/>
        <v>364.40000000000003</v>
      </c>
      <c r="P130" s="50">
        <f t="shared" si="437"/>
        <v>385.1</v>
      </c>
      <c r="Q130" s="50">
        <f t="shared" si="437"/>
        <v>401.6</v>
      </c>
      <c r="R130" s="51">
        <f t="shared" si="437"/>
        <v>1527.1999999999998</v>
      </c>
      <c r="S130" s="50">
        <f t="shared" si="437"/>
        <v>413.2</v>
      </c>
      <c r="T130" s="50">
        <f t="shared" si="437"/>
        <v>385.6</v>
      </c>
      <c r="U130" s="50">
        <f t="shared" si="437"/>
        <v>388.90000000000003</v>
      </c>
      <c r="V130" s="50">
        <f t="shared" si="437"/>
        <v>427.59999999999997</v>
      </c>
      <c r="W130" s="51">
        <f t="shared" si="437"/>
        <v>1615.3</v>
      </c>
      <c r="X130" s="50">
        <f t="shared" si="437"/>
        <v>409.6918630255941</v>
      </c>
      <c r="Y130" s="50">
        <f t="shared" si="437"/>
        <v>395.34965615114493</v>
      </c>
      <c r="Z130" s="50">
        <f t="shared" si="437"/>
        <v>396.00850470797639</v>
      </c>
      <c r="AA130" s="50">
        <f t="shared" si="437"/>
        <v>396.82676675147621</v>
      </c>
      <c r="AB130" s="51">
        <f t="shared" si="437"/>
        <v>1597.8767906361916</v>
      </c>
      <c r="AC130" s="50">
        <f t="shared" si="437"/>
        <v>398.39280027925366</v>
      </c>
      <c r="AD130" s="50">
        <f t="shared" si="437"/>
        <v>399.46199729797013</v>
      </c>
      <c r="AE130" s="50">
        <f t="shared" si="437"/>
        <v>400.30743833942415</v>
      </c>
      <c r="AF130" s="50">
        <f t="shared" si="437"/>
        <v>401.44715844427765</v>
      </c>
      <c r="AG130" s="51">
        <f t="shared" si="437"/>
        <v>1599.6093943609258</v>
      </c>
      <c r="AH130" s="50">
        <f t="shared" si="437"/>
        <v>402.72023404491534</v>
      </c>
      <c r="AI130" s="50">
        <f t="shared" si="437"/>
        <v>403.58892356572261</v>
      </c>
      <c r="AJ130" s="50">
        <f t="shared" si="437"/>
        <v>404.24266086033305</v>
      </c>
      <c r="AK130" s="50">
        <f t="shared" si="437"/>
        <v>405.1697926926621</v>
      </c>
      <c r="AL130" s="51">
        <f t="shared" si="437"/>
        <v>1615.721611163633</v>
      </c>
      <c r="AM130" s="50">
        <f t="shared" si="437"/>
        <v>406.17056909135698</v>
      </c>
      <c r="AN130" s="50">
        <f t="shared" si="437"/>
        <v>407.18125123946186</v>
      </c>
      <c r="AO130" s="50">
        <f t="shared" si="437"/>
        <v>407.92336815253429</v>
      </c>
      <c r="AP130" s="50">
        <f t="shared" si="437"/>
        <v>408.93585649924421</v>
      </c>
      <c r="AQ130" s="51">
        <f t="shared" si="437"/>
        <v>1630.2110449825973</v>
      </c>
      <c r="AR130" s="50">
        <f t="shared" si="437"/>
        <v>410.00921806398276</v>
      </c>
      <c r="AS130" s="50">
        <f t="shared" si="437"/>
        <v>411.03155054973485</v>
      </c>
      <c r="AT130" s="50">
        <f t="shared" si="437"/>
        <v>411.76398342192579</v>
      </c>
      <c r="AU130" s="50">
        <f t="shared" si="437"/>
        <v>412.78405488009122</v>
      </c>
      <c r="AV130" s="51">
        <f t="shared" si="437"/>
        <v>1645.5888069157345</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V131" si="438">I123-I130</f>
        <v>-330.4</v>
      </c>
      <c r="J131" s="156">
        <f t="shared" si="438"/>
        <v>-308</v>
      </c>
      <c r="K131" s="156">
        <f t="shared" si="438"/>
        <v>-337.20000000000005</v>
      </c>
      <c r="L131" s="74">
        <f t="shared" si="438"/>
        <v>-329.40000000000003</v>
      </c>
      <c r="M131" s="194">
        <f t="shared" si="438"/>
        <v>-1305.0000000000002</v>
      </c>
      <c r="N131" s="74">
        <f t="shared" si="438"/>
        <v>-355.6</v>
      </c>
      <c r="O131" s="74">
        <f t="shared" si="438"/>
        <v>-341.8</v>
      </c>
      <c r="P131" s="74">
        <f t="shared" si="438"/>
        <v>-361.3</v>
      </c>
      <c r="Q131" s="74">
        <f t="shared" si="438"/>
        <v>-370.8</v>
      </c>
      <c r="R131" s="194">
        <f t="shared" si="438"/>
        <v>-1429.4999999999998</v>
      </c>
      <c r="S131" s="74">
        <f t="shared" si="438"/>
        <v>-388.09999999999997</v>
      </c>
      <c r="T131" s="74">
        <f t="shared" si="438"/>
        <v>-361.20000000000005</v>
      </c>
      <c r="U131" s="74">
        <f t="shared" si="438"/>
        <v>-361.6</v>
      </c>
      <c r="V131" s="74">
        <f t="shared" si="438"/>
        <v>-408.49999999999994</v>
      </c>
      <c r="W131" s="194">
        <f t="shared" si="438"/>
        <v>-1519.3999999999999</v>
      </c>
      <c r="X131" s="74">
        <f t="shared" si="438"/>
        <v>-382.08186302559409</v>
      </c>
      <c r="Y131" s="74">
        <f t="shared" si="438"/>
        <v>-368.50965615114495</v>
      </c>
      <c r="Z131" s="74">
        <f t="shared" si="438"/>
        <v>-365.97850470797636</v>
      </c>
      <c r="AA131" s="74">
        <f t="shared" si="438"/>
        <v>-375.81676675147622</v>
      </c>
      <c r="AB131" s="194">
        <f t="shared" si="438"/>
        <v>-1492.3867906361916</v>
      </c>
      <c r="AC131" s="74">
        <f t="shared" si="438"/>
        <v>-368.02180027925368</v>
      </c>
      <c r="AD131" s="74">
        <f t="shared" si="438"/>
        <v>-369.93799729797013</v>
      </c>
      <c r="AE131" s="74">
        <f t="shared" si="438"/>
        <v>-367.27443833942414</v>
      </c>
      <c r="AF131" s="74">
        <f t="shared" si="438"/>
        <v>-378.33615844427766</v>
      </c>
      <c r="AG131" s="194">
        <f t="shared" si="438"/>
        <v>-1483.5703943609258</v>
      </c>
      <c r="AH131" s="74">
        <f t="shared" si="438"/>
        <v>-369.31213404491535</v>
      </c>
      <c r="AI131" s="74">
        <f t="shared" si="438"/>
        <v>-371.1125235657226</v>
      </c>
      <c r="AJ131" s="74">
        <f t="shared" si="438"/>
        <v>-367.90636086033305</v>
      </c>
      <c r="AK131" s="74">
        <f t="shared" si="438"/>
        <v>-379.7476926926621</v>
      </c>
      <c r="AL131" s="194">
        <f t="shared" si="438"/>
        <v>-1488.078711163633</v>
      </c>
      <c r="AM131" s="74">
        <f t="shared" si="438"/>
        <v>-369.42165909135696</v>
      </c>
      <c r="AN131" s="74">
        <f t="shared" si="438"/>
        <v>-371.45721123946186</v>
      </c>
      <c r="AO131" s="74">
        <f t="shared" si="438"/>
        <v>-367.95343815253426</v>
      </c>
      <c r="AP131" s="74">
        <f t="shared" si="438"/>
        <v>-380.9715464992442</v>
      </c>
      <c r="AQ131" s="194">
        <f t="shared" si="438"/>
        <v>-1489.8038549825972</v>
      </c>
      <c r="AR131" s="74">
        <f t="shared" si="438"/>
        <v>-369.58541706398273</v>
      </c>
      <c r="AS131" s="74">
        <f t="shared" si="438"/>
        <v>-371.73510654973484</v>
      </c>
      <c r="AT131" s="74">
        <f t="shared" si="438"/>
        <v>-367.79706042192578</v>
      </c>
      <c r="AU131" s="74">
        <f t="shared" si="438"/>
        <v>-382.02331388009122</v>
      </c>
      <c r="AV131" s="194">
        <f t="shared" si="438"/>
        <v>-1491.1408979157345</v>
      </c>
    </row>
    <row r="132" spans="2:48" ht="17.399999999999999" x14ac:dyDescent="0.45">
      <c r="B132" s="494" t="s">
        <v>14</v>
      </c>
      <c r="C132" s="495"/>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4" t="s">
        <v>347</v>
      </c>
      <c r="W132" s="40" t="s">
        <v>348</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2.2737367544323206E-12</v>
      </c>
      <c r="W137" s="66"/>
      <c r="X137" s="65">
        <f>+X71+X105+X120+X131-X17</f>
        <v>0</v>
      </c>
      <c r="Y137" s="65">
        <f>+Y71+Y105+Y120+Y131-Y17</f>
        <v>0</v>
      </c>
      <c r="Z137" s="121">
        <f>+Z71+Z105+Z120+Z131-Z17</f>
        <v>0</v>
      </c>
      <c r="AA137" s="65">
        <f>+AA71+AA105+AA120+AA131-AA17</f>
        <v>0</v>
      </c>
      <c r="AB137" s="66"/>
      <c r="AC137" s="65">
        <f>+AC71+AC105+AC120+AC131-AC17</f>
        <v>2.9558577807620168E-12</v>
      </c>
      <c r="AD137" s="65">
        <f>+AD71+AD105+AD120+AD131-AD17</f>
        <v>0</v>
      </c>
      <c r="AE137" s="121">
        <f>+AE71+AE105+AE120+AE131-AE17</f>
        <v>0</v>
      </c>
      <c r="AF137" s="65">
        <f>+AF71+AF105+AF120+AF131-AF17</f>
        <v>0</v>
      </c>
      <c r="AG137" s="66"/>
      <c r="AH137" s="65">
        <f>+AH71+AH105+AH120+AH131-AH17</f>
        <v>0</v>
      </c>
      <c r="AI137" s="65">
        <f>+AI71+AI105+AI120+AI131-AI17</f>
        <v>-2.9558577807620168E-12</v>
      </c>
      <c r="AJ137" s="121">
        <f>+AJ71+AJ105+AJ120+AJ131-AJ17</f>
        <v>0</v>
      </c>
      <c r="AK137" s="65">
        <f>+AK71+AK105+AK120+AK131-AK17</f>
        <v>0</v>
      </c>
      <c r="AL137" s="66"/>
      <c r="AM137" s="65">
        <f>+AM71+AM105+AM120+AM131-AM17</f>
        <v>0</v>
      </c>
      <c r="AN137" s="65">
        <f>+AN71+AN105+AN120+AN131-AN17</f>
        <v>2.0463630789890885E-12</v>
      </c>
      <c r="AO137" s="121">
        <f>+AO71+AO105+AO120+AO131-AO17</f>
        <v>0</v>
      </c>
      <c r="AP137" s="65">
        <f>+AP71+AP105+AP120+AP131-AP17</f>
        <v>0</v>
      </c>
      <c r="AQ137" s="66"/>
      <c r="AR137" s="65">
        <f>+AR71+AR105+AR120+AR131-AR17</f>
        <v>0</v>
      </c>
      <c r="AS137" s="65">
        <f>+AS71+AS105+AS120+AS131-AS17</f>
        <v>0</v>
      </c>
      <c r="AT137" s="121">
        <f>+AT71+AT105+AT120+AT131-AT17</f>
        <v>0</v>
      </c>
      <c r="AU137" s="65">
        <f>+AU71+AU105+AU120+AU131-AU17</f>
        <v>0</v>
      </c>
      <c r="AV137" s="66"/>
    </row>
    <row r="138" spans="2:48" ht="15" customHeight="1" x14ac:dyDescent="0.45">
      <c r="B138" s="494" t="s">
        <v>9</v>
      </c>
      <c r="C138" s="495"/>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4" t="s">
        <v>347</v>
      </c>
      <c r="W138" s="40" t="s">
        <v>348</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6.9530396796505273E-2</v>
      </c>
      <c r="AC139" s="113"/>
      <c r="AD139" s="113"/>
      <c r="AE139" s="113"/>
      <c r="AF139" s="113"/>
      <c r="AG139" s="137">
        <f>(AG91+AG58)/(AB83+AB74+AB50+AB41)</f>
        <v>6.9565900403204692E-2</v>
      </c>
      <c r="AH139" s="113"/>
      <c r="AI139" s="113"/>
      <c r="AJ139" s="113"/>
      <c r="AK139" s="113"/>
      <c r="AL139" s="406">
        <f>(AL91+AL58)/(AG83+AG74+AG50+AG41)</f>
        <v>6.9594379574551418E-2</v>
      </c>
      <c r="AM139" s="113"/>
      <c r="AN139" s="113"/>
      <c r="AO139" s="113"/>
      <c r="AP139" s="113"/>
      <c r="AQ139" s="137">
        <f>(AQ91+AQ58)/(AL83+AL74+AL50+AL41)</f>
        <v>2.9111548496361057E-2</v>
      </c>
      <c r="AR139" s="113"/>
      <c r="AS139" s="113"/>
      <c r="AT139" s="113"/>
      <c r="AU139" s="113"/>
      <c r="AV139" s="137">
        <f>(AV91+AV58)/(AQ83+AQ74+AQ50+AQ41)</f>
        <v>2.8288039852332875E-2</v>
      </c>
    </row>
    <row r="140" spans="2:48" s="23" customFormat="1" outlineLevel="1" x14ac:dyDescent="0.3">
      <c r="B140" s="486" t="s">
        <v>17</v>
      </c>
      <c r="C140" s="487"/>
      <c r="D140" s="30"/>
      <c r="E140" s="30"/>
      <c r="F140" s="30"/>
      <c r="G140" s="30"/>
      <c r="H140" s="137"/>
      <c r="I140" s="30">
        <f t="shared" ref="I140:AV140" si="439">I8/D8-1</f>
        <v>7.0016735266180907E-2</v>
      </c>
      <c r="J140" s="30">
        <f t="shared" si="439"/>
        <v>-4.9192026514851106E-2</v>
      </c>
      <c r="K140" s="30">
        <f t="shared" si="439"/>
        <v>-0.38119595485856661</v>
      </c>
      <c r="L140" s="113">
        <f t="shared" si="439"/>
        <v>-8.061360604713208E-2</v>
      </c>
      <c r="M140" s="128">
        <f t="shared" si="439"/>
        <v>-0.11281621813298315</v>
      </c>
      <c r="N140" s="30">
        <f t="shared" si="439"/>
        <v>-4.8991841738174613E-2</v>
      </c>
      <c r="O140" s="30">
        <f t="shared" si="439"/>
        <v>0.11213036009139876</v>
      </c>
      <c r="P140" s="30">
        <f t="shared" si="439"/>
        <v>0.77553823926482068</v>
      </c>
      <c r="Q140" s="30">
        <f t="shared" si="439"/>
        <v>0.31332720736405983</v>
      </c>
      <c r="R140" s="128">
        <f t="shared" si="439"/>
        <v>0.23567480227910509</v>
      </c>
      <c r="S140" s="30">
        <f t="shared" si="439"/>
        <v>0.19275787477405393</v>
      </c>
      <c r="T140" s="30">
        <f t="shared" si="439"/>
        <v>0.14511097780443905</v>
      </c>
      <c r="U140" s="30">
        <f t="shared" si="439"/>
        <v>8.7187354098579473E-2</v>
      </c>
      <c r="V140" s="30">
        <f t="shared" si="439"/>
        <v>3.2835381197294566E-2</v>
      </c>
      <c r="W140" s="28">
        <f t="shared" si="439"/>
        <v>0.10976029400631782</v>
      </c>
      <c r="X140" s="30">
        <f t="shared" si="439"/>
        <v>8.3933698002107926E-2</v>
      </c>
      <c r="Y140" s="30">
        <f t="shared" si="439"/>
        <v>0.10640791555627782</v>
      </c>
      <c r="Z140" s="30">
        <f t="shared" si="439"/>
        <v>0.13502833189718677</v>
      </c>
      <c r="AA140" s="30">
        <f t="shared" si="439"/>
        <v>0.13513747960118594</v>
      </c>
      <c r="AB140" s="137">
        <f t="shared" si="439"/>
        <v>0.11552625281232243</v>
      </c>
      <c r="AC140" s="30">
        <f t="shared" si="439"/>
        <v>0.12292757392557396</v>
      </c>
      <c r="AD140" s="30">
        <f t="shared" si="439"/>
        <v>9.6474400368486979E-2</v>
      </c>
      <c r="AE140" s="30">
        <f t="shared" si="439"/>
        <v>9.7417358944140275E-2</v>
      </c>
      <c r="AF140" s="30">
        <f t="shared" si="439"/>
        <v>9.9829295627696268E-2</v>
      </c>
      <c r="AG140" s="137">
        <f t="shared" si="439"/>
        <v>0.1040238516399794</v>
      </c>
      <c r="AH140" s="30">
        <f t="shared" si="439"/>
        <v>0.11491011635657733</v>
      </c>
      <c r="AI140" s="30">
        <f t="shared" si="439"/>
        <v>0.11407393846723335</v>
      </c>
      <c r="AJ140" s="30">
        <f t="shared" si="439"/>
        <v>0.11478223184104674</v>
      </c>
      <c r="AK140" s="30">
        <f t="shared" si="439"/>
        <v>0.11658684351775261</v>
      </c>
      <c r="AL140" s="406">
        <f t="shared" si="439"/>
        <v>0.1151258794785246</v>
      </c>
      <c r="AM140" s="30">
        <f t="shared" si="439"/>
        <v>9.980304196317813E-2</v>
      </c>
      <c r="AN140" s="30">
        <f t="shared" si="439"/>
        <v>9.4269738036827144E-2</v>
      </c>
      <c r="AO140" s="30">
        <f t="shared" si="439"/>
        <v>9.0299851631327588E-2</v>
      </c>
      <c r="AP140" s="30">
        <f t="shared" si="439"/>
        <v>8.6644934019168174E-2</v>
      </c>
      <c r="AQ140" s="28">
        <f t="shared" si="439"/>
        <v>9.2600951927831687E-2</v>
      </c>
      <c r="AR140" s="30">
        <f t="shared" si="439"/>
        <v>6.4838400997392576E-2</v>
      </c>
      <c r="AS140" s="30">
        <f t="shared" si="439"/>
        <v>6.4076831661120437E-2</v>
      </c>
      <c r="AT140" s="30">
        <f t="shared" si="439"/>
        <v>6.3858115584933595E-2</v>
      </c>
      <c r="AU140" s="30">
        <f t="shared" si="439"/>
        <v>6.3781597260213152E-2</v>
      </c>
      <c r="AV140" s="28">
        <f t="shared" si="439"/>
        <v>6.4132389921005117E-2</v>
      </c>
    </row>
    <row r="141" spans="2:48" s="23" customFormat="1" outlineLevel="1" x14ac:dyDescent="0.3">
      <c r="B141" s="486" t="s">
        <v>4</v>
      </c>
      <c r="C141" s="487"/>
      <c r="D141" s="27">
        <f t="shared" ref="D141:AV141" si="440">D17/D8</f>
        <v>0.15313522396610738</v>
      </c>
      <c r="E141" s="27">
        <f t="shared" si="440"/>
        <v>0.13601547756862614</v>
      </c>
      <c r="F141" s="27">
        <f t="shared" si="440"/>
        <v>0.16434119888612064</v>
      </c>
      <c r="G141" s="27">
        <f t="shared" si="440"/>
        <v>0.16054542759745088</v>
      </c>
      <c r="H141" s="29">
        <f t="shared" si="440"/>
        <v>0.15383309567461143</v>
      </c>
      <c r="I141" s="27">
        <f t="shared" si="440"/>
        <v>0.1718730185568752</v>
      </c>
      <c r="J141" s="27">
        <f t="shared" si="440"/>
        <v>8.1291592307820446E-2</v>
      </c>
      <c r="K141" s="27">
        <f t="shared" si="440"/>
        <v>-0.16671798394164022</v>
      </c>
      <c r="L141" s="113">
        <f t="shared" si="440"/>
        <v>9.0003385404072211E-2</v>
      </c>
      <c r="M141" s="137">
        <f t="shared" si="440"/>
        <v>6.6400204098988183E-2</v>
      </c>
      <c r="N141" s="27">
        <f t="shared" si="440"/>
        <v>0.13534536403235845</v>
      </c>
      <c r="O141" s="27">
        <f t="shared" si="440"/>
        <v>0.14811037792441512</v>
      </c>
      <c r="P141" s="27">
        <f t="shared" si="440"/>
        <v>0.19858600680317468</v>
      </c>
      <c r="Q141" s="27">
        <f t="shared" si="440"/>
        <v>0.18193869910515911</v>
      </c>
      <c r="R141" s="137">
        <f t="shared" si="440"/>
        <v>0.16764966999993108</v>
      </c>
      <c r="S141" s="27">
        <f t="shared" si="440"/>
        <v>0.14630328927755143</v>
      </c>
      <c r="T141" s="27">
        <f t="shared" si="440"/>
        <v>0.12427314159987431</v>
      </c>
      <c r="U141" s="27">
        <f t="shared" si="440"/>
        <v>0.15895510484533926</v>
      </c>
      <c r="V141" s="27">
        <f t="shared" si="440"/>
        <v>0.14208124361198912</v>
      </c>
      <c r="W141" s="137">
        <f t="shared" si="440"/>
        <v>0.14318316418761981</v>
      </c>
      <c r="X141" s="27">
        <f t="shared" si="440"/>
        <v>0.13862670942398436</v>
      </c>
      <c r="Y141" s="27">
        <f t="shared" si="440"/>
        <v>0.13967828264902765</v>
      </c>
      <c r="Z141" s="27">
        <f t="shared" si="440"/>
        <v>0.16204233726162787</v>
      </c>
      <c r="AA141" s="27">
        <f t="shared" si="440"/>
        <v>0.17343872358298001</v>
      </c>
      <c r="AB141" s="137">
        <f t="shared" si="440"/>
        <v>0.15413678458728092</v>
      </c>
      <c r="AC141" s="27">
        <f t="shared" si="440"/>
        <v>0.16668018347932467</v>
      </c>
      <c r="AD141" s="27">
        <f t="shared" si="440"/>
        <v>0.14934803681084954</v>
      </c>
      <c r="AE141" s="27">
        <f t="shared" si="440"/>
        <v>0.16638780988763469</v>
      </c>
      <c r="AF141" s="27">
        <f t="shared" si="440"/>
        <v>0.1621853390924084</v>
      </c>
      <c r="AG141" s="137">
        <f t="shared" si="440"/>
        <v>0.16137445834028186</v>
      </c>
      <c r="AH141" s="27">
        <f t="shared" si="440"/>
        <v>0.17303449362251236</v>
      </c>
      <c r="AI141" s="27">
        <f t="shared" si="440"/>
        <v>0.15639673624322692</v>
      </c>
      <c r="AJ141" s="27">
        <f t="shared" si="440"/>
        <v>0.17939609124403302</v>
      </c>
      <c r="AK141" s="27">
        <f t="shared" si="440"/>
        <v>0.16900537576780611</v>
      </c>
      <c r="AL141" s="29">
        <f t="shared" si="440"/>
        <v>0.16971636309555305</v>
      </c>
      <c r="AM141" s="27">
        <f t="shared" si="440"/>
        <v>0.17537516873528747</v>
      </c>
      <c r="AN141" s="27">
        <f t="shared" si="440"/>
        <v>0.15861036832617037</v>
      </c>
      <c r="AO141" s="27">
        <f t="shared" si="440"/>
        <v>0.18026713107499304</v>
      </c>
      <c r="AP141" s="27">
        <f t="shared" si="440"/>
        <v>0.16926064500112822</v>
      </c>
      <c r="AQ141" s="29">
        <f t="shared" si="440"/>
        <v>0.17109987961743658</v>
      </c>
      <c r="AR141" s="27">
        <f t="shared" si="440"/>
        <v>0.17464157122417379</v>
      </c>
      <c r="AS141" s="27">
        <f t="shared" si="440"/>
        <v>0.15792026811414367</v>
      </c>
      <c r="AT141" s="27">
        <f t="shared" si="440"/>
        <v>0.1795042095029524</v>
      </c>
      <c r="AU141" s="27">
        <f t="shared" si="440"/>
        <v>0.16841548529906852</v>
      </c>
      <c r="AV141" s="29">
        <f t="shared" si="440"/>
        <v>0.17033999654101092</v>
      </c>
    </row>
    <row r="142" spans="2:48" s="23" customFormat="1" outlineLevel="1" x14ac:dyDescent="0.3">
      <c r="B142" s="486" t="s">
        <v>77</v>
      </c>
      <c r="C142" s="487"/>
      <c r="D142" s="27">
        <f t="shared" ref="D142:AV142" si="441">+D19/D8</f>
        <v>0.17394123056975294</v>
      </c>
      <c r="E142" s="27">
        <f t="shared" si="441"/>
        <v>0.15843892227913536</v>
      </c>
      <c r="F142" s="27">
        <f t="shared" si="441"/>
        <v>0.18270555474131628</v>
      </c>
      <c r="G142" s="27">
        <f t="shared" si="441"/>
        <v>0.17201719282644154</v>
      </c>
      <c r="H142" s="29">
        <f t="shared" si="441"/>
        <v>0.17201964645435841</v>
      </c>
      <c r="I142" s="27">
        <f t="shared" si="441"/>
        <v>0.1819616463062376</v>
      </c>
      <c r="J142" s="27">
        <f t="shared" si="441"/>
        <v>9.2432910252347358E-2</v>
      </c>
      <c r="K142" s="27">
        <f t="shared" si="441"/>
        <v>-0.12558205632268285</v>
      </c>
      <c r="L142" s="113">
        <f t="shared" si="441"/>
        <v>0.13183730715287523</v>
      </c>
      <c r="M142" s="137">
        <f t="shared" si="441"/>
        <v>9.0704141508631861E-2</v>
      </c>
      <c r="N142" s="27">
        <f t="shared" si="441"/>
        <v>0.15533232583637069</v>
      </c>
      <c r="O142" s="27">
        <f t="shared" si="441"/>
        <v>0.1613377324535093</v>
      </c>
      <c r="P142" s="27">
        <f t="shared" si="441"/>
        <v>0.20548255852731262</v>
      </c>
      <c r="Q142" s="27">
        <f t="shared" si="441"/>
        <v>0.19607939411049871</v>
      </c>
      <c r="R142" s="137">
        <f t="shared" si="441"/>
        <v>0.18106990220435909</v>
      </c>
      <c r="S142" s="27">
        <f t="shared" si="441"/>
        <v>0.15067574282023255</v>
      </c>
      <c r="T142" s="27">
        <f t="shared" si="441"/>
        <v>0.13049400178113052</v>
      </c>
      <c r="U142" s="27">
        <f t="shared" si="441"/>
        <v>0.16846419062342788</v>
      </c>
      <c r="V142" s="27">
        <f t="shared" ref="V142" si="442">+V19/V8</f>
        <v>0.15124432506952518</v>
      </c>
      <c r="W142" s="137">
        <f t="shared" si="441"/>
        <v>0.15054123527533064</v>
      </c>
      <c r="X142" s="27">
        <f t="shared" si="441"/>
        <v>0.14552567834692726</v>
      </c>
      <c r="Y142" s="27">
        <f t="shared" si="441"/>
        <v>0.14088578561219059</v>
      </c>
      <c r="Z142" s="27">
        <f t="shared" si="441"/>
        <v>0.16314508711547421</v>
      </c>
      <c r="AA142" s="27">
        <f t="shared" si="441"/>
        <v>0.17450675826246223</v>
      </c>
      <c r="AB142" s="137">
        <f t="shared" si="441"/>
        <v>0.15666080683528935</v>
      </c>
      <c r="AC142" s="27">
        <f t="shared" si="441"/>
        <v>0.1677212409969219</v>
      </c>
      <c r="AD142" s="27">
        <f t="shared" si="441"/>
        <v>0.15388214992444979</v>
      </c>
      <c r="AE142" s="27">
        <f t="shared" si="441"/>
        <v>0.17052502235814823</v>
      </c>
      <c r="AF142" s="27">
        <f t="shared" si="441"/>
        <v>0.16618352250263965</v>
      </c>
      <c r="AG142" s="137">
        <f t="shared" si="441"/>
        <v>0.16480362488413791</v>
      </c>
      <c r="AH142" s="27">
        <f t="shared" si="441"/>
        <v>0.17687897277536702</v>
      </c>
      <c r="AI142" s="27">
        <f t="shared" si="441"/>
        <v>0.16046658561053045</v>
      </c>
      <c r="AJ142" s="27">
        <f t="shared" si="441"/>
        <v>0.18310732053379394</v>
      </c>
      <c r="AK142" s="27">
        <f t="shared" si="441"/>
        <v>0.17258609448524609</v>
      </c>
      <c r="AL142" s="406">
        <f t="shared" si="441"/>
        <v>0.17350945509470186</v>
      </c>
      <c r="AM142" s="27">
        <f t="shared" si="441"/>
        <v>0.17887077568141133</v>
      </c>
      <c r="AN142" s="27">
        <f t="shared" si="441"/>
        <v>0.16232960612087083</v>
      </c>
      <c r="AO142" s="27">
        <f t="shared" si="441"/>
        <v>0.18367099220934807</v>
      </c>
      <c r="AP142" s="27">
        <f t="shared" si="441"/>
        <v>0.17255585082718955</v>
      </c>
      <c r="AQ142" s="29">
        <f t="shared" si="441"/>
        <v>0.174571496581028</v>
      </c>
      <c r="AR142" s="27">
        <f t="shared" si="441"/>
        <v>0.17792432938057542</v>
      </c>
      <c r="AS142" s="27">
        <f t="shared" si="441"/>
        <v>0.16141553996297661</v>
      </c>
      <c r="AT142" s="27">
        <f t="shared" si="441"/>
        <v>0.18270375376970222</v>
      </c>
      <c r="AU142" s="27">
        <f t="shared" si="441"/>
        <v>0.17151311909396419</v>
      </c>
      <c r="AV142" s="29">
        <f t="shared" si="441"/>
        <v>0.17360238851072549</v>
      </c>
    </row>
    <row r="143" spans="2:48" s="23" customFormat="1" outlineLevel="1" x14ac:dyDescent="0.3">
      <c r="B143" s="486" t="s">
        <v>2</v>
      </c>
      <c r="C143" s="487"/>
      <c r="D143" s="27">
        <f t="shared" ref="D143:K143" si="443">D24/D23</f>
        <v>0.2124287933713101</v>
      </c>
      <c r="E143" s="27">
        <f t="shared" si="443"/>
        <v>0.1965853658536586</v>
      </c>
      <c r="F143" s="27">
        <f t="shared" si="443"/>
        <v>0.18110799689903978</v>
      </c>
      <c r="G143" s="118">
        <f t="shared" si="443"/>
        <v>0.20083682008368189</v>
      </c>
      <c r="H143" s="137">
        <f t="shared" si="443"/>
        <v>0.19515471765706843</v>
      </c>
      <c r="I143" s="118">
        <f t="shared" si="443"/>
        <v>0.22600104913446431</v>
      </c>
      <c r="J143" s="118">
        <f t="shared" si="443"/>
        <v>0.16760635571501836</v>
      </c>
      <c r="K143" s="118">
        <f t="shared" si="443"/>
        <v>0.16490147783251249</v>
      </c>
      <c r="L143" s="118">
        <v>0.25</v>
      </c>
      <c r="M143" s="137">
        <f t="shared" ref="M143:U143" si="444">M24/M23</f>
        <v>0.20585709378220463</v>
      </c>
      <c r="N143" s="118">
        <f t="shared" si="444"/>
        <v>0.23023629840405785</v>
      </c>
      <c r="O143" s="118">
        <f t="shared" si="444"/>
        <v>0.25901786717608721</v>
      </c>
      <c r="P143" s="118">
        <f t="shared" si="444"/>
        <v>0.18217246510309659</v>
      </c>
      <c r="Q143" s="118">
        <f t="shared" si="444"/>
        <v>0.21489588894821143</v>
      </c>
      <c r="R143" s="137">
        <f t="shared" si="444"/>
        <v>0.21591906068581893</v>
      </c>
      <c r="S143" s="118">
        <f t="shared" si="444"/>
        <v>0.23183358433734938</v>
      </c>
      <c r="T143" s="118">
        <f t="shared" si="444"/>
        <v>0.22954000684853323</v>
      </c>
      <c r="U143" s="118">
        <f t="shared" si="444"/>
        <v>0.23360174467371256</v>
      </c>
      <c r="V143" s="118">
        <f t="shared" ref="V143" si="445">V24/V23</f>
        <v>0.20223392662549969</v>
      </c>
      <c r="W143" s="137">
        <f>W24/W23</f>
        <v>0.22415463503390937</v>
      </c>
      <c r="X143" s="35">
        <v>0.245</v>
      </c>
      <c r="Y143" s="35">
        <v>0.245</v>
      </c>
      <c r="Z143" s="35">
        <v>0.245</v>
      </c>
      <c r="AA143" s="35">
        <v>0.245</v>
      </c>
      <c r="AB143" s="137">
        <f>AB24/AB23</f>
        <v>0.2450000000000005</v>
      </c>
      <c r="AC143" s="34">
        <f>AVERAGE(X143,Y143,Z143,AA143)</f>
        <v>0.245</v>
      </c>
      <c r="AD143" s="34">
        <f>AVERAGE(Y143,Z143,AA143,AC143)</f>
        <v>0.245</v>
      </c>
      <c r="AE143" s="34">
        <f>AVERAGE(Z143,AA143,AC143,AD143)</f>
        <v>0.245</v>
      </c>
      <c r="AF143" s="34">
        <f>AVERAGE(AA143,AC143,AD143,AE143)</f>
        <v>0.245</v>
      </c>
      <c r="AG143" s="29">
        <f>AG24/AG23</f>
        <v>0.24499999999999975</v>
      </c>
      <c r="AH143" s="34">
        <f>AVERAGE(AC143,AD143,AE143,AF143)</f>
        <v>0.245</v>
      </c>
      <c r="AI143" s="34">
        <f>AVERAGE(AD143,AE143,AF143,AH143)</f>
        <v>0.245</v>
      </c>
      <c r="AJ143" s="34">
        <f>AVERAGE(AE143,AF143,AH143,AI143)</f>
        <v>0.245</v>
      </c>
      <c r="AK143" s="34">
        <f>AVERAGE(AF143,AH143,AI143,AJ143)</f>
        <v>0.245</v>
      </c>
      <c r="AL143" s="29">
        <f>AL24/AL23</f>
        <v>0.24500000000000013</v>
      </c>
      <c r="AM143" s="34">
        <f>AVERAGE(AH143,AI143,AJ143,AK143)</f>
        <v>0.245</v>
      </c>
      <c r="AN143" s="34">
        <f>AVERAGE(AI143,AJ143,AK143,AM143)</f>
        <v>0.245</v>
      </c>
      <c r="AO143" s="34">
        <f>AVERAGE(AJ143,AK143,AM143,AN143)</f>
        <v>0.245</v>
      </c>
      <c r="AP143" s="34">
        <f>AVERAGE(AK143,AM143,AN143,AO143)</f>
        <v>0.245</v>
      </c>
      <c r="AQ143" s="29">
        <f>AQ24/AQ23</f>
        <v>0.24500000000000041</v>
      </c>
      <c r="AR143" s="34">
        <f>AVERAGE(AM143,AN143,AO143,AP143)</f>
        <v>0.245</v>
      </c>
      <c r="AS143" s="34">
        <f>AVERAGE(AN143,AO143,AP143,AR143)</f>
        <v>0.245</v>
      </c>
      <c r="AT143" s="34">
        <f>AVERAGE(AO143,AP143,AR143,AS143)</f>
        <v>0.245</v>
      </c>
      <c r="AU143" s="34">
        <f>AVERAGE(AP143,AR143,AS143,AT143)</f>
        <v>0.245</v>
      </c>
      <c r="AV143" s="29">
        <f>AV24/AV23</f>
        <v>0.24499999999999997</v>
      </c>
    </row>
    <row r="144" spans="2:48" s="23" customFormat="1" outlineLevel="1" x14ac:dyDescent="0.3">
      <c r="B144" s="486" t="s">
        <v>78</v>
      </c>
      <c r="C144" s="487"/>
      <c r="D144" s="27"/>
      <c r="E144" s="27">
        <f>+E21/(('BS (Before Changes)'!E6+'BS (Before Changes)'!E7+'BS (Before Changes)'!E12)+('BS (Before Changes)'!D6+'BS (Before Changes)'!D7+'BS (Before Changes)'!D12)/2)</f>
        <v>3.0327214684756584E-3</v>
      </c>
      <c r="F144" s="27">
        <f>+F21/(('BS (Before Changes)'!F6+'BS (Before Changes)'!F7+'BS (Before Changes)'!F12)+('BS (Before Changes)'!E6+'BS (Before Changes)'!E7+'BS (Before Changes)'!E12)/2)</f>
        <v>6.4321029136466161E-3</v>
      </c>
      <c r="G144" s="27">
        <f>+G21/(('BS (Before Changes)'!G6+'BS (Before Changes)'!G7+'BS (Before Changes)'!G12)+('BS (Before Changes)'!F6+'BS (Before Changes)'!F7+'BS (Before Changes)'!F12)/2)</f>
        <v>2.9603261807251862E-3</v>
      </c>
      <c r="H144" s="29"/>
      <c r="I144" s="27">
        <f>+I21/(('BS (Before Changes)'!I6+'BS (Before Changes)'!I7+'BS (Before Changes)'!I12)+('BS (Before Changes)'!G6+'BS (Before Changes)'!G7+'BS (Before Changes)'!G12)/2)</f>
        <v>3.3143988743550958E-3</v>
      </c>
      <c r="J144" s="27">
        <f>+J21/(('BS (Before Changes)'!J6+'BS (Before Changes)'!J7+'BS (Before Changes)'!J12)+('BS (Before Changes)'!I6+'BS (Before Changes)'!I7+'BS (Before Changes)'!I12)/2)</f>
        <v>4.4659305324505627E-4</v>
      </c>
      <c r="K144" s="27">
        <f>+K21/(('BS (Before Changes)'!K6+'BS (Before Changes)'!K7+'BS (Before Changes)'!K12)+('BS (Before Changes)'!J6+'BS (Before Changes)'!J7+'BS (Before Changes)'!J12)/2)</f>
        <v>2.1779393606804753E-3</v>
      </c>
      <c r="L144" s="27">
        <f>+L21/(('BS (Before Changes)'!L6+'BS (Before Changes)'!L7+'BS (Before Changes)'!L12)+('BS (Before Changes)'!K6+'BS (Before Changes)'!K7+'BS (Before Changes)'!K12)/2)</f>
        <v>1.2911830642186198E-3</v>
      </c>
      <c r="M144" s="29"/>
      <c r="N144" s="27">
        <f>+N21/(('BS (Before Changes)'!N6+'BS (Before Changes)'!N7+'BS (Before Changes)'!N12)+('BS (Before Changes)'!L6+'BS (Before Changes)'!L7+'BS (Before Changes)'!L12)/2)</f>
        <v>1.9686289451959073E-3</v>
      </c>
      <c r="O144" s="27">
        <f>+O21/(('BS (Before Changes)'!O6+'BS (Before Changes)'!O7+'BS (Before Changes)'!O12)+('BS (Before Changes)'!N6+'BS (Before Changes)'!N7+'BS (Before Changes)'!N12)/2)</f>
        <v>2.465933063458573E-3</v>
      </c>
      <c r="P144" s="27">
        <f>+P21/(('BS (Before Changes)'!P6+'BS (Before Changes)'!P7+'BS (Before Changes)'!P12)+('BS (Before Changes)'!O6+'BS (Before Changes)'!O7+'BS (Before Changes)'!O12)/2)</f>
        <v>4.9067713444553383E-3</v>
      </c>
      <c r="Q144" s="27">
        <f>+Q21/(('BS (Before Changes)'!Q6+'BS (Before Changes)'!Q7+'BS (Before Changes)'!Q12)+('BS (Before Changes)'!P6+'BS (Before Changes)'!P7+'BS (Before Changes)'!P12)/2)</f>
        <v>2.2641350477574504E-3</v>
      </c>
      <c r="R144" s="137"/>
      <c r="S144" s="27">
        <f>+S21/(('BS (Before Changes)'!S6+'BS (Before Changes)'!S7+'BS (Before Changes)'!S12)+('BS (Before Changes)'!Q6+'BS (Before Changes)'!Q7+'BS (Before Changes)'!Q12)/2)</f>
        <v>-1.2810330250313835E-5</v>
      </c>
      <c r="T144" s="27">
        <f>+T21/(('BS (Before Changes)'!T6+'BS (Before Changes)'!T7+'BS (Before Changes)'!T12)+('BS (Before Changes)'!S6+'BS (Before Changes)'!S7+'BS (Before Changes)'!S12)/2)</f>
        <v>7.1679593764030023E-3</v>
      </c>
      <c r="U144" s="27">
        <f>+U21/(('BS (Before Changes)'!U6+'BS (Before Changes)'!U7+'BS (Before Changes)'!U12)+('BS (Before Changes)'!T6+'BS (Before Changes)'!T7+'BS (Before Changes)'!T12)/2)</f>
        <v>3.4813492865871276E-3</v>
      </c>
      <c r="V144" s="27">
        <f>+V21/(('BS (Before Changes)'!V6+'BS (Before Changes)'!V7+'BS (Before Changes)'!V12)+('BS (Before Changes)'!U6+'BS (Before Changes)'!U7+'BS (Before Changes)'!U12)/2)</f>
        <v>5.9212851098780295E-3</v>
      </c>
      <c r="W144" s="137"/>
      <c r="X144" s="35">
        <f>V144+0.25%</f>
        <v>8.4212851098780291E-3</v>
      </c>
      <c r="Y144" s="35">
        <f>X144+0.5%</f>
        <v>1.3421285109878028E-2</v>
      </c>
      <c r="Z144" s="35">
        <f>Y144</f>
        <v>1.3421285109878028E-2</v>
      </c>
      <c r="AA144" s="35">
        <f>Z144-0.5%</f>
        <v>8.4212851098780274E-3</v>
      </c>
      <c r="AB144" s="137"/>
      <c r="AC144" s="35">
        <f>AA144</f>
        <v>8.4212851098780274E-3</v>
      </c>
      <c r="AD144" s="35">
        <f>AC144</f>
        <v>8.4212851098780274E-3</v>
      </c>
      <c r="AE144" s="35">
        <f>AD144</f>
        <v>8.4212851098780274E-3</v>
      </c>
      <c r="AF144" s="35">
        <f>AE144</f>
        <v>8.4212851098780274E-3</v>
      </c>
      <c r="AG144" s="29"/>
      <c r="AH144" s="35">
        <f>AF144</f>
        <v>8.4212851098780274E-3</v>
      </c>
      <c r="AI144" s="35">
        <f>AH144</f>
        <v>8.4212851098780274E-3</v>
      </c>
      <c r="AJ144" s="35">
        <f>AI144</f>
        <v>8.4212851098780274E-3</v>
      </c>
      <c r="AK144" s="35">
        <f>AJ144</f>
        <v>8.4212851098780274E-3</v>
      </c>
      <c r="AL144" s="29"/>
      <c r="AM144" s="35">
        <f>AK144</f>
        <v>8.4212851098780274E-3</v>
      </c>
      <c r="AN144" s="35">
        <f t="shared" ref="AN144:AP145" si="446">AM144</f>
        <v>8.4212851098780274E-3</v>
      </c>
      <c r="AO144" s="35">
        <f t="shared" si="446"/>
        <v>8.4212851098780274E-3</v>
      </c>
      <c r="AP144" s="35">
        <f t="shared" si="446"/>
        <v>8.4212851098780274E-3</v>
      </c>
      <c r="AQ144" s="29"/>
      <c r="AR144" s="35">
        <f>AP144</f>
        <v>8.4212851098780274E-3</v>
      </c>
      <c r="AS144" s="35">
        <f t="shared" ref="AS144:AU145" si="447">AR144</f>
        <v>8.4212851098780274E-3</v>
      </c>
      <c r="AT144" s="35">
        <f t="shared" si="447"/>
        <v>8.4212851098780274E-3</v>
      </c>
      <c r="AU144" s="35">
        <f t="shared" si="447"/>
        <v>8.4212851098780274E-3</v>
      </c>
      <c r="AV144" s="29"/>
    </row>
    <row r="145" spans="2:48" s="23" customFormat="1" outlineLevel="1" x14ac:dyDescent="0.3">
      <c r="B145" s="486" t="s">
        <v>79</v>
      </c>
      <c r="C145" s="487"/>
      <c r="D145" s="27"/>
      <c r="E145" s="215">
        <f>-E22/(((('BS (Before Changes)'!E28+'BS (Before Changes)'!E31)+('BS (Before Changes)'!D28+'BS (Before Changes)'!D31))/2))</f>
        <v>8.0557251242696429E-3</v>
      </c>
      <c r="F145" s="215">
        <f>-F22/(((('BS (Before Changes)'!F28+'BS (Before Changes)'!F31)+('BS (Before Changes)'!E28+'BS (Before Changes)'!E31))/2))</f>
        <v>8.4807318557490342E-3</v>
      </c>
      <c r="G145" s="215">
        <f>-G22/(((('BS (Before Changes)'!G28+'BS (Before Changes)'!G31)+('BS (Before Changes)'!F28+'BS (Before Changes)'!F31))/2))</f>
        <v>8.572925858076421E-3</v>
      </c>
      <c r="H145" s="29"/>
      <c r="I145" s="215">
        <f>-I22/(((('BS (Before Changes)'!I28+'BS (Before Changes)'!I31)+('BS (Before Changes)'!G28+'BS (Before Changes)'!G31))/2))</f>
        <v>8.0554679008449908E-3</v>
      </c>
      <c r="J145" s="215">
        <f>-J22/(((('BS (Before Changes)'!J28+'BS (Before Changes)'!J31)+('BS (Before Changes)'!I28+'BS (Before Changes)'!I31))/2))</f>
        <v>7.730372102084551E-3</v>
      </c>
      <c r="K145" s="215">
        <f>-K22/(((('BS (Before Changes)'!K28+'BS (Before Changes)'!K31)+('BS (Before Changes)'!J28+'BS (Before Changes)'!J31))/2))</f>
        <v>7.8322294946980078E-3</v>
      </c>
      <c r="L145" s="215">
        <f>-L22/(((('BS (Before Changes)'!L28+'BS (Before Changes)'!L31)+('BS (Before Changes)'!K28+'BS (Before Changes)'!K31))/2))</f>
        <v>7.5346594333936109E-3</v>
      </c>
      <c r="M145" s="29"/>
      <c r="N145" s="215">
        <f>-N22/(((('BS (Before Changes)'!N28+'BS (Before Changes)'!N31)+('BS (Before Changes)'!L28+'BS (Before Changes)'!L31))/2))</f>
        <v>7.481930548840208E-3</v>
      </c>
      <c r="O145" s="215">
        <f>-O22/(((('BS (Before Changes)'!O28+'BS (Before Changes)'!O31)+('BS (Before Changes)'!N28+'BS (Before Changes)'!N31))/2))</f>
        <v>7.5250206938069089E-3</v>
      </c>
      <c r="P145" s="215">
        <f>-P22/(((('BS (Before Changes)'!P28+'BS (Before Changes)'!P31)+('BS (Before Changes)'!O28+'BS (Before Changes)'!O31))/2))</f>
        <v>7.7494216976973845E-3</v>
      </c>
      <c r="Q145" s="215">
        <f>-Q22/(((('BS (Before Changes)'!Q28+'BS (Before Changes)'!Q31)+('BS (Before Changes)'!P28+'BS (Before Changes)'!P31))/2))</f>
        <v>8.2506952544819535E-3</v>
      </c>
      <c r="R145" s="29"/>
      <c r="S145" s="215">
        <f>-S22/(((('BS (Before Changes)'!S28+'BS (Before Changes)'!S31)+('BS (Before Changes)'!Q28+'BS (Before Changes)'!Q31))/2))</f>
        <v>7.8431639309692741E-3</v>
      </c>
      <c r="T145" s="215">
        <f>-T22/(((('BS (Before Changes)'!T28+'BS (Before Changes)'!T31)+('BS (Before Changes)'!S28+'BS (Before Changes)'!S31))/2))</f>
        <v>7.7341177845746236E-3</v>
      </c>
      <c r="U145" s="215">
        <f>-U22/(((('BS (Before Changes)'!U28+'BS (Before Changes)'!U31)+('BS (Before Changes)'!T28+'BS (Before Changes)'!T31))/2))</f>
        <v>7.9054937080361813E-3</v>
      </c>
      <c r="V145" s="215">
        <f>-V22/(((('BS (Before Changes)'!V28+'BS (Before Changes)'!V31)+('BS (Before Changes)'!U28+'BS (Before Changes)'!U31))/2))</f>
        <v>8.3052184345359225E-3</v>
      </c>
      <c r="W145" s="137"/>
      <c r="X145" s="35">
        <v>9.1399171757323497E-3</v>
      </c>
      <c r="Y145" s="35">
        <f>X145</f>
        <v>9.1399171757323497E-3</v>
      </c>
      <c r="Z145" s="35">
        <f>Y145</f>
        <v>9.1399171757323497E-3</v>
      </c>
      <c r="AA145" s="35">
        <f>Z145</f>
        <v>9.1399171757323497E-3</v>
      </c>
      <c r="AB145" s="137"/>
      <c r="AC145" s="35">
        <f>AA145+0.01%</f>
        <v>9.2399171757323491E-3</v>
      </c>
      <c r="AD145" s="35">
        <f>AC145+0.01%</f>
        <v>9.3399171757323485E-3</v>
      </c>
      <c r="AE145" s="35">
        <f t="shared" ref="AE145:AF145" si="448">AD145+0.01%</f>
        <v>9.4399171757323479E-3</v>
      </c>
      <c r="AF145" s="35">
        <f t="shared" si="448"/>
        <v>9.5399171757323473E-3</v>
      </c>
      <c r="AG145" s="29"/>
      <c r="AH145" s="35">
        <f>AF145+0.01%</f>
        <v>9.6399171757323467E-3</v>
      </c>
      <c r="AI145" s="35">
        <f>AH145+0.01%</f>
        <v>9.7399171757323461E-3</v>
      </c>
      <c r="AJ145" s="35">
        <f t="shared" ref="AJ145:AK145" si="449">AI145+0.01%</f>
        <v>9.8399171757323455E-3</v>
      </c>
      <c r="AK145" s="35">
        <f t="shared" si="449"/>
        <v>9.9399171757323448E-3</v>
      </c>
      <c r="AL145" s="29"/>
      <c r="AM145" s="35">
        <f>AK145</f>
        <v>9.9399171757323448E-3</v>
      </c>
      <c r="AN145" s="35">
        <f t="shared" si="446"/>
        <v>9.9399171757323448E-3</v>
      </c>
      <c r="AO145" s="35">
        <f t="shared" si="446"/>
        <v>9.9399171757323448E-3</v>
      </c>
      <c r="AP145" s="35">
        <f t="shared" si="446"/>
        <v>9.9399171757323448E-3</v>
      </c>
      <c r="AQ145" s="29"/>
      <c r="AR145" s="35">
        <f>AP145</f>
        <v>9.9399171757323448E-3</v>
      </c>
      <c r="AS145" s="35">
        <f t="shared" si="447"/>
        <v>9.9399171757323448E-3</v>
      </c>
      <c r="AT145" s="35">
        <f t="shared" si="447"/>
        <v>9.9399171757323448E-3</v>
      </c>
      <c r="AU145" s="35">
        <f t="shared" si="447"/>
        <v>9.9399171757323448E-3</v>
      </c>
      <c r="AV145" s="29"/>
    </row>
    <row r="146" spans="2:48" s="23" customFormat="1" outlineLevel="1" x14ac:dyDescent="0.3">
      <c r="B146" s="200" t="s">
        <v>186</v>
      </c>
      <c r="C146" s="201"/>
      <c r="D146" s="113"/>
      <c r="E146" s="113"/>
      <c r="F146" s="113"/>
      <c r="G146" s="113"/>
      <c r="H146" s="137"/>
      <c r="I146" s="113">
        <f>I33/D33-1</f>
        <v>0.2254857129231771</v>
      </c>
      <c r="J146" s="113">
        <f t="shared" ref="J146:AV147" si="450">J33/E33-1</f>
        <v>-0.47546772308917484</v>
      </c>
      <c r="K146" s="113">
        <f t="shared" si="450"/>
        <v>-1.5172211898784418</v>
      </c>
      <c r="L146" s="113">
        <f t="shared" si="450"/>
        <v>-0.49266142278343572</v>
      </c>
      <c r="M146" s="137">
        <f t="shared" si="450"/>
        <v>-0.73466371126240593</v>
      </c>
      <c r="N146" s="113">
        <f t="shared" si="450"/>
        <v>-0.292754196932551</v>
      </c>
      <c r="O146" s="113">
        <f t="shared" si="450"/>
        <v>1.0009687774744878</v>
      </c>
      <c r="P146" s="113">
        <f t="shared" si="450"/>
        <v>-2.6748075301104208</v>
      </c>
      <c r="Q146" s="113">
        <f t="shared" si="450"/>
        <v>3.4604705530296798</v>
      </c>
      <c r="R146" s="137">
        <f t="shared" si="450"/>
        <v>3.5714373754781779</v>
      </c>
      <c r="S146" s="113">
        <f t="shared" si="450"/>
        <v>0.31844745711851452</v>
      </c>
      <c r="T146" s="113">
        <f t="shared" si="450"/>
        <v>5.0603007043171555E-2</v>
      </c>
      <c r="U146" s="113">
        <f t="shared" si="450"/>
        <v>-0.18430865147381992</v>
      </c>
      <c r="V146" s="113">
        <f t="shared" si="450"/>
        <v>-0.4870956113954914</v>
      </c>
      <c r="W146" s="137">
        <f t="shared" si="450"/>
        <v>-0.199786344376785</v>
      </c>
      <c r="X146" s="113">
        <f t="shared" si="450"/>
        <v>3.8828642519730616E-2</v>
      </c>
      <c r="Y146" s="113">
        <f t="shared" si="450"/>
        <v>0.22894075619252852</v>
      </c>
      <c r="Z146" s="113">
        <f t="shared" si="450"/>
        <v>0.1629772882707976</v>
      </c>
      <c r="AA146" s="113">
        <f t="shared" si="450"/>
        <v>0.32704744210786219</v>
      </c>
      <c r="AB146" s="137">
        <f t="shared" si="450"/>
        <v>0.190418715568901</v>
      </c>
      <c r="AC146" s="113">
        <f t="shared" si="450"/>
        <v>0.38400328827988006</v>
      </c>
      <c r="AD146" s="113">
        <f t="shared" si="450"/>
        <v>0.16526990251895723</v>
      </c>
      <c r="AE146" s="113">
        <f t="shared" si="450"/>
        <v>0.12098866974597589</v>
      </c>
      <c r="AF146" s="113">
        <f t="shared" si="450"/>
        <v>3.1283042162401298E-2</v>
      </c>
      <c r="AG146" s="137">
        <f t="shared" si="450"/>
        <v>0.15971557067635134</v>
      </c>
      <c r="AH146" s="113">
        <f t="shared" si="450"/>
        <v>0.16800762443633266</v>
      </c>
      <c r="AI146" s="113">
        <f t="shared" si="450"/>
        <v>0.18117353715395468</v>
      </c>
      <c r="AJ146" s="113">
        <f t="shared" si="450"/>
        <v>0.26520039081667268</v>
      </c>
      <c r="AK146" s="113">
        <f t="shared" si="450"/>
        <v>0.23891787859627489</v>
      </c>
      <c r="AL146" s="137">
        <f t="shared" si="450"/>
        <v>0.21409455216854711</v>
      </c>
      <c r="AM146" s="113">
        <f t="shared" si="450"/>
        <v>0.16168530727022845</v>
      </c>
      <c r="AN146" s="113">
        <f t="shared" si="450"/>
        <v>0.15004324967812188</v>
      </c>
      <c r="AO146" s="113">
        <f t="shared" si="450"/>
        <v>0.10268562248206758</v>
      </c>
      <c r="AP146" s="113">
        <f t="shared" si="450"/>
        <v>8.1488190037937835E-2</v>
      </c>
      <c r="AQ146" s="137">
        <f t="shared" si="450"/>
        <v>0.12246221313900008</v>
      </c>
      <c r="AR146" s="113">
        <f t="shared" si="450"/>
        <v>7.6357015451925303E-2</v>
      </c>
      <c r="AS146" s="113">
        <f t="shared" si="450"/>
        <v>7.8116992336499491E-2</v>
      </c>
      <c r="AT146" s="113">
        <f t="shared" si="450"/>
        <v>7.5298742360798698E-2</v>
      </c>
      <c r="AU146" s="113">
        <f t="shared" si="450"/>
        <v>7.5235555594403092E-2</v>
      </c>
      <c r="AV146" s="137">
        <f t="shared" si="450"/>
        <v>7.6152318022934429E-2</v>
      </c>
    </row>
    <row r="147" spans="2:48" s="23" customFormat="1" outlineLevel="1" x14ac:dyDescent="0.3">
      <c r="B147" s="200" t="s">
        <v>139</v>
      </c>
      <c r="C147" s="201"/>
      <c r="D147" s="27"/>
      <c r="E147" s="27"/>
      <c r="F147" s="27"/>
      <c r="G147" s="27"/>
      <c r="H147" s="29"/>
      <c r="I147" s="27">
        <f t="shared" ref="I147:V147" si="451">I34/D34-1</f>
        <v>5.9389868457878192E-2</v>
      </c>
      <c r="J147" s="27">
        <f t="shared" si="451"/>
        <v>-0.47460546003783222</v>
      </c>
      <c r="K147" s="27">
        <f t="shared" si="451"/>
        <v>-1.5922286955663072</v>
      </c>
      <c r="L147" s="113">
        <f t="shared" si="451"/>
        <v>-0.26631134736842188</v>
      </c>
      <c r="M147" s="137">
        <f t="shared" si="451"/>
        <v>-0.59372113780519853</v>
      </c>
      <c r="N147" s="113">
        <f t="shared" si="451"/>
        <v>-0.23228377390823718</v>
      </c>
      <c r="O147" s="113">
        <f t="shared" si="451"/>
        <v>0.96992458477270005</v>
      </c>
      <c r="P147" s="113">
        <f t="shared" si="451"/>
        <v>-3.1776350920116565</v>
      </c>
      <c r="Q147" s="113">
        <f t="shared" si="451"/>
        <v>0.95350602232643134</v>
      </c>
      <c r="R147" s="29">
        <f t="shared" si="451"/>
        <v>1.8162682861720394</v>
      </c>
      <c r="S147" s="113">
        <f t="shared" si="451"/>
        <v>0.18036058258616094</v>
      </c>
      <c r="T147" s="113">
        <f t="shared" si="451"/>
        <v>-5.6546752866856842E-2</v>
      </c>
      <c r="U147" s="113">
        <f t="shared" si="451"/>
        <v>-0.16448812865885809</v>
      </c>
      <c r="V147" s="113">
        <f t="shared" si="451"/>
        <v>-0.1882667305146607</v>
      </c>
      <c r="W147" s="137">
        <f>W34/(R34-0.1-0.04)-1</f>
        <v>-4.7540866454839237E-2</v>
      </c>
      <c r="X147" s="113">
        <f t="shared" si="450"/>
        <v>5.131427503716357E-2</v>
      </c>
      <c r="Y147" s="113">
        <f t="shared" si="450"/>
        <v>0.23706750687770706</v>
      </c>
      <c r="Z147" s="113">
        <f t="shared" si="450"/>
        <v>0.10484258971552496</v>
      </c>
      <c r="AA147" s="113">
        <f t="shared" si="450"/>
        <v>0.25773345751601062</v>
      </c>
      <c r="AB147" s="137">
        <f t="shared" si="450"/>
        <v>0.15997779087503039</v>
      </c>
      <c r="AC147" s="113">
        <f t="shared" si="450"/>
        <v>0.32527277645731445</v>
      </c>
      <c r="AD147" s="113">
        <f t="shared" si="450"/>
        <v>0.19035189742429814</v>
      </c>
      <c r="AE147" s="113">
        <f t="shared" si="450"/>
        <v>0.14086175806520851</v>
      </c>
      <c r="AF147" s="113">
        <f t="shared" si="450"/>
        <v>4.9971699842156436E-2</v>
      </c>
      <c r="AG147" s="137">
        <f t="shared" si="450"/>
        <v>0.16510517474098818</v>
      </c>
      <c r="AH147" s="113">
        <f t="shared" si="450"/>
        <v>0.18611497304962255</v>
      </c>
      <c r="AI147" s="113">
        <f t="shared" si="450"/>
        <v>0.17581084004874481</v>
      </c>
      <c r="AJ147" s="113">
        <f t="shared" si="450"/>
        <v>0.25978824216889462</v>
      </c>
      <c r="AK147" s="113">
        <f t="shared" si="450"/>
        <v>0.23521641561705153</v>
      </c>
      <c r="AL147" s="137">
        <f t="shared" si="450"/>
        <v>0.21526988627125609</v>
      </c>
      <c r="AM147" s="113">
        <f t="shared" si="450"/>
        <v>0.16003794355160328</v>
      </c>
      <c r="AN147" s="113">
        <f t="shared" si="450"/>
        <v>0.14843429194326241</v>
      </c>
      <c r="AO147" s="113">
        <f t="shared" si="450"/>
        <v>0.10153922715954589</v>
      </c>
      <c r="AP147" s="113">
        <f t="shared" si="450"/>
        <v>7.9864660187477288E-2</v>
      </c>
      <c r="AQ147" s="29">
        <f t="shared" si="450"/>
        <v>0.1209628229420201</v>
      </c>
      <c r="AR147" s="113">
        <f t="shared" si="450"/>
        <v>7.4905652129217515E-2</v>
      </c>
      <c r="AS147" s="113">
        <f t="shared" si="450"/>
        <v>7.635352094698078E-2</v>
      </c>
      <c r="AT147" s="113">
        <f t="shared" si="450"/>
        <v>7.3952315106958544E-2</v>
      </c>
      <c r="AU147" s="113">
        <f t="shared" si="450"/>
        <v>7.3845432425636792E-2</v>
      </c>
      <c r="AV147" s="29">
        <f t="shared" si="450"/>
        <v>7.4680431279302129E-2</v>
      </c>
    </row>
    <row r="148" spans="2:48" s="23" customFormat="1" outlineLevel="1" x14ac:dyDescent="0.3">
      <c r="B148" s="200" t="s">
        <v>140</v>
      </c>
      <c r="C148" s="201"/>
      <c r="D148" s="27"/>
      <c r="E148" s="27"/>
      <c r="F148" s="27"/>
      <c r="G148" s="27"/>
      <c r="H148" s="29"/>
      <c r="I148" s="27">
        <f>'CFS (Before Changes) '!I55</f>
        <v>-0.22820512820512895</v>
      </c>
      <c r="J148" s="27">
        <f>'CFS (Before Changes) '!J55</f>
        <v>-4.4869364754098413</v>
      </c>
      <c r="K148" s="27">
        <f>'CFS (Before Changes) '!K55</f>
        <v>-1.314434752864716</v>
      </c>
      <c r="L148" s="113">
        <f>'CFS (Before Changes) '!L55</f>
        <v>0.34527569713924766</v>
      </c>
      <c r="M148" s="137">
        <f>'CFS (Before Changes) '!M55</f>
        <v>-0.68340961778517451</v>
      </c>
      <c r="N148" s="113">
        <f>'CFS (Before Changes) '!N55</f>
        <v>-2.1785305811139466E-4</v>
      </c>
      <c r="O148" s="113">
        <f>'CFS (Before Changes) '!O55</f>
        <v>-1.649232351428781</v>
      </c>
      <c r="P148" s="113">
        <f>'CFS (Before Changes) '!P55</f>
        <v>-5.7565950503127619</v>
      </c>
      <c r="Q148" s="113">
        <f>'CFS (Before Changes) '!Q55</f>
        <v>2.012477359629572E-2</v>
      </c>
      <c r="R148" s="29">
        <f>'CFS (Before Changes) '!R55</f>
        <v>2.7484040555764064</v>
      </c>
      <c r="S148" s="113">
        <f>'CFS (Before Changes) '!S55</f>
        <v>1.9175246499972598E-2</v>
      </c>
      <c r="T148" s="113">
        <f>'CFS (Before Changes) '!T55</f>
        <v>-0.81681375876895213</v>
      </c>
      <c r="U148" s="113">
        <f>'CFS (Before Changes) '!U55</f>
        <v>-0.27684391080617499</v>
      </c>
      <c r="V148" s="113">
        <f>'CFS (Before Changes) '!V55</f>
        <v>-0.27691194844479561</v>
      </c>
      <c r="W148" s="137">
        <f>'CFS (Before Changes) '!W55</f>
        <v>-0.26581179456354764</v>
      </c>
      <c r="X148" s="113">
        <f>'CFS (Before Changes) '!X55</f>
        <v>8.171438918442453E-2</v>
      </c>
      <c r="Y148" s="113">
        <f>'CFS (Before Changes) '!Y55</f>
        <v>3.6833104545785833</v>
      </c>
      <c r="Z148" s="113">
        <f>'CFS (Before Changes) '!Z55</f>
        <v>-0.12558779493844696</v>
      </c>
      <c r="AA148" s="113">
        <f>'CFS (Before Changes) '!AA55</f>
        <v>0.71812434982269724</v>
      </c>
      <c r="AB148" s="137">
        <f>'CFS (Before Changes) '!AB55</f>
        <v>0.31383914885570441</v>
      </c>
      <c r="AC148" s="113">
        <f>'CFS (Before Changes) '!AC55</f>
        <v>9.7123534269793588E-2</v>
      </c>
      <c r="AD148" s="113">
        <f>'CFS (Before Changes) '!AD55</f>
        <v>0.35950764977440608</v>
      </c>
      <c r="AE148" s="113">
        <f>'CFS (Before Changes) '!AE55</f>
        <v>0.33981218882453623</v>
      </c>
      <c r="AF148" s="113">
        <f>'CFS (Before Changes) '!AF55</f>
        <v>-4.5892582489394762E-2</v>
      </c>
      <c r="AG148" s="137">
        <f>'CFS (Before Changes) '!AG55</f>
        <v>0.13125018543910394</v>
      </c>
      <c r="AH148" s="113">
        <f>'CFS (Before Changes) '!AH55</f>
        <v>0.1145201068558912</v>
      </c>
      <c r="AI148" s="113">
        <f>'CFS (Before Changes) '!AI55</f>
        <v>0.13988933028350004</v>
      </c>
      <c r="AJ148" s="113">
        <f>'CFS (Before Changes) '!AJ55</f>
        <v>0.12131964646390059</v>
      </c>
      <c r="AK148" s="113">
        <f>'CFS (Before Changes) '!AK55</f>
        <v>0.119303225136425</v>
      </c>
      <c r="AL148" s="29">
        <f>'CFS (Before Changes) '!AL55</f>
        <v>0.12138237845230204</v>
      </c>
      <c r="AM148" s="113">
        <f>'CFS (Before Changes) '!AM55</f>
        <v>0.13857600375102086</v>
      </c>
      <c r="AN148" s="113">
        <f>'CFS (Before Changes) '!AN55</f>
        <v>8.3336261626586472E-2</v>
      </c>
      <c r="AO148" s="113">
        <f>'CFS (Before Changes) '!AO55</f>
        <v>6.5161558973004796E-2</v>
      </c>
      <c r="AP148" s="113">
        <f>'CFS (Before Changes) '!AP55</f>
        <v>0.12871523768537885</v>
      </c>
      <c r="AQ148" s="29">
        <f>'CFS (Before Changes) '!AQ55</f>
        <v>0.11036062380604084</v>
      </c>
      <c r="AR148" s="113">
        <f>'CFS (Before Changes) '!AR55</f>
        <v>7.1237179164707509E-2</v>
      </c>
      <c r="AS148" s="113">
        <f>'CFS (Before Changes) '!AS55</f>
        <v>9.3612071990971435E-2</v>
      </c>
      <c r="AT148" s="113">
        <f>'CFS (Before Changes) '!AT55</f>
        <v>0.10599788470613469</v>
      </c>
      <c r="AU148" s="113">
        <f>'CFS (Before Changes) '!AU55</f>
        <v>5.0118430150442039E-2</v>
      </c>
      <c r="AV148" s="29">
        <f>'CFS (Before Changes) '!AV55</f>
        <v>7.6387140627540706E-2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0.17985647594392118</v>
      </c>
      <c r="AM149" s="113"/>
      <c r="AN149" s="113"/>
      <c r="AO149" s="113"/>
      <c r="AP149" s="113"/>
      <c r="AQ149" s="29"/>
      <c r="AR149" s="113"/>
      <c r="AS149" s="113"/>
      <c r="AT149" s="113"/>
      <c r="AU149" s="113"/>
      <c r="AV149" s="29"/>
    </row>
    <row r="150" spans="2:48" ht="17.399999999999999" x14ac:dyDescent="0.45">
      <c r="B150" s="494" t="s">
        <v>130</v>
      </c>
      <c r="C150" s="495"/>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4" t="s">
        <v>347</v>
      </c>
      <c r="W150" s="40" t="s">
        <v>348</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486" t="s">
        <v>208</v>
      </c>
      <c r="C151" s="487"/>
      <c r="D151" s="27"/>
      <c r="E151" s="27">
        <f t="shared" ref="E151:G151" si="452">(E30+E155+E158+E161)/D30-1</f>
        <v>2.777764747303535E-2</v>
      </c>
      <c r="F151" s="27">
        <f t="shared" si="452"/>
        <v>-1.7269004124131682E-2</v>
      </c>
      <c r="G151" s="27">
        <f t="shared" si="452"/>
        <v>1.9258933156590885E-2</v>
      </c>
      <c r="H151" s="9"/>
      <c r="I151" s="27">
        <f>(I30+I155+I158+I161)/G30-1</f>
        <v>-1.436336111538794E-2</v>
      </c>
      <c r="J151" s="27">
        <f t="shared" ref="J151:L151" si="453">(J30+J155+J158+J161)/I30-1</f>
        <v>-1.1333810572689007E-3</v>
      </c>
      <c r="K151" s="27">
        <f t="shared" si="453"/>
        <v>-2.8161802355349819E-3</v>
      </c>
      <c r="L151" s="27">
        <f t="shared" si="453"/>
        <v>-9.5210569021197955E-4</v>
      </c>
      <c r="M151" s="9"/>
      <c r="N151" s="27">
        <f>(N30+N155+N158+N161)/L30-1</f>
        <v>6.5210015787404707E-3</v>
      </c>
      <c r="O151" s="27">
        <f t="shared" ref="O151:Q151" si="454">(O30+O155+O158+O161)/N30-1</f>
        <v>2.1276595744681437E-3</v>
      </c>
      <c r="P151" s="27">
        <f t="shared" si="454"/>
        <v>8.4925690021231404E-4</v>
      </c>
      <c r="Q151" s="27">
        <f t="shared" si="454"/>
        <v>8.4925690021231404E-4</v>
      </c>
      <c r="R151" s="9"/>
      <c r="S151" s="27">
        <f>(S30+S155+S158+S161)/Q30-1</f>
        <v>1.7994180128374726E-2</v>
      </c>
      <c r="T151" s="27">
        <f>(T30+T155+T158+T161)/S30-1</f>
        <v>-1.2989686217510177E-2</v>
      </c>
      <c r="U151" s="27">
        <f>(U30+U155+U158+U161)/T30-1</f>
        <v>-1.9143752175426743E-3</v>
      </c>
      <c r="V151" s="27">
        <f>(V30+V155+V158+V161)/U30-1</f>
        <v>7.4613109397692057E-4</v>
      </c>
      <c r="W151" s="256"/>
      <c r="X151" s="35">
        <v>2E-3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486" t="s">
        <v>209</v>
      </c>
      <c r="C152" s="487"/>
      <c r="D152" s="27"/>
      <c r="E152" s="27">
        <f t="shared" ref="E152:G152" si="455">(E31+E155+E158+E161)/D31-1</f>
        <v>2.7604785512613583E-2</v>
      </c>
      <c r="F152" s="27">
        <f t="shared" si="455"/>
        <v>-1.6710442080933863E-2</v>
      </c>
      <c r="G152" s="27">
        <f t="shared" si="455"/>
        <v>1.9089589576967603E-2</v>
      </c>
      <c r="H152" s="9"/>
      <c r="I152" s="27">
        <f>(I31+I155+I158+I161)/G31-1</f>
        <v>-1.5386652077945762E-2</v>
      </c>
      <c r="J152" s="27">
        <f t="shared" ref="J152:L152" si="456">(J31+J155+J158+J161)/I31-1</f>
        <v>-2.5506658270361138E-3</v>
      </c>
      <c r="K152" s="27">
        <f t="shared" si="456"/>
        <v>-1.0332853392055585E-2</v>
      </c>
      <c r="L152" s="27">
        <f t="shared" si="456"/>
        <v>8.9858793324775199E-3</v>
      </c>
      <c r="M152" s="9"/>
      <c r="N152" s="27">
        <f>(N31+N155+N158+N161)/L31-1</f>
        <v>3.392705682782049E-3</v>
      </c>
      <c r="O152" s="27">
        <f t="shared" ref="O152:Q152" si="457">(O31+O155+O158+O161)/N31-1</f>
        <v>1.5215553677092597E-3</v>
      </c>
      <c r="P152" s="27">
        <f t="shared" si="457"/>
        <v>1.1816340310601969E-3</v>
      </c>
      <c r="Q152" s="27">
        <f t="shared" si="457"/>
        <v>1.4331478671387732E-3</v>
      </c>
      <c r="R152" s="9"/>
      <c r="S152" s="27">
        <f>(S31+S155+S158+S161)/Q31-1</f>
        <v>1.6689115245390962E-2</v>
      </c>
      <c r="T152" s="27">
        <f>(T31+T155+T158+T161)/S31-1</f>
        <v>-1.4867191058983376E-2</v>
      </c>
      <c r="U152" s="27">
        <f>(U31+U155+U158+U161)/T31-1</f>
        <v>-2.5132160499177214E-3</v>
      </c>
      <c r="V152" s="27">
        <f t="shared" ref="V152" si="458">(V31+V155+V158+V161)/U31-1</f>
        <v>1.3032145960034658E-3</v>
      </c>
      <c r="W152" s="256"/>
      <c r="X152" s="35">
        <v>1E-3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496" t="s">
        <v>137</v>
      </c>
      <c r="C153" s="497"/>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144">
        <f>+U153</f>
        <v>0</v>
      </c>
      <c r="W153" s="257"/>
      <c r="X153" s="247">
        <v>0</v>
      </c>
      <c r="Y153" s="247">
        <v>0</v>
      </c>
      <c r="Z153" s="247">
        <v>0</v>
      </c>
      <c r="AA153" s="247">
        <v>0</v>
      </c>
      <c r="AB153" s="246"/>
      <c r="AC153" s="393">
        <f>AG35/0.02</f>
        <v>112.69125000000003</v>
      </c>
      <c r="AD153" s="247">
        <f>+AC153</f>
        <v>112.69125000000003</v>
      </c>
      <c r="AE153" s="247">
        <f>+AD153</f>
        <v>112.69125000000003</v>
      </c>
      <c r="AF153" s="247">
        <f>+AE153</f>
        <v>112.69125000000003</v>
      </c>
      <c r="AG153" s="390"/>
      <c r="AH153" s="393">
        <f>AL35/0.02</f>
        <v>118.3258125</v>
      </c>
      <c r="AI153" s="247">
        <f>AH153</f>
        <v>118.3258125</v>
      </c>
      <c r="AJ153" s="247">
        <f>AI153</f>
        <v>118.3258125</v>
      </c>
      <c r="AK153" s="247">
        <f>AJ153</f>
        <v>118.3258125</v>
      </c>
      <c r="AL153" s="390"/>
      <c r="AM153" s="247">
        <f>AQ35/0.02</f>
        <v>123.32179125000002</v>
      </c>
      <c r="AN153" s="247">
        <f>AM153</f>
        <v>123.32179125000002</v>
      </c>
      <c r="AO153" s="247">
        <f>AN153</f>
        <v>123.32179125000002</v>
      </c>
      <c r="AP153" s="247">
        <f>AO153</f>
        <v>123.32179125000002</v>
      </c>
      <c r="AQ153" s="246"/>
      <c r="AR153" s="247">
        <f>AV35/0.02</f>
        <v>125.78822707500001</v>
      </c>
      <c r="AS153" s="247">
        <f>AR153</f>
        <v>125.78822707500001</v>
      </c>
      <c r="AT153" s="247">
        <f>AS153</f>
        <v>125.78822707500001</v>
      </c>
      <c r="AU153" s="247">
        <f>AT153</f>
        <v>125.78822707500001</v>
      </c>
      <c r="AV153" s="246"/>
    </row>
    <row r="154" spans="2:48" outlineLevel="1" x14ac:dyDescent="0.3">
      <c r="B154" s="486" t="s">
        <v>138</v>
      </c>
      <c r="C154" s="487"/>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101">
        <f>U154</f>
        <v>0</v>
      </c>
      <c r="W154" s="169">
        <f>+SUM(S154:V154)</f>
        <v>4012.9984261300001</v>
      </c>
      <c r="X154" s="33">
        <v>0</v>
      </c>
      <c r="Y154" s="33">
        <v>0</v>
      </c>
      <c r="Z154" s="33">
        <v>0</v>
      </c>
      <c r="AA154" s="33">
        <v>0</v>
      </c>
      <c r="AB154" s="17">
        <f>+SUM(X154:AA154)</f>
        <v>0</v>
      </c>
      <c r="AC154" s="33"/>
      <c r="AD154" s="33"/>
      <c r="AE154" s="33">
        <v>100</v>
      </c>
      <c r="AF154" s="33">
        <v>100</v>
      </c>
      <c r="AG154" s="17">
        <f>+SUM(AC154:AF154)</f>
        <v>200</v>
      </c>
      <c r="AH154" s="33">
        <v>100</v>
      </c>
      <c r="AI154" s="33">
        <v>100</v>
      </c>
      <c r="AJ154" s="33">
        <v>5441.98119731518</v>
      </c>
      <c r="AK154" s="33">
        <f>AJ154</f>
        <v>5441.98119731518</v>
      </c>
      <c r="AL154" s="17">
        <f>+SUM(AH154:AK154)</f>
        <v>11083.96239463036</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486" t="s">
        <v>207</v>
      </c>
      <c r="C155" s="487"/>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0</v>
      </c>
      <c r="Y155" s="139">
        <f>IF((Y154)&gt;0,(Y154/Y153),0)</f>
        <v>0</v>
      </c>
      <c r="Z155" s="139">
        <f>IF((Z154)&gt;0,(Z154/Z153),0)</f>
        <v>0</v>
      </c>
      <c r="AA155" s="139">
        <f>IF((AA154)&gt;0,(AA154/AA153),0)</f>
        <v>0</v>
      </c>
      <c r="AB155" s="49">
        <f>+SUM(X155:AA155)</f>
        <v>0</v>
      </c>
      <c r="AC155" s="139">
        <f>IF((AC154)&gt;0,(AC154/AC153),0)</f>
        <v>0</v>
      </c>
      <c r="AD155" s="139">
        <f>IF((AD154)&gt;0,(AD154/AD153),0)</f>
        <v>0</v>
      </c>
      <c r="AE155" s="139">
        <f>IF((AE154)&gt;0,(AE154/AE153),0)</f>
        <v>0.88738034230696683</v>
      </c>
      <c r="AF155" s="139">
        <f>IF((AF154)&gt;0,(AF154/AF153),0)</f>
        <v>0.88738034230696683</v>
      </c>
      <c r="AG155" s="49">
        <f>+SUM(AC155:AF155)</f>
        <v>1.7747606846139337</v>
      </c>
      <c r="AH155" s="139">
        <f>IF((AH154)&gt;0,(AH154/AH153),0)</f>
        <v>0.84512413553044485</v>
      </c>
      <c r="AI155" s="139">
        <f>IF((AI154)&gt;0,(AI154/AI153),0)</f>
        <v>0.84512413553044485</v>
      </c>
      <c r="AJ155" s="139">
        <f>IF((AJ154)&gt;0,(AJ154/AJ153),0)</f>
        <v>45.991496549539264</v>
      </c>
      <c r="AK155" s="139">
        <f>IF((AK154)&gt;0,(AK154/AK153),0)</f>
        <v>45.991496549539264</v>
      </c>
      <c r="AL155" s="49">
        <f>+SUM(AH155:AK155)</f>
        <v>93.673241370139408</v>
      </c>
      <c r="AM155" s="139">
        <f>IF((AM154)&gt;0,(AM154/AM153),0)</f>
        <v>2.0272167430101287</v>
      </c>
      <c r="AN155" s="139">
        <f>IF((AN154)&gt;0,(AN154/AN153),0)</f>
        <v>2.0272167430101287</v>
      </c>
      <c r="AO155" s="139">
        <f>IF((AO154)&gt;0,(AO154/AO153),0)</f>
        <v>2.0272167430101287</v>
      </c>
      <c r="AP155" s="139">
        <f>IF((AP154)&gt;0,(AP154/AP153),0)</f>
        <v>2.0272167430101287</v>
      </c>
      <c r="AQ155" s="49">
        <f>+SUM(AM155:AP155)</f>
        <v>8.1088669720405147</v>
      </c>
      <c r="AR155" s="139">
        <f>IF((AR154)&gt;0,(AR154/AR153),0)</f>
        <v>1.9874673951079693</v>
      </c>
      <c r="AS155" s="139">
        <f>IF((AS154)&gt;0,(AS154/AS153),0)</f>
        <v>1.9874673951079693</v>
      </c>
      <c r="AT155" s="139">
        <f>IF((AT154)&gt;0,(AT154/AT153),0)</f>
        <v>1.9874673951079693</v>
      </c>
      <c r="AU155" s="139">
        <f>IF((AU154)&gt;0,(AU154/AU153),0)</f>
        <v>1.9874673951079693</v>
      </c>
      <c r="AV155" s="49">
        <f>+SUM(AR155:AU155)</f>
        <v>7.9498695804318773</v>
      </c>
    </row>
    <row r="156" spans="2:48" outlineLevel="1" x14ac:dyDescent="0.3">
      <c r="B156" s="488" t="s">
        <v>131</v>
      </c>
      <c r="C156" s="489"/>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490" t="s">
        <v>132</v>
      </c>
      <c r="C157" s="491"/>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492" t="s">
        <v>133</v>
      </c>
      <c r="C158" s="493"/>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494" t="s">
        <v>12</v>
      </c>
      <c r="C162" s="495"/>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4" t="s">
        <v>347</v>
      </c>
      <c r="W162" s="40" t="s">
        <v>348</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486" t="s">
        <v>65</v>
      </c>
      <c r="C163" s="487"/>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101">
        <v>-35.1</v>
      </c>
      <c r="W163" s="17"/>
      <c r="X163" s="33">
        <v>-50</v>
      </c>
      <c r="Y163" s="33">
        <v>0</v>
      </c>
      <c r="Z163" s="33">
        <v>0</v>
      </c>
      <c r="AA163" s="33">
        <v>0</v>
      </c>
      <c r="AB163" s="17"/>
      <c r="AC163" s="33">
        <f>AA163</f>
        <v>0</v>
      </c>
      <c r="AD163" s="33">
        <f t="shared" ref="AD163:AF163" si="459">AC163</f>
        <v>0</v>
      </c>
      <c r="AE163" s="33">
        <f t="shared" si="459"/>
        <v>0</v>
      </c>
      <c r="AF163" s="33">
        <f t="shared" si="459"/>
        <v>0</v>
      </c>
      <c r="AG163" s="17"/>
      <c r="AH163" s="33">
        <f>AF163</f>
        <v>0</v>
      </c>
      <c r="AI163" s="33">
        <f t="shared" ref="AI163:AK163" si="460">AH163</f>
        <v>0</v>
      </c>
      <c r="AJ163" s="33">
        <f t="shared" si="460"/>
        <v>0</v>
      </c>
      <c r="AK163" s="33">
        <f t="shared" si="460"/>
        <v>0</v>
      </c>
      <c r="AL163" s="17"/>
      <c r="AM163" s="33">
        <f>AK163</f>
        <v>0</v>
      </c>
      <c r="AN163" s="33">
        <f t="shared" ref="AN163:AP163" si="461">AM163</f>
        <v>0</v>
      </c>
      <c r="AO163" s="33">
        <f t="shared" si="461"/>
        <v>0</v>
      </c>
      <c r="AP163" s="33">
        <f t="shared" si="461"/>
        <v>0</v>
      </c>
      <c r="AQ163" s="17"/>
      <c r="AR163" s="33">
        <f>AP163</f>
        <v>0</v>
      </c>
      <c r="AS163" s="33">
        <f t="shared" ref="AS163:AU163" si="462">AR163</f>
        <v>0</v>
      </c>
      <c r="AT163" s="33">
        <f t="shared" si="462"/>
        <v>0</v>
      </c>
      <c r="AU163" s="33">
        <f t="shared" si="462"/>
        <v>0</v>
      </c>
      <c r="AV163" s="17"/>
    </row>
    <row r="164" spans="2:48" outlineLevel="1" x14ac:dyDescent="0.3">
      <c r="B164" s="200" t="s">
        <v>64</v>
      </c>
      <c r="C164" s="201"/>
      <c r="D164" s="102">
        <f>-(5.3+0.5)</f>
        <v>-5.8</v>
      </c>
      <c r="E164" s="102">
        <v>-4.3</v>
      </c>
      <c r="F164" s="102">
        <v>-2.2999999999999998</v>
      </c>
      <c r="G164" s="102">
        <v>-0.2</v>
      </c>
      <c r="H164" s="159">
        <f t="shared" ref="H164:H167" si="463">SUM(D164:G164)</f>
        <v>-12.599999999999998</v>
      </c>
      <c r="I164" s="102">
        <v>-5.6</v>
      </c>
      <c r="J164" s="102">
        <v>-6.8</v>
      </c>
      <c r="K164" s="105">
        <v>-35.04</v>
      </c>
      <c r="L164" s="101">
        <v>0</v>
      </c>
      <c r="M164" s="169"/>
      <c r="N164" s="101">
        <v>0</v>
      </c>
      <c r="O164" s="101">
        <v>0</v>
      </c>
      <c r="P164" s="101">
        <v>22.8</v>
      </c>
      <c r="Q164" s="101">
        <v>-0.1</v>
      </c>
      <c r="R164" s="17"/>
      <c r="S164" s="16"/>
      <c r="T164" s="16"/>
      <c r="U164" s="16"/>
      <c r="V164" s="101"/>
      <c r="W164" s="17"/>
      <c r="X164" s="33">
        <f t="shared" ref="X164:X166" si="464">V164</f>
        <v>0</v>
      </c>
      <c r="Y164" s="33"/>
      <c r="Z164" s="33"/>
      <c r="AA164" s="33"/>
      <c r="AB164" s="17"/>
      <c r="AC164" s="33">
        <f t="shared" ref="AC164:AC167" si="465">AA164</f>
        <v>0</v>
      </c>
      <c r="AD164" s="33"/>
      <c r="AE164" s="33"/>
      <c r="AF164" s="33"/>
      <c r="AG164" s="17"/>
      <c r="AH164" s="33">
        <f t="shared" ref="AH164:AH167" si="466">AF164</f>
        <v>0</v>
      </c>
      <c r="AI164" s="33"/>
      <c r="AJ164" s="33"/>
      <c r="AK164" s="33"/>
      <c r="AL164" s="17"/>
      <c r="AM164" s="33">
        <f t="shared" ref="AM164:AM167" si="467">AK164</f>
        <v>0</v>
      </c>
      <c r="AN164" s="33"/>
      <c r="AO164" s="33"/>
      <c r="AP164" s="33"/>
      <c r="AQ164" s="17"/>
      <c r="AR164" s="33">
        <f t="shared" ref="AR164:AR167" si="468">AP164</f>
        <v>0</v>
      </c>
      <c r="AS164" s="33"/>
      <c r="AT164" s="33"/>
      <c r="AU164" s="33"/>
      <c r="AV164" s="17"/>
    </row>
    <row r="165" spans="2:48" outlineLevel="1" x14ac:dyDescent="0.3">
      <c r="B165" s="486" t="s">
        <v>129</v>
      </c>
      <c r="C165" s="487"/>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101">
        <v>-42</v>
      </c>
      <c r="W165" s="17"/>
      <c r="X165" s="33">
        <f t="shared" si="464"/>
        <v>-42</v>
      </c>
      <c r="Y165" s="33">
        <f t="shared" ref="Y165:AA165" si="469">X165</f>
        <v>-42</v>
      </c>
      <c r="Z165" s="33">
        <f t="shared" si="469"/>
        <v>-42</v>
      </c>
      <c r="AA165" s="33">
        <f t="shared" si="469"/>
        <v>-42</v>
      </c>
      <c r="AB165" s="17"/>
      <c r="AC165" s="33">
        <f t="shared" si="465"/>
        <v>-42</v>
      </c>
      <c r="AD165" s="33">
        <f t="shared" ref="AD165:AF165" si="470">AC165</f>
        <v>-42</v>
      </c>
      <c r="AE165" s="33">
        <f t="shared" si="470"/>
        <v>-42</v>
      </c>
      <c r="AF165" s="33">
        <f t="shared" si="470"/>
        <v>-42</v>
      </c>
      <c r="AG165" s="17"/>
      <c r="AH165" s="33">
        <f t="shared" si="466"/>
        <v>-42</v>
      </c>
      <c r="AI165" s="33">
        <f t="shared" ref="AI165:AK165" si="471">AH165</f>
        <v>-42</v>
      </c>
      <c r="AJ165" s="33">
        <f t="shared" si="471"/>
        <v>-42</v>
      </c>
      <c r="AK165" s="33">
        <f t="shared" si="471"/>
        <v>-42</v>
      </c>
      <c r="AL165" s="17"/>
      <c r="AM165" s="33">
        <f t="shared" si="467"/>
        <v>-42</v>
      </c>
      <c r="AN165" s="33">
        <f t="shared" ref="AN165:AP165" si="472">AM165</f>
        <v>-42</v>
      </c>
      <c r="AO165" s="33">
        <f t="shared" si="472"/>
        <v>-42</v>
      </c>
      <c r="AP165" s="33">
        <f t="shared" si="472"/>
        <v>-42</v>
      </c>
      <c r="AQ165" s="17"/>
      <c r="AR165" s="33">
        <f t="shared" si="468"/>
        <v>-42</v>
      </c>
      <c r="AS165" s="33">
        <f t="shared" ref="AS165:AU165" si="473">AR165</f>
        <v>-42</v>
      </c>
      <c r="AT165" s="33">
        <f t="shared" si="473"/>
        <v>-42</v>
      </c>
      <c r="AU165" s="33">
        <f t="shared" si="473"/>
        <v>-42</v>
      </c>
      <c r="AV165" s="17"/>
    </row>
    <row r="166" spans="2:48" outlineLevel="1" x14ac:dyDescent="0.3">
      <c r="B166" s="200" t="s">
        <v>66</v>
      </c>
      <c r="C166" s="201"/>
      <c r="D166" s="102">
        <v>-23.1</v>
      </c>
      <c r="E166" s="102">
        <v>-23.8</v>
      </c>
      <c r="F166" s="102">
        <v>-14.4</v>
      </c>
      <c r="G166" s="102">
        <v>0</v>
      </c>
      <c r="H166" s="159">
        <f t="shared" si="463"/>
        <v>-61.300000000000004</v>
      </c>
      <c r="I166" s="102"/>
      <c r="J166" s="102"/>
      <c r="K166" s="101"/>
      <c r="L166" s="101"/>
      <c r="M166" s="169"/>
      <c r="N166" s="101"/>
      <c r="O166" s="101"/>
      <c r="P166" s="101"/>
      <c r="Q166" s="101"/>
      <c r="R166" s="17"/>
      <c r="S166" s="16"/>
      <c r="T166" s="16"/>
      <c r="U166" s="16"/>
      <c r="V166" s="101"/>
      <c r="W166" s="17"/>
      <c r="X166" s="33">
        <f t="shared" si="464"/>
        <v>0</v>
      </c>
      <c r="Y166" s="33"/>
      <c r="Z166" s="33"/>
      <c r="AA166" s="33"/>
      <c r="AB166" s="17"/>
      <c r="AC166" s="33">
        <f t="shared" si="465"/>
        <v>0</v>
      </c>
      <c r="AD166" s="33"/>
      <c r="AE166" s="33"/>
      <c r="AF166" s="33"/>
      <c r="AG166" s="17"/>
      <c r="AH166" s="33">
        <f t="shared" si="466"/>
        <v>0</v>
      </c>
      <c r="AI166" s="33"/>
      <c r="AJ166" s="33"/>
      <c r="AK166" s="33"/>
      <c r="AL166" s="17"/>
      <c r="AM166" s="33">
        <f t="shared" si="467"/>
        <v>0</v>
      </c>
      <c r="AN166" s="33"/>
      <c r="AO166" s="33"/>
      <c r="AP166" s="33"/>
      <c r="AQ166" s="17"/>
      <c r="AR166" s="33">
        <f t="shared" si="468"/>
        <v>0</v>
      </c>
      <c r="AS166" s="33"/>
      <c r="AT166" s="33"/>
      <c r="AU166" s="33"/>
      <c r="AV166" s="17"/>
    </row>
    <row r="167" spans="2:48" ht="16.2" outlineLevel="1" x14ac:dyDescent="0.45">
      <c r="B167" s="200" t="s">
        <v>80</v>
      </c>
      <c r="C167" s="201"/>
      <c r="D167" s="138">
        <v>0</v>
      </c>
      <c r="E167" s="138">
        <v>0</v>
      </c>
      <c r="F167" s="138">
        <v>0</v>
      </c>
      <c r="G167" s="138">
        <v>0</v>
      </c>
      <c r="H167" s="160">
        <f t="shared" si="463"/>
        <v>0</v>
      </c>
      <c r="I167" s="138">
        <v>0</v>
      </c>
      <c r="J167" s="138">
        <v>0</v>
      </c>
      <c r="K167" s="112">
        <v>0</v>
      </c>
      <c r="L167" s="112">
        <v>0</v>
      </c>
      <c r="M167" s="169"/>
      <c r="N167" s="112">
        <v>0</v>
      </c>
      <c r="O167" s="112">
        <v>0</v>
      </c>
      <c r="P167" s="112">
        <v>0</v>
      </c>
      <c r="Q167" s="112">
        <v>0</v>
      </c>
      <c r="R167" s="17"/>
      <c r="S167" s="112">
        <v>0</v>
      </c>
      <c r="T167" s="112">
        <v>0</v>
      </c>
      <c r="U167" s="112">
        <v>0</v>
      </c>
      <c r="V167" s="112">
        <v>0</v>
      </c>
      <c r="W167" s="17"/>
      <c r="X167" s="32">
        <v>31.798908368811873</v>
      </c>
      <c r="Y167" s="32">
        <f>X167</f>
        <v>31.798908368811873</v>
      </c>
      <c r="Z167" s="32">
        <f>Y167</f>
        <v>31.798908368811873</v>
      </c>
      <c r="AA167" s="32">
        <f>Z167</f>
        <v>31.798908368811873</v>
      </c>
      <c r="AB167" s="17"/>
      <c r="AC167" s="32">
        <f t="shared" si="465"/>
        <v>31.798908368811873</v>
      </c>
      <c r="AD167" s="32">
        <v>0</v>
      </c>
      <c r="AE167" s="32">
        <v>0</v>
      </c>
      <c r="AF167" s="32">
        <v>0</v>
      </c>
      <c r="AG167" s="17"/>
      <c r="AH167" s="32">
        <f t="shared" si="466"/>
        <v>0</v>
      </c>
      <c r="AI167" s="32">
        <v>0</v>
      </c>
      <c r="AJ167" s="32">
        <v>0</v>
      </c>
      <c r="AK167" s="32">
        <v>0</v>
      </c>
      <c r="AL167" s="17"/>
      <c r="AM167" s="32">
        <f t="shared" si="467"/>
        <v>0</v>
      </c>
      <c r="AN167" s="32">
        <v>0</v>
      </c>
      <c r="AO167" s="32">
        <v>0</v>
      </c>
      <c r="AP167" s="32">
        <v>0</v>
      </c>
      <c r="AQ167" s="17"/>
      <c r="AR167" s="32">
        <f t="shared" si="468"/>
        <v>0</v>
      </c>
      <c r="AS167" s="32">
        <v>0</v>
      </c>
      <c r="AT167" s="32">
        <v>0</v>
      </c>
      <c r="AU167" s="32">
        <v>0</v>
      </c>
      <c r="AV167" s="17"/>
    </row>
    <row r="168" spans="2:48" s="8" customFormat="1" outlineLevel="1" x14ac:dyDescent="0.3">
      <c r="B168" s="205" t="s">
        <v>67</v>
      </c>
      <c r="C168" s="202"/>
      <c r="D168" s="103">
        <f t="shared" ref="D168:L168" si="474">SUM(D163:D167)</f>
        <v>-138</v>
      </c>
      <c r="E168" s="103">
        <f t="shared" si="474"/>
        <v>-141.4</v>
      </c>
      <c r="F168" s="103">
        <f t="shared" si="474"/>
        <v>-125.30000000000001</v>
      </c>
      <c r="G168" s="103">
        <f t="shared" si="474"/>
        <v>-77.399999999999991</v>
      </c>
      <c r="H168" s="171">
        <f t="shared" si="474"/>
        <v>-482.09999999999997</v>
      </c>
      <c r="I168" s="103">
        <f t="shared" si="474"/>
        <v>-71.599999999999994</v>
      </c>
      <c r="J168" s="103">
        <f t="shared" si="474"/>
        <v>-66.8</v>
      </c>
      <c r="K168" s="103">
        <f t="shared" si="474"/>
        <v>-173.67999999999998</v>
      </c>
      <c r="L168" s="103">
        <f t="shared" si="474"/>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-77.099999999999994</v>
      </c>
      <c r="W168" s="22"/>
      <c r="X168" s="50">
        <f>SUM(X163:X167)</f>
        <v>-60.201091631188127</v>
      </c>
      <c r="Y168" s="50">
        <f>SUM(Y163:Y167)</f>
        <v>-10.201091631188127</v>
      </c>
      <c r="Z168" s="50">
        <f>SUM(Z163:Z167)</f>
        <v>-10.201091631188127</v>
      </c>
      <c r="AA168" s="50">
        <f>SUM(AA163:AA167)</f>
        <v>-10.201091631188127</v>
      </c>
      <c r="AB168" s="22"/>
      <c r="AC168" s="50">
        <f>SUM(AC163:AC167)</f>
        <v>-10.201091631188127</v>
      </c>
      <c r="AD168" s="50">
        <f>SUM(AD163:AD167)</f>
        <v>-42</v>
      </c>
      <c r="AE168" s="50">
        <f>SUM(AE163:AE167)</f>
        <v>-42</v>
      </c>
      <c r="AF168" s="50">
        <f>SUM(AF163:AF167)</f>
        <v>-42</v>
      </c>
      <c r="AG168" s="22"/>
      <c r="AH168" s="50">
        <f>SUM(AH163:AH167)</f>
        <v>-42</v>
      </c>
      <c r="AI168" s="50">
        <f>SUM(AI163:AI167)</f>
        <v>-42</v>
      </c>
      <c r="AJ168" s="50">
        <f>SUM(AJ163:AJ167)</f>
        <v>-42</v>
      </c>
      <c r="AK168" s="50">
        <f>SUM(AK163:AK167)</f>
        <v>-42</v>
      </c>
      <c r="AL168" s="22"/>
      <c r="AM168" s="50">
        <f>SUM(AM163:AM167)</f>
        <v>-42</v>
      </c>
      <c r="AN168" s="50">
        <f>SUM(AN163:AN167)</f>
        <v>-42</v>
      </c>
      <c r="AO168" s="50">
        <f>SUM(AO163:AO167)</f>
        <v>-42</v>
      </c>
      <c r="AP168" s="50">
        <f>SUM(AP163:AP167)</f>
        <v>-42</v>
      </c>
      <c r="AQ168" s="22"/>
      <c r="AR168" s="50">
        <f>SUM(AR163:AR167)</f>
        <v>-42</v>
      </c>
      <c r="AS168" s="50">
        <f>SUM(AS163:AS167)</f>
        <v>-42</v>
      </c>
      <c r="AT168" s="50">
        <f>SUM(AT163:AT167)</f>
        <v>-42</v>
      </c>
      <c r="AU168" s="50">
        <f>SUM(AU163:AU167)</f>
        <v>-42</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52">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475">-D168+D169</f>
        <v>138</v>
      </c>
      <c r="E170" s="103">
        <f t="shared" si="475"/>
        <v>141.4</v>
      </c>
      <c r="F170" s="103">
        <f t="shared" si="475"/>
        <v>125.30000000000001</v>
      </c>
      <c r="G170" s="103">
        <f t="shared" si="475"/>
        <v>77.399999999999991</v>
      </c>
      <c r="H170" s="150"/>
      <c r="I170" s="103">
        <f t="shared" ref="I170:L170" si="476">-I168+I169</f>
        <v>71.599999999999994</v>
      </c>
      <c r="J170" s="103">
        <f t="shared" si="476"/>
        <v>66.8</v>
      </c>
      <c r="K170" s="103">
        <f t="shared" si="476"/>
        <v>173.67999999999998</v>
      </c>
      <c r="L170" s="103">
        <f t="shared" si="476"/>
        <v>259.5</v>
      </c>
      <c r="M170" s="150"/>
      <c r="N170" s="103">
        <f t="shared" ref="N170:P170" si="477">-N168+N169</f>
        <v>134.9</v>
      </c>
      <c r="O170" s="103">
        <f t="shared" si="477"/>
        <v>88.2</v>
      </c>
      <c r="P170" s="103">
        <f t="shared" si="477"/>
        <v>51.7</v>
      </c>
      <c r="Q170" s="103">
        <f>-Q168+Q169</f>
        <v>115.2</v>
      </c>
      <c r="R170" s="22"/>
      <c r="S170" s="103">
        <f t="shared" ref="S170:V170" si="478">-S168+S169</f>
        <v>35.199999999999996</v>
      </c>
      <c r="T170" s="50">
        <f t="shared" si="478"/>
        <v>47.5</v>
      </c>
      <c r="U170" s="50">
        <f t="shared" si="478"/>
        <v>77.5</v>
      </c>
      <c r="V170" s="50">
        <f t="shared" si="478"/>
        <v>77.099999999999994</v>
      </c>
      <c r="W170" s="22"/>
      <c r="X170" s="50">
        <f t="shared" ref="X170:AA170" si="479">-X168+X169</f>
        <v>60.201091631188127</v>
      </c>
      <c r="Y170" s="50">
        <f t="shared" si="479"/>
        <v>10.201091631188127</v>
      </c>
      <c r="Z170" s="50">
        <f t="shared" si="479"/>
        <v>10.201091631188127</v>
      </c>
      <c r="AA170" s="50">
        <f t="shared" si="479"/>
        <v>10.201091631188127</v>
      </c>
      <c r="AB170" s="22"/>
      <c r="AC170" s="50">
        <f t="shared" ref="AC170:AF170" si="480">-AC168+AC169</f>
        <v>10.201091631188127</v>
      </c>
      <c r="AD170" s="50">
        <f t="shared" si="480"/>
        <v>42</v>
      </c>
      <c r="AE170" s="50">
        <f t="shared" si="480"/>
        <v>42</v>
      </c>
      <c r="AF170" s="50">
        <f t="shared" si="480"/>
        <v>42</v>
      </c>
      <c r="AG170" s="22"/>
      <c r="AH170" s="50">
        <f t="shared" ref="AH170:AK170" si="481">-AH168+AH169</f>
        <v>42</v>
      </c>
      <c r="AI170" s="50">
        <f t="shared" si="481"/>
        <v>42</v>
      </c>
      <c r="AJ170" s="50">
        <f t="shared" si="481"/>
        <v>42</v>
      </c>
      <c r="AK170" s="50">
        <f t="shared" si="481"/>
        <v>42</v>
      </c>
      <c r="AL170" s="22"/>
      <c r="AM170" s="50">
        <f t="shared" ref="AM170:AP170" si="482">-AM168+AM169</f>
        <v>42</v>
      </c>
      <c r="AN170" s="50">
        <f t="shared" si="482"/>
        <v>42</v>
      </c>
      <c r="AO170" s="50">
        <f t="shared" si="482"/>
        <v>42</v>
      </c>
      <c r="AP170" s="50">
        <f t="shared" si="482"/>
        <v>42</v>
      </c>
      <c r="AQ170" s="22"/>
      <c r="AR170" s="50">
        <f t="shared" ref="AR170:AU170" si="483">-AR168+AR169</f>
        <v>42</v>
      </c>
      <c r="AS170" s="50">
        <f t="shared" si="483"/>
        <v>42</v>
      </c>
      <c r="AT170" s="50">
        <f t="shared" si="483"/>
        <v>42</v>
      </c>
      <c r="AU170" s="50">
        <f t="shared" si="483"/>
        <v>42</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101">
        <v>0</v>
      </c>
      <c r="W171" s="17"/>
      <c r="X171" s="33">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486" t="s">
        <v>75</v>
      </c>
      <c r="C172" s="487"/>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0.02*V31</f>
        <v>23.05</v>
      </c>
      <c r="W172" s="17"/>
      <c r="X172" s="16">
        <f>+X170*X173</f>
        <v>17.99786202462888</v>
      </c>
      <c r="Y172" s="16">
        <f>+Y170*Y173</f>
        <v>3.0497426990776444</v>
      </c>
      <c r="Z172" s="16">
        <f t="shared" ref="Z172:AA172" si="484">+Z170*Z173</f>
        <v>3.0497426990776444</v>
      </c>
      <c r="AA172" s="16">
        <f t="shared" si="484"/>
        <v>3.0497426990776444</v>
      </c>
      <c r="AB172" s="17"/>
      <c r="AC172" s="16">
        <f>+AC170*AC173</f>
        <v>3.0497426990776444</v>
      </c>
      <c r="AD172" s="16">
        <f>+AD170*AD173</f>
        <v>12.556420233463037</v>
      </c>
      <c r="AE172" s="16">
        <f t="shared" ref="AE172:AF172" si="485">+AE170*AE173</f>
        <v>12.556420233463037</v>
      </c>
      <c r="AF172" s="16">
        <f t="shared" si="485"/>
        <v>12.556420233463037</v>
      </c>
      <c r="AG172" s="17"/>
      <c r="AH172" s="16">
        <f>+AH170*AH173</f>
        <v>12.556420233463037</v>
      </c>
      <c r="AI172" s="16">
        <f>+AI170*AI173</f>
        <v>12.556420233463037</v>
      </c>
      <c r="AJ172" s="16">
        <f t="shared" ref="AJ172:AK172" si="486">+AJ170*AJ173</f>
        <v>12.556420233463037</v>
      </c>
      <c r="AK172" s="16">
        <f t="shared" si="486"/>
        <v>12.556420233463037</v>
      </c>
      <c r="AL172" s="17"/>
      <c r="AM172" s="16">
        <f>+AM170*AM173</f>
        <v>12.556420233463037</v>
      </c>
      <c r="AN172" s="16">
        <f>+AN170*AN173</f>
        <v>12.556420233463037</v>
      </c>
      <c r="AO172" s="16">
        <f t="shared" ref="AO172:AP172" si="487">+AO170*AO173</f>
        <v>12.556420233463037</v>
      </c>
      <c r="AP172" s="16">
        <f t="shared" si="487"/>
        <v>12.556420233463037</v>
      </c>
      <c r="AQ172" s="17"/>
      <c r="AR172" s="16">
        <f>+AR170*AR173</f>
        <v>12.556420233463037</v>
      </c>
      <c r="AS172" s="16">
        <f>+AS170*AS173</f>
        <v>12.556420233463037</v>
      </c>
      <c r="AT172" s="16">
        <f t="shared" ref="AT172:AU172" si="488">+AT170*AT173</f>
        <v>12.556420233463037</v>
      </c>
      <c r="AU172" s="16">
        <f t="shared" si="488"/>
        <v>12.556420233463037</v>
      </c>
      <c r="AV172" s="17"/>
    </row>
    <row r="173" spans="2:48" outlineLevel="1" x14ac:dyDescent="0.3">
      <c r="B173" s="203" t="s">
        <v>76</v>
      </c>
      <c r="C173" s="204"/>
      <c r="D173" s="211">
        <f t="shared" ref="D173:G173" si="489">D172/D170</f>
        <v>-0.30036231884056991</v>
      </c>
      <c r="E173" s="211">
        <f t="shared" si="489"/>
        <v>0.56007072135784686</v>
      </c>
      <c r="F173" s="211">
        <f t="shared" si="489"/>
        <v>-0.43982442138866074</v>
      </c>
      <c r="G173" s="211">
        <f t="shared" si="489"/>
        <v>0.38759689922480622</v>
      </c>
      <c r="H173" s="212"/>
      <c r="I173" s="211">
        <f t="shared" ref="I173:V173" si="490">I172/I170</f>
        <v>0.15363128491620112</v>
      </c>
      <c r="J173" s="211">
        <f t="shared" si="490"/>
        <v>0.34431137724550898</v>
      </c>
      <c r="K173" s="211">
        <f t="shared" si="490"/>
        <v>0.20183671119299865</v>
      </c>
      <c r="L173" s="211">
        <f t="shared" si="490"/>
        <v>0.1957996146435467</v>
      </c>
      <c r="M173" s="212"/>
      <c r="N173" s="211">
        <f t="shared" si="490"/>
        <v>0.26308376575240922</v>
      </c>
      <c r="O173" s="211">
        <f t="shared" si="490"/>
        <v>0.13433106575963719</v>
      </c>
      <c r="P173" s="211">
        <f t="shared" si="490"/>
        <v>0.22943907156673113</v>
      </c>
      <c r="Q173" s="211">
        <f t="shared" si="490"/>
        <v>-1.4848749999999999</v>
      </c>
      <c r="R173" s="37"/>
      <c r="S173" s="211">
        <f t="shared" si="490"/>
        <v>0.1121590909091003</v>
      </c>
      <c r="T173" s="211">
        <f t="shared" si="490"/>
        <v>0.24292631578947371</v>
      </c>
      <c r="U173" s="211">
        <f t="shared" si="490"/>
        <v>0.29703225806451611</v>
      </c>
      <c r="V173" s="211">
        <f t="shared" si="490"/>
        <v>0.29896238651102469</v>
      </c>
      <c r="W173" s="37"/>
      <c r="X173" s="94">
        <f>V173</f>
        <v>0.29896238651102469</v>
      </c>
      <c r="Y173" s="94">
        <f>X173</f>
        <v>0.29896238651102469</v>
      </c>
      <c r="Z173" s="94">
        <f>Y173</f>
        <v>0.29896238651102469</v>
      </c>
      <c r="AA173" s="94">
        <f>Z173</f>
        <v>0.29896238651102469</v>
      </c>
      <c r="AB173" s="37"/>
      <c r="AC173" s="94">
        <f>AA173</f>
        <v>0.29896238651102469</v>
      </c>
      <c r="AD173" s="94">
        <f>AC173</f>
        <v>0.29896238651102469</v>
      </c>
      <c r="AE173" s="94">
        <f>AD173</f>
        <v>0.29896238651102469</v>
      </c>
      <c r="AF173" s="94">
        <f>AE173</f>
        <v>0.29896238651102469</v>
      </c>
      <c r="AG173" s="37"/>
      <c r="AH173" s="94">
        <f>AF173</f>
        <v>0.29896238651102469</v>
      </c>
      <c r="AI173" s="94">
        <f>AH173</f>
        <v>0.29896238651102469</v>
      </c>
      <c r="AJ173" s="94">
        <f>AI173</f>
        <v>0.29896238651102469</v>
      </c>
      <c r="AK173" s="94">
        <f>AJ173</f>
        <v>0.29896238651102469</v>
      </c>
      <c r="AL173" s="37"/>
      <c r="AM173" s="94">
        <f>AK173</f>
        <v>0.29896238651102469</v>
      </c>
      <c r="AN173" s="94">
        <f>AM173</f>
        <v>0.29896238651102469</v>
      </c>
      <c r="AO173" s="94">
        <f>AN173</f>
        <v>0.29896238651102469</v>
      </c>
      <c r="AP173" s="94">
        <f>AO173</f>
        <v>0.29896238651102469</v>
      </c>
      <c r="AQ173" s="37"/>
      <c r="AR173" s="94">
        <f>AP173</f>
        <v>0.29896238651102469</v>
      </c>
      <c r="AS173" s="94">
        <f>AR173</f>
        <v>0.29896238651102469</v>
      </c>
      <c r="AT173" s="94">
        <f>AS173</f>
        <v>0.29896238651102469</v>
      </c>
      <c r="AU173" s="94">
        <f>AT173</f>
        <v>0.29896238651102469</v>
      </c>
      <c r="AV173" s="37"/>
    </row>
    <row r="175" spans="2:48" x14ac:dyDescent="0.3">
      <c r="B175" s="382" t="s">
        <v>314</v>
      </c>
      <c r="Q175" s="383">
        <f>Q61-L61</f>
        <v>-6.6118692968142323E-4</v>
      </c>
      <c r="R175" s="383"/>
      <c r="S175" s="383">
        <f>S61-N61</f>
        <v>1.2901737440265071E-2</v>
      </c>
      <c r="T175" s="383">
        <f t="shared" ref="T175" si="491">T61-O61</f>
        <v>2.4025383293040548E-2</v>
      </c>
      <c r="U175" s="383">
        <f>U61-P61</f>
        <v>2.0536242149533701E-2</v>
      </c>
      <c r="V175" s="383">
        <f>V61-Q61</f>
        <v>1.4419766618683716E-2</v>
      </c>
      <c r="W175" s="383"/>
      <c r="X175" s="383">
        <f t="shared" ref="X175:AA175" si="492">X61-S61</f>
        <v>5.0000000000000044E-3</v>
      </c>
      <c r="Y175" s="383">
        <f t="shared" si="492"/>
        <v>0</v>
      </c>
      <c r="Z175" s="383">
        <f t="shared" si="492"/>
        <v>0</v>
      </c>
      <c r="AA175" s="383">
        <f t="shared" si="492"/>
        <v>-1.2500000000000011E-2</v>
      </c>
      <c r="AB175" s="383"/>
      <c r="AC175" s="383">
        <f t="shared" ref="AC175:AF175" si="493">AC61-X61</f>
        <v>-1.0000000000000009E-2</v>
      </c>
      <c r="AD175" s="383">
        <f t="shared" si="493"/>
        <v>-1.0000000000000009E-3</v>
      </c>
      <c r="AE175" s="383">
        <f t="shared" si="493"/>
        <v>-1.0000000000000009E-3</v>
      </c>
      <c r="AF175" s="383">
        <f t="shared" si="493"/>
        <v>1.0000000000000009E-2</v>
      </c>
      <c r="AH175" s="383">
        <f t="shared" ref="AH175:AK175" si="494">AH61-AC61</f>
        <v>-1.0000000000000009E-3</v>
      </c>
      <c r="AI175" s="383">
        <f t="shared" si="494"/>
        <v>-1.0000000000000009E-3</v>
      </c>
      <c r="AJ175" s="383">
        <f t="shared" si="494"/>
        <v>-1.0000000000000009E-3</v>
      </c>
      <c r="AK175" s="383">
        <f t="shared" si="494"/>
        <v>-1.0000000000000009E-3</v>
      </c>
    </row>
    <row r="176" spans="2:48" ht="14.55" customHeight="1" x14ac:dyDescent="0.3">
      <c r="B176" s="382" t="s">
        <v>315</v>
      </c>
      <c r="Q176" s="383">
        <f t="shared" ref="Q176:T176" si="495">Q63-L63</f>
        <v>-4.2476929877535707E-2</v>
      </c>
      <c r="R176" s="383"/>
      <c r="S176" s="383">
        <f t="shared" si="495"/>
        <v>-4.2111802490401029E-3</v>
      </c>
      <c r="T176" s="383">
        <f t="shared" si="495"/>
        <v>1.5713963584189306E-2</v>
      </c>
      <c r="U176" s="383">
        <f>U63-P63</f>
        <v>8.2485911822535729E-3</v>
      </c>
      <c r="V176" s="383">
        <f>V63-Q63</f>
        <v>2.6389804799066163E-2</v>
      </c>
      <c r="W176" s="383"/>
      <c r="X176" s="383">
        <f t="shared" ref="X176:AA176" si="496">X63-S63</f>
        <v>5.0000000000000044E-3</v>
      </c>
      <c r="Y176" s="383">
        <f>Y63-T63</f>
        <v>2.4999999999999467E-3</v>
      </c>
      <c r="Z176" s="383">
        <f t="shared" si="496"/>
        <v>1.0000000000000009E-2</v>
      </c>
      <c r="AA176" s="383">
        <f t="shared" si="496"/>
        <v>0</v>
      </c>
      <c r="AB176" s="383"/>
      <c r="AC176" s="383">
        <f t="shared" ref="AC176:AF176" si="497">AC63-X63</f>
        <v>-1.0000000000000009E-2</v>
      </c>
      <c r="AD176" s="383">
        <f t="shared" si="497"/>
        <v>-1.0000000000000009E-3</v>
      </c>
      <c r="AE176" s="383">
        <f t="shared" si="497"/>
        <v>-1.0000000000000009E-3</v>
      </c>
      <c r="AF176" s="383">
        <f t="shared" si="497"/>
        <v>1.0000000000000009E-2</v>
      </c>
      <c r="AH176" s="383">
        <f t="shared" ref="AH176:AK176" si="498">AH63-AC63</f>
        <v>-1.0000000000000009E-3</v>
      </c>
      <c r="AI176" s="383">
        <f t="shared" si="498"/>
        <v>-1.0000000000000009E-3</v>
      </c>
      <c r="AJ176" s="383">
        <f t="shared" si="498"/>
        <v>-1.0000000000000009E-3</v>
      </c>
      <c r="AK176" s="383">
        <f t="shared" si="498"/>
        <v>-1.0000000000000009E-3</v>
      </c>
    </row>
    <row r="177" spans="1:48" ht="14.55" customHeight="1" x14ac:dyDescent="0.3">
      <c r="B177" s="382" t="s">
        <v>316</v>
      </c>
      <c r="Q177" s="383">
        <f t="shared" ref="Q177:T177" si="499">Q65-L65</f>
        <v>-8.1024370824473238E-4</v>
      </c>
      <c r="R177" s="383"/>
      <c r="S177" s="383">
        <f t="shared" si="499"/>
        <v>-6.9169487840035036E-4</v>
      </c>
      <c r="T177" s="383">
        <f t="shared" si="499"/>
        <v>-3.3352357784197616E-4</v>
      </c>
      <c r="U177" s="383">
        <f>U65-P65</f>
        <v>1.7928850972594532E-3</v>
      </c>
      <c r="V177" s="383">
        <f t="shared" ref="V177:AA177" si="500">V65-Q65</f>
        <v>1.7144676918782326E-4</v>
      </c>
      <c r="W177" s="383"/>
      <c r="X177" s="383">
        <f t="shared" si="500"/>
        <v>0</v>
      </c>
      <c r="Y177" s="383">
        <f t="shared" si="500"/>
        <v>0</v>
      </c>
      <c r="Z177" s="383">
        <f t="shared" si="500"/>
        <v>0</v>
      </c>
      <c r="AA177" s="383">
        <f t="shared" si="500"/>
        <v>0</v>
      </c>
      <c r="AB177" s="383"/>
      <c r="AC177" s="383">
        <f t="shared" ref="AC177:AF177" si="501">AC65-X65</f>
        <v>0</v>
      </c>
      <c r="AD177" s="383">
        <f t="shared" si="501"/>
        <v>0</v>
      </c>
      <c r="AE177" s="383">
        <f t="shared" si="501"/>
        <v>0</v>
      </c>
      <c r="AF177" s="383">
        <f t="shared" si="501"/>
        <v>0</v>
      </c>
      <c r="AH177" s="383">
        <f t="shared" ref="AH177:AK177" si="502">AH65-AC65</f>
        <v>0</v>
      </c>
      <c r="AI177" s="383">
        <f t="shared" si="502"/>
        <v>0</v>
      </c>
      <c r="AJ177" s="383">
        <f t="shared" si="502"/>
        <v>0</v>
      </c>
      <c r="AK177" s="383">
        <f t="shared" si="502"/>
        <v>0</v>
      </c>
    </row>
    <row r="178" spans="1:48" ht="14.55" customHeight="1" x14ac:dyDescent="0.3">
      <c r="A178" s="161"/>
      <c r="B178" s="382" t="s">
        <v>317</v>
      </c>
      <c r="Q178" s="383">
        <f t="shared" ref="Q178:T178" si="503">Q68-L68</f>
        <v>-1.8685768961161399E-3</v>
      </c>
      <c r="R178" s="383"/>
      <c r="S178" s="383">
        <f t="shared" si="503"/>
        <v>-1.673261995123904E-3</v>
      </c>
      <c r="T178" s="383">
        <f t="shared" si="503"/>
        <v>-3.5644778537942175E-3</v>
      </c>
      <c r="U178" s="383">
        <f>U68-P68</f>
        <v>-9.2770624793186637E-4</v>
      </c>
      <c r="V178" s="383">
        <f t="shared" ref="V178:AA178" si="504">V68-Q68</f>
        <v>-7.584336101247053E-4</v>
      </c>
      <c r="W178" s="383"/>
      <c r="X178" s="383">
        <f t="shared" si="504"/>
        <v>4.9999999999999992E-3</v>
      </c>
      <c r="Y178" s="383">
        <f t="shared" si="504"/>
        <v>2.5000000000000005E-3</v>
      </c>
      <c r="Z178" s="383">
        <f t="shared" si="504"/>
        <v>2.5000000000000005E-3</v>
      </c>
      <c r="AA178" s="383">
        <f t="shared" si="504"/>
        <v>-0.01</v>
      </c>
      <c r="AB178" s="383"/>
      <c r="AC178" s="383">
        <f t="shared" ref="AC178:AF178" si="505">AC68-X68</f>
        <v>-2.9999999999999992E-3</v>
      </c>
      <c r="AD178" s="383">
        <f t="shared" si="505"/>
        <v>2.0000000000000018E-3</v>
      </c>
      <c r="AE178" s="383">
        <f t="shared" si="505"/>
        <v>-9.9999999999999915E-4</v>
      </c>
      <c r="AF178" s="383">
        <f t="shared" si="505"/>
        <v>-1E-3</v>
      </c>
      <c r="AH178" s="383">
        <f t="shared" ref="AH178:AK178" si="506">AH68-AC68</f>
        <v>-1.0000000000000009E-3</v>
      </c>
      <c r="AI178" s="383">
        <f t="shared" si="506"/>
        <v>-1.0000000000000009E-3</v>
      </c>
      <c r="AJ178" s="383">
        <f t="shared" si="506"/>
        <v>-1.0000000000000009E-3</v>
      </c>
      <c r="AK178" s="383">
        <f t="shared" si="506"/>
        <v>-1E-3</v>
      </c>
    </row>
    <row r="179" spans="1:48" s="23" customFormat="1" ht="14.55" customHeight="1" x14ac:dyDescent="0.3">
      <c r="A179" s="161"/>
    </row>
    <row r="180" spans="1:48" s="23" customFormat="1" ht="14.55" customHeight="1" x14ac:dyDescent="0.3">
      <c r="A180" s="161"/>
      <c r="B180" s="382" t="s">
        <v>318</v>
      </c>
      <c r="Q180" s="384">
        <f t="shared" ref="Q180:U180" si="507">Q94-L94</f>
        <v>-1.0328853878240896E-3</v>
      </c>
      <c r="R180" s="384"/>
      <c r="S180" s="384">
        <f t="shared" si="507"/>
        <v>1.3694957380178618E-2</v>
      </c>
      <c r="T180" s="384">
        <f t="shared" si="507"/>
        <v>2.2223284472510374E-2</v>
      </c>
      <c r="U180" s="384">
        <f t="shared" si="507"/>
        <v>4.4737654429502782E-2</v>
      </c>
      <c r="V180" s="384">
        <f>V94-Q94</f>
        <v>2.7792802174517572E-2</v>
      </c>
      <c r="W180" s="384"/>
      <c r="X180" s="384">
        <f t="shared" ref="X180:AA180" si="508">X94-S94</f>
        <v>2.0000000000000018E-2</v>
      </c>
      <c r="Y180" s="384">
        <f t="shared" si="508"/>
        <v>-1.0000000000000009E-2</v>
      </c>
      <c r="Z180" s="384">
        <f t="shared" si="508"/>
        <v>-5.0000000000000044E-3</v>
      </c>
      <c r="AA180" s="384">
        <f t="shared" si="508"/>
        <v>-5.0000000000000044E-3</v>
      </c>
      <c r="AB180" s="384"/>
      <c r="AC180" s="384">
        <f t="shared" ref="AC180:AF180" si="509">AC94-X94</f>
        <v>-2.0000000000000018E-2</v>
      </c>
      <c r="AD180" s="384">
        <f t="shared" si="509"/>
        <v>-2.0000000000000018E-2</v>
      </c>
      <c r="AE180" s="384">
        <f t="shared" si="509"/>
        <v>0</v>
      </c>
      <c r="AF180" s="384">
        <f t="shared" si="509"/>
        <v>0</v>
      </c>
      <c r="AG180" s="384"/>
      <c r="AH180" s="384">
        <f t="shared" ref="AH180:AK180" si="510">AH94-AC94</f>
        <v>-2.0000000000000018E-3</v>
      </c>
      <c r="AI180" s="384">
        <f t="shared" si="510"/>
        <v>-2.0000000000000018E-3</v>
      </c>
      <c r="AJ180" s="384">
        <f t="shared" si="510"/>
        <v>-1.0000000000000009E-2</v>
      </c>
      <c r="AK180" s="384">
        <f t="shared" si="510"/>
        <v>-2.0000000000000018E-3</v>
      </c>
      <c r="AL180" s="384"/>
      <c r="AM180" s="384">
        <f t="shared" ref="AM180:AP180" si="511">AM94-AH94</f>
        <v>0</v>
      </c>
      <c r="AN180" s="384">
        <f t="shared" si="511"/>
        <v>0</v>
      </c>
      <c r="AO180" s="384">
        <f t="shared" si="511"/>
        <v>0</v>
      </c>
      <c r="AP180" s="384">
        <f t="shared" si="511"/>
        <v>0</v>
      </c>
      <c r="AQ180" s="384"/>
      <c r="AR180" s="384">
        <f t="shared" ref="AR180:AU180" si="512">AR94-AM94</f>
        <v>0</v>
      </c>
      <c r="AS180" s="384">
        <f t="shared" si="512"/>
        <v>0</v>
      </c>
      <c r="AT180" s="384">
        <f t="shared" si="512"/>
        <v>0</v>
      </c>
      <c r="AU180" s="384">
        <f t="shared" si="512"/>
        <v>0</v>
      </c>
    </row>
    <row r="181" spans="1:48" ht="16.2" customHeight="1" x14ac:dyDescent="0.3">
      <c r="A181" s="161"/>
      <c r="B181" s="382" t="s">
        <v>319</v>
      </c>
      <c r="Q181" s="384">
        <f t="shared" ref="Q181:U181" si="513">Q96-L96</f>
        <v>-4.3229689278334871E-2</v>
      </c>
      <c r="R181" s="384"/>
      <c r="S181" s="384">
        <f t="shared" si="513"/>
        <v>2.6563781125539754E-2</v>
      </c>
      <c r="T181" s="384">
        <f t="shared" si="513"/>
        <v>6.6354626897605851E-2</v>
      </c>
      <c r="U181" s="384">
        <f t="shared" si="513"/>
        <v>0.11154167548484295</v>
      </c>
      <c r="V181" s="384">
        <f>V96-Q96</f>
        <v>6.8821227532231799E-2</v>
      </c>
      <c r="W181" s="384"/>
      <c r="X181" s="384">
        <f t="shared" ref="X181:AA181" si="514">X96-S96</f>
        <v>2.0000000000000018E-2</v>
      </c>
      <c r="Y181" s="384">
        <f t="shared" si="514"/>
        <v>-1.0000000000000009E-2</v>
      </c>
      <c r="Z181" s="384">
        <f t="shared" si="514"/>
        <v>-5.0000000000000044E-3</v>
      </c>
      <c r="AA181" s="384">
        <f t="shared" si="514"/>
        <v>-5.0000000000000044E-3</v>
      </c>
      <c r="AB181" s="384"/>
      <c r="AC181" s="384">
        <f t="shared" ref="AC181:AF181" si="515">AC96-X96</f>
        <v>0</v>
      </c>
      <c r="AD181" s="384">
        <f t="shared" si="515"/>
        <v>-2.0000000000000018E-2</v>
      </c>
      <c r="AE181" s="384">
        <f t="shared" si="515"/>
        <v>0</v>
      </c>
      <c r="AF181" s="384">
        <f t="shared" si="515"/>
        <v>0</v>
      </c>
      <c r="AG181" s="384"/>
      <c r="AH181" s="384">
        <f t="shared" ref="AH181:AK181" si="516">AH96-AC96</f>
        <v>-2.0000000000000018E-3</v>
      </c>
      <c r="AI181" s="384">
        <f t="shared" si="516"/>
        <v>-2.0000000000000018E-3</v>
      </c>
      <c r="AJ181" s="384">
        <f t="shared" si="516"/>
        <v>-2.0000000000000018E-2</v>
      </c>
      <c r="AK181" s="384">
        <f t="shared" si="516"/>
        <v>-2.0000000000000018E-3</v>
      </c>
      <c r="AL181" s="384"/>
      <c r="AM181" s="384">
        <f t="shared" ref="AM181:AP181" si="517">AM96-AH96</f>
        <v>0</v>
      </c>
      <c r="AN181" s="384">
        <f t="shared" si="517"/>
        <v>0</v>
      </c>
      <c r="AO181" s="384">
        <f t="shared" si="517"/>
        <v>0</v>
      </c>
      <c r="AP181" s="384">
        <f t="shared" si="517"/>
        <v>0</v>
      </c>
      <c r="AQ181" s="384"/>
      <c r="AR181" s="384">
        <f t="shared" ref="AR181:AU181" si="518">AR96-AM96</f>
        <v>0</v>
      </c>
      <c r="AS181" s="384">
        <f t="shared" si="518"/>
        <v>0</v>
      </c>
      <c r="AT181" s="384">
        <f t="shared" si="518"/>
        <v>0</v>
      </c>
      <c r="AU181" s="384">
        <f t="shared" si="518"/>
        <v>0</v>
      </c>
    </row>
    <row r="182" spans="1:48" ht="14.55" customHeight="1" x14ac:dyDescent="0.3">
      <c r="A182" s="161"/>
      <c r="B182" s="382" t="s">
        <v>320</v>
      </c>
      <c r="Q182" s="384">
        <f t="shared" ref="Q182:U182" si="519">Q98-L98</f>
        <v>-5.6134797444197491E-3</v>
      </c>
      <c r="R182" s="384"/>
      <c r="S182" s="384">
        <f t="shared" si="519"/>
        <v>1.6279115038060621E-4</v>
      </c>
      <c r="T182" s="384">
        <f t="shared" si="519"/>
        <v>5.0139473649204631E-3</v>
      </c>
      <c r="U182" s="384">
        <f t="shared" si="519"/>
        <v>1.4893713799812251E-2</v>
      </c>
      <c r="V182" s="384">
        <f>V98-Q98</f>
        <v>8.7002690753356267E-3</v>
      </c>
      <c r="W182" s="384"/>
      <c r="X182" s="384">
        <f t="shared" ref="X182:AA182" si="520">X98-S98</f>
        <v>0</v>
      </c>
      <c r="Y182" s="384">
        <f t="shared" si="520"/>
        <v>0</v>
      </c>
      <c r="Z182" s="384">
        <f t="shared" si="520"/>
        <v>-4.9999999999999975E-3</v>
      </c>
      <c r="AA182" s="384">
        <f t="shared" si="520"/>
        <v>0</v>
      </c>
      <c r="AB182" s="384"/>
      <c r="AC182" s="384">
        <f t="shared" ref="AC182:AF182" si="521">AC98-X98</f>
        <v>0</v>
      </c>
      <c r="AD182" s="384">
        <f t="shared" si="521"/>
        <v>0</v>
      </c>
      <c r="AE182" s="384">
        <f t="shared" si="521"/>
        <v>-5.000000000000001E-3</v>
      </c>
      <c r="AF182" s="384">
        <f t="shared" si="521"/>
        <v>0</v>
      </c>
      <c r="AG182" s="384"/>
      <c r="AH182" s="384">
        <f t="shared" ref="AH182:AK182" si="522">AH98-AC98</f>
        <v>-1.9999999999999983E-3</v>
      </c>
      <c r="AI182" s="384">
        <f t="shared" si="522"/>
        <v>-2.0000000000000018E-3</v>
      </c>
      <c r="AJ182" s="384">
        <f t="shared" si="522"/>
        <v>-6.0000000000000019E-3</v>
      </c>
      <c r="AK182" s="384">
        <f t="shared" si="522"/>
        <v>-2.0000000000000018E-3</v>
      </c>
      <c r="AL182" s="384"/>
      <c r="AM182" s="384">
        <f t="shared" ref="AM182:AP182" si="523">AM98-AH98</f>
        <v>0</v>
      </c>
      <c r="AN182" s="384">
        <f t="shared" si="523"/>
        <v>0</v>
      </c>
      <c r="AO182" s="384">
        <f t="shared" si="523"/>
        <v>0</v>
      </c>
      <c r="AP182" s="384">
        <f t="shared" si="523"/>
        <v>0</v>
      </c>
      <c r="AQ182" s="384"/>
      <c r="AR182" s="384">
        <f t="shared" ref="AR182:AU182" si="524">AR98-AM98</f>
        <v>0</v>
      </c>
      <c r="AS182" s="384">
        <f t="shared" si="524"/>
        <v>0</v>
      </c>
      <c r="AT182" s="384">
        <f t="shared" si="524"/>
        <v>0</v>
      </c>
      <c r="AU182" s="384">
        <f t="shared" si="524"/>
        <v>0</v>
      </c>
    </row>
    <row r="183" spans="1:48" ht="14.55" customHeight="1" x14ac:dyDescent="0.3">
      <c r="A183" s="161"/>
      <c r="B183" s="382" t="s">
        <v>321</v>
      </c>
      <c r="Q183" s="384">
        <f t="shared" ref="Q183:U183" si="525">Q101-L101</f>
        <v>-4.5175814670814843E-3</v>
      </c>
      <c r="R183" s="384"/>
      <c r="S183" s="384">
        <f t="shared" si="525"/>
        <v>-1.2605124458150846E-3</v>
      </c>
      <c r="T183" s="384">
        <f t="shared" si="525"/>
        <v>-2.780006809811171E-3</v>
      </c>
      <c r="U183" s="384">
        <f t="shared" si="525"/>
        <v>-4.0374511378418465E-3</v>
      </c>
      <c r="V183" s="384">
        <f>V101-Q101</f>
        <v>7.1575109158830003E-4</v>
      </c>
      <c r="W183" s="384"/>
      <c r="X183" s="384">
        <f t="shared" ref="X183:AA183" si="526">X101-S101</f>
        <v>0</v>
      </c>
      <c r="Y183" s="384">
        <f t="shared" si="526"/>
        <v>0</v>
      </c>
      <c r="Z183" s="384">
        <f t="shared" si="526"/>
        <v>-4.9999999999999975E-3</v>
      </c>
      <c r="AA183" s="384">
        <f t="shared" si="526"/>
        <v>-4.9999999999999975E-3</v>
      </c>
      <c r="AB183" s="384"/>
      <c r="AC183" s="384">
        <f t="shared" ref="AC183:AF183" si="527">AC101-X101</f>
        <v>-3.0000000000000027E-3</v>
      </c>
      <c r="AD183" s="384">
        <f t="shared" si="527"/>
        <v>0</v>
      </c>
      <c r="AE183" s="384">
        <f t="shared" si="527"/>
        <v>0</v>
      </c>
      <c r="AF183" s="384">
        <f t="shared" si="527"/>
        <v>0</v>
      </c>
      <c r="AG183" s="384"/>
      <c r="AH183" s="384">
        <f t="shared" ref="AH183:AK183" si="528">AH101-AC101</f>
        <v>-2.0000000000000018E-3</v>
      </c>
      <c r="AI183" s="384">
        <f t="shared" si="528"/>
        <v>-2.0000000000000018E-3</v>
      </c>
      <c r="AJ183" s="384">
        <f t="shared" si="528"/>
        <v>-2.0000000000000018E-3</v>
      </c>
      <c r="AK183" s="384">
        <f t="shared" si="528"/>
        <v>-2.0000000000000018E-3</v>
      </c>
      <c r="AL183" s="384"/>
      <c r="AM183" s="384">
        <f t="shared" ref="AM183:AP183" si="529">AM101-AH101</f>
        <v>0</v>
      </c>
      <c r="AN183" s="384">
        <f t="shared" si="529"/>
        <v>0</v>
      </c>
      <c r="AO183" s="384">
        <f t="shared" si="529"/>
        <v>0</v>
      </c>
      <c r="AP183" s="384">
        <f t="shared" si="529"/>
        <v>0</v>
      </c>
      <c r="AQ183" s="384"/>
      <c r="AR183" s="384">
        <f t="shared" ref="AR183:AU183" si="530">AR101-AM101</f>
        <v>0</v>
      </c>
      <c r="AS183" s="384">
        <f t="shared" si="530"/>
        <v>0</v>
      </c>
      <c r="AT183" s="384">
        <f t="shared" si="530"/>
        <v>0</v>
      </c>
      <c r="AU183" s="384">
        <f t="shared" si="530"/>
        <v>0</v>
      </c>
    </row>
    <row r="184" spans="1:48" ht="14.55" customHeight="1" x14ac:dyDescent="0.3">
      <c r="A184" s="161"/>
    </row>
    <row r="185" spans="1:48" s="8" customFormat="1" x14ac:dyDescent="0.3">
      <c r="A185" s="161"/>
      <c r="B185" s="382" t="s">
        <v>322</v>
      </c>
      <c r="Q185" s="384">
        <f t="shared" ref="Q185:T185" si="531">Q111-L111</f>
        <v>-7.3337522717080939E-2</v>
      </c>
      <c r="R185" s="384"/>
      <c r="S185" s="384">
        <f t="shared" si="531"/>
        <v>-8.2275015567009335E-3</v>
      </c>
      <c r="T185" s="384">
        <f t="shared" si="531"/>
        <v>2.1961732903702735E-2</v>
      </c>
      <c r="U185" s="384">
        <f>U111-P111</f>
        <v>3.1106851202291286E-2</v>
      </c>
      <c r="V185" s="384">
        <f t="shared" ref="V185:AU185" si="532">V111-Q111</f>
        <v>5.6977238962102605E-3</v>
      </c>
      <c r="W185" s="384"/>
      <c r="X185" s="384">
        <f t="shared" si="532"/>
        <v>1.5000000000000013E-2</v>
      </c>
      <c r="Y185" s="384">
        <f t="shared" si="532"/>
        <v>0</v>
      </c>
      <c r="Z185" s="384">
        <f t="shared" si="532"/>
        <v>-5.0000000000000044E-3</v>
      </c>
      <c r="AA185" s="384">
        <f t="shared" si="532"/>
        <v>-3.0000000000000027E-2</v>
      </c>
      <c r="AB185" s="384"/>
      <c r="AC185" s="384">
        <f t="shared" si="532"/>
        <v>0</v>
      </c>
      <c r="AD185" s="384">
        <f t="shared" si="532"/>
        <v>0</v>
      </c>
      <c r="AE185" s="384">
        <f t="shared" si="532"/>
        <v>-2.0000000000000018E-2</v>
      </c>
      <c r="AF185" s="384">
        <f t="shared" si="532"/>
        <v>0</v>
      </c>
      <c r="AG185" s="384"/>
      <c r="AH185" s="384">
        <f t="shared" si="532"/>
        <v>0</v>
      </c>
      <c r="AI185" s="384">
        <f t="shared" si="532"/>
        <v>0</v>
      </c>
      <c r="AJ185" s="384">
        <f t="shared" si="532"/>
        <v>-1.0000000000000009E-2</v>
      </c>
      <c r="AK185" s="384">
        <f t="shared" si="532"/>
        <v>0</v>
      </c>
      <c r="AL185" s="384"/>
      <c r="AM185" s="384">
        <f t="shared" si="532"/>
        <v>0</v>
      </c>
      <c r="AN185" s="384">
        <f t="shared" si="532"/>
        <v>0</v>
      </c>
      <c r="AO185" s="384">
        <f t="shared" si="532"/>
        <v>0</v>
      </c>
      <c r="AP185" s="384">
        <f t="shared" si="532"/>
        <v>0</v>
      </c>
      <c r="AQ185" s="384"/>
      <c r="AR185" s="384">
        <f t="shared" si="532"/>
        <v>0</v>
      </c>
      <c r="AS185" s="384">
        <f t="shared" si="532"/>
        <v>0</v>
      </c>
      <c r="AT185" s="384">
        <f t="shared" si="532"/>
        <v>0</v>
      </c>
      <c r="AU185" s="384">
        <f t="shared" si="532"/>
        <v>0</v>
      </c>
    </row>
    <row r="186" spans="1:48" s="8" customFormat="1" x14ac:dyDescent="0.3">
      <c r="A186" s="161"/>
      <c r="B186" s="382" t="s">
        <v>323</v>
      </c>
      <c r="Q186" s="384">
        <f t="shared" ref="Q186:T186" si="533">Q113-L113</f>
        <v>-1.0844701708009816E-3</v>
      </c>
      <c r="R186" s="384"/>
      <c r="S186" s="384">
        <f t="shared" si="533"/>
        <v>-2.5553392161973866E-3</v>
      </c>
      <c r="T186" s="384">
        <f t="shared" si="533"/>
        <v>-1.2309816148434665E-2</v>
      </c>
      <c r="U186" s="384">
        <f>U113-P113</f>
        <v>5.2264096219557514E-2</v>
      </c>
      <c r="V186" s="384">
        <f t="shared" ref="V186:AU186" si="534">V113-Q113</f>
        <v>-5.7078651325004406E-3</v>
      </c>
      <c r="W186" s="384"/>
      <c r="X186" s="384">
        <f t="shared" si="534"/>
        <v>0.02</v>
      </c>
      <c r="Y186" s="384">
        <f t="shared" si="534"/>
        <v>0</v>
      </c>
      <c r="Z186" s="384">
        <f t="shared" si="534"/>
        <v>-5.000000000000001E-3</v>
      </c>
      <c r="AA186" s="384">
        <f t="shared" si="534"/>
        <v>-0.03</v>
      </c>
      <c r="AB186" s="384"/>
      <c r="AC186" s="384">
        <f t="shared" si="534"/>
        <v>-0.02</v>
      </c>
      <c r="AD186" s="384">
        <f t="shared" si="534"/>
        <v>0</v>
      </c>
      <c r="AE186" s="384">
        <f t="shared" si="534"/>
        <v>0</v>
      </c>
      <c r="AF186" s="384">
        <f t="shared" si="534"/>
        <v>-0.02</v>
      </c>
      <c r="AG186" s="384"/>
      <c r="AH186" s="384">
        <f t="shared" si="534"/>
        <v>-2.9999999999999992E-3</v>
      </c>
      <c r="AI186" s="384">
        <f t="shared" si="534"/>
        <v>0</v>
      </c>
      <c r="AJ186" s="384">
        <f t="shared" si="534"/>
        <v>0</v>
      </c>
      <c r="AK186" s="384">
        <f t="shared" si="534"/>
        <v>-4.0000000000000001E-3</v>
      </c>
      <c r="AL186" s="384"/>
      <c r="AM186" s="384">
        <f t="shared" si="534"/>
        <v>0</v>
      </c>
      <c r="AN186" s="384">
        <f t="shared" si="534"/>
        <v>0</v>
      </c>
      <c r="AO186" s="384">
        <f t="shared" si="534"/>
        <v>0</v>
      </c>
      <c r="AP186" s="384">
        <f t="shared" si="534"/>
        <v>0</v>
      </c>
      <c r="AQ186" s="384"/>
      <c r="AR186" s="384">
        <f t="shared" si="534"/>
        <v>0</v>
      </c>
      <c r="AS186" s="384">
        <f t="shared" si="534"/>
        <v>0</v>
      </c>
      <c r="AT186" s="384">
        <f t="shared" si="534"/>
        <v>0</v>
      </c>
      <c r="AU186" s="384">
        <f t="shared" si="534"/>
        <v>0</v>
      </c>
    </row>
    <row r="187" spans="1:48" s="8" customFormat="1" x14ac:dyDescent="0.3">
      <c r="A187" s="161"/>
      <c r="B187" s="382" t="s">
        <v>324</v>
      </c>
      <c r="Q187" s="384">
        <f t="shared" ref="Q187:T187" si="535">Q116-L116</f>
        <v>2.3693128623915273E-3</v>
      </c>
      <c r="R187" s="384"/>
      <c r="S187" s="384">
        <f t="shared" si="535"/>
        <v>1.9882391779431439E-3</v>
      </c>
      <c r="T187" s="384">
        <f t="shared" si="535"/>
        <v>-8.1949465585923805E-4</v>
      </c>
      <c r="U187" s="384">
        <f>U116-P116</f>
        <v>-2.2101675866256984E-3</v>
      </c>
      <c r="V187" s="384">
        <f t="shared" ref="V187:AU187" si="536">V116-Q116</f>
        <v>7.190844057926556E-4</v>
      </c>
      <c r="W187" s="384"/>
      <c r="X187" s="384">
        <f t="shared" si="536"/>
        <v>0</v>
      </c>
      <c r="Y187" s="384">
        <f t="shared" si="536"/>
        <v>0</v>
      </c>
      <c r="Z187" s="384">
        <f t="shared" si="536"/>
        <v>0</v>
      </c>
      <c r="AA187" s="384">
        <f t="shared" si="536"/>
        <v>0</v>
      </c>
      <c r="AB187" s="384"/>
      <c r="AC187" s="384">
        <f t="shared" si="536"/>
        <v>0</v>
      </c>
      <c r="AD187" s="384">
        <f t="shared" si="536"/>
        <v>0</v>
      </c>
      <c r="AE187" s="384">
        <f t="shared" si="536"/>
        <v>0</v>
      </c>
      <c r="AF187" s="384">
        <f t="shared" si="536"/>
        <v>0</v>
      </c>
      <c r="AG187" s="384"/>
      <c r="AH187" s="384">
        <f t="shared" si="536"/>
        <v>0</v>
      </c>
      <c r="AI187" s="384">
        <f t="shared" si="536"/>
        <v>0</v>
      </c>
      <c r="AJ187" s="384">
        <f t="shared" si="536"/>
        <v>0</v>
      </c>
      <c r="AK187" s="384">
        <f t="shared" si="536"/>
        <v>0</v>
      </c>
      <c r="AL187" s="384"/>
      <c r="AM187" s="384">
        <f t="shared" si="536"/>
        <v>0</v>
      </c>
      <c r="AN187" s="384">
        <f t="shared" si="536"/>
        <v>0</v>
      </c>
      <c r="AO187" s="384">
        <f t="shared" si="536"/>
        <v>0</v>
      </c>
      <c r="AP187" s="384">
        <f t="shared" si="536"/>
        <v>0</v>
      </c>
      <c r="AQ187" s="384"/>
      <c r="AR187" s="384">
        <f t="shared" si="536"/>
        <v>0</v>
      </c>
      <c r="AS187" s="384">
        <f t="shared" si="536"/>
        <v>0</v>
      </c>
      <c r="AT187" s="384">
        <f t="shared" si="536"/>
        <v>0</v>
      </c>
      <c r="AU187" s="384">
        <f t="shared" si="536"/>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7:C7"/>
    <mergeCell ref="A3:A4"/>
    <mergeCell ref="B3:C3"/>
    <mergeCell ref="B4:C4"/>
    <mergeCell ref="B5:C5"/>
    <mergeCell ref="B6:C6"/>
    <mergeCell ref="B39:C39"/>
    <mergeCell ref="B8:C8"/>
    <mergeCell ref="B9:C9"/>
    <mergeCell ref="B16:C16"/>
    <mergeCell ref="B23:C23"/>
    <mergeCell ref="B24:C24"/>
    <mergeCell ref="B25:C25"/>
    <mergeCell ref="B30:C30"/>
    <mergeCell ref="B31:C31"/>
    <mergeCell ref="B32:C32"/>
    <mergeCell ref="B33:C33"/>
    <mergeCell ref="B38:C38"/>
    <mergeCell ref="B83:C83"/>
    <mergeCell ref="B40:C40"/>
    <mergeCell ref="B41:C41"/>
    <mergeCell ref="B45:C45"/>
    <mergeCell ref="B50:C50"/>
    <mergeCell ref="B54:C54"/>
    <mergeCell ref="B55:C55"/>
    <mergeCell ref="B59:C59"/>
    <mergeCell ref="B60:C60"/>
    <mergeCell ref="B73:C73"/>
    <mergeCell ref="B74:C74"/>
    <mergeCell ref="B78:C78"/>
    <mergeCell ref="B138:C138"/>
    <mergeCell ref="B87:C87"/>
    <mergeCell ref="B88:C88"/>
    <mergeCell ref="B92:C92"/>
    <mergeCell ref="B93:C93"/>
    <mergeCell ref="B107:C107"/>
    <mergeCell ref="B108:C108"/>
    <mergeCell ref="B110:C110"/>
    <mergeCell ref="B122:C122"/>
    <mergeCell ref="B123:C123"/>
    <mergeCell ref="B125:C125"/>
    <mergeCell ref="B132:C132"/>
    <mergeCell ref="B155:C155"/>
    <mergeCell ref="B140:C140"/>
    <mergeCell ref="B141:C141"/>
    <mergeCell ref="B142:C142"/>
    <mergeCell ref="B143:C143"/>
    <mergeCell ref="B144:C144"/>
    <mergeCell ref="B145:C145"/>
    <mergeCell ref="B150:C150"/>
    <mergeCell ref="B151:C151"/>
    <mergeCell ref="B152:C152"/>
    <mergeCell ref="B153:C153"/>
    <mergeCell ref="B154:C154"/>
    <mergeCell ref="B172:C172"/>
    <mergeCell ref="B156:C156"/>
    <mergeCell ref="B157:C157"/>
    <mergeCell ref="B158:C158"/>
    <mergeCell ref="B162:C162"/>
    <mergeCell ref="B163:C163"/>
    <mergeCell ref="B165:C165"/>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2F78F-C1BB-4315-AD80-B453B99F8FC9}">
  <sheetPr>
    <tabColor theme="6" tint="0.79998168889431442"/>
    <pageSetUpPr fitToPage="1"/>
  </sheetPr>
  <dimension ref="A1:AV67"/>
  <sheetViews>
    <sheetView showGridLines="0" zoomScaleNormal="100" workbookViewId="0">
      <pane xSplit="3" ySplit="5" topLeftCell="O20" activePane="bottomRight" state="frozen"/>
      <selection activeCell="W1" sqref="W1"/>
      <selection pane="topRight" activeCell="W1" sqref="W1"/>
      <selection pane="bottomLeft" activeCell="W1" sqref="W1"/>
      <selection pane="bottomRight" activeCell="B1" sqref="B1"/>
    </sheetView>
  </sheetViews>
  <sheetFormatPr defaultColWidth="8.88671875" defaultRowHeight="14.4" outlineLevelRow="1" outlineLevelCol="1" x14ac:dyDescent="0.3"/>
  <cols>
    <col min="1" max="1" width="2" style="2" customWidth="1"/>
    <col min="2" max="2" width="39" style="2" customWidth="1"/>
    <col min="3" max="3" width="10"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D1" s="45"/>
      <c r="E1" s="149"/>
      <c r="F1" s="149"/>
      <c r="G1" s="149"/>
      <c r="H1" s="149"/>
      <c r="I1" s="216"/>
      <c r="J1" s="216"/>
      <c r="K1" s="216"/>
      <c r="L1" s="216"/>
      <c r="M1" s="162"/>
      <c r="N1" s="216"/>
      <c r="O1" s="216"/>
      <c r="P1" s="216"/>
      <c r="Q1" s="216"/>
      <c r="R1" s="195"/>
      <c r="S1" s="216"/>
      <c r="T1" s="216"/>
      <c r="U1" s="216"/>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1:48" ht="5.4" customHeight="1" x14ac:dyDescent="0.3">
      <c r="B2" s="99"/>
      <c r="D2" s="45"/>
      <c r="E2" s="149"/>
      <c r="F2" s="149"/>
      <c r="G2" s="149"/>
      <c r="H2" s="149"/>
      <c r="I2" s="216"/>
      <c r="J2" s="216"/>
      <c r="K2" s="216"/>
      <c r="L2" s="216"/>
      <c r="M2" s="162"/>
      <c r="N2" s="216"/>
      <c r="O2" s="216"/>
      <c r="P2" s="216"/>
      <c r="Q2" s="216"/>
      <c r="R2" s="195"/>
      <c r="S2" s="216"/>
      <c r="T2" s="216"/>
      <c r="U2" s="216"/>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1:48" ht="15.6" x14ac:dyDescent="0.3">
      <c r="B3" s="494" t="s">
        <v>249</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ht="14.55" customHeight="1" x14ac:dyDescent="0.3">
      <c r="B5" s="494" t="s">
        <v>211</v>
      </c>
      <c r="C5" s="495"/>
      <c r="D5" s="13"/>
      <c r="E5" s="13"/>
      <c r="F5" s="13"/>
      <c r="G5" s="258"/>
      <c r="H5" s="259"/>
      <c r="I5" s="258"/>
      <c r="J5" s="13"/>
      <c r="K5" s="13"/>
      <c r="L5" s="258"/>
      <c r="M5" s="259"/>
      <c r="N5" s="258"/>
      <c r="O5" s="13"/>
      <c r="P5" s="13"/>
      <c r="Q5" s="258"/>
      <c r="R5" s="259"/>
      <c r="S5" s="258"/>
      <c r="T5" s="13"/>
      <c r="U5" s="13"/>
      <c r="V5" s="258"/>
      <c r="W5" s="259"/>
      <c r="X5" s="15"/>
      <c r="Y5" s="15"/>
      <c r="Z5" s="15"/>
      <c r="AA5" s="15"/>
      <c r="AB5" s="41"/>
      <c r="AC5" s="15"/>
      <c r="AD5" s="15"/>
      <c r="AE5" s="15"/>
      <c r="AF5" s="15"/>
      <c r="AG5" s="41"/>
      <c r="AH5" s="15"/>
      <c r="AI5" s="15"/>
      <c r="AJ5" s="15"/>
      <c r="AK5" s="15"/>
      <c r="AL5" s="41"/>
      <c r="AM5" s="15"/>
      <c r="AN5" s="15"/>
      <c r="AO5" s="15"/>
      <c r="AP5" s="15"/>
      <c r="AQ5" s="41"/>
      <c r="AR5" s="15"/>
      <c r="AS5" s="15"/>
      <c r="AT5" s="15"/>
      <c r="AU5" s="15"/>
      <c r="AV5" s="41"/>
    </row>
    <row r="6" spans="1:48" ht="14.55" customHeight="1" outlineLevel="1" x14ac:dyDescent="0.3">
      <c r="B6" s="486" t="s">
        <v>212</v>
      </c>
      <c r="C6" s="487"/>
      <c r="D6" s="16">
        <f>'CFS (Before Changes) '!D41</f>
        <v>4761.6000000000004</v>
      </c>
      <c r="E6" s="16">
        <f>'CFS (Before Changes) '!E41</f>
        <v>2055.1000000000004</v>
      </c>
      <c r="F6" s="16">
        <f>'CFS (Before Changes) '!F41</f>
        <v>4763.4000000000015</v>
      </c>
      <c r="G6" s="101">
        <f>'CFS (Before Changes) '!G41</f>
        <v>2686.6000000000022</v>
      </c>
      <c r="H6" s="17">
        <f>G6</f>
        <v>2686.6000000000022</v>
      </c>
      <c r="I6" s="16">
        <f>'CFS (Before Changes) '!I41</f>
        <v>3040.5000000000036</v>
      </c>
      <c r="J6" s="16">
        <f>'CFS (Before Changes) '!J41</f>
        <v>2572.3000000000029</v>
      </c>
      <c r="K6" s="16">
        <f>'CFS (Before Changes) '!K41</f>
        <v>3965.9000000000042</v>
      </c>
      <c r="L6" s="101">
        <f>'CFS (Before Changes) '!L41</f>
        <v>4350.900000000006</v>
      </c>
      <c r="M6" s="17">
        <f>L6</f>
        <v>4350.900000000006</v>
      </c>
      <c r="N6" s="16">
        <f>'CFS (Before Changes) '!N41</f>
        <v>5028.00000000001</v>
      </c>
      <c r="O6" s="16">
        <f>'CFS (Before Changes) '!O41</f>
        <v>3880.6000000000104</v>
      </c>
      <c r="P6" s="16">
        <f>'CFS (Before Changes) '!P41</f>
        <v>4753.1000000000095</v>
      </c>
      <c r="Q6" s="16">
        <f>'CFS (Before Changes) '!Q41</f>
        <v>6455.7000000000089</v>
      </c>
      <c r="R6" s="17">
        <f>Q6</f>
        <v>6455.7000000000089</v>
      </c>
      <c r="S6" s="16">
        <f>'CFS (Before Changes) '!S41</f>
        <v>3969.4000000000078</v>
      </c>
      <c r="T6" s="16">
        <f>'CFS (Before Changes) '!T41</f>
        <v>3913.4000000000083</v>
      </c>
      <c r="U6" s="16">
        <f>'CFS (Before Changes) '!U41</f>
        <v>3177.5000000000073</v>
      </c>
      <c r="V6" s="16">
        <f>'CFS (Before Changes) '!V41</f>
        <v>2818.3000000000061</v>
      </c>
      <c r="W6" s="17">
        <f>V6</f>
        <v>2818.3000000000061</v>
      </c>
      <c r="X6" s="16">
        <f>'CFS (Before Changes) '!X41</f>
        <v>3820.5170959622287</v>
      </c>
      <c r="Y6" s="16">
        <f>'CFS (Before Changes) '!Y41</f>
        <v>3379.6981539112676</v>
      </c>
      <c r="Z6" s="16">
        <f>'CFS (Before Changes) '!Z41</f>
        <v>3190.3687953468434</v>
      </c>
      <c r="AA6" s="16">
        <f>'CFS (Before Changes) '!AA41</f>
        <v>3736.7664516016048</v>
      </c>
      <c r="AB6" s="17">
        <f>AA6</f>
        <v>3736.7664516016048</v>
      </c>
      <c r="AC6" s="16">
        <f>'CFS (Before Changes) '!AC41</f>
        <v>4672.3836399376105</v>
      </c>
      <c r="AD6" s="16">
        <f>'CFS (Before Changes) '!AD41</f>
        <v>4448.8516321989719</v>
      </c>
      <c r="AE6" s="16">
        <f>'CFS (Before Changes) '!AE41</f>
        <v>4488.7413614245952</v>
      </c>
      <c r="AF6" s="16">
        <f>'CFS (Before Changes) '!AF41</f>
        <v>4904.4499921261386</v>
      </c>
      <c r="AG6" s="17">
        <f>AF6</f>
        <v>4904.4499921261386</v>
      </c>
      <c r="AH6" s="16">
        <f>'CFS (Before Changes) '!AH41</f>
        <v>5920.6556147323809</v>
      </c>
      <c r="AI6" s="16">
        <f>'CFS (Before Changes) '!AI41</f>
        <v>5708.2772645722753</v>
      </c>
      <c r="AJ6" s="16">
        <f>'CFS (Before Changes) '!AJ41</f>
        <v>6077.7103525739431</v>
      </c>
      <c r="AK6" s="16">
        <f>'CFS (Before Changes) '!AK41</f>
        <v>1423.1004341304433</v>
      </c>
      <c r="AL6" s="17">
        <f>AK6</f>
        <v>1423.1004341304433</v>
      </c>
      <c r="AM6" s="16">
        <f>'CFS (Before Changes) '!AM41</f>
        <v>2523.56260659393</v>
      </c>
      <c r="AN6" s="16">
        <f>'CFS (Before Changes) '!AN41</f>
        <v>2168.8463905030494</v>
      </c>
      <c r="AO6" s="16">
        <f>'CFS (Before Changes) '!AO41</f>
        <v>2232.1163702638842</v>
      </c>
      <c r="AP6" s="16">
        <f>'CFS (Before Changes) '!AP41</f>
        <v>2786.091805340955</v>
      </c>
      <c r="AQ6" s="17">
        <f>AP6</f>
        <v>2786.091805340955</v>
      </c>
      <c r="AR6" s="16">
        <f>'CFS (Before Changes) '!AR41</f>
        <v>4049.0122187580828</v>
      </c>
      <c r="AS6" s="16">
        <f>'CFS (Before Changes) '!AS41</f>
        <v>3783.8105160840214</v>
      </c>
      <c r="AT6" s="16">
        <f>'CFS (Before Changes) '!AT41</f>
        <v>3973.7965368708992</v>
      </c>
      <c r="AU6" s="16">
        <f>'CFS (Before Changes) '!AU41</f>
        <v>4572.5997938213523</v>
      </c>
      <c r="AV6" s="17">
        <f>AU6</f>
        <v>4572.5997938213523</v>
      </c>
    </row>
    <row r="7" spans="1:48" ht="14.55" customHeight="1" outlineLevel="1" x14ac:dyDescent="0.3">
      <c r="A7" s="161"/>
      <c r="B7" s="200" t="s">
        <v>213</v>
      </c>
      <c r="C7" s="201"/>
      <c r="D7" s="16">
        <v>230.2</v>
      </c>
      <c r="E7" s="16">
        <v>76.599999999999994</v>
      </c>
      <c r="F7" s="16">
        <v>72.099999999999994</v>
      </c>
      <c r="G7" s="16">
        <v>70.5</v>
      </c>
      <c r="H7" s="17">
        <f>+G7</f>
        <v>70.5</v>
      </c>
      <c r="I7" s="16">
        <v>68.400000000000006</v>
      </c>
      <c r="J7" s="16">
        <v>52.9</v>
      </c>
      <c r="K7" s="16">
        <v>229.9</v>
      </c>
      <c r="L7" s="16">
        <v>281.2</v>
      </c>
      <c r="M7" s="17">
        <f>+L7</f>
        <v>281.2</v>
      </c>
      <c r="N7" s="16">
        <v>235.5</v>
      </c>
      <c r="O7" s="16">
        <v>123</v>
      </c>
      <c r="P7" s="16">
        <v>153.6</v>
      </c>
      <c r="Q7" s="101">
        <v>162.19999999999999</v>
      </c>
      <c r="R7" s="17">
        <f>+Q7</f>
        <v>162.19999999999999</v>
      </c>
      <c r="S7" s="16">
        <v>87.4</v>
      </c>
      <c r="T7" s="16">
        <v>82.1</v>
      </c>
      <c r="U7" s="16">
        <v>76.900000000000006</v>
      </c>
      <c r="V7" s="16">
        <v>364.5</v>
      </c>
      <c r="W7" s="17">
        <f>+V7</f>
        <v>364.5</v>
      </c>
      <c r="X7" s="16">
        <f>+X53*X42*X54</f>
        <v>136.39463094252216</v>
      </c>
      <c r="Y7" s="16">
        <f>+Y53*Y42*Y54</f>
        <v>149.67757639332876</v>
      </c>
      <c r="Z7" s="16">
        <f>+Z53*Z42*Z54</f>
        <v>174.01392514736213</v>
      </c>
      <c r="AA7" s="16">
        <f>+AA53*AA42*AA54</f>
        <v>205.28192886207799</v>
      </c>
      <c r="AB7" s="17">
        <f>+AA7</f>
        <v>205.28192886207799</v>
      </c>
      <c r="AC7" s="16">
        <f>+AC53*AC42*AC54</f>
        <v>175.04132642942093</v>
      </c>
      <c r="AD7" s="16">
        <f>+AD53*AD42*AD54</f>
        <v>182.59137234831502</v>
      </c>
      <c r="AE7" s="16">
        <f>+AE53*AE42*AE54</f>
        <v>192.4550252325318</v>
      </c>
      <c r="AF7" s="16">
        <f>+AF53*AF42*AF54</f>
        <v>196.90355750190028</v>
      </c>
      <c r="AG7" s="17">
        <f>+AF7</f>
        <v>196.90355750190028</v>
      </c>
      <c r="AH7" s="16">
        <f>+AH53*AH42*AH54</f>
        <v>198.24016134973016</v>
      </c>
      <c r="AI7" s="16">
        <f>+AI53*AI42*AI54</f>
        <v>200.77386816358245</v>
      </c>
      <c r="AJ7" s="16">
        <f>+AJ53*AJ42*AJ54</f>
        <v>208.87115995686779</v>
      </c>
      <c r="AK7" s="16">
        <f>+AK53*AK42*AK54</f>
        <v>179.42710266139906</v>
      </c>
      <c r="AL7" s="17">
        <f>+AK7</f>
        <v>179.42710266139906</v>
      </c>
      <c r="AM7" s="16">
        <f>+AM53*AM42*AM54</f>
        <v>185.5527157925693</v>
      </c>
      <c r="AN7" s="16">
        <f>+AN53*AN42*AN54</f>
        <v>185.20734250504665</v>
      </c>
      <c r="AO7" s="16">
        <f>+AO53*AO42*AO54</f>
        <v>190.86713549059959</v>
      </c>
      <c r="AP7" s="16">
        <f>+AP53*AP42*AP54</f>
        <v>193.89550340560109</v>
      </c>
      <c r="AQ7" s="17">
        <f>+AP7</f>
        <v>193.89550340560109</v>
      </c>
      <c r="AR7" s="16">
        <f>+AR53*AR42*AR54</f>
        <v>201.67214680248034</v>
      </c>
      <c r="AS7" s="16">
        <f>+AS53*AS42*AS54</f>
        <v>201.41281097149638</v>
      </c>
      <c r="AT7" s="16">
        <f>+AT53*AT42*AT54</f>
        <v>207.70204941308594</v>
      </c>
      <c r="AU7" s="16">
        <f>+AU53*AU42*AU54</f>
        <v>211.44137698849386</v>
      </c>
      <c r="AV7" s="17">
        <f>+AU7</f>
        <v>211.44137698849386</v>
      </c>
    </row>
    <row r="8" spans="1:48" s="23" customFormat="1" ht="14.55" customHeight="1" outlineLevel="1" x14ac:dyDescent="0.3">
      <c r="A8" s="161"/>
      <c r="B8" s="486" t="s">
        <v>214</v>
      </c>
      <c r="C8" s="487"/>
      <c r="D8" s="16">
        <v>721.4</v>
      </c>
      <c r="E8" s="16">
        <v>703.6</v>
      </c>
      <c r="F8" s="16">
        <v>790.6</v>
      </c>
      <c r="G8" s="16">
        <v>879</v>
      </c>
      <c r="H8" s="17">
        <f>G8</f>
        <v>879</v>
      </c>
      <c r="I8" s="16">
        <v>908.1</v>
      </c>
      <c r="J8" s="16">
        <v>941</v>
      </c>
      <c r="K8" s="16">
        <v>881.1</v>
      </c>
      <c r="L8" s="16">
        <v>883.4</v>
      </c>
      <c r="M8" s="17">
        <f>L8</f>
        <v>883.4</v>
      </c>
      <c r="N8" s="16">
        <v>888</v>
      </c>
      <c r="O8" s="16">
        <v>880.2</v>
      </c>
      <c r="P8" s="16">
        <v>911.2</v>
      </c>
      <c r="Q8" s="101">
        <v>940</v>
      </c>
      <c r="R8" s="17">
        <f>Q8</f>
        <v>940</v>
      </c>
      <c r="S8" s="16">
        <v>1031.0999999999999</v>
      </c>
      <c r="T8" s="16">
        <v>1001.9</v>
      </c>
      <c r="U8" s="16">
        <v>1146.0999999999999</v>
      </c>
      <c r="V8" s="16">
        <v>1175.5</v>
      </c>
      <c r="W8" s="17">
        <f>V8</f>
        <v>1175.5</v>
      </c>
      <c r="X8" s="16">
        <f>'IS (Before Changes)'!X8/X47</f>
        <v>1127.2288736753619</v>
      </c>
      <c r="Y8" s="16">
        <f>'IS (Before Changes)'!Y8/Y47</f>
        <v>1175.0702922684407</v>
      </c>
      <c r="Z8" s="16">
        <f>'IS (Before Changes)'!Z8/Z47</f>
        <v>1378.6230180058026</v>
      </c>
      <c r="AA8" s="16">
        <f>'IS (Before Changes)'!AA8/AA47</f>
        <v>1254.1873003371102</v>
      </c>
      <c r="AB8" s="17">
        <f>AA8</f>
        <v>1254.1873003371102</v>
      </c>
      <c r="AC8" s="16">
        <f>'IS (Before Changes)'!AC8/AC47</f>
        <v>1269.8499006167028</v>
      </c>
      <c r="AD8" s="16">
        <f>'IS (Before Changes)'!AD8/AD47</f>
        <v>1241.3655651255372</v>
      </c>
      <c r="AE8" s="16">
        <f>'IS (Before Changes)'!AE8/AE47</f>
        <v>1381.302017265785</v>
      </c>
      <c r="AF8" s="16">
        <f>'IS (Before Changes)'!AF8/AF47</f>
        <v>1344.456587767974</v>
      </c>
      <c r="AG8" s="17">
        <f>AF8</f>
        <v>1344.456587767974</v>
      </c>
      <c r="AH8" s="16">
        <f>'IS (Before Changes)'!AH8/AH47</f>
        <v>1408.7210994353084</v>
      </c>
      <c r="AI8" s="16">
        <f>'IS (Before Changes)'!AI8/AI47</f>
        <v>1390.0216187659919</v>
      </c>
      <c r="AJ8" s="16">
        <f>'IS (Before Changes)'!AJ8/AJ47</f>
        <v>1603.686934375505</v>
      </c>
      <c r="AK8" s="16">
        <f>'IS (Before Changes)'!AK8/AK47</f>
        <v>1557.9162809828622</v>
      </c>
      <c r="AL8" s="17">
        <f>AK8</f>
        <v>1557.9162809828622</v>
      </c>
      <c r="AM8" s="16">
        <f>'IS (Before Changes)'!AM8/AM47</f>
        <v>1552.8195219740298</v>
      </c>
      <c r="AN8" s="16">
        <f>'IS (Before Changes)'!AN8/AN47</f>
        <v>1534.6270868407362</v>
      </c>
      <c r="AO8" s="16">
        <f>'IS (Before Changes)'!AO8/AO47</f>
        <v>1752.9952579515636</v>
      </c>
      <c r="AP8" s="16">
        <f>'IS (Before Changes)'!AP8/AP47</f>
        <v>1665.5456302964474</v>
      </c>
      <c r="AQ8" s="17">
        <f>AP8</f>
        <v>1665.5456302964474</v>
      </c>
      <c r="AR8" s="16">
        <f>'IS (Before Changes)'!AR8/AR47</f>
        <v>1653.758772086208</v>
      </c>
      <c r="AS8" s="16">
        <f>'IS (Before Changes)'!AS8/AS47</f>
        <v>1620.5461145674155</v>
      </c>
      <c r="AT8" s="16">
        <f>'IS (Before Changes)'!AT8/AT47</f>
        <v>1836.3494445703218</v>
      </c>
      <c r="AU8" s="16">
        <f>'IS (Before Changes)'!AU8/AU47</f>
        <v>1768.917229960613</v>
      </c>
      <c r="AV8" s="17">
        <f>AU8</f>
        <v>1768.917229960613</v>
      </c>
    </row>
    <row r="9" spans="1:48" s="23" customFormat="1" ht="14.55" customHeight="1" outlineLevel="1" x14ac:dyDescent="0.3">
      <c r="A9" s="161"/>
      <c r="B9" s="200" t="s">
        <v>215</v>
      </c>
      <c r="C9" s="201"/>
      <c r="D9" s="16">
        <v>1354.6</v>
      </c>
      <c r="E9" s="16">
        <v>1443</v>
      </c>
      <c r="F9" s="16">
        <v>1517.2</v>
      </c>
      <c r="G9" s="16">
        <v>1529.4</v>
      </c>
      <c r="H9" s="17">
        <f>G9</f>
        <v>1529.4</v>
      </c>
      <c r="I9" s="16">
        <v>1408.7</v>
      </c>
      <c r="J9" s="16">
        <v>1492.2</v>
      </c>
      <c r="K9" s="16">
        <v>1583.8</v>
      </c>
      <c r="L9" s="16">
        <v>1551.4</v>
      </c>
      <c r="M9" s="17">
        <f>L9</f>
        <v>1551.4</v>
      </c>
      <c r="N9" s="16">
        <v>1471.5</v>
      </c>
      <c r="O9" s="16">
        <v>1503.6</v>
      </c>
      <c r="P9" s="16">
        <v>1548.2</v>
      </c>
      <c r="Q9" s="101">
        <v>1603.9</v>
      </c>
      <c r="R9" s="17">
        <f>Q9</f>
        <v>1603.9</v>
      </c>
      <c r="S9" s="16">
        <v>1637.1</v>
      </c>
      <c r="T9" s="16">
        <v>1920</v>
      </c>
      <c r="U9" s="16">
        <v>2132.9</v>
      </c>
      <c r="V9" s="16">
        <v>2176.6</v>
      </c>
      <c r="W9" s="17">
        <f>V9</f>
        <v>2176.6</v>
      </c>
      <c r="X9" s="16">
        <f>'IS (Before Changes)'!X9/X49</f>
        <v>1863.3942556110537</v>
      </c>
      <c r="Y9" s="16">
        <f>'IS (Before Changes)'!Y9/Y49</f>
        <v>2051.1527470141064</v>
      </c>
      <c r="Z9" s="16">
        <f>'IS (Before Changes)'!Z9/Z49</f>
        <v>2469.9557981226026</v>
      </c>
      <c r="AA9" s="16">
        <f>'IS (Before Changes)'!AA9/AA49</f>
        <v>2190.078900580032</v>
      </c>
      <c r="AB9" s="17">
        <f>AA9</f>
        <v>2190.078900580032</v>
      </c>
      <c r="AC9" s="16">
        <f>'IS (Before Changes)'!AC9/AC49</f>
        <v>2053.263987951585</v>
      </c>
      <c r="AD9" s="16">
        <f>'IS (Before Changes)'!AD9/AD49</f>
        <v>2218.7566322600333</v>
      </c>
      <c r="AE9" s="16">
        <f>'IS (Before Changes)'!AE9/AE49</f>
        <v>2510.9138638898899</v>
      </c>
      <c r="AF9" s="16">
        <f>'IS (Before Changes)'!AF9/AF49</f>
        <v>2410.360746264605</v>
      </c>
      <c r="AG9" s="17">
        <f>AF9</f>
        <v>2410.360746264605</v>
      </c>
      <c r="AH9" s="16">
        <f>'IS (Before Changes)'!AH9/AH49</f>
        <v>2229.4709960281257</v>
      </c>
      <c r="AI9" s="16">
        <f>'IS (Before Changes)'!AI9/AI49</f>
        <v>2462.6014235616344</v>
      </c>
      <c r="AJ9" s="16">
        <f>'IS (Before Changes)'!AJ9/AJ49</f>
        <v>2864.7370598490347</v>
      </c>
      <c r="AK9" s="16">
        <f>'IS (Before Changes)'!AK9/AK49</f>
        <v>2786.6674921401864</v>
      </c>
      <c r="AL9" s="17">
        <f>AK9</f>
        <v>2786.6674921401864</v>
      </c>
      <c r="AM9" s="16">
        <f>'IS (Before Changes)'!AM9/AM49</f>
        <v>2465.5375445395066</v>
      </c>
      <c r="AN9" s="16">
        <f>'IS (Before Changes)'!AN9/AN49</f>
        <v>2674.034195745528</v>
      </c>
      <c r="AO9" s="16">
        <f>'IS (Before Changes)'!AO9/AO49</f>
        <v>3108.9733693116436</v>
      </c>
      <c r="AP9" s="16">
        <f>'IS (Before Changes)'!AP9/AP49</f>
        <v>2959.6307766927971</v>
      </c>
      <c r="AQ9" s="17">
        <f>AP9</f>
        <v>2959.6307766927971</v>
      </c>
      <c r="AR9" s="16">
        <f>'IS (Before Changes)'!AR9/AR49</f>
        <v>2626.3602581018004</v>
      </c>
      <c r="AS9" s="16">
        <f>'IS (Before Changes)'!AS9/AS49</f>
        <v>2845.6295190067722</v>
      </c>
      <c r="AT9" s="16">
        <f>'IS (Before Changes)'!AT9/AT49</f>
        <v>3266.1755705443188</v>
      </c>
      <c r="AU9" s="16">
        <f>'IS (Before Changes)'!AU9/AU49</f>
        <v>3144.77103183801</v>
      </c>
      <c r="AV9" s="17">
        <f>AU9</f>
        <v>3144.77103183801</v>
      </c>
    </row>
    <row r="10" spans="1:48" ht="16.2" customHeight="1" outlineLevel="1" x14ac:dyDescent="0.45">
      <c r="A10" s="161"/>
      <c r="B10" s="486" t="s">
        <v>216</v>
      </c>
      <c r="C10" s="487"/>
      <c r="D10" s="260">
        <v>608.5</v>
      </c>
      <c r="E10" s="112">
        <v>674</v>
      </c>
      <c r="F10" s="112">
        <v>591.6</v>
      </c>
      <c r="G10" s="112">
        <v>488.2</v>
      </c>
      <c r="H10" s="261">
        <f>G10</f>
        <v>488.2</v>
      </c>
      <c r="I10" s="112">
        <v>474</v>
      </c>
      <c r="J10" s="112">
        <v>691.5</v>
      </c>
      <c r="K10" s="112">
        <v>920.3</v>
      </c>
      <c r="L10" s="112">
        <v>739.5</v>
      </c>
      <c r="M10" s="261">
        <f>L10</f>
        <v>739.5</v>
      </c>
      <c r="N10" s="112">
        <v>734.4</v>
      </c>
      <c r="O10" s="112">
        <v>592</v>
      </c>
      <c r="P10" s="112">
        <v>565.6</v>
      </c>
      <c r="Q10" s="112">
        <v>594.6</v>
      </c>
      <c r="R10" s="261">
        <f>Q10</f>
        <v>594.6</v>
      </c>
      <c r="S10" s="112">
        <v>530.1</v>
      </c>
      <c r="T10" s="112">
        <v>623.70000000000005</v>
      </c>
      <c r="U10" s="112">
        <v>534.1</v>
      </c>
      <c r="V10" s="112">
        <v>483.7</v>
      </c>
      <c r="W10" s="261">
        <f>V10</f>
        <v>483.7</v>
      </c>
      <c r="X10" s="32">
        <f>V10*1.01</f>
        <v>488.53699999999998</v>
      </c>
      <c r="Y10" s="32">
        <f>X10*1.01</f>
        <v>493.42237</v>
      </c>
      <c r="Z10" s="32">
        <f>Y10*1.01</f>
        <v>498.35659370000002</v>
      </c>
      <c r="AA10" s="32">
        <f>Z10*1.01</f>
        <v>503.340159637</v>
      </c>
      <c r="AB10" s="261">
        <f>AA10</f>
        <v>503.340159637</v>
      </c>
      <c r="AC10" s="32">
        <f>AA10*1.01</f>
        <v>508.37356123337003</v>
      </c>
      <c r="AD10" s="32">
        <f>AC10*1.01</f>
        <v>513.45729684570369</v>
      </c>
      <c r="AE10" s="32">
        <f>AD10*1.01</f>
        <v>518.59186981416076</v>
      </c>
      <c r="AF10" s="32">
        <f>AE10*1.01</f>
        <v>523.77778851230232</v>
      </c>
      <c r="AG10" s="261">
        <f>AF10</f>
        <v>523.77778851230232</v>
      </c>
      <c r="AH10" s="32">
        <f>AF10*1.01</f>
        <v>529.01556639742535</v>
      </c>
      <c r="AI10" s="32">
        <f>AH10*1.01</f>
        <v>534.30572206139959</v>
      </c>
      <c r="AJ10" s="32">
        <f>AI10*1.01</f>
        <v>539.64877928201361</v>
      </c>
      <c r="AK10" s="32">
        <f>AJ10*1.01</f>
        <v>545.04526707483376</v>
      </c>
      <c r="AL10" s="261">
        <f>AK10</f>
        <v>545.04526707483376</v>
      </c>
      <c r="AM10" s="32">
        <f>AK10*1.01</f>
        <v>550.49571974558205</v>
      </c>
      <c r="AN10" s="32">
        <f>AM10*1.01</f>
        <v>556.00067694303789</v>
      </c>
      <c r="AO10" s="32">
        <f>AN10*1.01</f>
        <v>561.56068371246829</v>
      </c>
      <c r="AP10" s="32">
        <f>AO10*1.01</f>
        <v>567.17629054959298</v>
      </c>
      <c r="AQ10" s="261">
        <f>AP10</f>
        <v>567.17629054959298</v>
      </c>
      <c r="AR10" s="32">
        <f>AP10*1.01</f>
        <v>572.84805345508892</v>
      </c>
      <c r="AS10" s="32">
        <f>AR10*1.01</f>
        <v>578.57653398963976</v>
      </c>
      <c r="AT10" s="32">
        <f>AS10*1.01</f>
        <v>584.3622993295362</v>
      </c>
      <c r="AU10" s="32">
        <f>AT10*1.01</f>
        <v>590.20592232283161</v>
      </c>
      <c r="AV10" s="261">
        <f>AU10</f>
        <v>590.20592232283161</v>
      </c>
    </row>
    <row r="11" spans="1:48" ht="14.55" customHeight="1" outlineLevel="1" x14ac:dyDescent="0.3">
      <c r="A11" s="161"/>
      <c r="B11" s="205" t="s">
        <v>217</v>
      </c>
      <c r="C11" s="206"/>
      <c r="D11" s="21">
        <f t="shared" ref="D11:AV11" si="0">SUM(D6:D10)</f>
        <v>7676.2999999999993</v>
      </c>
      <c r="E11" s="21">
        <f t="shared" si="0"/>
        <v>4952.3</v>
      </c>
      <c r="F11" s="21">
        <f t="shared" si="0"/>
        <v>7734.9000000000024</v>
      </c>
      <c r="G11" s="21">
        <f t="shared" si="0"/>
        <v>5653.7000000000016</v>
      </c>
      <c r="H11" s="22">
        <f t="shared" si="0"/>
        <v>5653.7000000000016</v>
      </c>
      <c r="I11" s="21">
        <f t="shared" si="0"/>
        <v>5899.7000000000035</v>
      </c>
      <c r="J11" s="21">
        <f t="shared" si="0"/>
        <v>5749.9000000000033</v>
      </c>
      <c r="K11" s="21">
        <f t="shared" si="0"/>
        <v>7581.0000000000045</v>
      </c>
      <c r="L11" s="116">
        <f t="shared" si="0"/>
        <v>7806.4000000000051</v>
      </c>
      <c r="M11" s="22">
        <f t="shared" si="0"/>
        <v>7806.4000000000051</v>
      </c>
      <c r="N11" s="21">
        <f t="shared" si="0"/>
        <v>8357.4000000000106</v>
      </c>
      <c r="O11" s="21">
        <f t="shared" si="0"/>
        <v>6979.4000000000106</v>
      </c>
      <c r="P11" s="21">
        <f t="shared" si="0"/>
        <v>7931.7000000000098</v>
      </c>
      <c r="Q11" s="116">
        <f t="shared" si="0"/>
        <v>9756.4000000000087</v>
      </c>
      <c r="R11" s="22">
        <f t="shared" si="0"/>
        <v>9756.4000000000087</v>
      </c>
      <c r="S11" s="21">
        <f t="shared" si="0"/>
        <v>7255.1000000000076</v>
      </c>
      <c r="T11" s="21">
        <f t="shared" si="0"/>
        <v>7541.1000000000076</v>
      </c>
      <c r="U11" s="21">
        <f t="shared" si="0"/>
        <v>7067.5000000000073</v>
      </c>
      <c r="V11" s="116">
        <f t="shared" si="0"/>
        <v>7018.6000000000067</v>
      </c>
      <c r="W11" s="22">
        <f t="shared" si="0"/>
        <v>7018.6000000000067</v>
      </c>
      <c r="X11" s="21">
        <f t="shared" si="0"/>
        <v>7436.0718561911672</v>
      </c>
      <c r="Y11" s="21">
        <f t="shared" si="0"/>
        <v>7249.0211395871438</v>
      </c>
      <c r="Z11" s="21">
        <f t="shared" si="0"/>
        <v>7711.3181303226111</v>
      </c>
      <c r="AA11" s="21">
        <f t="shared" si="0"/>
        <v>7889.6547410178264</v>
      </c>
      <c r="AB11" s="22">
        <f t="shared" si="0"/>
        <v>7889.6547410178264</v>
      </c>
      <c r="AC11" s="21">
        <f t="shared" si="0"/>
        <v>8678.9124161686887</v>
      </c>
      <c r="AD11" s="21">
        <f t="shared" si="0"/>
        <v>8605.0224987785623</v>
      </c>
      <c r="AE11" s="21">
        <f t="shared" si="0"/>
        <v>9092.0041376269637</v>
      </c>
      <c r="AF11" s="21">
        <f t="shared" si="0"/>
        <v>9379.9486721729227</v>
      </c>
      <c r="AG11" s="22">
        <f t="shared" si="0"/>
        <v>9379.9486721729227</v>
      </c>
      <c r="AH11" s="21">
        <f t="shared" si="0"/>
        <v>10286.103437942971</v>
      </c>
      <c r="AI11" s="21">
        <f t="shared" si="0"/>
        <v>10295.979897124884</v>
      </c>
      <c r="AJ11" s="21">
        <f t="shared" si="0"/>
        <v>11294.654286037365</v>
      </c>
      <c r="AK11" s="21">
        <f t="shared" si="0"/>
        <v>6492.1565769897243</v>
      </c>
      <c r="AL11" s="22">
        <f t="shared" si="0"/>
        <v>6492.1565769897243</v>
      </c>
      <c r="AM11" s="21">
        <f t="shared" si="0"/>
        <v>7277.9681086456185</v>
      </c>
      <c r="AN11" s="21">
        <f t="shared" si="0"/>
        <v>7118.7156925373984</v>
      </c>
      <c r="AO11" s="21">
        <f t="shared" si="0"/>
        <v>7846.5128167301591</v>
      </c>
      <c r="AP11" s="21">
        <f t="shared" si="0"/>
        <v>8172.3400062853925</v>
      </c>
      <c r="AQ11" s="22">
        <f t="shared" si="0"/>
        <v>8172.3400062853925</v>
      </c>
      <c r="AR11" s="21">
        <f t="shared" si="0"/>
        <v>9103.6514492036604</v>
      </c>
      <c r="AS11" s="21">
        <f t="shared" si="0"/>
        <v>9029.9754946193461</v>
      </c>
      <c r="AT11" s="21">
        <f t="shared" si="0"/>
        <v>9868.3859007281608</v>
      </c>
      <c r="AU11" s="21">
        <f t="shared" si="0"/>
        <v>10287.935354931302</v>
      </c>
      <c r="AV11" s="22">
        <f t="shared" si="0"/>
        <v>10287.935354931302</v>
      </c>
    </row>
    <row r="12" spans="1:48" ht="14.55" customHeight="1" outlineLevel="1" x14ac:dyDescent="0.3">
      <c r="A12" s="161"/>
      <c r="B12" s="200" t="s">
        <v>218</v>
      </c>
      <c r="C12" s="207"/>
      <c r="D12" s="16">
        <v>265</v>
      </c>
      <c r="E12" s="16">
        <v>251.9</v>
      </c>
      <c r="F12" s="16">
        <v>222.6</v>
      </c>
      <c r="G12" s="16">
        <v>220</v>
      </c>
      <c r="H12" s="17">
        <f t="shared" ref="H12:H18" si="1">+G12</f>
        <v>220</v>
      </c>
      <c r="I12" s="16">
        <v>199.8</v>
      </c>
      <c r="J12" s="16">
        <v>198.8</v>
      </c>
      <c r="K12" s="16">
        <v>223.4</v>
      </c>
      <c r="L12" s="101">
        <v>206.1</v>
      </c>
      <c r="M12" s="17">
        <f>+L12</f>
        <v>206.1</v>
      </c>
      <c r="N12" s="16">
        <v>190.9</v>
      </c>
      <c r="O12" s="16">
        <v>284.8</v>
      </c>
      <c r="P12" s="16">
        <v>285.89999999999998</v>
      </c>
      <c r="Q12" s="101">
        <v>281.7</v>
      </c>
      <c r="R12" s="17">
        <f>+Q12</f>
        <v>281.7</v>
      </c>
      <c r="S12" s="16">
        <v>299.60000000000002</v>
      </c>
      <c r="T12" s="16">
        <v>285.60000000000002</v>
      </c>
      <c r="U12" s="16">
        <v>292.5</v>
      </c>
      <c r="V12" s="101">
        <v>279.10000000000002</v>
      </c>
      <c r="W12" s="17">
        <f>+V12</f>
        <v>279.10000000000002</v>
      </c>
      <c r="X12" s="16">
        <f>+X53*X42*(1-X54)</f>
        <v>309.47036917810476</v>
      </c>
      <c r="Y12" s="16">
        <f>+Y53*Y42*(1-Y54)</f>
        <v>309.55787976924427</v>
      </c>
      <c r="Z12" s="16">
        <f>+Z53*Z42*(1-Z54)</f>
        <v>320.92069873459377</v>
      </c>
      <c r="AA12" s="16">
        <f>+AA53*AA42*(1-AA54)</f>
        <v>324.55542377836758</v>
      </c>
      <c r="AB12" s="17">
        <f>+AA12</f>
        <v>324.55542377836758</v>
      </c>
      <c r="AC12" s="16">
        <f>+AC53*AC42*(1-AC54)</f>
        <v>335.70355865022316</v>
      </c>
      <c r="AD12" s="16">
        <f>+AD53*AD42*(1-AD54)</f>
        <v>336.25259496509074</v>
      </c>
      <c r="AE12" s="16">
        <f>+AE53*AE42*(1-AE54)</f>
        <v>344.50250840872837</v>
      </c>
      <c r="AF12" s="16">
        <f>+AF53*AF42*(1-AF54)</f>
        <v>349.86159109792777</v>
      </c>
      <c r="AG12" s="17">
        <f>+AF12</f>
        <v>349.86159109792777</v>
      </c>
      <c r="AH12" s="16">
        <f>+AH53*AH42*(1-AH54)</f>
        <v>362.87797483013395</v>
      </c>
      <c r="AI12" s="16">
        <f>+AI53*AI42*(1-AI54)</f>
        <v>363.29406881708559</v>
      </c>
      <c r="AJ12" s="16">
        <f>+AJ53*AJ42*(1-AJ54)</f>
        <v>376.29383269405315</v>
      </c>
      <c r="AK12" s="16">
        <f>+AK53*AK42*(1-AK54)</f>
        <v>323.76793535068208</v>
      </c>
      <c r="AL12" s="17">
        <f>+AK12</f>
        <v>323.76793535068208</v>
      </c>
      <c r="AM12" s="16">
        <f>+AM53*AM42*(1-AM54)</f>
        <v>336.11933605082407</v>
      </c>
      <c r="AN12" s="16">
        <f>+AN53*AN42*(1-AN54)</f>
        <v>334.61918291841585</v>
      </c>
      <c r="AO12" s="16">
        <f>+AO53*AO42*(1-AO54)</f>
        <v>344.71423104310929</v>
      </c>
      <c r="AP12" s="16">
        <f>+AP53*AP42*(1-AP54)</f>
        <v>350.40135268714835</v>
      </c>
      <c r="AQ12" s="17">
        <f>+AP12</f>
        <v>350.40135268714835</v>
      </c>
      <c r="AR12" s="16">
        <f>+AR53*AR42*(1-AR54)</f>
        <v>364.59193967463409</v>
      </c>
      <c r="AS12" s="16">
        <f>+AS53*AS42*(1-AS54)</f>
        <v>363.94189313931298</v>
      </c>
      <c r="AT12" s="16">
        <f>+AT53*AT42*(1-AT54)</f>
        <v>375.31750666292402</v>
      </c>
      <c r="AU12" s="16">
        <f>+AU53*AU42*(1-AU54)</f>
        <v>382.12506051541317</v>
      </c>
      <c r="AV12" s="17">
        <f>+AU12</f>
        <v>382.12506051541317</v>
      </c>
    </row>
    <row r="13" spans="1:48" ht="14.55" customHeight="1" outlineLevel="1" x14ac:dyDescent="0.3">
      <c r="A13" s="161"/>
      <c r="B13" s="200" t="s">
        <v>219</v>
      </c>
      <c r="C13" s="207"/>
      <c r="D13" s="16">
        <v>336.1</v>
      </c>
      <c r="E13" s="16">
        <v>309.3</v>
      </c>
      <c r="F13" s="16">
        <v>340.3</v>
      </c>
      <c r="G13" s="16">
        <v>396</v>
      </c>
      <c r="H13" s="17">
        <f t="shared" si="1"/>
        <v>396</v>
      </c>
      <c r="I13" s="16">
        <v>411.3</v>
      </c>
      <c r="J13" s="16">
        <v>420.9</v>
      </c>
      <c r="K13" s="16">
        <v>426.1</v>
      </c>
      <c r="L13" s="101">
        <v>478.7</v>
      </c>
      <c r="M13" s="17">
        <f>+L13</f>
        <v>478.7</v>
      </c>
      <c r="N13" s="16">
        <v>496</v>
      </c>
      <c r="O13" s="16">
        <v>499.4</v>
      </c>
      <c r="P13" s="16">
        <v>535.29999999999995</v>
      </c>
      <c r="Q13" s="101">
        <v>268.5</v>
      </c>
      <c r="R13" s="17">
        <f>+Q13</f>
        <v>268.5</v>
      </c>
      <c r="S13" s="16">
        <v>251.9</v>
      </c>
      <c r="T13" s="16">
        <v>270.8</v>
      </c>
      <c r="U13" s="16">
        <v>302.7</v>
      </c>
      <c r="V13" s="101">
        <v>311.2</v>
      </c>
      <c r="W13" s="17">
        <f>+V13</f>
        <v>311.2</v>
      </c>
      <c r="X13" s="33">
        <f>V13</f>
        <v>311.2</v>
      </c>
      <c r="Y13" s="33">
        <f>X13</f>
        <v>311.2</v>
      </c>
      <c r="Z13" s="33">
        <f>Y13</f>
        <v>311.2</v>
      </c>
      <c r="AA13" s="33">
        <f>Z13</f>
        <v>311.2</v>
      </c>
      <c r="AB13" s="17">
        <f>+AA13</f>
        <v>311.2</v>
      </c>
      <c r="AC13" s="33">
        <f>AA13</f>
        <v>311.2</v>
      </c>
      <c r="AD13" s="33">
        <f>AC13</f>
        <v>311.2</v>
      </c>
      <c r="AE13" s="33">
        <f>AD13</f>
        <v>311.2</v>
      </c>
      <c r="AF13" s="33">
        <f>AE13</f>
        <v>311.2</v>
      </c>
      <c r="AG13" s="17">
        <f>+AF13</f>
        <v>311.2</v>
      </c>
      <c r="AH13" s="33">
        <f>AF13</f>
        <v>311.2</v>
      </c>
      <c r="AI13" s="33">
        <f>AH13</f>
        <v>311.2</v>
      </c>
      <c r="AJ13" s="33">
        <f>AI13</f>
        <v>311.2</v>
      </c>
      <c r="AK13" s="33">
        <f>AJ13</f>
        <v>311.2</v>
      </c>
      <c r="AL13" s="17">
        <f>+AK13</f>
        <v>311.2</v>
      </c>
      <c r="AM13" s="33">
        <f>AK13</f>
        <v>311.2</v>
      </c>
      <c r="AN13" s="33">
        <f>AM13</f>
        <v>311.2</v>
      </c>
      <c r="AO13" s="33">
        <f>AN13</f>
        <v>311.2</v>
      </c>
      <c r="AP13" s="33">
        <f>AO13</f>
        <v>311.2</v>
      </c>
      <c r="AQ13" s="17">
        <f>+AP13</f>
        <v>311.2</v>
      </c>
      <c r="AR13" s="33">
        <f>AP13</f>
        <v>311.2</v>
      </c>
      <c r="AS13" s="33">
        <f>AR13</f>
        <v>311.2</v>
      </c>
      <c r="AT13" s="33">
        <f>AS13</f>
        <v>311.2</v>
      </c>
      <c r="AU13" s="33">
        <f>AT13</f>
        <v>311.2</v>
      </c>
      <c r="AV13" s="17">
        <f>+AU13</f>
        <v>311.2</v>
      </c>
    </row>
    <row r="14" spans="1:48" s="8" customFormat="1" outlineLevel="1" x14ac:dyDescent="0.3">
      <c r="A14" s="161"/>
      <c r="B14" s="200" t="s">
        <v>220</v>
      </c>
      <c r="C14" s="206"/>
      <c r="D14" s="16">
        <v>6039.3</v>
      </c>
      <c r="E14" s="16">
        <v>6135.5</v>
      </c>
      <c r="F14" s="16">
        <v>6187.8</v>
      </c>
      <c r="G14" s="16">
        <v>6431.7</v>
      </c>
      <c r="H14" s="17">
        <f t="shared" si="1"/>
        <v>6431.7</v>
      </c>
      <c r="I14" s="16">
        <v>6390.9</v>
      </c>
      <c r="J14" s="16">
        <v>6387</v>
      </c>
      <c r="K14" s="16">
        <v>6295.6</v>
      </c>
      <c r="L14" s="101">
        <v>6241.4</v>
      </c>
      <c r="M14" s="17">
        <f>+L14</f>
        <v>6241.4</v>
      </c>
      <c r="N14" s="16">
        <v>6177.9</v>
      </c>
      <c r="O14" s="16">
        <v>6123.1</v>
      </c>
      <c r="P14" s="16">
        <v>6151.4</v>
      </c>
      <c r="Q14" s="101">
        <v>6369.5</v>
      </c>
      <c r="R14" s="17">
        <f>+Q14</f>
        <v>6369.5</v>
      </c>
      <c r="S14" s="16">
        <v>6398</v>
      </c>
      <c r="T14" s="16">
        <v>6460.8</v>
      </c>
      <c r="U14" s="101">
        <v>6408.2</v>
      </c>
      <c r="V14" s="101">
        <v>6560.5</v>
      </c>
      <c r="W14" s="17">
        <f>+V14</f>
        <v>6560.5</v>
      </c>
      <c r="X14" s="16">
        <f>+V14-'CFS (Before Changes) '!X25-'CFS (Before Changes) '!X7</f>
        <v>6776.8894230115748</v>
      </c>
      <c r="Y14" s="16">
        <f>+X14-'CFS (Before Changes) '!Y25-'CFS (Before Changes) '!Y7</f>
        <v>6962.9311753672</v>
      </c>
      <c r="Z14" s="16">
        <f>+Y14-'CFS (Before Changes) '!Z25-'CFS (Before Changes) '!Z7</f>
        <v>7196.6658071546399</v>
      </c>
      <c r="AA14" s="16">
        <f>+Z14-'CFS (Before Changes) '!AA25-'CFS (Before Changes) '!AA7</f>
        <v>7441.2675256017483</v>
      </c>
      <c r="AB14" s="17">
        <f>+AA14</f>
        <v>7441.2675256017483</v>
      </c>
      <c r="AC14" s="16">
        <f>+AA14-'CFS (Before Changes) '!AC25-'CFS (Before Changes) '!AC7</f>
        <v>7681.3958890029598</v>
      </c>
      <c r="AD14" s="16">
        <f>+AC14-'CFS (Before Changes) '!AD25-'CFS (Before Changes) '!AD7</f>
        <v>7871.3337816296153</v>
      </c>
      <c r="AE14" s="16">
        <f>+AD14-'CFS (Before Changes) '!AE25-'CFS (Before Changes) '!AE7</f>
        <v>8112.439119622225</v>
      </c>
      <c r="AF14" s="16">
        <f>+AE14-'CFS (Before Changes) '!AF25-'CFS (Before Changes) '!AF7</f>
        <v>8364.0191955967839</v>
      </c>
      <c r="AG14" s="17">
        <f>+AF14</f>
        <v>8364.0191955967839</v>
      </c>
      <c r="AH14" s="16">
        <f>+AF14-'CFS (Before Changes) '!AH25-'CFS (Before Changes) '!AH7</f>
        <v>8550.9861216135341</v>
      </c>
      <c r="AI14" s="16">
        <f>+AH14-'CFS (Before Changes) '!AI25-'CFS (Before Changes) '!AI7</f>
        <v>8689.7459354177427</v>
      </c>
      <c r="AJ14" s="16">
        <f>+AI14-'CFS (Before Changes) '!AJ25-'CFS (Before Changes) '!AJ7</f>
        <v>8882.4108187744205</v>
      </c>
      <c r="AK14" s="16">
        <f>+AJ14-'CFS (Before Changes) '!AK25-'CFS (Before Changes) '!AK7</f>
        <v>9089.325081765739</v>
      </c>
      <c r="AL14" s="17">
        <f>+AK14</f>
        <v>9089.325081765739</v>
      </c>
      <c r="AM14" s="16">
        <f>+AK14-'CFS (Before Changes) '!AM25-'CFS (Before Changes) '!AM7</f>
        <v>9301.7076276152166</v>
      </c>
      <c r="AN14" s="16">
        <f>+AM14-'CFS (Before Changes) '!AN25-'CFS (Before Changes) '!AN7</f>
        <v>9456.8487823918404</v>
      </c>
      <c r="AO14" s="16">
        <f>+AN14-'CFS (Before Changes) '!AO25-'CFS (Before Changes) '!AO7</f>
        <v>9667.859293676569</v>
      </c>
      <c r="AP14" s="16">
        <f>+AO14-'CFS (Before Changes) '!AP25-'CFS (Before Changes) '!AP7</f>
        <v>9891.72405729811</v>
      </c>
      <c r="AQ14" s="17">
        <f>+AP14</f>
        <v>9891.72405729811</v>
      </c>
      <c r="AR14" s="16">
        <f>+AP14-'CFS (Before Changes) '!AR25-'CFS (Before Changes) '!AR7</f>
        <v>10105.436173273552</v>
      </c>
      <c r="AS14" s="16">
        <f>+AR14-'CFS (Before Changes) '!AS25-'CFS (Before Changes) '!AS7</f>
        <v>10258.321758248399</v>
      </c>
      <c r="AT14" s="16">
        <f>+AS14-'CFS (Before Changes) '!AT25-'CFS (Before Changes) '!AT7</f>
        <v>10471.190469613859</v>
      </c>
      <c r="AU14" s="16">
        <f>+AT14-'CFS (Before Changes) '!AU25-'CFS (Before Changes) '!AU7</f>
        <v>10698.373116697563</v>
      </c>
      <c r="AV14" s="17">
        <f>+AU14</f>
        <v>10698.373116697563</v>
      </c>
    </row>
    <row r="15" spans="1:48" s="8" customFormat="1" outlineLevel="1" x14ac:dyDescent="0.3">
      <c r="A15" s="161"/>
      <c r="B15" s="200" t="s">
        <v>221</v>
      </c>
      <c r="C15" s="206"/>
      <c r="D15" s="16">
        <v>0</v>
      </c>
      <c r="E15" s="16">
        <v>0</v>
      </c>
      <c r="F15" s="16">
        <v>0</v>
      </c>
      <c r="G15" s="16">
        <v>0</v>
      </c>
      <c r="H15" s="17">
        <f t="shared" si="1"/>
        <v>0</v>
      </c>
      <c r="I15" s="16">
        <v>8358.5</v>
      </c>
      <c r="J15" s="16">
        <v>8260.7999999999993</v>
      </c>
      <c r="K15" s="16">
        <v>8214</v>
      </c>
      <c r="L15" s="101">
        <v>8134.1</v>
      </c>
      <c r="M15" s="17">
        <f>L15</f>
        <v>8134.1</v>
      </c>
      <c r="N15" s="16">
        <v>8199.4</v>
      </c>
      <c r="O15" s="16">
        <v>8036.8</v>
      </c>
      <c r="P15" s="16">
        <v>8065.2</v>
      </c>
      <c r="Q15" s="101">
        <v>8236</v>
      </c>
      <c r="R15" s="17">
        <f>Q15</f>
        <v>8236</v>
      </c>
      <c r="S15" s="16">
        <v>8203.4</v>
      </c>
      <c r="T15" s="16">
        <v>8170.2</v>
      </c>
      <c r="U15" s="101">
        <v>8037.1</v>
      </c>
      <c r="V15" s="101">
        <v>8015.6</v>
      </c>
      <c r="W15" s="17">
        <f>V15</f>
        <v>8015.6</v>
      </c>
      <c r="X15" s="33">
        <f>V15*0.996</f>
        <v>7983.5376000000006</v>
      </c>
      <c r="Y15" s="33">
        <f>X15*0.996</f>
        <v>7951.6034496000002</v>
      </c>
      <c r="Z15" s="33">
        <f>Y15*0.996</f>
        <v>7919.7970358016</v>
      </c>
      <c r="AA15" s="33">
        <f>Z15*0.996</f>
        <v>7888.1178476583937</v>
      </c>
      <c r="AB15" s="17">
        <f>AA15</f>
        <v>7888.1178476583937</v>
      </c>
      <c r="AC15" s="33">
        <f>AA15*0.996</f>
        <v>7856.5653762677603</v>
      </c>
      <c r="AD15" s="33">
        <f>AC15*0.996</f>
        <v>7825.1391147626891</v>
      </c>
      <c r="AE15" s="33">
        <f>AD15*0.996</f>
        <v>7793.8385583036379</v>
      </c>
      <c r="AF15" s="33">
        <f>AE15*0.996</f>
        <v>7762.6632040704235</v>
      </c>
      <c r="AG15" s="17">
        <f>AF15</f>
        <v>7762.6632040704235</v>
      </c>
      <c r="AH15" s="33">
        <f>AF15*0.996</f>
        <v>7731.6125512541421</v>
      </c>
      <c r="AI15" s="33">
        <f>AH15*0.996</f>
        <v>7700.6861010491257</v>
      </c>
      <c r="AJ15" s="33">
        <f>AI15*0.996</f>
        <v>7669.8833566449293</v>
      </c>
      <c r="AK15" s="33">
        <f>AJ15*0.996</f>
        <v>7639.2038232183495</v>
      </c>
      <c r="AL15" s="17">
        <f>AK15</f>
        <v>7639.2038232183495</v>
      </c>
      <c r="AM15" s="33">
        <f>AK15*0.996</f>
        <v>7608.6470079254759</v>
      </c>
      <c r="AN15" s="33">
        <f>AM15*0.996</f>
        <v>7578.2124198937736</v>
      </c>
      <c r="AO15" s="33">
        <f>AN15*0.996</f>
        <v>7547.8995702141983</v>
      </c>
      <c r="AP15" s="33">
        <f>AO15*0.996</f>
        <v>7517.7079719333415</v>
      </c>
      <c r="AQ15" s="17">
        <f>AP15</f>
        <v>7517.7079719333415</v>
      </c>
      <c r="AR15" s="33">
        <f>AP15*0.996</f>
        <v>7487.6371400456082</v>
      </c>
      <c r="AS15" s="33">
        <f>AR15*0.996</f>
        <v>7457.6865914854261</v>
      </c>
      <c r="AT15" s="33">
        <f>AS15*0.996</f>
        <v>7427.855845119484</v>
      </c>
      <c r="AU15" s="33">
        <f>AT15*0.996</f>
        <v>7398.1444217390062</v>
      </c>
      <c r="AV15" s="17">
        <f>AU15</f>
        <v>7398.1444217390062</v>
      </c>
    </row>
    <row r="16" spans="1:48" s="8" customFormat="1" outlineLevel="1" x14ac:dyDescent="0.3">
      <c r="A16" s="161"/>
      <c r="B16" s="200" t="s">
        <v>222</v>
      </c>
      <c r="C16" s="206"/>
      <c r="D16" s="16">
        <v>650</v>
      </c>
      <c r="E16" s="16">
        <v>1006.6</v>
      </c>
      <c r="F16" s="16">
        <v>1533</v>
      </c>
      <c r="G16" s="16">
        <v>1765.8</v>
      </c>
      <c r="H16" s="17">
        <f t="shared" si="1"/>
        <v>1765.8</v>
      </c>
      <c r="I16" s="16">
        <v>1731.4</v>
      </c>
      <c r="J16" s="16">
        <v>1709.7</v>
      </c>
      <c r="K16" s="16">
        <v>1740</v>
      </c>
      <c r="L16" s="101">
        <v>1789.9</v>
      </c>
      <c r="M16" s="17">
        <f>+L16</f>
        <v>1789.9</v>
      </c>
      <c r="N16" s="16">
        <v>1792.4</v>
      </c>
      <c r="O16" s="16">
        <v>1770</v>
      </c>
      <c r="P16" s="16">
        <v>1851</v>
      </c>
      <c r="Q16" s="101">
        <v>1874.8</v>
      </c>
      <c r="R16" s="17">
        <f>+Q16</f>
        <v>1874.8</v>
      </c>
      <c r="S16" s="16">
        <v>1859.7</v>
      </c>
      <c r="T16" s="16">
        <v>1809.4</v>
      </c>
      <c r="U16" s="101">
        <v>1752.9</v>
      </c>
      <c r="V16" s="101">
        <v>1799.7</v>
      </c>
      <c r="W16" s="169">
        <f>+V16</f>
        <v>1799.7</v>
      </c>
      <c r="X16" s="101">
        <f>X55*(X27+X33)</f>
        <v>1854.1357676639595</v>
      </c>
      <c r="Y16" s="101">
        <f>Y55*(Y27+Y33)</f>
        <v>1782.1684146999512</v>
      </c>
      <c r="Z16" s="101">
        <f>Z55*(Z27+Z33)</f>
        <v>1771.7556232533093</v>
      </c>
      <c r="AA16" s="101">
        <f>AA55*(AA27+AA33)</f>
        <v>1769.5874673304418</v>
      </c>
      <c r="AB16" s="169">
        <f>+AA16</f>
        <v>1769.5874673304418</v>
      </c>
      <c r="AC16" s="101">
        <f>AC55*(AC27+AC33)</f>
        <v>1873.0077881027214</v>
      </c>
      <c r="AD16" s="101">
        <f>AD55*(AD27+AD33)</f>
        <v>1790.9207316040574</v>
      </c>
      <c r="AE16" s="101">
        <f>AE55*(AE27+AE33)</f>
        <v>1780.4579889965057</v>
      </c>
      <c r="AF16" s="101">
        <f>AF55*(AF27+AF33)</f>
        <v>1770.1047595292312</v>
      </c>
      <c r="AG16" s="169">
        <f>+AF16</f>
        <v>1770.1047595292312</v>
      </c>
      <c r="AH16" s="101">
        <f>AH55*(AH27+AH33)</f>
        <v>1890.5151782618418</v>
      </c>
      <c r="AI16" s="101">
        <f>AI55*(AI27+AI33)</f>
        <v>1800.8335728725806</v>
      </c>
      <c r="AJ16" s="101">
        <f>AJ55*(AJ27+AJ33)</f>
        <v>1789.5997973163708</v>
      </c>
      <c r="AK16" s="101">
        <f>AK55*(AK27+AK33)</f>
        <v>1778.3099230138571</v>
      </c>
      <c r="AL16" s="169">
        <f>+AK16</f>
        <v>1778.3099230138571</v>
      </c>
      <c r="AM16" s="101">
        <f>AM55*(AM27+AM33)</f>
        <v>1910.6520617541839</v>
      </c>
      <c r="AN16" s="101">
        <f>AN55*(AN27+AN33)</f>
        <v>1813.8041804663651</v>
      </c>
      <c r="AO16" s="101">
        <f>AO55*(AO27+AO33)</f>
        <v>1802.1876882343788</v>
      </c>
      <c r="AP16" s="101">
        <f>AP55*(AP27+AP33)</f>
        <v>1790.6243822122271</v>
      </c>
      <c r="AQ16" s="169">
        <f>+AP16</f>
        <v>1790.6243822122271</v>
      </c>
      <c r="AR16" s="101">
        <f>AR55*(AR27+AR33)</f>
        <v>1934.8080691777147</v>
      </c>
      <c r="AS16" s="101">
        <f>AS55*(AS27+AS33)</f>
        <v>1830.4981697273856</v>
      </c>
      <c r="AT16" s="101">
        <f>AT55*(AT27+AT33)</f>
        <v>1818.5706164393935</v>
      </c>
      <c r="AU16" s="101">
        <f>AU55*(AU27+AU33)</f>
        <v>1806.726707186674</v>
      </c>
      <c r="AV16" s="17">
        <f>+AU16</f>
        <v>1806.726707186674</v>
      </c>
    </row>
    <row r="17" spans="1:48" s="8" customFormat="1" outlineLevel="1" x14ac:dyDescent="0.3">
      <c r="A17" s="161"/>
      <c r="B17" s="200" t="s">
        <v>223</v>
      </c>
      <c r="C17" s="206"/>
      <c r="D17" s="16">
        <v>472.7</v>
      </c>
      <c r="E17" s="16">
        <v>464.5</v>
      </c>
      <c r="F17" s="16">
        <v>458</v>
      </c>
      <c r="G17" s="16">
        <v>479.6</v>
      </c>
      <c r="H17" s="17">
        <f t="shared" si="1"/>
        <v>479.6</v>
      </c>
      <c r="I17" s="16">
        <v>484.7</v>
      </c>
      <c r="J17" s="16">
        <v>580.1</v>
      </c>
      <c r="K17" s="16">
        <v>550.79999999999995</v>
      </c>
      <c r="L17" s="101">
        <v>568.6</v>
      </c>
      <c r="M17" s="17">
        <f>+L17</f>
        <v>568.6</v>
      </c>
      <c r="N17" s="16">
        <v>541.1</v>
      </c>
      <c r="O17" s="16">
        <v>574.9</v>
      </c>
      <c r="P17" s="16">
        <v>586.29999999999995</v>
      </c>
      <c r="Q17" s="101">
        <v>578.5</v>
      </c>
      <c r="R17" s="17">
        <f>+Q17</f>
        <v>578.5</v>
      </c>
      <c r="S17" s="16">
        <v>588</v>
      </c>
      <c r="T17" s="16">
        <v>582.79999999999995</v>
      </c>
      <c r="U17" s="101">
        <v>640.70000000000005</v>
      </c>
      <c r="V17" s="101">
        <v>554.20000000000005</v>
      </c>
      <c r="W17" s="17">
        <f>+V17</f>
        <v>554.20000000000005</v>
      </c>
      <c r="X17" s="33">
        <f>+V17*(X42/V42)</f>
        <v>567.82316922615905</v>
      </c>
      <c r="Y17" s="33">
        <f>+X17*(Y42/X42)</f>
        <v>565.47298557124145</v>
      </c>
      <c r="Z17" s="33">
        <f>+Y17*(Z42/Y42)</f>
        <v>578.70180588405401</v>
      </c>
      <c r="AA17" s="33">
        <f>+Z17*(AA42/Z42)</f>
        <v>586.44191537849417</v>
      </c>
      <c r="AB17" s="17">
        <f>+AA17</f>
        <v>586.44191537849417</v>
      </c>
      <c r="AC17" s="33">
        <f>+AA17*(AC42/AA42)</f>
        <v>608.7412533904635</v>
      </c>
      <c r="AD17" s="33">
        <f>+AC17*(AD42/AC42)</f>
        <v>608.63745539728893</v>
      </c>
      <c r="AE17" s="33">
        <f>+AD17*(AE42/AD42)</f>
        <v>622.52087110879916</v>
      </c>
      <c r="AF17" s="33">
        <f>+AE17*(AF42/AE42)</f>
        <v>632.55228773354554</v>
      </c>
      <c r="AG17" s="17">
        <f>+AF17</f>
        <v>632.55228773354554</v>
      </c>
      <c r="AH17" s="33">
        <f>+AF17*(AH42/AF42)</f>
        <v>656.58206960156667</v>
      </c>
      <c r="AI17" s="33">
        <f>+AH17*(AI42/AH42)</f>
        <v>657.03788112325685</v>
      </c>
      <c r="AJ17" s="33">
        <f>+AI17*(AJ42/AI42)</f>
        <v>680.41670599762972</v>
      </c>
      <c r="AK17" s="33">
        <f>+AJ17*(AK42/AJ42)</f>
        <v>585.53685789274755</v>
      </c>
      <c r="AL17" s="17">
        <f>+AK17</f>
        <v>585.53685789274755</v>
      </c>
      <c r="AM17" s="33">
        <f>+AK17*(AM42/AK42)</f>
        <v>607.92264951749996</v>
      </c>
      <c r="AN17" s="33">
        <f>+AM17*(AN42/AM42)</f>
        <v>605.15181975016549</v>
      </c>
      <c r="AO17" s="33">
        <f>+AN17*(AO42/AN42)</f>
        <v>623.40189328366682</v>
      </c>
      <c r="AP17" s="33">
        <f>+AO17*(AP42/AO42)</f>
        <v>633.70927263047975</v>
      </c>
      <c r="AQ17" s="17">
        <f>+AP17</f>
        <v>633.70927263047975</v>
      </c>
      <c r="AR17" s="33">
        <f>+AP17*(AR42/AP42)</f>
        <v>659.37482538763584</v>
      </c>
      <c r="AS17" s="33">
        <f>+AR17*(AS42/AR42)</f>
        <v>658.18812367298847</v>
      </c>
      <c r="AT17" s="33">
        <f>+AS17*(AT42/AS42)</f>
        <v>678.76264800196441</v>
      </c>
      <c r="AU17" s="33">
        <f>+AT17*(AU42/AT42)</f>
        <v>691.07819609294347</v>
      </c>
      <c r="AV17" s="17">
        <f>+AU17</f>
        <v>691.07819609294347</v>
      </c>
    </row>
    <row r="18" spans="1:48" s="8" customFormat="1" outlineLevel="1" x14ac:dyDescent="0.3">
      <c r="A18" s="161"/>
      <c r="B18" s="200" t="s">
        <v>224</v>
      </c>
      <c r="C18" s="206"/>
      <c r="D18" s="16">
        <v>981.6</v>
      </c>
      <c r="E18" s="16">
        <v>918.3</v>
      </c>
      <c r="F18" s="16">
        <v>853.2</v>
      </c>
      <c r="G18" s="16">
        <v>781.8</v>
      </c>
      <c r="H18" s="17">
        <f t="shared" si="1"/>
        <v>781.8</v>
      </c>
      <c r="I18" s="16">
        <v>739.1</v>
      </c>
      <c r="J18" s="16">
        <v>678.7</v>
      </c>
      <c r="K18" s="16">
        <v>599.6</v>
      </c>
      <c r="L18" s="101">
        <v>552.1</v>
      </c>
      <c r="M18" s="17">
        <f>+L18</f>
        <v>552.1</v>
      </c>
      <c r="N18" s="16">
        <v>506.4</v>
      </c>
      <c r="O18" s="16">
        <v>444.3</v>
      </c>
      <c r="P18" s="16">
        <v>398</v>
      </c>
      <c r="Q18" s="101">
        <v>349.9</v>
      </c>
      <c r="R18" s="17">
        <f>+Q18</f>
        <v>349.9</v>
      </c>
      <c r="S18" s="16">
        <v>302.5</v>
      </c>
      <c r="T18" s="16">
        <v>254.7</v>
      </c>
      <c r="U18" s="101">
        <v>203.4</v>
      </c>
      <c r="V18" s="101">
        <v>155.9</v>
      </c>
      <c r="W18" s="17">
        <f>+V18</f>
        <v>155.9</v>
      </c>
      <c r="X18" s="33">
        <f>+V18*0.92</f>
        <v>143.428</v>
      </c>
      <c r="Y18" s="33">
        <f>+X18*0.92</f>
        <v>131.95376000000002</v>
      </c>
      <c r="Z18" s="33">
        <f>+Y18*0.92</f>
        <v>121.39745920000001</v>
      </c>
      <c r="AA18" s="33">
        <f>+Z18*0.92</f>
        <v>111.68566246400002</v>
      </c>
      <c r="AB18" s="17">
        <f>+AA18</f>
        <v>111.68566246400002</v>
      </c>
      <c r="AC18" s="33">
        <f>+AA18*0.92</f>
        <v>102.75080946688001</v>
      </c>
      <c r="AD18" s="33">
        <f>+AC18*0.92</f>
        <v>94.530744709529614</v>
      </c>
      <c r="AE18" s="33">
        <f>+AD18*0.92</f>
        <v>86.968285132767249</v>
      </c>
      <c r="AF18" s="33">
        <f>+AE18*0.92</f>
        <v>80.01082232214587</v>
      </c>
      <c r="AG18" s="17">
        <f>+AF18</f>
        <v>80.01082232214587</v>
      </c>
      <c r="AH18" s="33">
        <f>+AF18*0.92</f>
        <v>73.609956536374199</v>
      </c>
      <c r="AI18" s="33">
        <f>+AH18*0.92</f>
        <v>67.721160013464271</v>
      </c>
      <c r="AJ18" s="33">
        <f>+AI18*0.92</f>
        <v>62.303467212387133</v>
      </c>
      <c r="AK18" s="33">
        <f>+AJ18*0.92</f>
        <v>57.319189835396166</v>
      </c>
      <c r="AL18" s="17">
        <f>+AK18</f>
        <v>57.319189835396166</v>
      </c>
      <c r="AM18" s="33">
        <f>+AK18*0.92</f>
        <v>52.733654648564475</v>
      </c>
      <c r="AN18" s="33">
        <f>+AM18*0.92</f>
        <v>48.51496227667932</v>
      </c>
      <c r="AO18" s="33">
        <f>+AN18*0.92</f>
        <v>44.633765294544979</v>
      </c>
      <c r="AP18" s="33">
        <f>+AO18*0.92</f>
        <v>41.063064070981383</v>
      </c>
      <c r="AQ18" s="17">
        <f>+AP18</f>
        <v>41.063064070981383</v>
      </c>
      <c r="AR18" s="33">
        <f>+AP18*0.92</f>
        <v>37.778018945302875</v>
      </c>
      <c r="AS18" s="33">
        <f>+AR18*0.92</f>
        <v>34.755777429678645</v>
      </c>
      <c r="AT18" s="33">
        <f>+AS18*0.92</f>
        <v>31.975315235304354</v>
      </c>
      <c r="AU18" s="33">
        <f>+AT18*0.92</f>
        <v>29.417290016480006</v>
      </c>
      <c r="AV18" s="17">
        <f>+AU18</f>
        <v>29.417290016480006</v>
      </c>
    </row>
    <row r="19" spans="1:48" ht="16.2" outlineLevel="1" x14ac:dyDescent="0.45">
      <c r="A19" s="161"/>
      <c r="B19" s="486" t="s">
        <v>225</v>
      </c>
      <c r="C19" s="487"/>
      <c r="D19" s="260">
        <v>3560.3</v>
      </c>
      <c r="E19" s="260">
        <v>3603.5</v>
      </c>
      <c r="F19" s="260">
        <v>3564.7</v>
      </c>
      <c r="G19" s="260">
        <v>3490.8</v>
      </c>
      <c r="H19" s="261">
        <f>G19</f>
        <v>3490.8</v>
      </c>
      <c r="I19" s="260">
        <v>3515.9</v>
      </c>
      <c r="J19" s="260">
        <v>3493</v>
      </c>
      <c r="K19" s="260">
        <v>3510.1</v>
      </c>
      <c r="L19" s="112">
        <v>3597.2</v>
      </c>
      <c r="M19" s="261">
        <f>L19</f>
        <v>3597.2</v>
      </c>
      <c r="N19" s="260">
        <v>3706.8</v>
      </c>
      <c r="O19" s="260">
        <v>3658.9</v>
      </c>
      <c r="P19" s="260">
        <v>3672</v>
      </c>
      <c r="Q19" s="112">
        <v>3677.3</v>
      </c>
      <c r="R19" s="261">
        <f>Q19</f>
        <v>3677.3</v>
      </c>
      <c r="S19" s="260">
        <v>3675.7</v>
      </c>
      <c r="T19" s="260">
        <v>3646.1</v>
      </c>
      <c r="U19" s="112">
        <v>3451.2</v>
      </c>
      <c r="V19" s="112">
        <v>3283.5</v>
      </c>
      <c r="W19" s="261">
        <f>V19</f>
        <v>3283.5</v>
      </c>
      <c r="X19" s="32">
        <f>+V19</f>
        <v>3283.5</v>
      </c>
      <c r="Y19" s="32">
        <f>+X19</f>
        <v>3283.5</v>
      </c>
      <c r="Z19" s="32">
        <f>+Y19</f>
        <v>3283.5</v>
      </c>
      <c r="AA19" s="32">
        <f>+Z19</f>
        <v>3283.5</v>
      </c>
      <c r="AB19" s="261">
        <f>AA19</f>
        <v>3283.5</v>
      </c>
      <c r="AC19" s="32">
        <f>+AA19</f>
        <v>3283.5</v>
      </c>
      <c r="AD19" s="32">
        <f>+AC19</f>
        <v>3283.5</v>
      </c>
      <c r="AE19" s="32">
        <f>+AD19</f>
        <v>3283.5</v>
      </c>
      <c r="AF19" s="32">
        <f>+AE19</f>
        <v>3283.5</v>
      </c>
      <c r="AG19" s="261">
        <f>AF19</f>
        <v>3283.5</v>
      </c>
      <c r="AH19" s="32">
        <f>+AF19</f>
        <v>3283.5</v>
      </c>
      <c r="AI19" s="32">
        <f>+AH19</f>
        <v>3283.5</v>
      </c>
      <c r="AJ19" s="32">
        <f>+AI19</f>
        <v>3283.5</v>
      </c>
      <c r="AK19" s="32">
        <f>+AJ19</f>
        <v>3283.5</v>
      </c>
      <c r="AL19" s="261">
        <f>AK19</f>
        <v>3283.5</v>
      </c>
      <c r="AM19" s="32">
        <f>+AK19</f>
        <v>3283.5</v>
      </c>
      <c r="AN19" s="32">
        <f>+AM19</f>
        <v>3283.5</v>
      </c>
      <c r="AO19" s="32">
        <f>+AN19</f>
        <v>3283.5</v>
      </c>
      <c r="AP19" s="32">
        <f>+AO19</f>
        <v>3283.5</v>
      </c>
      <c r="AQ19" s="261">
        <f>AP19</f>
        <v>3283.5</v>
      </c>
      <c r="AR19" s="32">
        <f>+AP19</f>
        <v>3283.5</v>
      </c>
      <c r="AS19" s="32">
        <f>+AR19</f>
        <v>3283.5</v>
      </c>
      <c r="AT19" s="32">
        <f>+AS19</f>
        <v>3283.5</v>
      </c>
      <c r="AU19" s="32">
        <f>+AT19</f>
        <v>3283.5</v>
      </c>
      <c r="AV19" s="261">
        <f>AU19</f>
        <v>3283.5</v>
      </c>
    </row>
    <row r="20" spans="1:48" outlineLevel="1" x14ac:dyDescent="0.3">
      <c r="A20" s="161"/>
      <c r="B20" s="525" t="s">
        <v>226</v>
      </c>
      <c r="C20" s="526"/>
      <c r="D20" s="21">
        <f t="shared" ref="D20:AV20" si="2">+SUM(D11:D19)</f>
        <v>19981.3</v>
      </c>
      <c r="E20" s="21">
        <f t="shared" si="2"/>
        <v>17641.900000000001</v>
      </c>
      <c r="F20" s="21">
        <f t="shared" si="2"/>
        <v>20894.500000000004</v>
      </c>
      <c r="G20" s="21">
        <f t="shared" si="2"/>
        <v>19219.400000000001</v>
      </c>
      <c r="H20" s="22">
        <f t="shared" si="2"/>
        <v>19219.400000000001</v>
      </c>
      <c r="I20" s="21">
        <f t="shared" si="2"/>
        <v>27731.300000000007</v>
      </c>
      <c r="J20" s="21">
        <f t="shared" si="2"/>
        <v>27478.9</v>
      </c>
      <c r="K20" s="21">
        <f t="shared" si="2"/>
        <v>29140.600000000002</v>
      </c>
      <c r="L20" s="21">
        <f t="shared" si="2"/>
        <v>29374.500000000004</v>
      </c>
      <c r="M20" s="22">
        <f t="shared" si="2"/>
        <v>29374.500000000004</v>
      </c>
      <c r="N20" s="21">
        <f t="shared" si="2"/>
        <v>29968.30000000001</v>
      </c>
      <c r="O20" s="21">
        <f t="shared" si="2"/>
        <v>28371.600000000013</v>
      </c>
      <c r="P20" s="21">
        <f t="shared" si="2"/>
        <v>29476.800000000007</v>
      </c>
      <c r="Q20" s="21">
        <f t="shared" si="2"/>
        <v>31392.600000000009</v>
      </c>
      <c r="R20" s="22">
        <f t="shared" si="2"/>
        <v>31392.600000000009</v>
      </c>
      <c r="S20" s="21">
        <f t="shared" si="2"/>
        <v>28833.900000000009</v>
      </c>
      <c r="T20" s="21">
        <f t="shared" si="2"/>
        <v>29021.500000000007</v>
      </c>
      <c r="U20" s="21">
        <f t="shared" si="2"/>
        <v>28156.200000000012</v>
      </c>
      <c r="V20" s="21">
        <f t="shared" si="2"/>
        <v>27978.30000000001</v>
      </c>
      <c r="W20" s="22">
        <f t="shared" si="2"/>
        <v>27978.30000000001</v>
      </c>
      <c r="X20" s="21">
        <f t="shared" si="2"/>
        <v>28666.056185270965</v>
      </c>
      <c r="Y20" s="21">
        <f t="shared" si="2"/>
        <v>28547.408804594783</v>
      </c>
      <c r="Z20" s="21">
        <f t="shared" si="2"/>
        <v>29215.256560350812</v>
      </c>
      <c r="AA20" s="21">
        <f t="shared" si="2"/>
        <v>29606.010583229272</v>
      </c>
      <c r="AB20" s="22">
        <f t="shared" si="2"/>
        <v>29606.010583229272</v>
      </c>
      <c r="AC20" s="21">
        <f t="shared" si="2"/>
        <v>30731.777091049698</v>
      </c>
      <c r="AD20" s="21">
        <f t="shared" si="2"/>
        <v>30726.536921846833</v>
      </c>
      <c r="AE20" s="21">
        <f t="shared" si="2"/>
        <v>31427.43146919963</v>
      </c>
      <c r="AF20" s="21">
        <f t="shared" si="2"/>
        <v>31933.86053252298</v>
      </c>
      <c r="AG20" s="22">
        <f t="shared" si="2"/>
        <v>31933.86053252298</v>
      </c>
      <c r="AH20" s="21">
        <f t="shared" si="2"/>
        <v>33146.987290040561</v>
      </c>
      <c r="AI20" s="21">
        <f t="shared" si="2"/>
        <v>33169.998616418146</v>
      </c>
      <c r="AJ20" s="21">
        <f t="shared" si="2"/>
        <v>34350.262264677156</v>
      </c>
      <c r="AK20" s="21">
        <f t="shared" si="2"/>
        <v>29560.319388066495</v>
      </c>
      <c r="AL20" s="22">
        <f t="shared" si="2"/>
        <v>29560.319388066495</v>
      </c>
      <c r="AM20" s="21">
        <f t="shared" si="2"/>
        <v>30690.450446157382</v>
      </c>
      <c r="AN20" s="21">
        <f t="shared" si="2"/>
        <v>30550.56704023464</v>
      </c>
      <c r="AO20" s="21">
        <f t="shared" si="2"/>
        <v>31471.909258476622</v>
      </c>
      <c r="AP20" s="21">
        <f t="shared" si="2"/>
        <v>31992.270107117682</v>
      </c>
      <c r="AQ20" s="22">
        <f t="shared" si="2"/>
        <v>31992.270107117682</v>
      </c>
      <c r="AR20" s="21">
        <f t="shared" si="2"/>
        <v>33287.977615708107</v>
      </c>
      <c r="AS20" s="21">
        <f t="shared" si="2"/>
        <v>33228.06780832255</v>
      </c>
      <c r="AT20" s="21">
        <f t="shared" si="2"/>
        <v>34266.758301801092</v>
      </c>
      <c r="AU20" s="21">
        <f t="shared" si="2"/>
        <v>34888.50014717938</v>
      </c>
      <c r="AV20" s="22">
        <f t="shared" si="2"/>
        <v>34888.50014717938</v>
      </c>
    </row>
    <row r="21" spans="1:48" ht="17.399999999999999" x14ac:dyDescent="0.45">
      <c r="A21" s="161"/>
      <c r="B21" s="494" t="s">
        <v>227</v>
      </c>
      <c r="C21" s="495"/>
      <c r="D21" s="14" t="s">
        <v>19</v>
      </c>
      <c r="E21" s="14" t="s">
        <v>81</v>
      </c>
      <c r="F21" s="14" t="s">
        <v>85</v>
      </c>
      <c r="G21" s="14" t="s">
        <v>95</v>
      </c>
      <c r="H21" s="40" t="s">
        <v>96</v>
      </c>
      <c r="I21" s="14" t="s">
        <v>97</v>
      </c>
      <c r="J21" s="14" t="s">
        <v>98</v>
      </c>
      <c r="K21" s="14" t="s">
        <v>99</v>
      </c>
      <c r="L21" s="14" t="s">
        <v>142</v>
      </c>
      <c r="M21" s="40" t="s">
        <v>143</v>
      </c>
      <c r="N21" s="14" t="s">
        <v>149</v>
      </c>
      <c r="O21" s="14" t="s">
        <v>157</v>
      </c>
      <c r="P21" s="14" t="s">
        <v>159</v>
      </c>
      <c r="Q21" s="14" t="s">
        <v>172</v>
      </c>
      <c r="R21" s="40" t="s">
        <v>173</v>
      </c>
      <c r="S21" s="14" t="s">
        <v>188</v>
      </c>
      <c r="T21" s="14" t="s">
        <v>189</v>
      </c>
      <c r="U21" s="14" t="s">
        <v>204</v>
      </c>
      <c r="V21" s="14" t="s">
        <v>347</v>
      </c>
      <c r="W21" s="40" t="s">
        <v>348</v>
      </c>
      <c r="X21" s="12" t="s">
        <v>27</v>
      </c>
      <c r="Y21" s="12" t="s">
        <v>28</v>
      </c>
      <c r="Z21" s="12" t="s">
        <v>29</v>
      </c>
      <c r="AA21" s="12" t="s">
        <v>30</v>
      </c>
      <c r="AB21" s="42" t="s">
        <v>31</v>
      </c>
      <c r="AC21" s="12" t="s">
        <v>90</v>
      </c>
      <c r="AD21" s="12" t="s">
        <v>91</v>
      </c>
      <c r="AE21" s="12" t="s">
        <v>92</v>
      </c>
      <c r="AF21" s="12" t="s">
        <v>93</v>
      </c>
      <c r="AG21" s="42" t="s">
        <v>94</v>
      </c>
      <c r="AH21" s="12" t="s">
        <v>109</v>
      </c>
      <c r="AI21" s="12" t="s">
        <v>110</v>
      </c>
      <c r="AJ21" s="12" t="s">
        <v>111</v>
      </c>
      <c r="AK21" s="12" t="s">
        <v>112</v>
      </c>
      <c r="AL21" s="42" t="s">
        <v>113</v>
      </c>
      <c r="AM21" s="12" t="s">
        <v>164</v>
      </c>
      <c r="AN21" s="12" t="s">
        <v>165</v>
      </c>
      <c r="AO21" s="12" t="s">
        <v>166</v>
      </c>
      <c r="AP21" s="12" t="s">
        <v>167</v>
      </c>
      <c r="AQ21" s="42" t="s">
        <v>168</v>
      </c>
      <c r="AR21" s="12" t="s">
        <v>195</v>
      </c>
      <c r="AS21" s="12" t="s">
        <v>196</v>
      </c>
      <c r="AT21" s="12" t="s">
        <v>197</v>
      </c>
      <c r="AU21" s="12" t="s">
        <v>198</v>
      </c>
      <c r="AV21" s="42" t="s">
        <v>199</v>
      </c>
    </row>
    <row r="22" spans="1:48" s="23" customFormat="1" outlineLevel="1" x14ac:dyDescent="0.3">
      <c r="A22" s="161"/>
      <c r="B22" s="486" t="s">
        <v>228</v>
      </c>
      <c r="C22" s="487"/>
      <c r="D22" s="101">
        <v>1100.5</v>
      </c>
      <c r="E22" s="101">
        <v>1096.7</v>
      </c>
      <c r="F22" s="101">
        <v>1145.4000000000001</v>
      </c>
      <c r="G22" s="101">
        <v>1189.7</v>
      </c>
      <c r="H22" s="169">
        <f t="shared" ref="H22:H29" si="3">G22</f>
        <v>1189.7</v>
      </c>
      <c r="I22" s="101">
        <v>1085.5999999999999</v>
      </c>
      <c r="J22" s="101">
        <v>997.7</v>
      </c>
      <c r="K22" s="101">
        <v>860.8</v>
      </c>
      <c r="L22" s="101">
        <v>997.9</v>
      </c>
      <c r="M22" s="169">
        <f t="shared" ref="M22:M29" si="4">L22</f>
        <v>997.9</v>
      </c>
      <c r="N22" s="101">
        <v>1050.5999999999999</v>
      </c>
      <c r="O22" s="101">
        <v>1033.5999999999999</v>
      </c>
      <c r="P22" s="101">
        <v>1127</v>
      </c>
      <c r="Q22" s="101">
        <v>1211.5999999999999</v>
      </c>
      <c r="R22" s="169">
        <f t="shared" ref="R22:R29" si="5">Q22</f>
        <v>1211.5999999999999</v>
      </c>
      <c r="S22" s="101">
        <v>1289.4000000000001</v>
      </c>
      <c r="T22" s="101">
        <v>1329.5</v>
      </c>
      <c r="U22" s="101">
        <v>1489.8</v>
      </c>
      <c r="V22" s="101">
        <v>1441.4</v>
      </c>
      <c r="W22" s="169">
        <f t="shared" ref="W22:W29" si="6">V22</f>
        <v>1441.4</v>
      </c>
      <c r="X22" s="101">
        <f>('IS (Before Changes)'!X9/X51)</f>
        <v>1411.8864379368617</v>
      </c>
      <c r="Y22" s="101">
        <f>('IS (Before Changes)'!Y9/Y51)</f>
        <v>1399.9529961393557</v>
      </c>
      <c r="Z22" s="101">
        <f>('IS (Before Changes)'!Z9/Z51)</f>
        <v>1630.0202956593748</v>
      </c>
      <c r="AA22" s="101">
        <f>('IS (Before Changes)'!AA9/AA51)</f>
        <v>1507.3003786534575</v>
      </c>
      <c r="AB22" s="169">
        <f t="shared" ref="AB22:AB29" si="7">AA22</f>
        <v>1507.3003786534575</v>
      </c>
      <c r="AC22" s="101">
        <f>('IS (Before Changes)'!AC9/AC51)</f>
        <v>1546.4708076621312</v>
      </c>
      <c r="AD22" s="101">
        <f>('IS (Before Changes)'!AD9/AD51)</f>
        <v>1525.1676192006421</v>
      </c>
      <c r="AE22" s="101">
        <f>('IS (Before Changes)'!AE9/AE51)</f>
        <v>1748.29855059393</v>
      </c>
      <c r="AF22" s="101">
        <f>('IS (Before Changes)'!AF9/AF51)</f>
        <v>1695.2790246634338</v>
      </c>
      <c r="AG22" s="169">
        <f t="shared" ref="AG22:AG29" si="8">AF22</f>
        <v>1695.2790246634338</v>
      </c>
      <c r="AH22" s="101">
        <f>('IS (Before Changes)'!AH9/AH51)</f>
        <v>1708.004315393569</v>
      </c>
      <c r="AI22" s="101">
        <f>('IS (Before Changes)'!AI9/AI51)</f>
        <v>1692.7696828034811</v>
      </c>
      <c r="AJ22" s="101">
        <f>('IS (Before Changes)'!AJ9/AJ51)</f>
        <v>1961.8250012700105</v>
      </c>
      <c r="AK22" s="101">
        <f>('IS (Before Changes)'!AK9/AK51)</f>
        <v>1908.7063972766762</v>
      </c>
      <c r="AL22" s="169">
        <f t="shared" ref="AL22:AL29" si="9">AK22</f>
        <v>1908.7063972766762</v>
      </c>
      <c r="AM22" s="101">
        <f>('IS (Before Changes)'!AM9/AM51)</f>
        <v>1871.3266296765194</v>
      </c>
      <c r="AN22" s="101">
        <f>('IS (Before Changes)'!AN9/AN51)</f>
        <v>1833.7274378563372</v>
      </c>
      <c r="AO22" s="101">
        <f>('IS (Before Changes)'!AO9/AO51)</f>
        <v>2115.4190493066199</v>
      </c>
      <c r="AP22" s="101">
        <f>('IS (Before Changes)'!AP9/AP51)</f>
        <v>2048.6691049020601</v>
      </c>
      <c r="AQ22" s="169">
        <f t="shared" ref="AQ22:AQ29" si="10">AP22</f>
        <v>2048.6691049020601</v>
      </c>
      <c r="AR22" s="101">
        <f>('IS (Before Changes)'!AR9/AR51)</f>
        <v>1994.5363021888702</v>
      </c>
      <c r="AS22" s="101">
        <f>('IS (Before Changes)'!AS9/AS51)</f>
        <v>1954.5073252986122</v>
      </c>
      <c r="AT22" s="101">
        <f>('IS (Before Changes)'!AT9/AT51)</f>
        <v>2244.5769920714006</v>
      </c>
      <c r="AU22" s="101">
        <f>('IS (Before Changes)'!AU9/AU51)</f>
        <v>2181.0117183667317</v>
      </c>
      <c r="AV22" s="169">
        <f t="shared" ref="AV22:AV29" si="11">AU22</f>
        <v>2181.0117183667317</v>
      </c>
    </row>
    <row r="23" spans="1:48" outlineLevel="1" x14ac:dyDescent="0.3">
      <c r="A23" s="161"/>
      <c r="B23" s="486" t="s">
        <v>229</v>
      </c>
      <c r="C23" s="487"/>
      <c r="D23" s="101">
        <v>2564</v>
      </c>
      <c r="E23" s="101">
        <v>2569.3000000000002</v>
      </c>
      <c r="F23" s="101">
        <v>3238.7</v>
      </c>
      <c r="G23" s="101">
        <v>1753.7</v>
      </c>
      <c r="H23" s="169">
        <f t="shared" si="3"/>
        <v>1753.7</v>
      </c>
      <c r="I23" s="101">
        <v>1637.8</v>
      </c>
      <c r="J23" s="101">
        <v>1539</v>
      </c>
      <c r="K23" s="101">
        <v>1511.7</v>
      </c>
      <c r="L23" s="101">
        <v>1160.7</v>
      </c>
      <c r="M23" s="169">
        <f t="shared" si="4"/>
        <v>1160.7</v>
      </c>
      <c r="N23" s="101">
        <v>1616.9</v>
      </c>
      <c r="O23" s="101">
        <v>1771.6</v>
      </c>
      <c r="P23" s="101">
        <v>1791.4</v>
      </c>
      <c r="Q23" s="101">
        <v>1973.2</v>
      </c>
      <c r="R23" s="169">
        <f t="shared" si="5"/>
        <v>1973.2</v>
      </c>
      <c r="S23" s="101">
        <v>2444.3000000000002</v>
      </c>
      <c r="T23" s="101">
        <v>2092.4</v>
      </c>
      <c r="U23" s="101">
        <v>2068.9</v>
      </c>
      <c r="V23" s="101">
        <v>2137.1</v>
      </c>
      <c r="W23" s="169">
        <f t="shared" si="6"/>
        <v>2137.1</v>
      </c>
      <c r="X23" s="33">
        <f>V23</f>
        <v>2137.1</v>
      </c>
      <c r="Y23" s="33">
        <f>X23</f>
        <v>2137.1</v>
      </c>
      <c r="Z23" s="33">
        <f>Y23</f>
        <v>2137.1</v>
      </c>
      <c r="AA23" s="33">
        <f>Z23</f>
        <v>2137.1</v>
      </c>
      <c r="AB23" s="169">
        <f t="shared" si="7"/>
        <v>2137.1</v>
      </c>
      <c r="AC23" s="33">
        <f>AA23</f>
        <v>2137.1</v>
      </c>
      <c r="AD23" s="33">
        <f>AC23</f>
        <v>2137.1</v>
      </c>
      <c r="AE23" s="33">
        <f>AD23</f>
        <v>2137.1</v>
      </c>
      <c r="AF23" s="33">
        <f>AE23</f>
        <v>2137.1</v>
      </c>
      <c r="AG23" s="169">
        <f t="shared" si="8"/>
        <v>2137.1</v>
      </c>
      <c r="AH23" s="33">
        <f>AF23</f>
        <v>2137.1</v>
      </c>
      <c r="AI23" s="33">
        <f>AH23</f>
        <v>2137.1</v>
      </c>
      <c r="AJ23" s="33">
        <f>AI23</f>
        <v>2137.1</v>
      </c>
      <c r="AK23" s="33">
        <f>AJ23</f>
        <v>2137.1</v>
      </c>
      <c r="AL23" s="169">
        <f t="shared" si="9"/>
        <v>2137.1</v>
      </c>
      <c r="AM23" s="33">
        <f>AK23</f>
        <v>2137.1</v>
      </c>
      <c r="AN23" s="33">
        <f>AM23</f>
        <v>2137.1</v>
      </c>
      <c r="AO23" s="33">
        <f>AN23</f>
        <v>2137.1</v>
      </c>
      <c r="AP23" s="33">
        <f>AO23</f>
        <v>2137.1</v>
      </c>
      <c r="AQ23" s="169">
        <f t="shared" si="10"/>
        <v>2137.1</v>
      </c>
      <c r="AR23" s="33">
        <f>AP23</f>
        <v>2137.1</v>
      </c>
      <c r="AS23" s="33">
        <f>AR23</f>
        <v>2137.1</v>
      </c>
      <c r="AT23" s="33">
        <f>AS23</f>
        <v>2137.1</v>
      </c>
      <c r="AU23" s="33">
        <f>AT23</f>
        <v>2137.1</v>
      </c>
      <c r="AV23" s="169">
        <f t="shared" si="11"/>
        <v>2137.1</v>
      </c>
    </row>
    <row r="24" spans="1:48" outlineLevel="1" x14ac:dyDescent="0.3">
      <c r="A24" s="161"/>
      <c r="B24" s="200" t="s">
        <v>230</v>
      </c>
      <c r="C24" s="201"/>
      <c r="D24" s="101">
        <v>0</v>
      </c>
      <c r="E24" s="101">
        <v>0</v>
      </c>
      <c r="F24" s="101">
        <v>0</v>
      </c>
      <c r="G24" s="101">
        <v>664.6</v>
      </c>
      <c r="H24" s="169">
        <f t="shared" si="3"/>
        <v>664.6</v>
      </c>
      <c r="I24" s="101">
        <v>578.5</v>
      </c>
      <c r="J24" s="101">
        <v>596.1</v>
      </c>
      <c r="K24" s="101">
        <v>652.1</v>
      </c>
      <c r="L24" s="101">
        <v>696</v>
      </c>
      <c r="M24" s="169">
        <f t="shared" si="4"/>
        <v>696</v>
      </c>
      <c r="N24" s="101">
        <v>685.3</v>
      </c>
      <c r="O24" s="101">
        <v>646.1</v>
      </c>
      <c r="P24" s="101">
        <v>741</v>
      </c>
      <c r="Q24" s="101">
        <v>772.3</v>
      </c>
      <c r="R24" s="169">
        <f t="shared" si="5"/>
        <v>772.3</v>
      </c>
      <c r="S24" s="101">
        <v>664.1</v>
      </c>
      <c r="T24" s="101">
        <v>665.9</v>
      </c>
      <c r="U24" s="101">
        <v>706.8</v>
      </c>
      <c r="V24" s="101">
        <v>761.7</v>
      </c>
      <c r="W24" s="169">
        <f t="shared" si="6"/>
        <v>761.7</v>
      </c>
      <c r="X24" s="33">
        <f>V24</f>
        <v>761.7</v>
      </c>
      <c r="Y24" s="33">
        <f t="shared" ref="Y24:AA25" si="12">X24</f>
        <v>761.7</v>
      </c>
      <c r="Z24" s="33">
        <f t="shared" si="12"/>
        <v>761.7</v>
      </c>
      <c r="AA24" s="33">
        <f t="shared" si="12"/>
        <v>761.7</v>
      </c>
      <c r="AB24" s="169">
        <f t="shared" si="7"/>
        <v>761.7</v>
      </c>
      <c r="AC24" s="33">
        <f>AA24</f>
        <v>761.7</v>
      </c>
      <c r="AD24" s="33">
        <f t="shared" ref="AD24:AF25" si="13">AC24</f>
        <v>761.7</v>
      </c>
      <c r="AE24" s="33">
        <f t="shared" si="13"/>
        <v>761.7</v>
      </c>
      <c r="AF24" s="33">
        <f t="shared" si="13"/>
        <v>761.7</v>
      </c>
      <c r="AG24" s="169">
        <f t="shared" si="8"/>
        <v>761.7</v>
      </c>
      <c r="AH24" s="33">
        <f>AF24</f>
        <v>761.7</v>
      </c>
      <c r="AI24" s="33">
        <f t="shared" ref="AI24:AK25" si="14">AH24</f>
        <v>761.7</v>
      </c>
      <c r="AJ24" s="33">
        <f t="shared" si="14"/>
        <v>761.7</v>
      </c>
      <c r="AK24" s="33">
        <f t="shared" si="14"/>
        <v>761.7</v>
      </c>
      <c r="AL24" s="169">
        <f t="shared" si="9"/>
        <v>761.7</v>
      </c>
      <c r="AM24" s="33">
        <f>AK24</f>
        <v>761.7</v>
      </c>
      <c r="AN24" s="33">
        <f t="shared" ref="AN24:AP25" si="15">AM24</f>
        <v>761.7</v>
      </c>
      <c r="AO24" s="33">
        <f t="shared" si="15"/>
        <v>761.7</v>
      </c>
      <c r="AP24" s="33">
        <f t="shared" si="15"/>
        <v>761.7</v>
      </c>
      <c r="AQ24" s="169">
        <f t="shared" si="10"/>
        <v>761.7</v>
      </c>
      <c r="AR24" s="33">
        <f>AP24</f>
        <v>761.7</v>
      </c>
      <c r="AS24" s="33">
        <f t="shared" ref="AS24:AU25" si="16">AR24</f>
        <v>761.7</v>
      </c>
      <c r="AT24" s="33">
        <f t="shared" si="16"/>
        <v>761.7</v>
      </c>
      <c r="AU24" s="33">
        <f t="shared" si="16"/>
        <v>761.7</v>
      </c>
      <c r="AV24" s="169">
        <f t="shared" si="11"/>
        <v>761.7</v>
      </c>
    </row>
    <row r="25" spans="1:48" outlineLevel="1" x14ac:dyDescent="0.3">
      <c r="A25" s="161"/>
      <c r="B25" s="200" t="s">
        <v>231</v>
      </c>
      <c r="C25" s="201"/>
      <c r="D25" s="101">
        <v>0</v>
      </c>
      <c r="E25" s="101">
        <v>0</v>
      </c>
      <c r="F25" s="101">
        <v>0</v>
      </c>
      <c r="G25" s="101">
        <v>1291.7</v>
      </c>
      <c r="H25" s="169">
        <f t="shared" si="3"/>
        <v>1291.7</v>
      </c>
      <c r="I25" s="101">
        <v>1414</v>
      </c>
      <c r="J25" s="101">
        <v>86.7</v>
      </c>
      <c r="K25" s="101">
        <v>90.9</v>
      </c>
      <c r="L25" s="101">
        <v>98.2</v>
      </c>
      <c r="M25" s="169">
        <f t="shared" si="4"/>
        <v>98.2</v>
      </c>
      <c r="N25" s="101">
        <v>149.69999999999999</v>
      </c>
      <c r="O25" s="101">
        <v>117</v>
      </c>
      <c r="P25" s="101">
        <v>204.8</v>
      </c>
      <c r="Q25" s="101">
        <v>348</v>
      </c>
      <c r="R25" s="169">
        <f t="shared" si="5"/>
        <v>348</v>
      </c>
      <c r="S25" s="101"/>
      <c r="T25" s="101">
        <f>S25</f>
        <v>0</v>
      </c>
      <c r="U25" s="101">
        <f>T25</f>
        <v>0</v>
      </c>
      <c r="V25" s="101">
        <f>U25</f>
        <v>0</v>
      </c>
      <c r="W25" s="169">
        <f t="shared" si="6"/>
        <v>0</v>
      </c>
      <c r="X25" s="33">
        <f>V25</f>
        <v>0</v>
      </c>
      <c r="Y25" s="33">
        <f t="shared" si="12"/>
        <v>0</v>
      </c>
      <c r="Z25" s="33">
        <f t="shared" si="12"/>
        <v>0</v>
      </c>
      <c r="AA25" s="33">
        <f t="shared" si="12"/>
        <v>0</v>
      </c>
      <c r="AB25" s="169">
        <f t="shared" si="7"/>
        <v>0</v>
      </c>
      <c r="AC25" s="33">
        <f>AA25</f>
        <v>0</v>
      </c>
      <c r="AD25" s="33">
        <f t="shared" si="13"/>
        <v>0</v>
      </c>
      <c r="AE25" s="33">
        <f t="shared" si="13"/>
        <v>0</v>
      </c>
      <c r="AF25" s="33">
        <f t="shared" si="13"/>
        <v>0</v>
      </c>
      <c r="AG25" s="169">
        <f t="shared" si="8"/>
        <v>0</v>
      </c>
      <c r="AH25" s="33">
        <f>AF25</f>
        <v>0</v>
      </c>
      <c r="AI25" s="33">
        <f t="shared" si="14"/>
        <v>0</v>
      </c>
      <c r="AJ25" s="33">
        <f t="shared" si="14"/>
        <v>0</v>
      </c>
      <c r="AK25" s="33">
        <f t="shared" si="14"/>
        <v>0</v>
      </c>
      <c r="AL25" s="169">
        <f t="shared" si="9"/>
        <v>0</v>
      </c>
      <c r="AM25" s="33">
        <f>AK25</f>
        <v>0</v>
      </c>
      <c r="AN25" s="33">
        <f t="shared" si="15"/>
        <v>0</v>
      </c>
      <c r="AO25" s="33">
        <f t="shared" si="15"/>
        <v>0</v>
      </c>
      <c r="AP25" s="33">
        <f t="shared" si="15"/>
        <v>0</v>
      </c>
      <c r="AQ25" s="169">
        <f t="shared" si="10"/>
        <v>0</v>
      </c>
      <c r="AR25" s="33">
        <f>AP25</f>
        <v>0</v>
      </c>
      <c r="AS25" s="33">
        <f t="shared" si="16"/>
        <v>0</v>
      </c>
      <c r="AT25" s="33">
        <f t="shared" si="16"/>
        <v>0</v>
      </c>
      <c r="AU25" s="33">
        <f t="shared" si="16"/>
        <v>0</v>
      </c>
      <c r="AV25" s="169">
        <f t="shared" si="11"/>
        <v>0</v>
      </c>
    </row>
    <row r="26" spans="1:48" outlineLevel="1" x14ac:dyDescent="0.3">
      <c r="A26" s="161"/>
      <c r="B26" s="200" t="s">
        <v>232</v>
      </c>
      <c r="C26" s="201"/>
      <c r="D26" s="101">
        <v>0</v>
      </c>
      <c r="E26" s="101">
        <v>0</v>
      </c>
      <c r="F26" s="101">
        <v>0</v>
      </c>
      <c r="G26" s="101">
        <v>0</v>
      </c>
      <c r="H26" s="169">
        <f t="shared" si="3"/>
        <v>0</v>
      </c>
      <c r="I26" s="101">
        <v>1268.9000000000001</v>
      </c>
      <c r="J26" s="101">
        <v>1253.5</v>
      </c>
      <c r="K26" s="101">
        <v>1237.0999999999999</v>
      </c>
      <c r="L26" s="101">
        <v>1248.8</v>
      </c>
      <c r="M26" s="169">
        <f t="shared" si="4"/>
        <v>1248.8</v>
      </c>
      <c r="N26" s="101">
        <v>1267.5999999999999</v>
      </c>
      <c r="O26" s="101">
        <v>1296.4000000000001</v>
      </c>
      <c r="P26" s="101">
        <v>1308.4000000000001</v>
      </c>
      <c r="Q26" s="101">
        <v>1251.3</v>
      </c>
      <c r="R26" s="169">
        <f t="shared" si="5"/>
        <v>1251.3</v>
      </c>
      <c r="S26" s="101">
        <v>1253.3</v>
      </c>
      <c r="T26" s="101">
        <v>1236.3</v>
      </c>
      <c r="U26" s="101">
        <v>1214.8</v>
      </c>
      <c r="V26" s="101">
        <v>1245.7</v>
      </c>
      <c r="W26" s="169">
        <f t="shared" si="6"/>
        <v>1245.7</v>
      </c>
      <c r="X26" s="33">
        <f>V26*0.996</f>
        <v>1240.7172</v>
      </c>
      <c r="Y26" s="33">
        <f>X26*0.996</f>
        <v>1235.7543312</v>
      </c>
      <c r="Z26" s="33">
        <f>Y26*0.996</f>
        <v>1230.8113138752001</v>
      </c>
      <c r="AA26" s="33">
        <f>Z26*0.996</f>
        <v>1225.8880686196992</v>
      </c>
      <c r="AB26" s="169">
        <f t="shared" si="7"/>
        <v>1225.8880686196992</v>
      </c>
      <c r="AC26" s="33">
        <f>AA26*0.996</f>
        <v>1220.9845163452203</v>
      </c>
      <c r="AD26" s="33">
        <f>AC26*0.996</f>
        <v>1216.1005782798395</v>
      </c>
      <c r="AE26" s="33">
        <f>AD26*0.996</f>
        <v>1211.2361759667201</v>
      </c>
      <c r="AF26" s="33">
        <f>AE26*0.996</f>
        <v>1206.3912312628531</v>
      </c>
      <c r="AG26" s="169">
        <f t="shared" si="8"/>
        <v>1206.3912312628531</v>
      </c>
      <c r="AH26" s="33">
        <f>AF26*0.996</f>
        <v>1201.5656663378018</v>
      </c>
      <c r="AI26" s="33">
        <f>AH26*0.996</f>
        <v>1196.7594036724506</v>
      </c>
      <c r="AJ26" s="33">
        <f>AI26*0.996</f>
        <v>1191.9723660577608</v>
      </c>
      <c r="AK26" s="33">
        <f>AJ26*0.996</f>
        <v>1187.2044765935298</v>
      </c>
      <c r="AL26" s="169">
        <f t="shared" si="9"/>
        <v>1187.2044765935298</v>
      </c>
      <c r="AM26" s="33">
        <f>AK26*0.996</f>
        <v>1182.4556586871556</v>
      </c>
      <c r="AN26" s="33">
        <f>AM26*0.996</f>
        <v>1177.725836052407</v>
      </c>
      <c r="AO26" s="33">
        <f>AN26*0.996</f>
        <v>1173.0149327081974</v>
      </c>
      <c r="AP26" s="33">
        <f>AO26*0.996</f>
        <v>1168.3228729773646</v>
      </c>
      <c r="AQ26" s="169">
        <f t="shared" si="10"/>
        <v>1168.3228729773646</v>
      </c>
      <c r="AR26" s="33">
        <f>AP26*0.996</f>
        <v>1163.6495814854552</v>
      </c>
      <c r="AS26" s="33">
        <f>AR26*0.996</f>
        <v>1158.9949831595134</v>
      </c>
      <c r="AT26" s="33">
        <f>AS26*0.996</f>
        <v>1154.3590032268753</v>
      </c>
      <c r="AU26" s="33">
        <f>AT26*0.996</f>
        <v>1149.7415672139678</v>
      </c>
      <c r="AV26" s="169">
        <f t="shared" si="11"/>
        <v>1149.7415672139678</v>
      </c>
    </row>
    <row r="27" spans="1:48" outlineLevel="1" x14ac:dyDescent="0.3">
      <c r="A27" s="161"/>
      <c r="B27" s="200" t="s">
        <v>233</v>
      </c>
      <c r="C27" s="201"/>
      <c r="D27" s="101">
        <v>1554.2</v>
      </c>
      <c r="E27" s="101">
        <v>1311.4</v>
      </c>
      <c r="F27" s="101">
        <v>1300.2</v>
      </c>
      <c r="G27" s="101">
        <v>1269</v>
      </c>
      <c r="H27" s="169">
        <f t="shared" si="3"/>
        <v>1269</v>
      </c>
      <c r="I27" s="101">
        <v>1694.1</v>
      </c>
      <c r="J27" s="101">
        <v>1436.3</v>
      </c>
      <c r="K27" s="101">
        <v>1463.3</v>
      </c>
      <c r="L27" s="101">
        <v>1456.5</v>
      </c>
      <c r="M27" s="169">
        <f t="shared" si="4"/>
        <v>1456.5</v>
      </c>
      <c r="N27" s="101">
        <v>1871.2</v>
      </c>
      <c r="O27" s="101">
        <v>1622.1</v>
      </c>
      <c r="P27" s="101">
        <v>1628.3</v>
      </c>
      <c r="Q27" s="101">
        <v>1596.1</v>
      </c>
      <c r="R27" s="169">
        <f t="shared" si="5"/>
        <v>1596.1</v>
      </c>
      <c r="S27" s="101">
        <v>2070.6999999999998</v>
      </c>
      <c r="T27" s="101">
        <v>1781.6</v>
      </c>
      <c r="U27" s="101">
        <v>1723</v>
      </c>
      <c r="V27" s="101">
        <v>1641.9</v>
      </c>
      <c r="W27" s="169">
        <f t="shared" si="6"/>
        <v>1641.9</v>
      </c>
      <c r="X27" s="33">
        <f>V27*1.3</f>
        <v>2134.4700000000003</v>
      </c>
      <c r="Y27" s="33">
        <f>X27*0.85</f>
        <v>1814.2995000000001</v>
      </c>
      <c r="Z27" s="33">
        <f>Y27*0.99</f>
        <v>1796.1565050000002</v>
      </c>
      <c r="AA27" s="33">
        <f>Z27*0.99</f>
        <v>1778.1949399500002</v>
      </c>
      <c r="AB27" s="169">
        <f t="shared" si="7"/>
        <v>1778.1949399500002</v>
      </c>
      <c r="AC27" s="33">
        <f>AA27*1.3</f>
        <v>2311.6534219350001</v>
      </c>
      <c r="AD27" s="33">
        <f>AC27*0.85</f>
        <v>1964.90540864475</v>
      </c>
      <c r="AE27" s="33">
        <f>AD27*0.99</f>
        <v>1945.2563545583025</v>
      </c>
      <c r="AF27" s="33">
        <f>AE27*0.99</f>
        <v>1925.8037910127196</v>
      </c>
      <c r="AG27" s="169">
        <f t="shared" si="8"/>
        <v>1925.8037910127196</v>
      </c>
      <c r="AH27" s="33">
        <f>AF27*1.3</f>
        <v>2503.5449283165353</v>
      </c>
      <c r="AI27" s="33">
        <f>AH27*0.85</f>
        <v>2128.013189069055</v>
      </c>
      <c r="AJ27" s="33">
        <f>AI27*0.99</f>
        <v>2106.7330571783646</v>
      </c>
      <c r="AK27" s="33">
        <f>AJ27*0.99</f>
        <v>2085.6657266065808</v>
      </c>
      <c r="AL27" s="169">
        <f t="shared" si="9"/>
        <v>2085.6657266065808</v>
      </c>
      <c r="AM27" s="33">
        <f>AK27*1.3</f>
        <v>2711.3654445885554</v>
      </c>
      <c r="AN27" s="33">
        <f>AM27*0.85</f>
        <v>2304.6606279002722</v>
      </c>
      <c r="AO27" s="33">
        <f>AN27*0.99</f>
        <v>2281.6140216212693</v>
      </c>
      <c r="AP27" s="33">
        <f>AO27*0.99</f>
        <v>2258.7978814050566</v>
      </c>
      <c r="AQ27" s="169">
        <f t="shared" si="10"/>
        <v>2258.7978814050566</v>
      </c>
      <c r="AR27" s="33">
        <f>AP27*1.3</f>
        <v>2936.4372458265739</v>
      </c>
      <c r="AS27" s="33">
        <f>AR27*0.85</f>
        <v>2495.9716589525879</v>
      </c>
      <c r="AT27" s="33">
        <f>AS27*0.99</f>
        <v>2471.0119423630617</v>
      </c>
      <c r="AU27" s="33">
        <f>AT27*0.99</f>
        <v>2446.3018229394311</v>
      </c>
      <c r="AV27" s="169">
        <f t="shared" si="11"/>
        <v>2446.3018229394311</v>
      </c>
    </row>
    <row r="28" spans="1:48" outlineLevel="1" x14ac:dyDescent="0.3">
      <c r="A28" s="161"/>
      <c r="B28" s="200" t="s">
        <v>234</v>
      </c>
      <c r="C28" s="201"/>
      <c r="D28" s="101">
        <v>0</v>
      </c>
      <c r="E28" s="101">
        <f>75+0</f>
        <v>75</v>
      </c>
      <c r="F28" s="101">
        <v>0</v>
      </c>
      <c r="G28" s="101">
        <v>0</v>
      </c>
      <c r="H28" s="169">
        <f t="shared" si="3"/>
        <v>0</v>
      </c>
      <c r="I28" s="101">
        <f>497.9+498.7</f>
        <v>996.59999999999991</v>
      </c>
      <c r="J28" s="101">
        <f>1107.1+1249.4</f>
        <v>2356.5</v>
      </c>
      <c r="K28" s="101">
        <f>936.5+1249.6</f>
        <v>2186.1</v>
      </c>
      <c r="L28" s="101">
        <f>438.8+1249.9</f>
        <v>1688.7</v>
      </c>
      <c r="M28" s="169">
        <f t="shared" si="4"/>
        <v>1688.7</v>
      </c>
      <c r="N28" s="101">
        <f>492.6+750</f>
        <v>1242.5999999999999</v>
      </c>
      <c r="O28" s="101">
        <v>18.3</v>
      </c>
      <c r="P28" s="101">
        <v>998.9</v>
      </c>
      <c r="Q28" s="101">
        <v>998.9</v>
      </c>
      <c r="R28" s="169">
        <f t="shared" si="5"/>
        <v>998.9</v>
      </c>
      <c r="S28" s="101">
        <f>200+999.3</f>
        <v>1199.3</v>
      </c>
      <c r="T28" s="101">
        <v>1998.6</v>
      </c>
      <c r="U28" s="101">
        <f>200+999.1</f>
        <v>1199.0999999999999</v>
      </c>
      <c r="V28" s="101">
        <f>175+1749</f>
        <v>1924</v>
      </c>
      <c r="W28" s="169">
        <f t="shared" si="6"/>
        <v>1924</v>
      </c>
      <c r="X28" s="33">
        <f>V28-X59+X60</f>
        <v>1924</v>
      </c>
      <c r="Y28" s="33">
        <f>X28-Y59+Y60</f>
        <v>1674</v>
      </c>
      <c r="Z28" s="33">
        <f t="shared" ref="Z28:AA28" si="17">Y28-Z59+Z60</f>
        <v>2800.3</v>
      </c>
      <c r="AA28" s="33">
        <f t="shared" si="17"/>
        <v>2800.3</v>
      </c>
      <c r="AB28" s="169">
        <f t="shared" si="7"/>
        <v>2800.3</v>
      </c>
      <c r="AC28" s="33">
        <f>AA28-AC59+AC60</f>
        <v>2050.3000000000002</v>
      </c>
      <c r="AD28" s="33">
        <f t="shared" ref="AD28:AF28" si="18">AC28-AD59+AD60</f>
        <v>924.00000000000023</v>
      </c>
      <c r="AE28" s="33">
        <f t="shared" si="18"/>
        <v>924.00000000000023</v>
      </c>
      <c r="AF28" s="33">
        <f t="shared" si="18"/>
        <v>924.00000000000023</v>
      </c>
      <c r="AG28" s="169">
        <f t="shared" si="8"/>
        <v>924.00000000000023</v>
      </c>
      <c r="AH28" s="33">
        <f>AF28-AH59+AH60</f>
        <v>2174</v>
      </c>
      <c r="AI28" s="33">
        <f t="shared" ref="AI28:AK28" si="19">AH28-AI59+AI60</f>
        <v>2174</v>
      </c>
      <c r="AJ28" s="33">
        <f t="shared" si="19"/>
        <v>2174</v>
      </c>
      <c r="AK28" s="33">
        <f t="shared" si="19"/>
        <v>1424</v>
      </c>
      <c r="AL28" s="169">
        <f t="shared" si="9"/>
        <v>1424</v>
      </c>
      <c r="AM28" s="33">
        <f>AK28-AM59+AM60</f>
        <v>1424</v>
      </c>
      <c r="AN28" s="33">
        <f t="shared" ref="AN28:AP28" si="20">AM28-AN59+AN60</f>
        <v>1424</v>
      </c>
      <c r="AO28" s="33">
        <f t="shared" si="20"/>
        <v>1424</v>
      </c>
      <c r="AP28" s="33">
        <f t="shared" si="20"/>
        <v>1424</v>
      </c>
      <c r="AQ28" s="169">
        <f t="shared" si="10"/>
        <v>1424</v>
      </c>
      <c r="AR28" s="33">
        <f>AP28-AR59+AR60</f>
        <v>1424</v>
      </c>
      <c r="AS28" s="33">
        <f t="shared" ref="AS28:AU28" si="21">AR28-AS59+AS60</f>
        <v>924</v>
      </c>
      <c r="AT28" s="33">
        <f t="shared" si="21"/>
        <v>924</v>
      </c>
      <c r="AU28" s="33">
        <f t="shared" si="21"/>
        <v>924</v>
      </c>
      <c r="AV28" s="169">
        <f t="shared" si="11"/>
        <v>924</v>
      </c>
    </row>
    <row r="29" spans="1:48" ht="16.2" outlineLevel="1" x14ac:dyDescent="0.45">
      <c r="A29" s="161"/>
      <c r="B29" s="200" t="s">
        <v>235</v>
      </c>
      <c r="C29" s="201"/>
      <c r="D29" s="112">
        <v>208.8</v>
      </c>
      <c r="E29" s="112">
        <v>221</v>
      </c>
      <c r="F29" s="112">
        <v>211.5</v>
      </c>
      <c r="G29" s="112">
        <v>0</v>
      </c>
      <c r="H29" s="262">
        <f t="shared" si="3"/>
        <v>0</v>
      </c>
      <c r="I29" s="112">
        <v>0</v>
      </c>
      <c r="J29" s="112">
        <v>0</v>
      </c>
      <c r="K29" s="112">
        <v>0</v>
      </c>
      <c r="L29" s="112">
        <v>0</v>
      </c>
      <c r="M29" s="262">
        <f t="shared" si="4"/>
        <v>0</v>
      </c>
      <c r="N29" s="112">
        <v>0</v>
      </c>
      <c r="O29" s="112">
        <v>0</v>
      </c>
      <c r="P29" s="112">
        <v>0</v>
      </c>
      <c r="Q29" s="112">
        <v>0</v>
      </c>
      <c r="R29" s="262">
        <f t="shared" si="5"/>
        <v>0</v>
      </c>
      <c r="S29" s="112">
        <v>0</v>
      </c>
      <c r="T29" s="112">
        <v>0</v>
      </c>
      <c r="U29" s="112">
        <v>0</v>
      </c>
      <c r="V29" s="112">
        <v>0</v>
      </c>
      <c r="W29" s="262">
        <f t="shared" si="6"/>
        <v>0</v>
      </c>
      <c r="X29" s="32">
        <v>0</v>
      </c>
      <c r="Y29" s="32">
        <v>0</v>
      </c>
      <c r="Z29" s="32">
        <v>0</v>
      </c>
      <c r="AA29" s="32">
        <v>0</v>
      </c>
      <c r="AB29" s="262">
        <f t="shared" si="7"/>
        <v>0</v>
      </c>
      <c r="AC29" s="32">
        <v>0</v>
      </c>
      <c r="AD29" s="32">
        <v>0</v>
      </c>
      <c r="AE29" s="32">
        <v>0</v>
      </c>
      <c r="AF29" s="32">
        <v>0</v>
      </c>
      <c r="AG29" s="262">
        <f t="shared" si="8"/>
        <v>0</v>
      </c>
      <c r="AH29" s="32">
        <v>0</v>
      </c>
      <c r="AI29" s="32">
        <v>0</v>
      </c>
      <c r="AJ29" s="32">
        <v>0</v>
      </c>
      <c r="AK29" s="32">
        <v>0</v>
      </c>
      <c r="AL29" s="262">
        <f t="shared" si="9"/>
        <v>0</v>
      </c>
      <c r="AM29" s="32">
        <v>0</v>
      </c>
      <c r="AN29" s="32">
        <v>0</v>
      </c>
      <c r="AO29" s="32">
        <v>0</v>
      </c>
      <c r="AP29" s="32">
        <v>0</v>
      </c>
      <c r="AQ29" s="262">
        <f t="shared" si="10"/>
        <v>0</v>
      </c>
      <c r="AR29" s="32">
        <v>0</v>
      </c>
      <c r="AS29" s="32">
        <v>0</v>
      </c>
      <c r="AT29" s="32">
        <v>0</v>
      </c>
      <c r="AU29" s="32">
        <v>0</v>
      </c>
      <c r="AV29" s="262">
        <f t="shared" si="11"/>
        <v>0</v>
      </c>
    </row>
    <row r="30" spans="1:48" outlineLevel="1" x14ac:dyDescent="0.3">
      <c r="A30" s="161"/>
      <c r="B30" s="205" t="s">
        <v>236</v>
      </c>
      <c r="C30" s="201"/>
      <c r="D30" s="116">
        <f t="shared" ref="D30:K30" si="22">SUM(D22:D29)</f>
        <v>5427.5</v>
      </c>
      <c r="E30" s="116">
        <f t="shared" si="22"/>
        <v>5273.4</v>
      </c>
      <c r="F30" s="116">
        <f t="shared" si="22"/>
        <v>5895.8</v>
      </c>
      <c r="G30" s="116">
        <f t="shared" si="22"/>
        <v>6168.7</v>
      </c>
      <c r="H30" s="150">
        <f t="shared" si="22"/>
        <v>6168.7</v>
      </c>
      <c r="I30" s="116">
        <f t="shared" si="22"/>
        <v>8675.5</v>
      </c>
      <c r="J30" s="116">
        <f t="shared" si="22"/>
        <v>8265.7999999999993</v>
      </c>
      <c r="K30" s="116">
        <f t="shared" si="22"/>
        <v>8002</v>
      </c>
      <c r="L30" s="116">
        <f t="shared" ref="L30:AV30" si="23">SUM(L22:L28)</f>
        <v>7346.7999999999993</v>
      </c>
      <c r="M30" s="150">
        <f t="shared" si="23"/>
        <v>7346.7999999999993</v>
      </c>
      <c r="N30" s="116">
        <f t="shared" si="23"/>
        <v>7883.9</v>
      </c>
      <c r="O30" s="116">
        <f t="shared" si="23"/>
        <v>6505.0999999999995</v>
      </c>
      <c r="P30" s="116">
        <f t="shared" si="23"/>
        <v>7799.8</v>
      </c>
      <c r="Q30" s="116">
        <f t="shared" si="23"/>
        <v>8151.4</v>
      </c>
      <c r="R30" s="150">
        <f t="shared" si="23"/>
        <v>8151.4</v>
      </c>
      <c r="S30" s="116">
        <f t="shared" si="23"/>
        <v>8921.1</v>
      </c>
      <c r="T30" s="116">
        <f t="shared" si="23"/>
        <v>9104.3000000000011</v>
      </c>
      <c r="U30" s="116">
        <f t="shared" si="23"/>
        <v>8402.4</v>
      </c>
      <c r="V30" s="116">
        <f t="shared" si="23"/>
        <v>9151.7999999999993</v>
      </c>
      <c r="W30" s="150">
        <f t="shared" si="23"/>
        <v>9151.7999999999993</v>
      </c>
      <c r="X30" s="116">
        <f t="shared" si="23"/>
        <v>9609.873637936862</v>
      </c>
      <c r="Y30" s="116">
        <f t="shared" si="23"/>
        <v>9022.8068273393546</v>
      </c>
      <c r="Z30" s="116">
        <f t="shared" si="23"/>
        <v>10356.088114534576</v>
      </c>
      <c r="AA30" s="116">
        <f t="shared" si="23"/>
        <v>10210.483387223157</v>
      </c>
      <c r="AB30" s="150">
        <f t="shared" si="23"/>
        <v>10210.483387223157</v>
      </c>
      <c r="AC30" s="116">
        <f t="shared" si="23"/>
        <v>10028.208745942353</v>
      </c>
      <c r="AD30" s="116">
        <f t="shared" si="23"/>
        <v>8528.9736061252315</v>
      </c>
      <c r="AE30" s="116">
        <f t="shared" si="23"/>
        <v>8727.5910811189533</v>
      </c>
      <c r="AF30" s="116">
        <f t="shared" si="23"/>
        <v>8650.2740469390064</v>
      </c>
      <c r="AG30" s="150">
        <f t="shared" si="23"/>
        <v>8650.2740469390064</v>
      </c>
      <c r="AH30" s="116">
        <f t="shared" si="23"/>
        <v>10485.914910047904</v>
      </c>
      <c r="AI30" s="116">
        <f t="shared" si="23"/>
        <v>10090.342275544986</v>
      </c>
      <c r="AJ30" s="116">
        <f t="shared" si="23"/>
        <v>10333.330424506135</v>
      </c>
      <c r="AK30" s="116">
        <f t="shared" si="23"/>
        <v>9504.3766004767858</v>
      </c>
      <c r="AL30" s="150">
        <f t="shared" si="23"/>
        <v>9504.3766004767858</v>
      </c>
      <c r="AM30" s="116">
        <f t="shared" si="23"/>
        <v>10087.947732952231</v>
      </c>
      <c r="AN30" s="116">
        <f t="shared" si="23"/>
        <v>9638.9139018090154</v>
      </c>
      <c r="AO30" s="116">
        <f t="shared" si="23"/>
        <v>9892.848003636087</v>
      </c>
      <c r="AP30" s="116">
        <f t="shared" si="23"/>
        <v>9798.5898592844806</v>
      </c>
      <c r="AQ30" s="150">
        <f t="shared" si="23"/>
        <v>9798.5898592844806</v>
      </c>
      <c r="AR30" s="116">
        <f t="shared" si="23"/>
        <v>10417.423129500899</v>
      </c>
      <c r="AS30" s="116">
        <f t="shared" si="23"/>
        <v>9432.2739674107142</v>
      </c>
      <c r="AT30" s="116">
        <f t="shared" si="23"/>
        <v>9692.7479376613373</v>
      </c>
      <c r="AU30" s="116">
        <f t="shared" si="23"/>
        <v>9599.8551085201307</v>
      </c>
      <c r="AV30" s="150">
        <f t="shared" si="23"/>
        <v>9599.8551085201307</v>
      </c>
    </row>
    <row r="31" spans="1:48" outlineLevel="1" x14ac:dyDescent="0.3">
      <c r="A31" s="161"/>
      <c r="B31" s="200" t="s">
        <v>237</v>
      </c>
      <c r="C31" s="201"/>
      <c r="D31" s="101">
        <v>9130.7000000000007</v>
      </c>
      <c r="E31" s="101">
        <v>9141.5</v>
      </c>
      <c r="F31" s="101">
        <v>11159.1</v>
      </c>
      <c r="G31" s="101">
        <v>11167</v>
      </c>
      <c r="H31" s="169">
        <f>G31</f>
        <v>11167</v>
      </c>
      <c r="I31" s="101">
        <v>10653.2</v>
      </c>
      <c r="J31" s="101">
        <v>11658.7</v>
      </c>
      <c r="K31" s="101">
        <v>14645.6</v>
      </c>
      <c r="L31" s="101">
        <v>14659.6</v>
      </c>
      <c r="M31" s="169">
        <f>L31</f>
        <v>14659.6</v>
      </c>
      <c r="N31" s="101">
        <v>14673.5</v>
      </c>
      <c r="O31" s="101">
        <v>14630.3</v>
      </c>
      <c r="P31" s="101">
        <v>13619.2</v>
      </c>
      <c r="Q31" s="101">
        <v>13616.9</v>
      </c>
      <c r="R31" s="169">
        <f>Q31</f>
        <v>13616.9</v>
      </c>
      <c r="S31" s="101">
        <v>13586.3</v>
      </c>
      <c r="T31" s="101">
        <v>14014.4</v>
      </c>
      <c r="U31" s="101">
        <v>13930.8</v>
      </c>
      <c r="V31" s="101">
        <v>13119.9</v>
      </c>
      <c r="W31" s="169">
        <f>V31</f>
        <v>13119.9</v>
      </c>
      <c r="X31" s="33">
        <f>V31-X60+X61</f>
        <v>13119.9</v>
      </c>
      <c r="Y31" s="33">
        <f>X31-Y60+Y61</f>
        <v>13369.9</v>
      </c>
      <c r="Z31" s="33">
        <f>Y31-Z60+Z61</f>
        <v>12243.6</v>
      </c>
      <c r="AA31" s="33">
        <f>Z31-AA60+AA61</f>
        <v>12243.6</v>
      </c>
      <c r="AB31" s="169">
        <f>AA31</f>
        <v>12243.6</v>
      </c>
      <c r="AC31" s="33">
        <f>AA31-AC60+AC61</f>
        <v>12993.6</v>
      </c>
      <c r="AD31" s="33">
        <f>AC31-AD60+AD61</f>
        <v>14119.6</v>
      </c>
      <c r="AE31" s="33">
        <f>AD31-AE60+AE61</f>
        <v>14119.6</v>
      </c>
      <c r="AF31" s="33">
        <f>AE31-AF60+AF61</f>
        <v>14219.6</v>
      </c>
      <c r="AG31" s="169">
        <f>AF31</f>
        <v>14219.6</v>
      </c>
      <c r="AH31" s="33">
        <f>AF31-AH60+AH61</f>
        <v>12969.6</v>
      </c>
      <c r="AI31" s="33">
        <f>AH31-AI60+AI61</f>
        <v>12969.6</v>
      </c>
      <c r="AJ31" s="33">
        <f>AI31-AJ60+AJ61</f>
        <v>18511.581197315179</v>
      </c>
      <c r="AK31" s="33">
        <f>AJ31-AK60+AK61</f>
        <v>19261.581197315179</v>
      </c>
      <c r="AL31" s="169">
        <f>AK31</f>
        <v>19261.581197315179</v>
      </c>
      <c r="AM31" s="33">
        <f>AK31-AM60+AM61</f>
        <v>19261.581197315179</v>
      </c>
      <c r="AN31" s="33">
        <f>AM31-AN60+AN61</f>
        <v>19261.581197315179</v>
      </c>
      <c r="AO31" s="33">
        <f>AN31-AO60+AO61</f>
        <v>19261.581197315179</v>
      </c>
      <c r="AP31" s="33">
        <f>AO31-AP60+AP61</f>
        <v>19261.581197315179</v>
      </c>
      <c r="AQ31" s="169">
        <f>AP31</f>
        <v>19261.581197315179</v>
      </c>
      <c r="AR31" s="33">
        <f>AP31-AR60+AR61</f>
        <v>19261.581197315179</v>
      </c>
      <c r="AS31" s="33">
        <f>AR31-AS60+AS61</f>
        <v>19761.581197315179</v>
      </c>
      <c r="AT31" s="33">
        <f>AS31-AT60+AT61</f>
        <v>19761.581197315179</v>
      </c>
      <c r="AU31" s="33">
        <f>AT31-AU60+AU61</f>
        <v>19761.581197315179</v>
      </c>
      <c r="AV31" s="169">
        <f>AU31</f>
        <v>19761.581197315179</v>
      </c>
    </row>
    <row r="32" spans="1:48" outlineLevel="1" x14ac:dyDescent="0.3">
      <c r="A32" s="161"/>
      <c r="B32" s="200" t="s">
        <v>238</v>
      </c>
      <c r="C32" s="207"/>
      <c r="D32" s="101">
        <v>0</v>
      </c>
      <c r="E32" s="101">
        <v>0</v>
      </c>
      <c r="F32" s="101">
        <v>0</v>
      </c>
      <c r="G32" s="101">
        <v>0</v>
      </c>
      <c r="H32" s="169">
        <f>G32</f>
        <v>0</v>
      </c>
      <c r="I32" s="101">
        <v>7711.7</v>
      </c>
      <c r="J32" s="101">
        <v>7650.4</v>
      </c>
      <c r="K32" s="101">
        <v>7653.6</v>
      </c>
      <c r="L32" s="101">
        <v>7661.7</v>
      </c>
      <c r="M32" s="169">
        <f>L32</f>
        <v>7661.7</v>
      </c>
      <c r="N32" s="101">
        <v>7754.5</v>
      </c>
      <c r="O32" s="101">
        <v>7577.7</v>
      </c>
      <c r="P32" s="101">
        <v>7597.8</v>
      </c>
      <c r="Q32" s="101">
        <v>7738</v>
      </c>
      <c r="R32" s="169">
        <f>Q32</f>
        <v>7738</v>
      </c>
      <c r="S32" s="101">
        <v>7708</v>
      </c>
      <c r="T32" s="101">
        <v>7668.5</v>
      </c>
      <c r="U32" s="101">
        <v>7554.4</v>
      </c>
      <c r="V32" s="101">
        <v>7515.2</v>
      </c>
      <c r="W32" s="169">
        <f>V32</f>
        <v>7515.2</v>
      </c>
      <c r="X32" s="33">
        <f>V32*0.996</f>
        <v>7485.1391999999996</v>
      </c>
      <c r="Y32" s="33">
        <f t="shared" ref="Y32:AA32" si="24">X32*0.996</f>
        <v>7455.1986431999994</v>
      </c>
      <c r="Z32" s="33">
        <f t="shared" si="24"/>
        <v>7425.3778486271995</v>
      </c>
      <c r="AA32" s="33">
        <f t="shared" si="24"/>
        <v>7395.6763372326905</v>
      </c>
      <c r="AB32" s="169">
        <f>AA32</f>
        <v>7395.6763372326905</v>
      </c>
      <c r="AC32" s="33">
        <f>AA32*0.996</f>
        <v>7366.0936318837594</v>
      </c>
      <c r="AD32" s="33">
        <f t="shared" ref="AD32:AF32" si="25">AC32*0.996</f>
        <v>7336.6292573562241</v>
      </c>
      <c r="AE32" s="33">
        <f t="shared" si="25"/>
        <v>7307.2827403267993</v>
      </c>
      <c r="AF32" s="33">
        <f t="shared" si="25"/>
        <v>7278.0536093654919</v>
      </c>
      <c r="AG32" s="169">
        <f>AF32</f>
        <v>7278.0536093654919</v>
      </c>
      <c r="AH32" s="33">
        <f>AF32*0.996</f>
        <v>7248.9413949280297</v>
      </c>
      <c r="AI32" s="33">
        <f t="shared" ref="AI32:AK32" si="26">AH32*0.996</f>
        <v>7219.9456293483172</v>
      </c>
      <c r="AJ32" s="33">
        <f t="shared" si="26"/>
        <v>7191.0658468309239</v>
      </c>
      <c r="AK32" s="33">
        <f t="shared" si="26"/>
        <v>7162.3015834436001</v>
      </c>
      <c r="AL32" s="169">
        <f>AK32</f>
        <v>7162.3015834436001</v>
      </c>
      <c r="AM32" s="33">
        <f>AK32*0.996</f>
        <v>7133.6523771098255</v>
      </c>
      <c r="AN32" s="33">
        <f t="shared" ref="AN32:AP32" si="27">AM32*0.996</f>
        <v>7105.1177676013858</v>
      </c>
      <c r="AO32" s="33">
        <f t="shared" si="27"/>
        <v>7076.6972965309806</v>
      </c>
      <c r="AP32" s="33">
        <f t="shared" si="27"/>
        <v>7048.3905073448568</v>
      </c>
      <c r="AQ32" s="169">
        <f>AP32</f>
        <v>7048.3905073448568</v>
      </c>
      <c r="AR32" s="33">
        <f>AP32*0.996</f>
        <v>7020.196945315477</v>
      </c>
      <c r="AS32" s="33">
        <f t="shared" ref="AS32:AU32" si="28">AR32*0.996</f>
        <v>6992.1161575342148</v>
      </c>
      <c r="AT32" s="33">
        <f t="shared" si="28"/>
        <v>6964.1476929040782</v>
      </c>
      <c r="AU32" s="33">
        <f t="shared" si="28"/>
        <v>6936.2911021324617</v>
      </c>
      <c r="AV32" s="169">
        <f>AU32</f>
        <v>6936.2911021324617</v>
      </c>
    </row>
    <row r="33" spans="1:48" outlineLevel="1" x14ac:dyDescent="0.3">
      <c r="A33" s="161"/>
      <c r="B33" s="200" t="s">
        <v>239</v>
      </c>
      <c r="C33" s="207"/>
      <c r="D33" s="101">
        <v>6823.7</v>
      </c>
      <c r="E33" s="101">
        <v>6761.9</v>
      </c>
      <c r="F33" s="101">
        <v>6717.9</v>
      </c>
      <c r="G33" s="101">
        <v>6744.4</v>
      </c>
      <c r="H33" s="169">
        <f>G33</f>
        <v>6744.4</v>
      </c>
      <c r="I33" s="101">
        <v>6748.8</v>
      </c>
      <c r="J33" s="101">
        <v>6685.5</v>
      </c>
      <c r="K33" s="101">
        <v>6642.6</v>
      </c>
      <c r="L33" s="101">
        <v>6598.5</v>
      </c>
      <c r="M33" s="169">
        <f>L33</f>
        <v>6598.5</v>
      </c>
      <c r="N33" s="101">
        <v>6597.7</v>
      </c>
      <c r="O33" s="101">
        <v>6532.1</v>
      </c>
      <c r="P33" s="101">
        <v>6491.4</v>
      </c>
      <c r="Q33" s="101">
        <v>6463</v>
      </c>
      <c r="R33" s="169">
        <f>Q33</f>
        <v>6463</v>
      </c>
      <c r="S33" s="101">
        <v>6447.7</v>
      </c>
      <c r="T33" s="101">
        <v>6381.9</v>
      </c>
      <c r="U33" s="101">
        <v>6333.1</v>
      </c>
      <c r="V33" s="101">
        <v>6279.7</v>
      </c>
      <c r="W33" s="169">
        <f>V33</f>
        <v>6279.7</v>
      </c>
      <c r="X33" s="33">
        <f>V33*0.995</f>
        <v>6248.3014999999996</v>
      </c>
      <c r="Y33" s="33">
        <f>X33*0.995</f>
        <v>6217.0599924999997</v>
      </c>
      <c r="Z33" s="33">
        <f>Y33*0.995</f>
        <v>6185.9746925374993</v>
      </c>
      <c r="AA33" s="33">
        <f>Z33*0.995</f>
        <v>6155.044819074812</v>
      </c>
      <c r="AB33" s="169">
        <f>AA33</f>
        <v>6155.044819074812</v>
      </c>
      <c r="AC33" s="33">
        <f>AA33*0.995</f>
        <v>6124.2695949794379</v>
      </c>
      <c r="AD33" s="33">
        <f>AC33*0.995</f>
        <v>6093.6482470045403</v>
      </c>
      <c r="AE33" s="33">
        <f>AD33*0.995</f>
        <v>6063.1800057695173</v>
      </c>
      <c r="AF33" s="33">
        <f>AE33*0.995</f>
        <v>6032.8641057406694</v>
      </c>
      <c r="AG33" s="169">
        <f>AF33</f>
        <v>6032.8641057406694</v>
      </c>
      <c r="AH33" s="33">
        <f>AF33*0.995</f>
        <v>6002.6997852119657</v>
      </c>
      <c r="AI33" s="33">
        <f>AH33*0.995</f>
        <v>5972.6862862859061</v>
      </c>
      <c r="AJ33" s="33">
        <f>AI33*0.995</f>
        <v>5942.8228548544766</v>
      </c>
      <c r="AK33" s="33">
        <f>AJ33*0.995</f>
        <v>5913.1087405802045</v>
      </c>
      <c r="AL33" s="169">
        <f>AK33</f>
        <v>5913.1087405802045</v>
      </c>
      <c r="AM33" s="33">
        <f>AK33*0.995</f>
        <v>5883.5431968773037</v>
      </c>
      <c r="AN33" s="33">
        <f>AM33*0.995</f>
        <v>5854.125480892917</v>
      </c>
      <c r="AO33" s="33">
        <f>AN33*0.995</f>
        <v>5824.8548534884521</v>
      </c>
      <c r="AP33" s="33">
        <f>AO33*0.995</f>
        <v>5795.73057922101</v>
      </c>
      <c r="AQ33" s="169">
        <f>AP33</f>
        <v>5795.73057922101</v>
      </c>
      <c r="AR33" s="33">
        <f>AP33*0.995</f>
        <v>5766.7519263249051</v>
      </c>
      <c r="AS33" s="33">
        <f>AR33*0.995</f>
        <v>5737.9181666932809</v>
      </c>
      <c r="AT33" s="33">
        <f>AS33*0.995</f>
        <v>5709.2285758598146</v>
      </c>
      <c r="AU33" s="33">
        <f>AT33*0.995</f>
        <v>5680.6824329805158</v>
      </c>
      <c r="AV33" s="169">
        <f>AU33</f>
        <v>5680.6824329805158</v>
      </c>
    </row>
    <row r="34" spans="1:48" ht="15.75" customHeight="1" outlineLevel="1" x14ac:dyDescent="0.45">
      <c r="A34" s="161"/>
      <c r="B34" s="486" t="s">
        <v>240</v>
      </c>
      <c r="C34" s="487"/>
      <c r="D34" s="112">
        <v>1478.2</v>
      </c>
      <c r="E34" s="112">
        <v>1500.3</v>
      </c>
      <c r="F34" s="112">
        <v>1440.6</v>
      </c>
      <c r="G34" s="112">
        <v>1370.5</v>
      </c>
      <c r="H34" s="262">
        <f>G34</f>
        <v>1370.5</v>
      </c>
      <c r="I34" s="112">
        <v>701.2</v>
      </c>
      <c r="J34" s="112">
        <v>751.4</v>
      </c>
      <c r="K34" s="112">
        <v>821.1</v>
      </c>
      <c r="L34" s="112">
        <v>907.3</v>
      </c>
      <c r="M34" s="262">
        <f>L34</f>
        <v>907.3</v>
      </c>
      <c r="N34" s="112">
        <v>962.8</v>
      </c>
      <c r="O34" s="112">
        <v>774.8</v>
      </c>
      <c r="P34" s="112">
        <v>762.9</v>
      </c>
      <c r="Q34" s="112">
        <v>737.8</v>
      </c>
      <c r="R34" s="262">
        <f>Q34</f>
        <v>737.8</v>
      </c>
      <c r="S34" s="112">
        <v>621.1</v>
      </c>
      <c r="T34" s="112">
        <v>613.6</v>
      </c>
      <c r="U34" s="112">
        <v>594.4</v>
      </c>
      <c r="V34" s="112">
        <v>610.5</v>
      </c>
      <c r="W34" s="262">
        <f>V34</f>
        <v>610.5</v>
      </c>
      <c r="X34" s="32">
        <f>V34</f>
        <v>610.5</v>
      </c>
      <c r="Y34" s="32">
        <f>X34</f>
        <v>610.5</v>
      </c>
      <c r="Z34" s="32">
        <f>Y34</f>
        <v>610.5</v>
      </c>
      <c r="AA34" s="32">
        <f>Z34</f>
        <v>610.5</v>
      </c>
      <c r="AB34" s="262">
        <f>AA34</f>
        <v>610.5</v>
      </c>
      <c r="AC34" s="32">
        <f>AA34</f>
        <v>610.5</v>
      </c>
      <c r="AD34" s="32">
        <f>AC34</f>
        <v>610.5</v>
      </c>
      <c r="AE34" s="32">
        <f>AD34</f>
        <v>610.5</v>
      </c>
      <c r="AF34" s="32">
        <f>AE34</f>
        <v>610.5</v>
      </c>
      <c r="AG34" s="262">
        <f>AF34</f>
        <v>610.5</v>
      </c>
      <c r="AH34" s="32">
        <f>AF34</f>
        <v>610.5</v>
      </c>
      <c r="AI34" s="32">
        <f>AH34</f>
        <v>610.5</v>
      </c>
      <c r="AJ34" s="32">
        <f>AI34</f>
        <v>610.5</v>
      </c>
      <c r="AK34" s="32">
        <f>AJ34</f>
        <v>610.5</v>
      </c>
      <c r="AL34" s="262">
        <f>AK34</f>
        <v>610.5</v>
      </c>
      <c r="AM34" s="32">
        <f>AK34</f>
        <v>610.5</v>
      </c>
      <c r="AN34" s="32">
        <f>AM34</f>
        <v>610.5</v>
      </c>
      <c r="AO34" s="32">
        <f>AN34</f>
        <v>610.5</v>
      </c>
      <c r="AP34" s="32">
        <f>AO34</f>
        <v>610.5</v>
      </c>
      <c r="AQ34" s="262">
        <f>AP34</f>
        <v>610.5</v>
      </c>
      <c r="AR34" s="32">
        <f>AP34</f>
        <v>610.5</v>
      </c>
      <c r="AS34" s="32">
        <f>AR34</f>
        <v>610.5</v>
      </c>
      <c r="AT34" s="32">
        <f>AS34</f>
        <v>610.5</v>
      </c>
      <c r="AU34" s="32">
        <f>AT34</f>
        <v>610.5</v>
      </c>
      <c r="AV34" s="262">
        <f>AU34</f>
        <v>610.5</v>
      </c>
    </row>
    <row r="35" spans="1:48" outlineLevel="1" x14ac:dyDescent="0.3">
      <c r="A35" s="161"/>
      <c r="B35" s="525" t="s">
        <v>241</v>
      </c>
      <c r="C35" s="526"/>
      <c r="D35" s="116">
        <f t="shared" ref="D35:AV35" si="29">SUM(D30:D34)</f>
        <v>22860.100000000002</v>
      </c>
      <c r="E35" s="116">
        <f t="shared" si="29"/>
        <v>22677.1</v>
      </c>
      <c r="F35" s="116">
        <f t="shared" si="29"/>
        <v>25213.4</v>
      </c>
      <c r="G35" s="116">
        <f t="shared" si="29"/>
        <v>25450.6</v>
      </c>
      <c r="H35" s="150">
        <f t="shared" si="29"/>
        <v>25450.6</v>
      </c>
      <c r="I35" s="116">
        <f t="shared" si="29"/>
        <v>34490.400000000001</v>
      </c>
      <c r="J35" s="116">
        <f t="shared" si="29"/>
        <v>35011.800000000003</v>
      </c>
      <c r="K35" s="116">
        <f t="shared" si="29"/>
        <v>37764.899999999994</v>
      </c>
      <c r="L35" s="116">
        <f t="shared" si="29"/>
        <v>37173.900000000009</v>
      </c>
      <c r="M35" s="150">
        <f t="shared" si="29"/>
        <v>37173.900000000009</v>
      </c>
      <c r="N35" s="116">
        <f t="shared" si="29"/>
        <v>37872.400000000001</v>
      </c>
      <c r="O35" s="116">
        <f t="shared" si="29"/>
        <v>36020</v>
      </c>
      <c r="P35" s="116">
        <f t="shared" si="29"/>
        <v>36271.1</v>
      </c>
      <c r="Q35" s="116">
        <f t="shared" si="29"/>
        <v>36707.100000000006</v>
      </c>
      <c r="R35" s="150">
        <f t="shared" si="29"/>
        <v>36707.100000000006</v>
      </c>
      <c r="S35" s="116">
        <f t="shared" si="29"/>
        <v>37284.199999999997</v>
      </c>
      <c r="T35" s="116">
        <f t="shared" si="29"/>
        <v>37782.699999999997</v>
      </c>
      <c r="U35" s="116">
        <f t="shared" si="29"/>
        <v>36815.1</v>
      </c>
      <c r="V35" s="116">
        <f t="shared" si="29"/>
        <v>36677.1</v>
      </c>
      <c r="W35" s="150">
        <f t="shared" si="29"/>
        <v>36677.1</v>
      </c>
      <c r="X35" s="116">
        <f t="shared" si="29"/>
        <v>37073.714337936864</v>
      </c>
      <c r="Y35" s="116">
        <f t="shared" si="29"/>
        <v>36675.465463039349</v>
      </c>
      <c r="Z35" s="116">
        <f t="shared" si="29"/>
        <v>36821.540655699275</v>
      </c>
      <c r="AA35" s="116">
        <f t="shared" si="29"/>
        <v>36615.304543530663</v>
      </c>
      <c r="AB35" s="150">
        <f t="shared" si="29"/>
        <v>36615.304543530663</v>
      </c>
      <c r="AC35" s="116">
        <f t="shared" si="29"/>
        <v>37122.671972805554</v>
      </c>
      <c r="AD35" s="116">
        <f t="shared" si="29"/>
        <v>36689.351110485994</v>
      </c>
      <c r="AE35" s="116">
        <f t="shared" si="29"/>
        <v>36828.153827215268</v>
      </c>
      <c r="AF35" s="116">
        <f t="shared" si="29"/>
        <v>36791.29176204517</v>
      </c>
      <c r="AG35" s="150">
        <f t="shared" si="29"/>
        <v>36791.29176204517</v>
      </c>
      <c r="AH35" s="116">
        <f t="shared" si="29"/>
        <v>37317.656090187898</v>
      </c>
      <c r="AI35" s="116">
        <f t="shared" si="29"/>
        <v>36863.074191179207</v>
      </c>
      <c r="AJ35" s="116">
        <f t="shared" si="29"/>
        <v>42589.300323506723</v>
      </c>
      <c r="AK35" s="116">
        <f t="shared" si="29"/>
        <v>42451.868121815765</v>
      </c>
      <c r="AL35" s="150">
        <f t="shared" si="29"/>
        <v>42451.868121815765</v>
      </c>
      <c r="AM35" s="116">
        <f t="shared" si="29"/>
        <v>42977.22450425454</v>
      </c>
      <c r="AN35" s="116">
        <f t="shared" si="29"/>
        <v>42470.238347618491</v>
      </c>
      <c r="AO35" s="116">
        <f t="shared" si="29"/>
        <v>42666.481350970702</v>
      </c>
      <c r="AP35" s="116">
        <f t="shared" si="29"/>
        <v>42514.792143165527</v>
      </c>
      <c r="AQ35" s="150">
        <f t="shared" si="29"/>
        <v>42514.792143165527</v>
      </c>
      <c r="AR35" s="116">
        <f t="shared" si="29"/>
        <v>43076.45319845646</v>
      </c>
      <c r="AS35" s="116">
        <f t="shared" si="29"/>
        <v>42534.389488953384</v>
      </c>
      <c r="AT35" s="116">
        <f t="shared" si="29"/>
        <v>42738.205403740409</v>
      </c>
      <c r="AU35" s="116">
        <f t="shared" si="29"/>
        <v>42588.90984094829</v>
      </c>
      <c r="AV35" s="150">
        <f t="shared" si="29"/>
        <v>42588.90984094829</v>
      </c>
    </row>
    <row r="36" spans="1:48" ht="17.399999999999999" x14ac:dyDescent="0.45">
      <c r="B36" s="494" t="s">
        <v>242</v>
      </c>
      <c r="C36" s="495"/>
      <c r="D36" s="14" t="s">
        <v>19</v>
      </c>
      <c r="E36" s="14" t="s">
        <v>81</v>
      </c>
      <c r="F36" s="14" t="s">
        <v>85</v>
      </c>
      <c r="G36" s="14" t="s">
        <v>95</v>
      </c>
      <c r="H36" s="40" t="s">
        <v>96</v>
      </c>
      <c r="I36" s="14" t="s">
        <v>97</v>
      </c>
      <c r="J36" s="14" t="s">
        <v>98</v>
      </c>
      <c r="K36" s="14" t="s">
        <v>99</v>
      </c>
      <c r="L36" s="14" t="s">
        <v>142</v>
      </c>
      <c r="M36" s="40" t="s">
        <v>143</v>
      </c>
      <c r="N36" s="14" t="s">
        <v>149</v>
      </c>
      <c r="O36" s="14" t="s">
        <v>157</v>
      </c>
      <c r="P36" s="14" t="s">
        <v>159</v>
      </c>
      <c r="Q36" s="14" t="s">
        <v>172</v>
      </c>
      <c r="R36" s="40" t="s">
        <v>173</v>
      </c>
      <c r="S36" s="14" t="s">
        <v>188</v>
      </c>
      <c r="T36" s="14" t="s">
        <v>189</v>
      </c>
      <c r="U36" s="14" t="s">
        <v>204</v>
      </c>
      <c r="V36" s="14" t="s">
        <v>347</v>
      </c>
      <c r="W36" s="40" t="s">
        <v>348</v>
      </c>
      <c r="X36" s="263" t="s">
        <v>27</v>
      </c>
      <c r="Y36" s="263" t="s">
        <v>28</v>
      </c>
      <c r="Z36" s="263" t="s">
        <v>29</v>
      </c>
      <c r="AA36" s="263" t="s">
        <v>30</v>
      </c>
      <c r="AB36" s="264" t="s">
        <v>31</v>
      </c>
      <c r="AC36" s="12" t="s">
        <v>90</v>
      </c>
      <c r="AD36" s="12" t="s">
        <v>91</v>
      </c>
      <c r="AE36" s="12" t="s">
        <v>92</v>
      </c>
      <c r="AF36" s="12" t="s">
        <v>93</v>
      </c>
      <c r="AG36" s="42" t="s">
        <v>94</v>
      </c>
      <c r="AH36" s="12" t="s">
        <v>109</v>
      </c>
      <c r="AI36" s="12" t="s">
        <v>110</v>
      </c>
      <c r="AJ36" s="12" t="s">
        <v>111</v>
      </c>
      <c r="AK36" s="12" t="s">
        <v>112</v>
      </c>
      <c r="AL36" s="42" t="s">
        <v>113</v>
      </c>
      <c r="AM36" s="12" t="s">
        <v>164</v>
      </c>
      <c r="AN36" s="12" t="s">
        <v>165</v>
      </c>
      <c r="AO36" s="12" t="s">
        <v>166</v>
      </c>
      <c r="AP36" s="12" t="s">
        <v>167</v>
      </c>
      <c r="AQ36" s="42" t="s">
        <v>168</v>
      </c>
      <c r="AR36" s="12" t="s">
        <v>195</v>
      </c>
      <c r="AS36" s="12" t="s">
        <v>196</v>
      </c>
      <c r="AT36" s="12" t="s">
        <v>197</v>
      </c>
      <c r="AU36" s="12" t="s">
        <v>198</v>
      </c>
      <c r="AV36" s="42" t="s">
        <v>199</v>
      </c>
    </row>
    <row r="37" spans="1:48" outlineLevel="1" x14ac:dyDescent="0.3">
      <c r="B37" s="486" t="s">
        <v>243</v>
      </c>
      <c r="C37" s="487"/>
      <c r="D37" s="16">
        <f>1.2+41.1</f>
        <v>42.300000000000004</v>
      </c>
      <c r="E37" s="16">
        <f>1.2+41.1</f>
        <v>42.300000000000004</v>
      </c>
      <c r="F37" s="16">
        <f>1.2+41.1</f>
        <v>42.300000000000004</v>
      </c>
      <c r="G37" s="16">
        <f>1.2+41.1</f>
        <v>42.300000000000004</v>
      </c>
      <c r="H37" s="17">
        <f>G37</f>
        <v>42.300000000000004</v>
      </c>
      <c r="I37" s="16">
        <f>1.2+41.1</f>
        <v>42.300000000000004</v>
      </c>
      <c r="J37" s="16">
        <f>1.2+41.1</f>
        <v>42.300000000000004</v>
      </c>
      <c r="K37" s="16">
        <f>1.2+115.4</f>
        <v>116.60000000000001</v>
      </c>
      <c r="L37" s="16">
        <f>1.2+373.9</f>
        <v>375.09999999999997</v>
      </c>
      <c r="M37" s="17">
        <f>L37</f>
        <v>375.09999999999997</v>
      </c>
      <c r="N37" s="16">
        <f>1.2+488.6</f>
        <v>489.8</v>
      </c>
      <c r="O37" s="16">
        <f>1.2+595.4</f>
        <v>596.6</v>
      </c>
      <c r="P37" s="16">
        <f>1.2+729.3</f>
        <v>730.5</v>
      </c>
      <c r="Q37" s="16">
        <f>1.2+846.1</f>
        <v>847.30000000000007</v>
      </c>
      <c r="R37" s="17">
        <f>Q37</f>
        <v>847.30000000000007</v>
      </c>
      <c r="S37" s="16">
        <f>1.2+41.1</f>
        <v>42.300000000000004</v>
      </c>
      <c r="T37" s="16">
        <f>1.1+41.1</f>
        <v>42.2</v>
      </c>
      <c r="U37" s="16">
        <f>1.1+117.1</f>
        <v>118.19999999999999</v>
      </c>
      <c r="V37" s="16">
        <f>1.1+205.3</f>
        <v>206.4</v>
      </c>
      <c r="W37" s="17">
        <f>V37</f>
        <v>206.4</v>
      </c>
      <c r="X37" s="16">
        <f>+V37+'CFS (Before Changes) '!X12+'CFS (Before Changes) '!X35</f>
        <v>275.62241864383759</v>
      </c>
      <c r="Y37" s="16">
        <f>+X37+'CFS (Before Changes) '!Y12+'CFS (Before Changes) '!Y35</f>
        <v>335.69341238944276</v>
      </c>
      <c r="Z37" s="16">
        <f>+Y37+'CFS (Before Changes) '!Z12+'CFS (Before Changes) '!Z35</f>
        <v>402.66346489721246</v>
      </c>
      <c r="AA37" s="16">
        <f>+Z37+'CFS (Before Changes) '!AA12+'CFS (Before Changes) '!AA35</f>
        <v>473.23869323034688</v>
      </c>
      <c r="AB37" s="17">
        <f>AA37</f>
        <v>473.23869323034688</v>
      </c>
      <c r="AC37" s="16">
        <f>+AA37+'CFS (Before Changes) '!AC12+'CFS (Before Changes) '!AC35</f>
        <v>545.92611459269835</v>
      </c>
      <c r="AD37" s="16">
        <f>+AC37+'CFS (Before Changes) '!AD12+'CFS (Before Changes) '!AD35</f>
        <v>613.44781780684241</v>
      </c>
      <c r="AE37" s="16">
        <f>+AD37+'CFS (Before Changes) '!AE12+'CFS (Before Changes) '!AE35</f>
        <v>687.900720766414</v>
      </c>
      <c r="AF37" s="16">
        <f>+AE37+'CFS (Before Changes) '!AF12+'CFS (Before Changes) '!AF35</f>
        <v>765.19061512237647</v>
      </c>
      <c r="AG37" s="17">
        <f>AF37</f>
        <v>765.19061512237647</v>
      </c>
      <c r="AH37" s="16">
        <f>+AF37+'CFS (Before Changes) '!AH12+'CFS (Before Changes) '!AH35</f>
        <v>845.48459046857988</v>
      </c>
      <c r="AI37" s="16">
        <f>+AH37+'CFS (Before Changes) '!AI12+'CFS (Before Changes) '!AI35</f>
        <v>921.15607699789371</v>
      </c>
      <c r="AJ37" s="16">
        <f>+AI37+'CFS (Before Changes) '!AJ12+'CFS (Before Changes) '!AJ35</f>
        <v>1004.2624159998445</v>
      </c>
      <c r="AK37" s="16">
        <f>+AJ37+'CFS (Before Changes) '!AK12+'CFS (Before Changes) '!AK35</f>
        <v>1090.4256988586167</v>
      </c>
      <c r="AL37" s="17">
        <f>AK37</f>
        <v>1090.4256988586167</v>
      </c>
      <c r="AM37" s="16">
        <f>+AK37+'CFS (Before Changes) '!AM12+'CFS (Before Changes) '!AM35</f>
        <v>1178.6516667708395</v>
      </c>
      <c r="AN37" s="16">
        <f>+AM37+'CFS (Before Changes) '!AN12+'CFS (Before Changes) '!AN35</f>
        <v>1261.5536002497502</v>
      </c>
      <c r="AO37" s="16">
        <f>+AN37+'CFS (Before Changes) '!AO12+'CFS (Before Changes) '!AO35</f>
        <v>1352.1630890753031</v>
      </c>
      <c r="AP37" s="16">
        <f>+AO37+'CFS (Before Changes) '!AP12+'CFS (Before Changes) '!AP35</f>
        <v>1445.7599668378014</v>
      </c>
      <c r="AQ37" s="17">
        <f>AP37</f>
        <v>1445.7599668378014</v>
      </c>
      <c r="AR37" s="16">
        <f>+AP37+'CFS (Before Changes) '!AR12+'CFS (Before Changes) '!AR35</f>
        <v>1539.7037136857537</v>
      </c>
      <c r="AS37" s="16">
        <f>+AR37+'CFS (Before Changes) '!AS12+'CFS (Before Changes) '!AS35</f>
        <v>1627.9350268087692</v>
      </c>
      <c r="AT37" s="16">
        <f>+AS37+'CFS (Before Changes) '!AT12+'CFS (Before Changes) '!AT35</f>
        <v>1724.3261076647043</v>
      </c>
      <c r="AU37" s="16">
        <f>+AT37+'CFS (Before Changes) '!AU12+'CFS (Before Changes) '!AU35</f>
        <v>1823.8872255095428</v>
      </c>
      <c r="AV37" s="17">
        <f>AU37</f>
        <v>1823.8872255095428</v>
      </c>
    </row>
    <row r="38" spans="1:48" outlineLevel="1" x14ac:dyDescent="0.3">
      <c r="B38" s="527" t="s">
        <v>244</v>
      </c>
      <c r="C38" s="528"/>
      <c r="D38" s="16">
        <v>-2584</v>
      </c>
      <c r="E38" s="101">
        <v>-4807.7</v>
      </c>
      <c r="F38" s="101">
        <v>-4013.9</v>
      </c>
      <c r="G38" s="101">
        <v>-5771.2</v>
      </c>
      <c r="H38" s="169">
        <f>G38</f>
        <v>-5771.2</v>
      </c>
      <c r="I38" s="101">
        <v>-6414.8</v>
      </c>
      <c r="J38" s="101">
        <v>-7050.6</v>
      </c>
      <c r="K38" s="101">
        <v>-8208.2999999999993</v>
      </c>
      <c r="L38" s="101">
        <v>-7815.6</v>
      </c>
      <c r="M38" s="169">
        <f>L38</f>
        <v>-7815.6</v>
      </c>
      <c r="N38" s="101">
        <v>-8253.6</v>
      </c>
      <c r="O38" s="101">
        <v>-8124.3</v>
      </c>
      <c r="P38" s="101">
        <v>-7501.6</v>
      </c>
      <c r="Q38" s="101">
        <v>-6315.7</v>
      </c>
      <c r="R38" s="169">
        <f>Q38</f>
        <v>-6315.7</v>
      </c>
      <c r="S38" s="101">
        <v>-8753</v>
      </c>
      <c r="T38" s="101">
        <v>-9070.5</v>
      </c>
      <c r="U38" s="101">
        <v>-8719.7000000000007</v>
      </c>
      <c r="V38" s="101">
        <v>-8449.7999999999993</v>
      </c>
      <c r="W38" s="169">
        <f>V38</f>
        <v>-8449.7999999999993</v>
      </c>
      <c r="X38" s="101">
        <f>V38+'CFS (Before Changes) '!X6+'CFS (Before Changes) '!X33+'CFS (Before Changes) '!X34</f>
        <v>-8227.8805713097408</v>
      </c>
      <c r="Y38" s="101">
        <f>X38+'CFS (Before Changes) '!Y6+'CFS (Before Changes) '!Y33+'CFS (Before Changes) '!Y34</f>
        <v>-8008.3500708340234</v>
      </c>
      <c r="Z38" s="101">
        <f>Y38+'CFS (Before Changes) '!Z6+'CFS (Before Changes) '!Z33+'CFS (Before Changes) '!Z34</f>
        <v>-7553.5475602456845</v>
      </c>
      <c r="AA38" s="101">
        <f>Z38+'CFS (Before Changes) '!AA6+'CFS (Before Changes) '!AA33+'CFS (Before Changes) '!AA34</f>
        <v>-7027.1326535317412</v>
      </c>
      <c r="AB38" s="169">
        <f>AA38</f>
        <v>-7027.1326535317412</v>
      </c>
      <c r="AC38" s="101">
        <f>AA38+'CFS (Before Changes) '!AC6+'CFS (Before Changes) '!AC33+'CFS (Before Changes) '!AC34</f>
        <v>-6481.4209963485573</v>
      </c>
      <c r="AD38" s="101">
        <f>AC38+'CFS (Before Changes) '!AD6+'CFS (Before Changes) '!AD33+'CFS (Before Changes) '!AD34</f>
        <v>-6120.8620064460138</v>
      </c>
      <c r="AE38" s="101">
        <f>AD38+'CFS (Before Changes) '!AE6+'CFS (Before Changes) '!AE33+'CFS (Before Changes) '!AE34</f>
        <v>-5633.2230787820645</v>
      </c>
      <c r="AF38" s="101">
        <f>AE38+'CFS (Before Changes) '!AF6+'CFS (Before Changes) '!AF33+'CFS (Before Changes) '!AF34</f>
        <v>-5167.2218446445722</v>
      </c>
      <c r="AG38" s="169">
        <f>AF38</f>
        <v>-5167.2218446445722</v>
      </c>
      <c r="AH38" s="101">
        <f>AF38+'CFS (Before Changes) '!AH6+'CFS (Before Changes) '!AH33+'CFS (Before Changes) '!AH34</f>
        <v>-4560.7533906159242</v>
      </c>
      <c r="AI38" s="101">
        <f>AH38+'CFS (Before Changes) '!AI6+'CFS (Before Changes) '!AI33+'CFS (Before Changes) '!AI34</f>
        <v>-4158.8316517589719</v>
      </c>
      <c r="AJ38" s="101">
        <f>AI38+'CFS (Before Changes) '!AJ6+'CFS (Before Changes) '!AJ33+'CFS (Before Changes) '!AJ34</f>
        <v>-8787.9004748294137</v>
      </c>
      <c r="AK38" s="101">
        <f>AJ38+'CFS (Before Changes) '!AK6+'CFS (Before Changes) '!AK33+'CFS (Before Changes) '!AK34</f>
        <v>-13526.5744326079</v>
      </c>
      <c r="AL38" s="169">
        <f>AK38</f>
        <v>-13526.5744326079</v>
      </c>
      <c r="AM38" s="101">
        <f>AK38+'CFS (Before Changes) '!AM6+'CFS (Before Changes) '!AM33+'CFS (Before Changes) '!AM34</f>
        <v>-13010.025724868003</v>
      </c>
      <c r="AN38" s="101">
        <f>AM38+'CFS (Before Changes) '!AN6+'CFS (Before Changes) '!AN33+'CFS (Before Changes) '!AN34</f>
        <v>-12725.82490763362</v>
      </c>
      <c r="AO38" s="101">
        <f>AN38+'CFS (Before Changes) '!AO6+'CFS (Before Changes) '!AO33+'CFS (Before Changes) '!AO34</f>
        <v>-12091.335181569386</v>
      </c>
      <c r="AP38" s="101">
        <f>AO38+'CFS (Before Changes) '!AP6+'CFS (Before Changes) '!AP33+'CFS (Before Changes) '!AP34</f>
        <v>-11512.882002885657</v>
      </c>
      <c r="AQ38" s="169">
        <f>AP38</f>
        <v>-11512.882002885657</v>
      </c>
      <c r="AR38" s="101">
        <f>AP38+'CFS (Before Changes) '!AR6+'CFS (Before Changes) '!AR33+'CFS (Before Changes) '!AR34</f>
        <v>-10872.779296434117</v>
      </c>
      <c r="AS38" s="101">
        <f>AR38+'CFS (Before Changes) '!AS6+'CFS (Before Changes) '!AS33+'CFS (Before Changes) '!AS34</f>
        <v>-10478.856707439631</v>
      </c>
      <c r="AT38" s="101">
        <f>AS38+'CFS (Before Changes) '!AT6+'CFS (Before Changes) '!AT33+'CFS (Before Changes) '!AT34</f>
        <v>-9740.3732096040312</v>
      </c>
      <c r="AU38" s="101">
        <f>AT38+'CFS (Before Changes) '!AU6+'CFS (Before Changes) '!AU33+'CFS (Before Changes) '!AU34</f>
        <v>-9068.8969192784589</v>
      </c>
      <c r="AV38" s="169">
        <f>AU38</f>
        <v>-9068.8969192784589</v>
      </c>
    </row>
    <row r="39" spans="1:48" outlineLevel="1" x14ac:dyDescent="0.3">
      <c r="B39" s="527" t="s">
        <v>245</v>
      </c>
      <c r="C39" s="528"/>
      <c r="D39" s="16">
        <v>-343.2</v>
      </c>
      <c r="E39" s="102">
        <v>-271.5</v>
      </c>
      <c r="F39" s="101">
        <v>-349</v>
      </c>
      <c r="G39" s="101">
        <v>-503.3</v>
      </c>
      <c r="H39" s="169">
        <f>+G39</f>
        <v>-503.3</v>
      </c>
      <c r="I39" s="101">
        <v>-387.4</v>
      </c>
      <c r="J39" s="101">
        <v>-521.79999999999995</v>
      </c>
      <c r="K39" s="101">
        <v>-529.9</v>
      </c>
      <c r="L39" s="101">
        <v>-364.6</v>
      </c>
      <c r="M39" s="169">
        <f>+L39</f>
        <v>-364.6</v>
      </c>
      <c r="N39" s="101">
        <v>-145.9</v>
      </c>
      <c r="O39" s="101">
        <v>-126.3</v>
      </c>
      <c r="P39" s="101">
        <v>-29.7</v>
      </c>
      <c r="Q39" s="101">
        <v>147.19999999999999</v>
      </c>
      <c r="R39" s="169">
        <f>+Q39</f>
        <v>147.19999999999999</v>
      </c>
      <c r="S39" s="101">
        <v>253.5</v>
      </c>
      <c r="T39" s="101">
        <v>260.3</v>
      </c>
      <c r="U39" s="101">
        <v>-65</v>
      </c>
      <c r="V39" s="101">
        <v>-463.2</v>
      </c>
      <c r="W39" s="169">
        <f t="shared" ref="W39:W40" si="30">+V39</f>
        <v>-463.2</v>
      </c>
      <c r="X39" s="101">
        <f>+V39</f>
        <v>-463.2</v>
      </c>
      <c r="Y39" s="101">
        <f t="shared" ref="Y39:AB40" si="31">+X39</f>
        <v>-463.2</v>
      </c>
      <c r="Z39" s="101">
        <f t="shared" si="31"/>
        <v>-463.2</v>
      </c>
      <c r="AA39" s="101">
        <f t="shared" si="31"/>
        <v>-463.2</v>
      </c>
      <c r="AB39" s="169">
        <f t="shared" si="31"/>
        <v>-463.2</v>
      </c>
      <c r="AC39" s="101">
        <f>+AA39</f>
        <v>-463.2</v>
      </c>
      <c r="AD39" s="101">
        <f t="shared" ref="AD39:AG40" si="32">+AC39</f>
        <v>-463.2</v>
      </c>
      <c r="AE39" s="101">
        <f t="shared" si="32"/>
        <v>-463.2</v>
      </c>
      <c r="AF39" s="101">
        <f t="shared" si="32"/>
        <v>-463.2</v>
      </c>
      <c r="AG39" s="169">
        <f t="shared" si="32"/>
        <v>-463.2</v>
      </c>
      <c r="AH39" s="101">
        <f>+AF39</f>
        <v>-463.2</v>
      </c>
      <c r="AI39" s="101">
        <f t="shared" ref="AI39:AL40" si="33">+AH39</f>
        <v>-463.2</v>
      </c>
      <c r="AJ39" s="101">
        <f t="shared" si="33"/>
        <v>-463.2</v>
      </c>
      <c r="AK39" s="101">
        <f t="shared" si="33"/>
        <v>-463.2</v>
      </c>
      <c r="AL39" s="169">
        <f t="shared" si="33"/>
        <v>-463.2</v>
      </c>
      <c r="AM39" s="101">
        <f>+AK39</f>
        <v>-463.2</v>
      </c>
      <c r="AN39" s="101">
        <f t="shared" ref="AN39:AQ40" si="34">+AM39</f>
        <v>-463.2</v>
      </c>
      <c r="AO39" s="101">
        <f t="shared" si="34"/>
        <v>-463.2</v>
      </c>
      <c r="AP39" s="101">
        <f t="shared" si="34"/>
        <v>-463.2</v>
      </c>
      <c r="AQ39" s="169">
        <f t="shared" si="34"/>
        <v>-463.2</v>
      </c>
      <c r="AR39" s="101">
        <f>+AP39</f>
        <v>-463.2</v>
      </c>
      <c r="AS39" s="101">
        <f t="shared" ref="AS39:AV40" si="35">+AR39</f>
        <v>-463.2</v>
      </c>
      <c r="AT39" s="101">
        <f t="shared" si="35"/>
        <v>-463.2</v>
      </c>
      <c r="AU39" s="101">
        <f t="shared" si="35"/>
        <v>-463.2</v>
      </c>
      <c r="AV39" s="169">
        <f t="shared" si="35"/>
        <v>-463.2</v>
      </c>
    </row>
    <row r="40" spans="1:48" ht="16.2" outlineLevel="1" x14ac:dyDescent="0.45">
      <c r="B40" s="265" t="s">
        <v>246</v>
      </c>
      <c r="C40" s="266"/>
      <c r="D40" s="260">
        <v>6.1</v>
      </c>
      <c r="E40" s="112">
        <v>1.7</v>
      </c>
      <c r="F40" s="112">
        <v>1.6</v>
      </c>
      <c r="G40" s="112">
        <v>1.2</v>
      </c>
      <c r="H40" s="261">
        <f>+G40</f>
        <v>1.2</v>
      </c>
      <c r="I40" s="112">
        <v>0.8</v>
      </c>
      <c r="J40" s="112">
        <v>-2.8</v>
      </c>
      <c r="K40" s="112">
        <v>-2.7</v>
      </c>
      <c r="L40" s="112">
        <v>5.7</v>
      </c>
      <c r="M40" s="262">
        <f>+L40</f>
        <v>5.7</v>
      </c>
      <c r="N40" s="112">
        <v>5.7</v>
      </c>
      <c r="O40" s="112">
        <v>5.7</v>
      </c>
      <c r="P40" s="112">
        <v>6.5</v>
      </c>
      <c r="Q40" s="112">
        <v>6.7</v>
      </c>
      <c r="R40" s="262">
        <f>+Q40</f>
        <v>6.7</v>
      </c>
      <c r="S40" s="112">
        <v>6.9</v>
      </c>
      <c r="T40" s="112">
        <v>6.8</v>
      </c>
      <c r="U40" s="112">
        <v>7.6</v>
      </c>
      <c r="V40" s="112">
        <v>7.9</v>
      </c>
      <c r="W40" s="262">
        <f t="shared" si="30"/>
        <v>7.9</v>
      </c>
      <c r="X40" s="112">
        <f>+V40</f>
        <v>7.9</v>
      </c>
      <c r="Y40" s="112">
        <f t="shared" si="31"/>
        <v>7.9</v>
      </c>
      <c r="Z40" s="112">
        <f t="shared" si="31"/>
        <v>7.9</v>
      </c>
      <c r="AA40" s="112">
        <f t="shared" si="31"/>
        <v>7.9</v>
      </c>
      <c r="AB40" s="262">
        <f t="shared" si="31"/>
        <v>7.9</v>
      </c>
      <c r="AC40" s="112">
        <f>+AA40</f>
        <v>7.9</v>
      </c>
      <c r="AD40" s="112">
        <f t="shared" si="32"/>
        <v>7.9</v>
      </c>
      <c r="AE40" s="112">
        <f t="shared" si="32"/>
        <v>7.9</v>
      </c>
      <c r="AF40" s="112">
        <f t="shared" si="32"/>
        <v>7.9</v>
      </c>
      <c r="AG40" s="262">
        <f t="shared" si="32"/>
        <v>7.9</v>
      </c>
      <c r="AH40" s="112">
        <f>+AF40</f>
        <v>7.9</v>
      </c>
      <c r="AI40" s="112">
        <f t="shared" si="33"/>
        <v>7.9</v>
      </c>
      <c r="AJ40" s="112">
        <f t="shared" si="33"/>
        <v>7.9</v>
      </c>
      <c r="AK40" s="112">
        <f t="shared" si="33"/>
        <v>7.9</v>
      </c>
      <c r="AL40" s="262">
        <f t="shared" si="33"/>
        <v>7.9</v>
      </c>
      <c r="AM40" s="112">
        <f>+AK40</f>
        <v>7.9</v>
      </c>
      <c r="AN40" s="112">
        <f t="shared" si="34"/>
        <v>7.9</v>
      </c>
      <c r="AO40" s="112">
        <f t="shared" si="34"/>
        <v>7.9</v>
      </c>
      <c r="AP40" s="112">
        <f t="shared" si="34"/>
        <v>7.9</v>
      </c>
      <c r="AQ40" s="262">
        <f t="shared" si="34"/>
        <v>7.9</v>
      </c>
      <c r="AR40" s="112">
        <f>+AP40</f>
        <v>7.9</v>
      </c>
      <c r="AS40" s="112">
        <f t="shared" si="35"/>
        <v>7.9</v>
      </c>
      <c r="AT40" s="112">
        <f t="shared" si="35"/>
        <v>7.9</v>
      </c>
      <c r="AU40" s="112">
        <f t="shared" si="35"/>
        <v>7.9</v>
      </c>
      <c r="AV40" s="262">
        <f t="shared" si="35"/>
        <v>7.9</v>
      </c>
    </row>
    <row r="41" spans="1:48" outlineLevel="1" x14ac:dyDescent="0.3">
      <c r="B41" s="525" t="s">
        <v>247</v>
      </c>
      <c r="C41" s="526"/>
      <c r="D41" s="21">
        <f t="shared" ref="D41:AV41" si="36">SUM(D37:D40)</f>
        <v>-2878.7999999999997</v>
      </c>
      <c r="E41" s="21">
        <f t="shared" si="36"/>
        <v>-5035.2</v>
      </c>
      <c r="F41" s="21">
        <f t="shared" si="36"/>
        <v>-4319</v>
      </c>
      <c r="G41" s="21">
        <f t="shared" si="36"/>
        <v>-6231</v>
      </c>
      <c r="H41" s="22">
        <f t="shared" si="36"/>
        <v>-6231</v>
      </c>
      <c r="I41" s="21">
        <f t="shared" si="36"/>
        <v>-6759.0999999999995</v>
      </c>
      <c r="J41" s="21">
        <f t="shared" si="36"/>
        <v>-7532.9000000000005</v>
      </c>
      <c r="K41" s="21">
        <f t="shared" si="36"/>
        <v>-8624.2999999999993</v>
      </c>
      <c r="L41" s="21">
        <f t="shared" si="36"/>
        <v>-7799.4000000000005</v>
      </c>
      <c r="M41" s="22">
        <f t="shared" si="36"/>
        <v>-7799.4000000000005</v>
      </c>
      <c r="N41" s="21">
        <f t="shared" si="36"/>
        <v>-7904</v>
      </c>
      <c r="O41" s="21">
        <f t="shared" si="36"/>
        <v>-7648.3</v>
      </c>
      <c r="P41" s="21">
        <f t="shared" si="36"/>
        <v>-6794.3</v>
      </c>
      <c r="Q41" s="21">
        <f t="shared" si="36"/>
        <v>-5314.5</v>
      </c>
      <c r="R41" s="22">
        <f t="shared" si="36"/>
        <v>-5314.5</v>
      </c>
      <c r="S41" s="21">
        <f t="shared" si="36"/>
        <v>-8450.3000000000011</v>
      </c>
      <c r="T41" s="21">
        <f t="shared" si="36"/>
        <v>-8761.2000000000007</v>
      </c>
      <c r="U41" s="21">
        <f t="shared" si="36"/>
        <v>-8658.9</v>
      </c>
      <c r="V41" s="21">
        <f t="shared" si="36"/>
        <v>-8698.7000000000007</v>
      </c>
      <c r="W41" s="22">
        <f t="shared" si="36"/>
        <v>-8698.7000000000007</v>
      </c>
      <c r="X41" s="21">
        <f t="shared" si="36"/>
        <v>-8407.5581526659043</v>
      </c>
      <c r="Y41" s="21">
        <f t="shared" si="36"/>
        <v>-8127.9566584445811</v>
      </c>
      <c r="Z41" s="21">
        <f t="shared" si="36"/>
        <v>-7606.1840953484725</v>
      </c>
      <c r="AA41" s="21">
        <f t="shared" si="36"/>
        <v>-7009.1939603013943</v>
      </c>
      <c r="AB41" s="22">
        <f t="shared" si="36"/>
        <v>-7009.1939603013943</v>
      </c>
      <c r="AC41" s="21">
        <f t="shared" si="36"/>
        <v>-6390.794881755859</v>
      </c>
      <c r="AD41" s="21">
        <f t="shared" si="36"/>
        <v>-5962.7141886391719</v>
      </c>
      <c r="AE41" s="21">
        <f t="shared" si="36"/>
        <v>-5400.6223580156502</v>
      </c>
      <c r="AF41" s="21">
        <f t="shared" si="36"/>
        <v>-4857.3312295221958</v>
      </c>
      <c r="AG41" s="22">
        <f t="shared" si="36"/>
        <v>-4857.3312295221958</v>
      </c>
      <c r="AH41" s="21">
        <f t="shared" si="36"/>
        <v>-4170.5688001473445</v>
      </c>
      <c r="AI41" s="21">
        <f t="shared" si="36"/>
        <v>-3692.975574761078</v>
      </c>
      <c r="AJ41" s="21">
        <f t="shared" si="36"/>
        <v>-8238.9380588295699</v>
      </c>
      <c r="AK41" s="21">
        <f t="shared" si="36"/>
        <v>-12891.448733749285</v>
      </c>
      <c r="AL41" s="22">
        <f t="shared" si="36"/>
        <v>-12891.448733749285</v>
      </c>
      <c r="AM41" s="21">
        <f t="shared" si="36"/>
        <v>-12286.674058097164</v>
      </c>
      <c r="AN41" s="21">
        <f t="shared" si="36"/>
        <v>-11919.571307383871</v>
      </c>
      <c r="AO41" s="21">
        <f t="shared" si="36"/>
        <v>-11194.472092494083</v>
      </c>
      <c r="AP41" s="21">
        <f t="shared" si="36"/>
        <v>-10522.422036047858</v>
      </c>
      <c r="AQ41" s="22">
        <f t="shared" si="36"/>
        <v>-10522.422036047858</v>
      </c>
      <c r="AR41" s="21">
        <f t="shared" si="36"/>
        <v>-9788.3755827483637</v>
      </c>
      <c r="AS41" s="21">
        <f t="shared" si="36"/>
        <v>-9306.2216806308625</v>
      </c>
      <c r="AT41" s="21">
        <f t="shared" si="36"/>
        <v>-8471.3471019393273</v>
      </c>
      <c r="AU41" s="21">
        <f t="shared" si="36"/>
        <v>-7700.3096937689161</v>
      </c>
      <c r="AV41" s="22">
        <f t="shared" si="36"/>
        <v>-7700.3096937689161</v>
      </c>
    </row>
    <row r="42" spans="1:48" outlineLevel="1" x14ac:dyDescent="0.3">
      <c r="B42" s="523" t="s">
        <v>248</v>
      </c>
      <c r="C42" s="524"/>
      <c r="D42" s="267">
        <f t="shared" ref="D42:AV42" si="37">D41+D35</f>
        <v>19981.300000000003</v>
      </c>
      <c r="E42" s="267">
        <f t="shared" si="37"/>
        <v>17641.899999999998</v>
      </c>
      <c r="F42" s="267">
        <f t="shared" si="37"/>
        <v>20894.400000000001</v>
      </c>
      <c r="G42" s="267">
        <f t="shared" si="37"/>
        <v>19219.599999999999</v>
      </c>
      <c r="H42" s="268">
        <f t="shared" si="37"/>
        <v>19219.599999999999</v>
      </c>
      <c r="I42" s="267">
        <f t="shared" si="37"/>
        <v>27731.300000000003</v>
      </c>
      <c r="J42" s="267">
        <f t="shared" si="37"/>
        <v>27478.9</v>
      </c>
      <c r="K42" s="267">
        <f t="shared" si="37"/>
        <v>29140.599999999995</v>
      </c>
      <c r="L42" s="267">
        <f t="shared" si="37"/>
        <v>29374.500000000007</v>
      </c>
      <c r="M42" s="268">
        <f t="shared" si="37"/>
        <v>29374.500000000007</v>
      </c>
      <c r="N42" s="267">
        <f t="shared" si="37"/>
        <v>29968.400000000001</v>
      </c>
      <c r="O42" s="267">
        <f t="shared" si="37"/>
        <v>28371.7</v>
      </c>
      <c r="P42" s="267">
        <f t="shared" si="37"/>
        <v>29476.799999999999</v>
      </c>
      <c r="Q42" s="267">
        <f t="shared" si="37"/>
        <v>31392.600000000006</v>
      </c>
      <c r="R42" s="268">
        <f t="shared" si="37"/>
        <v>31392.600000000006</v>
      </c>
      <c r="S42" s="267">
        <f t="shared" si="37"/>
        <v>28833.899999999994</v>
      </c>
      <c r="T42" s="267">
        <f t="shared" si="37"/>
        <v>29021.499999999996</v>
      </c>
      <c r="U42" s="267">
        <f t="shared" si="37"/>
        <v>28156.199999999997</v>
      </c>
      <c r="V42" s="267">
        <f t="shared" si="37"/>
        <v>27978.399999999998</v>
      </c>
      <c r="W42" s="268">
        <f t="shared" si="37"/>
        <v>27978.399999999998</v>
      </c>
      <c r="X42" s="267">
        <f t="shared" si="37"/>
        <v>28666.15618527096</v>
      </c>
      <c r="Y42" s="267">
        <f t="shared" si="37"/>
        <v>28547.508804594767</v>
      </c>
      <c r="Z42" s="267">
        <f t="shared" si="37"/>
        <v>29215.356560350803</v>
      </c>
      <c r="AA42" s="267">
        <f t="shared" si="37"/>
        <v>29606.110583229267</v>
      </c>
      <c r="AB42" s="268">
        <f t="shared" si="37"/>
        <v>29606.110583229267</v>
      </c>
      <c r="AC42" s="267">
        <f t="shared" si="37"/>
        <v>30731.877091049697</v>
      </c>
      <c r="AD42" s="267">
        <f t="shared" si="37"/>
        <v>30726.636921846821</v>
      </c>
      <c r="AE42" s="267">
        <f t="shared" si="37"/>
        <v>31427.531469199617</v>
      </c>
      <c r="AF42" s="267">
        <f t="shared" si="37"/>
        <v>31933.960532522975</v>
      </c>
      <c r="AG42" s="268">
        <f t="shared" si="37"/>
        <v>31933.960532522975</v>
      </c>
      <c r="AH42" s="267">
        <f t="shared" si="37"/>
        <v>33147.087290040552</v>
      </c>
      <c r="AI42" s="267">
        <f t="shared" si="37"/>
        <v>33170.09861641813</v>
      </c>
      <c r="AJ42" s="267">
        <f t="shared" si="37"/>
        <v>34350.362264677155</v>
      </c>
      <c r="AK42" s="267">
        <f t="shared" si="37"/>
        <v>29560.419388066482</v>
      </c>
      <c r="AL42" s="268">
        <f t="shared" si="37"/>
        <v>29560.419388066482</v>
      </c>
      <c r="AM42" s="267">
        <f t="shared" si="37"/>
        <v>30690.550446157376</v>
      </c>
      <c r="AN42" s="267">
        <f t="shared" si="37"/>
        <v>30550.667040234621</v>
      </c>
      <c r="AO42" s="267">
        <f t="shared" si="37"/>
        <v>31472.009258476617</v>
      </c>
      <c r="AP42" s="267">
        <f t="shared" si="37"/>
        <v>31992.370107117669</v>
      </c>
      <c r="AQ42" s="268">
        <f t="shared" si="37"/>
        <v>31992.370107117669</v>
      </c>
      <c r="AR42" s="267">
        <f t="shared" si="37"/>
        <v>33288.077615708098</v>
      </c>
      <c r="AS42" s="267">
        <f t="shared" si="37"/>
        <v>33228.16780832252</v>
      </c>
      <c r="AT42" s="267">
        <f t="shared" si="37"/>
        <v>34266.858301801083</v>
      </c>
      <c r="AU42" s="267">
        <f t="shared" si="37"/>
        <v>34888.600147179372</v>
      </c>
      <c r="AV42" s="268">
        <f t="shared" si="37"/>
        <v>34888.600147179372</v>
      </c>
    </row>
    <row r="43" spans="1:48" x14ac:dyDescent="0.3">
      <c r="B43" s="269"/>
      <c r="C43" s="270"/>
      <c r="D43" s="271">
        <f t="shared" ref="D43:AV43" si="38">ROUND((D42-D20),0)</f>
        <v>0</v>
      </c>
      <c r="E43" s="271">
        <f t="shared" si="38"/>
        <v>0</v>
      </c>
      <c r="F43" s="271">
        <f t="shared" si="38"/>
        <v>0</v>
      </c>
      <c r="G43" s="271">
        <f t="shared" si="38"/>
        <v>0</v>
      </c>
      <c r="H43" s="271">
        <f t="shared" si="38"/>
        <v>0</v>
      </c>
      <c r="I43" s="271">
        <f t="shared" si="38"/>
        <v>0</v>
      </c>
      <c r="J43" s="271">
        <f t="shared" si="38"/>
        <v>0</v>
      </c>
      <c r="K43" s="271">
        <f t="shared" si="38"/>
        <v>0</v>
      </c>
      <c r="L43" s="272">
        <f t="shared" si="38"/>
        <v>0</v>
      </c>
      <c r="M43" s="272">
        <f t="shared" si="38"/>
        <v>0</v>
      </c>
      <c r="N43" s="272">
        <f t="shared" si="38"/>
        <v>0</v>
      </c>
      <c r="O43" s="272">
        <f t="shared" si="38"/>
        <v>0</v>
      </c>
      <c r="P43" s="272">
        <f t="shared" si="38"/>
        <v>0</v>
      </c>
      <c r="Q43" s="272">
        <f t="shared" si="38"/>
        <v>0</v>
      </c>
      <c r="R43" s="272">
        <f t="shared" si="38"/>
        <v>0</v>
      </c>
      <c r="S43" s="272">
        <f t="shared" si="38"/>
        <v>0</v>
      </c>
      <c r="T43" s="272">
        <f t="shared" si="38"/>
        <v>0</v>
      </c>
      <c r="U43" s="272">
        <f t="shared" si="38"/>
        <v>0</v>
      </c>
      <c r="V43" s="272">
        <f t="shared" si="38"/>
        <v>0</v>
      </c>
      <c r="W43" s="272">
        <f t="shared" si="38"/>
        <v>0</v>
      </c>
      <c r="X43" s="272">
        <f t="shared" si="38"/>
        <v>0</v>
      </c>
      <c r="Y43" s="272">
        <f t="shared" si="38"/>
        <v>0</v>
      </c>
      <c r="Z43" s="272">
        <f t="shared" si="38"/>
        <v>0</v>
      </c>
      <c r="AA43" s="272">
        <f t="shared" si="38"/>
        <v>0</v>
      </c>
      <c r="AB43" s="272">
        <f t="shared" si="38"/>
        <v>0</v>
      </c>
      <c r="AC43" s="272">
        <f t="shared" si="38"/>
        <v>0</v>
      </c>
      <c r="AD43" s="272">
        <f t="shared" si="38"/>
        <v>0</v>
      </c>
      <c r="AE43" s="272">
        <f t="shared" si="38"/>
        <v>0</v>
      </c>
      <c r="AF43" s="272">
        <f t="shared" si="38"/>
        <v>0</v>
      </c>
      <c r="AG43" s="272">
        <f t="shared" si="38"/>
        <v>0</v>
      </c>
      <c r="AH43" s="272">
        <f t="shared" si="38"/>
        <v>0</v>
      </c>
      <c r="AI43" s="272">
        <f t="shared" si="38"/>
        <v>0</v>
      </c>
      <c r="AJ43" s="272">
        <f t="shared" si="38"/>
        <v>0</v>
      </c>
      <c r="AK43" s="272">
        <f t="shared" si="38"/>
        <v>0</v>
      </c>
      <c r="AL43" s="272">
        <f t="shared" si="38"/>
        <v>0</v>
      </c>
      <c r="AM43" s="272">
        <f t="shared" si="38"/>
        <v>0</v>
      </c>
      <c r="AN43" s="272">
        <f t="shared" si="38"/>
        <v>0</v>
      </c>
      <c r="AO43" s="272">
        <f t="shared" si="38"/>
        <v>0</v>
      </c>
      <c r="AP43" s="272">
        <f t="shared" si="38"/>
        <v>0</v>
      </c>
      <c r="AQ43" s="272">
        <f t="shared" si="38"/>
        <v>0</v>
      </c>
      <c r="AR43" s="272">
        <f t="shared" si="38"/>
        <v>0</v>
      </c>
      <c r="AS43" s="272">
        <f t="shared" si="38"/>
        <v>0</v>
      </c>
      <c r="AT43" s="272">
        <f t="shared" si="38"/>
        <v>0</v>
      </c>
      <c r="AU43" s="272">
        <f t="shared" si="38"/>
        <v>0</v>
      </c>
      <c r="AV43" s="272">
        <f t="shared" si="38"/>
        <v>0</v>
      </c>
    </row>
    <row r="44" spans="1:48" ht="15.6" x14ac:dyDescent="0.3">
      <c r="B44" s="494" t="s">
        <v>249</v>
      </c>
      <c r="C44" s="495"/>
      <c r="D44" s="13" t="s">
        <v>15</v>
      </c>
      <c r="E44" s="13" t="s">
        <v>82</v>
      </c>
      <c r="F44" s="13" t="s">
        <v>84</v>
      </c>
      <c r="G44" s="13" t="s">
        <v>147</v>
      </c>
      <c r="H44" s="39" t="s">
        <v>147</v>
      </c>
      <c r="I44" s="13" t="s">
        <v>146</v>
      </c>
      <c r="J44" s="13" t="s">
        <v>145</v>
      </c>
      <c r="K44" s="13" t="s">
        <v>144</v>
      </c>
      <c r="L44" s="13" t="s">
        <v>141</v>
      </c>
      <c r="M44" s="39" t="s">
        <v>141</v>
      </c>
      <c r="N44" s="13" t="s">
        <v>148</v>
      </c>
      <c r="O44" s="13" t="s">
        <v>156</v>
      </c>
      <c r="P44" s="13" t="s">
        <v>158</v>
      </c>
      <c r="Q44" s="13" t="s">
        <v>171</v>
      </c>
      <c r="R44" s="39" t="s">
        <v>171</v>
      </c>
      <c r="S44" s="13" t="s">
        <v>187</v>
      </c>
      <c r="T44" s="13" t="s">
        <v>190</v>
      </c>
      <c r="U44" s="13" t="s">
        <v>203</v>
      </c>
      <c r="V44" s="13" t="s">
        <v>346</v>
      </c>
      <c r="W44" s="39" t="s">
        <v>346</v>
      </c>
      <c r="X44" s="15" t="s">
        <v>21</v>
      </c>
      <c r="Y44" s="15" t="s">
        <v>22</v>
      </c>
      <c r="Z44" s="15" t="s">
        <v>23</v>
      </c>
      <c r="AA44" s="15" t="s">
        <v>24</v>
      </c>
      <c r="AB44" s="41" t="s">
        <v>24</v>
      </c>
      <c r="AC44" s="15" t="s">
        <v>86</v>
      </c>
      <c r="AD44" s="15" t="s">
        <v>87</v>
      </c>
      <c r="AE44" s="15" t="s">
        <v>88</v>
      </c>
      <c r="AF44" s="15" t="s">
        <v>89</v>
      </c>
      <c r="AG44" s="41" t="s">
        <v>89</v>
      </c>
      <c r="AH44" s="15" t="s">
        <v>105</v>
      </c>
      <c r="AI44" s="15" t="s">
        <v>106</v>
      </c>
      <c r="AJ44" s="15" t="s">
        <v>107</v>
      </c>
      <c r="AK44" s="15" t="s">
        <v>108</v>
      </c>
      <c r="AL44" s="41" t="s">
        <v>108</v>
      </c>
      <c r="AM44" s="15" t="s">
        <v>160</v>
      </c>
      <c r="AN44" s="15" t="s">
        <v>161</v>
      </c>
      <c r="AO44" s="15" t="s">
        <v>162</v>
      </c>
      <c r="AP44" s="15" t="s">
        <v>163</v>
      </c>
      <c r="AQ44" s="41" t="s">
        <v>163</v>
      </c>
      <c r="AR44" s="15" t="s">
        <v>191</v>
      </c>
      <c r="AS44" s="15" t="s">
        <v>192</v>
      </c>
      <c r="AT44" s="15" t="s">
        <v>193</v>
      </c>
      <c r="AU44" s="15" t="s">
        <v>194</v>
      </c>
      <c r="AV44" s="41" t="s">
        <v>194</v>
      </c>
    </row>
    <row r="45" spans="1:48" ht="16.2" x14ac:dyDescent="0.45">
      <c r="B45" s="512"/>
      <c r="C45" s="513"/>
      <c r="D45" s="14" t="s">
        <v>19</v>
      </c>
      <c r="E45" s="14" t="s">
        <v>81</v>
      </c>
      <c r="F45" s="14" t="s">
        <v>85</v>
      </c>
      <c r="G45" s="14" t="s">
        <v>95</v>
      </c>
      <c r="H45" s="40" t="s">
        <v>96</v>
      </c>
      <c r="I45" s="14" t="s">
        <v>97</v>
      </c>
      <c r="J45" s="14" t="s">
        <v>98</v>
      </c>
      <c r="K45" s="14" t="s">
        <v>99</v>
      </c>
      <c r="L45" s="14" t="s">
        <v>142</v>
      </c>
      <c r="M45" s="40" t="s">
        <v>143</v>
      </c>
      <c r="N45" s="14" t="s">
        <v>149</v>
      </c>
      <c r="O45" s="14" t="s">
        <v>157</v>
      </c>
      <c r="P45" s="14" t="s">
        <v>159</v>
      </c>
      <c r="Q45" s="14" t="s">
        <v>172</v>
      </c>
      <c r="R45" s="40" t="s">
        <v>173</v>
      </c>
      <c r="S45" s="14" t="s">
        <v>188</v>
      </c>
      <c r="T45" s="14" t="s">
        <v>189</v>
      </c>
      <c r="U45" s="14" t="s">
        <v>204</v>
      </c>
      <c r="V45" s="14" t="s">
        <v>347</v>
      </c>
      <c r="W45" s="40" t="s">
        <v>348</v>
      </c>
      <c r="X45" s="12" t="s">
        <v>27</v>
      </c>
      <c r="Y45" s="12" t="s">
        <v>28</v>
      </c>
      <c r="Z45" s="12" t="s">
        <v>29</v>
      </c>
      <c r="AA45" s="12" t="s">
        <v>30</v>
      </c>
      <c r="AB45" s="42" t="s">
        <v>31</v>
      </c>
      <c r="AC45" s="12" t="s">
        <v>90</v>
      </c>
      <c r="AD45" s="12" t="s">
        <v>91</v>
      </c>
      <c r="AE45" s="12" t="s">
        <v>92</v>
      </c>
      <c r="AF45" s="12" t="s">
        <v>93</v>
      </c>
      <c r="AG45" s="42" t="s">
        <v>94</v>
      </c>
      <c r="AH45" s="12" t="s">
        <v>109</v>
      </c>
      <c r="AI45" s="12" t="s">
        <v>110</v>
      </c>
      <c r="AJ45" s="12" t="s">
        <v>111</v>
      </c>
      <c r="AK45" s="12" t="s">
        <v>112</v>
      </c>
      <c r="AL45" s="42" t="s">
        <v>113</v>
      </c>
      <c r="AM45" s="12" t="s">
        <v>164</v>
      </c>
      <c r="AN45" s="12" t="s">
        <v>165</v>
      </c>
      <c r="AO45" s="12" t="s">
        <v>166</v>
      </c>
      <c r="AP45" s="12" t="s">
        <v>167</v>
      </c>
      <c r="AQ45" s="42" t="s">
        <v>168</v>
      </c>
      <c r="AR45" s="12" t="s">
        <v>195</v>
      </c>
      <c r="AS45" s="12" t="s">
        <v>196</v>
      </c>
      <c r="AT45" s="12" t="s">
        <v>197</v>
      </c>
      <c r="AU45" s="12" t="s">
        <v>198</v>
      </c>
      <c r="AV45" s="42" t="s">
        <v>199</v>
      </c>
    </row>
    <row r="46" spans="1:48" outlineLevel="1" x14ac:dyDescent="0.3">
      <c r="B46" s="200" t="s">
        <v>250</v>
      </c>
      <c r="C46" s="273"/>
      <c r="D46" s="274">
        <f>31+30+31</f>
        <v>92</v>
      </c>
      <c r="E46" s="274">
        <f>31+28+31</f>
        <v>90</v>
      </c>
      <c r="F46" s="274">
        <f>30+31+30</f>
        <v>91</v>
      </c>
      <c r="G46" s="274">
        <f>31+31+30</f>
        <v>92</v>
      </c>
      <c r="H46" s="122"/>
      <c r="I46" s="274">
        <f>31+30+31</f>
        <v>92</v>
      </c>
      <c r="J46" s="274">
        <f>31+29+31</f>
        <v>91</v>
      </c>
      <c r="K46" s="274">
        <f>30+31+30</f>
        <v>91</v>
      </c>
      <c r="L46" s="274">
        <f>31+31+30</f>
        <v>92</v>
      </c>
      <c r="M46" s="122"/>
      <c r="N46" s="274">
        <f>31+30+31</f>
        <v>92</v>
      </c>
      <c r="O46" s="274">
        <f>31+28+31</f>
        <v>90</v>
      </c>
      <c r="P46" s="274">
        <f>30+31+30</f>
        <v>91</v>
      </c>
      <c r="Q46" s="274">
        <f>31+31+30</f>
        <v>92</v>
      </c>
      <c r="R46" s="122"/>
      <c r="S46" s="274">
        <f>31+30+31</f>
        <v>92</v>
      </c>
      <c r="T46" s="274">
        <f>31+28+31</f>
        <v>90</v>
      </c>
      <c r="U46" s="274">
        <f>30+31+30</f>
        <v>91</v>
      </c>
      <c r="V46" s="274">
        <f>31+31+30</f>
        <v>92</v>
      </c>
      <c r="W46" s="122"/>
      <c r="X46" s="274">
        <f>31+30+31</f>
        <v>92</v>
      </c>
      <c r="Y46" s="274">
        <f>31+28+31</f>
        <v>90</v>
      </c>
      <c r="Z46" s="274">
        <f>30+31+30</f>
        <v>91</v>
      </c>
      <c r="AA46" s="274">
        <f>31+31+30</f>
        <v>92</v>
      </c>
      <c r="AB46" s="122"/>
      <c r="AC46" s="274">
        <f>31+30+31</f>
        <v>92</v>
      </c>
      <c r="AD46" s="274">
        <f>31+29+31</f>
        <v>91</v>
      </c>
      <c r="AE46" s="274">
        <f>30+31+30</f>
        <v>91</v>
      </c>
      <c r="AF46" s="274">
        <f>31+31+30</f>
        <v>92</v>
      </c>
      <c r="AG46" s="122"/>
      <c r="AH46" s="274">
        <f>31+30+31</f>
        <v>92</v>
      </c>
      <c r="AI46" s="274">
        <f>31+28+31</f>
        <v>90</v>
      </c>
      <c r="AJ46" s="274">
        <f>30+31+30</f>
        <v>91</v>
      </c>
      <c r="AK46" s="274">
        <f>31+31+30</f>
        <v>92</v>
      </c>
      <c r="AL46" s="122"/>
      <c r="AM46" s="274">
        <f>31+30+31</f>
        <v>92</v>
      </c>
      <c r="AN46" s="274">
        <f>31+28+31</f>
        <v>90</v>
      </c>
      <c r="AO46" s="274">
        <f>30+31+30</f>
        <v>91</v>
      </c>
      <c r="AP46" s="274">
        <f>31+31+30</f>
        <v>92</v>
      </c>
      <c r="AQ46" s="122"/>
      <c r="AR46" s="274">
        <f>31+30+31</f>
        <v>92</v>
      </c>
      <c r="AS46" s="274">
        <f>31+28+31</f>
        <v>90</v>
      </c>
      <c r="AT46" s="274">
        <f>30+31+30</f>
        <v>91</v>
      </c>
      <c r="AU46" s="274">
        <f>31+31+30</f>
        <v>92</v>
      </c>
      <c r="AV46" s="122"/>
    </row>
    <row r="47" spans="1:48" outlineLevel="1" x14ac:dyDescent="0.3">
      <c r="B47" s="486" t="s">
        <v>251</v>
      </c>
      <c r="C47" s="487"/>
      <c r="D47" s="276">
        <f>'IS (Before Changes)'!D8/'BS (Before Changes)'!D8</f>
        <v>9.1942057111172737</v>
      </c>
      <c r="E47" s="276">
        <f>'IS (Before Changes)'!E8/'BS (Before Changes)'!E8</f>
        <v>8.9623365548607161</v>
      </c>
      <c r="F47" s="276">
        <f>'IS (Before Changes)'!F8/'BS (Before Changes)'!F8</f>
        <v>8.6301543131798635</v>
      </c>
      <c r="G47" s="276">
        <f>'IS (Before Changes)'!G8/'BS (Before Changes)'!G8</f>
        <v>7.6757679180887379</v>
      </c>
      <c r="H47" s="126"/>
      <c r="I47" s="276">
        <f>'IS (Before Changes)'!I8/'BS (Before Changes)'!I8</f>
        <v>7.8153287082920375</v>
      </c>
      <c r="J47" s="276">
        <f>'IS (Before Changes)'!J8/'BS (Before Changes)'!J8</f>
        <v>6.3716259298618487</v>
      </c>
      <c r="K47" s="276">
        <f>'IS (Before Changes)'!K8/'BS (Before Changes)'!K8</f>
        <v>4.7918510952218822</v>
      </c>
      <c r="L47" s="276">
        <f>'IS (Before Changes)'!L8/'BS (Before Changes)'!L8</f>
        <v>7.0218474077428121</v>
      </c>
      <c r="M47" s="31"/>
      <c r="N47" s="276">
        <f>'IS (Before Changes)'!N8/'BS (Before Changes)'!N8</f>
        <v>7.6006756756756761</v>
      </c>
      <c r="O47" s="276">
        <f>'IS (Before Changes)'!O8/'BS (Before Changes)'!O8</f>
        <v>7.5755510111338324</v>
      </c>
      <c r="P47" s="276">
        <f>'IS (Before Changes)'!P8/'BS (Before Changes)'!P8</f>
        <v>8.2270632133450388</v>
      </c>
      <c r="Q47" s="276">
        <f>'IS (Before Changes)'!Q8/'BS (Before Changes)'!Q8</f>
        <v>8.6667021276595744</v>
      </c>
      <c r="R47" s="31"/>
      <c r="S47" s="276">
        <f>'IS (Before Changes)'!S8/'BS (Before Changes)'!S8</f>
        <v>7.8075841334497138</v>
      </c>
      <c r="T47" s="276">
        <f>'IS (Before Changes)'!T8/'BS (Before Changes)'!T8</f>
        <v>7.6211198722427387</v>
      </c>
      <c r="U47" s="276">
        <f>'IS (Before Changes)'!U8/'BS (Before Changes)'!U8</f>
        <v>7.1111595846784761</v>
      </c>
      <c r="V47" s="276">
        <f>'IS (Before Changes)'!V8/'BS (Before Changes)'!V8</f>
        <v>7.1579753296469582</v>
      </c>
      <c r="W47" s="126"/>
      <c r="X47" s="277">
        <f>AVERAGE(S47,N47,I47)</f>
        <v>7.7411961724724749</v>
      </c>
      <c r="Y47" s="277">
        <f t="shared" ref="Y47:AA47" si="39">AVERAGE(T47,O47,J47)</f>
        <v>7.1894322710794727</v>
      </c>
      <c r="Z47" s="277">
        <f t="shared" si="39"/>
        <v>6.7100246310817999</v>
      </c>
      <c r="AA47" s="277">
        <f t="shared" si="39"/>
        <v>7.6155082883497807</v>
      </c>
      <c r="AB47" s="278"/>
      <c r="AC47" s="277">
        <f t="shared" ref="AC47:AF47" si="40">AVERAGE(X47,S47,N47)</f>
        <v>7.7164853271992895</v>
      </c>
      <c r="AD47" s="277">
        <f t="shared" si="40"/>
        <v>7.4620343848186819</v>
      </c>
      <c r="AE47" s="277">
        <f t="shared" si="40"/>
        <v>7.3494158097017719</v>
      </c>
      <c r="AF47" s="277">
        <f t="shared" si="40"/>
        <v>7.813395248552105</v>
      </c>
      <c r="AG47" s="278"/>
      <c r="AH47" s="277">
        <f t="shared" ref="AH47:AK47" si="41">AVERAGE(AC47,X47,S47)</f>
        <v>7.7550885443738267</v>
      </c>
      <c r="AI47" s="277">
        <f t="shared" si="41"/>
        <v>7.4241955093802972</v>
      </c>
      <c r="AJ47" s="277">
        <f t="shared" si="41"/>
        <v>7.0568666751540157</v>
      </c>
      <c r="AK47" s="277">
        <f t="shared" si="41"/>
        <v>7.5289596221829482</v>
      </c>
      <c r="AL47" s="278"/>
      <c r="AM47" s="277">
        <f t="shared" ref="AM47:AP47" si="42">AVERAGE(AH47,AC47,X47)</f>
        <v>7.7375900146818637</v>
      </c>
      <c r="AN47" s="277">
        <f t="shared" si="42"/>
        <v>7.3585540550928172</v>
      </c>
      <c r="AO47" s="277">
        <f t="shared" si="42"/>
        <v>7.0387690386458628</v>
      </c>
      <c r="AP47" s="277">
        <f t="shared" si="42"/>
        <v>7.6526210530282777</v>
      </c>
      <c r="AQ47" s="278"/>
      <c r="AR47" s="277">
        <f t="shared" ref="AR47:AU47" si="43">AVERAGE(AM47,AH47,AC47)</f>
        <v>7.7363879620849936</v>
      </c>
      <c r="AS47" s="277">
        <f t="shared" si="43"/>
        <v>7.4149279830972654</v>
      </c>
      <c r="AT47" s="277">
        <f t="shared" si="43"/>
        <v>7.1483505078338831</v>
      </c>
      <c r="AU47" s="277">
        <f t="shared" si="43"/>
        <v>7.6649919745877773</v>
      </c>
      <c r="AV47" s="278"/>
    </row>
    <row r="48" spans="1:48" s="23" customFormat="1" outlineLevel="1" x14ac:dyDescent="0.3">
      <c r="B48" s="504" t="s">
        <v>252</v>
      </c>
      <c r="C48" s="505"/>
      <c r="D48" s="279">
        <f>D46/D47</f>
        <v>10.00630210924661</v>
      </c>
      <c r="E48" s="279">
        <f>E46/E47</f>
        <v>10.042024136126486</v>
      </c>
      <c r="F48" s="274">
        <f>F46/F47</f>
        <v>10.544423274219552</v>
      </c>
      <c r="G48" s="274">
        <f>G46/G47</f>
        <v>11.985771453979545</v>
      </c>
      <c r="H48" s="126"/>
      <c r="I48" s="274">
        <f>I46/I47</f>
        <v>11.771737752039567</v>
      </c>
      <c r="J48" s="274">
        <f>J46/J47</f>
        <v>14.28206881598479</v>
      </c>
      <c r="K48" s="274">
        <f>K46/K47</f>
        <v>18.990573411335589</v>
      </c>
      <c r="L48" s="279">
        <f>L46/L47</f>
        <v>13.101965146459028</v>
      </c>
      <c r="M48" s="31"/>
      <c r="N48" s="279">
        <f>N46/N47</f>
        <v>12.104187038847897</v>
      </c>
      <c r="O48" s="279">
        <f>O46/O47</f>
        <v>11.880323935212958</v>
      </c>
      <c r="P48" s="279">
        <f>P46/P47</f>
        <v>11.061055159074236</v>
      </c>
      <c r="Q48" s="279">
        <f>Q46/Q47</f>
        <v>10.615341181091731</v>
      </c>
      <c r="R48" s="31"/>
      <c r="S48" s="279">
        <f>S46/S47</f>
        <v>11.783414488721057</v>
      </c>
      <c r="T48" s="279">
        <f>T46/T47</f>
        <v>11.809288071664309</v>
      </c>
      <c r="U48" s="279">
        <f>U46/U47</f>
        <v>12.79678776947522</v>
      </c>
      <c r="V48" s="279">
        <f>V46/V47</f>
        <v>12.852796463121866</v>
      </c>
      <c r="W48" s="126"/>
      <c r="X48" s="279">
        <f>X46/X47</f>
        <v>11.884468233365535</v>
      </c>
      <c r="Y48" s="279">
        <f>Y46/Y47</f>
        <v>12.518373719443463</v>
      </c>
      <c r="Z48" s="279">
        <f>Z46/Z47</f>
        <v>13.561798205400752</v>
      </c>
      <c r="AA48" s="279">
        <f>AA46/AA47</f>
        <v>12.080611893068488</v>
      </c>
      <c r="AB48" s="31"/>
      <c r="AC48" s="279">
        <f>AC46/AC47</f>
        <v>11.922526396274707</v>
      </c>
      <c r="AD48" s="279">
        <f>AD46/AD47</f>
        <v>12.195065756482867</v>
      </c>
      <c r="AE48" s="279">
        <f>AE46/AE47</f>
        <v>12.381936517984638</v>
      </c>
      <c r="AF48" s="279">
        <f>AF46/AF47</f>
        <v>11.774650721406735</v>
      </c>
      <c r="AG48" s="31"/>
      <c r="AH48" s="279">
        <f>AH46/AH47</f>
        <v>11.863178540591171</v>
      </c>
      <c r="AI48" s="279">
        <f>AI46/AI47</f>
        <v>12.122525583585064</v>
      </c>
      <c r="AJ48" s="279">
        <f>AJ46/AJ47</f>
        <v>12.89524149866611</v>
      </c>
      <c r="AK48" s="279">
        <f>AK46/AK47</f>
        <v>12.219483782186296</v>
      </c>
      <c r="AL48" s="31"/>
      <c r="AM48" s="279">
        <f>AM46/AM47</f>
        <v>11.890007072671533</v>
      </c>
      <c r="AN48" s="279">
        <f>AN46/AN47</f>
        <v>12.230663704605318</v>
      </c>
      <c r="AO48" s="279">
        <f>AO46/AO47</f>
        <v>12.928396925708309</v>
      </c>
      <c r="AP48" s="279">
        <f>AP46/AP47</f>
        <v>12.022024788956978</v>
      </c>
      <c r="AQ48" s="31"/>
      <c r="AR48" s="279">
        <f>AR46/AR47</f>
        <v>11.89185449991388</v>
      </c>
      <c r="AS48" s="279">
        <f>AS46/AS47</f>
        <v>12.137676887106648</v>
      </c>
      <c r="AT48" s="279">
        <f>AT46/AT47</f>
        <v>12.730209563769016</v>
      </c>
      <c r="AU48" s="279">
        <f>AU46/AU47</f>
        <v>12.002621829874487</v>
      </c>
      <c r="AV48" s="31"/>
    </row>
    <row r="49" spans="2:48" outlineLevel="1" x14ac:dyDescent="0.3">
      <c r="B49" s="486" t="s">
        <v>253</v>
      </c>
      <c r="C49" s="487"/>
      <c r="D49" s="276">
        <f>'IS (Before Changes)'!D9/'BS (Before Changes)'!D9</f>
        <v>1.6062306215857083</v>
      </c>
      <c r="E49" s="276">
        <f>'IS (Before Changes)'!E9/'BS (Before Changes)'!E9</f>
        <v>1.3943173943173943</v>
      </c>
      <c r="F49" s="276">
        <f>'IS (Before Changes)'!F9/'BS (Before Changes)'!F9</f>
        <v>1.4497759029791721</v>
      </c>
      <c r="G49" s="276">
        <f>'IS (Before Changes)'!G9/'BS (Before Changes)'!G9</f>
        <v>1.3989146070354381</v>
      </c>
      <c r="H49" s="126"/>
      <c r="I49" s="276">
        <f>'IS (Before Changes)'!I9/'BS (Before Changes)'!I9</f>
        <v>1.5875630013487614</v>
      </c>
      <c r="J49" s="276">
        <f>'IS (Before Changes)'!J9/'BS (Before Changes)'!J9</f>
        <v>1.3387615601125855</v>
      </c>
      <c r="K49" s="276">
        <f>'IS (Before Changes)'!K9/'BS (Before Changes)'!K9</f>
        <v>0.93698699330723578</v>
      </c>
      <c r="L49" s="276">
        <f>'IS (Before Changes)'!L9/'BS (Before Changes)'!L9</f>
        <v>1.2742039448240299</v>
      </c>
      <c r="M49" s="31"/>
      <c r="N49" s="276">
        <f>'IS (Before Changes)'!N9/'BS (Before Changes)'!N9</f>
        <v>1.3925246347264695</v>
      </c>
      <c r="O49" s="276">
        <f>'IS (Before Changes)'!O9/'BS (Before Changes)'!O9</f>
        <v>1.3250864591646716</v>
      </c>
      <c r="P49" s="276">
        <f>'IS (Before Changes)'!P9/'BS (Before Changes)'!P9</f>
        <v>1.4248805063945227</v>
      </c>
      <c r="Q49" s="276">
        <f>'IS (Before Changes)'!Q9/'BS (Before Changes)'!Q9</f>
        <v>1.5531516927489244</v>
      </c>
      <c r="R49" s="31"/>
      <c r="S49" s="276">
        <f>'IS (Before Changes)'!S9/'BS (Before Changes)'!S9</f>
        <v>1.5435220817298883</v>
      </c>
      <c r="T49" s="276">
        <f>'IS (Before Changes)'!T9/'BS (Before Changes)'!T9</f>
        <v>1.2842708333333335</v>
      </c>
      <c r="U49" s="276">
        <f>'IS (Before Changes)'!U9/'BS (Before Changes)'!U9</f>
        <v>1.2253739040742651</v>
      </c>
      <c r="V49" s="276">
        <f>'IS (Before Changes)'!V9/'BS (Before Changes)'!V9</f>
        <v>1.2455205366167417</v>
      </c>
      <c r="W49" s="126"/>
      <c r="X49" s="277">
        <f t="shared" ref="X49:AA49" si="44">AVERAGE(S49,N49,I49)</f>
        <v>1.5078699059350396</v>
      </c>
      <c r="Y49" s="277">
        <f t="shared" si="44"/>
        <v>1.3160396175368636</v>
      </c>
      <c r="Z49" s="277">
        <f t="shared" si="44"/>
        <v>1.1957471345920079</v>
      </c>
      <c r="AA49" s="277">
        <f t="shared" si="44"/>
        <v>1.3576253913965652</v>
      </c>
      <c r="AB49" s="278"/>
      <c r="AC49" s="277">
        <f t="shared" ref="AC49:AF49" si="45">AVERAGE(X49,S49,N49)</f>
        <v>1.4813055407971323</v>
      </c>
      <c r="AD49" s="277">
        <f t="shared" si="45"/>
        <v>1.3084656366782896</v>
      </c>
      <c r="AE49" s="277">
        <f t="shared" si="45"/>
        <v>1.2820005150202654</v>
      </c>
      <c r="AF49" s="277">
        <f t="shared" si="45"/>
        <v>1.385432540254077</v>
      </c>
      <c r="AG49" s="278"/>
      <c r="AH49" s="277">
        <f t="shared" ref="AH49:AK49" si="46">AVERAGE(AC49,X49,S49)</f>
        <v>1.5108991761540198</v>
      </c>
      <c r="AI49" s="277">
        <f t="shared" si="46"/>
        <v>1.3029253625161621</v>
      </c>
      <c r="AJ49" s="277">
        <f t="shared" si="46"/>
        <v>1.234373851228846</v>
      </c>
      <c r="AK49" s="277">
        <f t="shared" si="46"/>
        <v>1.3295261560891281</v>
      </c>
      <c r="AL49" s="278"/>
      <c r="AM49" s="277">
        <f t="shared" ref="AM49:AP49" si="47">AVERAGE(AH49,AC49,X49)</f>
        <v>1.500024874295397</v>
      </c>
      <c r="AN49" s="277">
        <f t="shared" si="47"/>
        <v>1.3091435389104384</v>
      </c>
      <c r="AO49" s="277">
        <f t="shared" si="47"/>
        <v>1.2373738336137066</v>
      </c>
      <c r="AP49" s="277">
        <f t="shared" si="47"/>
        <v>1.3575280292465901</v>
      </c>
      <c r="AQ49" s="278"/>
      <c r="AR49" s="277">
        <f t="shared" ref="AR49:AU49" si="48">AVERAGE(AM49,AH49,AC49)</f>
        <v>1.4974098637488495</v>
      </c>
      <c r="AS49" s="277">
        <f t="shared" si="48"/>
        <v>1.3068448460349635</v>
      </c>
      <c r="AT49" s="277">
        <f t="shared" si="48"/>
        <v>1.2512493999542726</v>
      </c>
      <c r="AU49" s="277">
        <f t="shared" si="48"/>
        <v>1.3574955751965982</v>
      </c>
      <c r="AV49" s="278"/>
    </row>
    <row r="50" spans="2:48" s="23" customFormat="1" outlineLevel="1" x14ac:dyDescent="0.3">
      <c r="B50" s="504" t="s">
        <v>252</v>
      </c>
      <c r="C50" s="505"/>
      <c r="D50" s="279">
        <f>D46/D49</f>
        <v>57.276955602536987</v>
      </c>
      <c r="E50" s="279">
        <f>E46/E49</f>
        <v>64.547713717693838</v>
      </c>
      <c r="F50" s="274">
        <f>F46/F49</f>
        <v>62.768321513002363</v>
      </c>
      <c r="G50" s="274">
        <f>G46/G49</f>
        <v>65.765272259873825</v>
      </c>
      <c r="H50" s="126"/>
      <c r="I50" s="274">
        <f>I46/I49</f>
        <v>57.950456090144868</v>
      </c>
      <c r="J50" s="274">
        <f>J46/J49</f>
        <v>67.973269259648589</v>
      </c>
      <c r="K50" s="274">
        <f>K46/K49</f>
        <v>97.119811320754721</v>
      </c>
      <c r="L50" s="279">
        <f>L46/L49</f>
        <v>72.201942533387296</v>
      </c>
      <c r="M50" s="31"/>
      <c r="N50" s="279">
        <f>N46/N49</f>
        <v>66.067053828510083</v>
      </c>
      <c r="O50" s="279">
        <f>O46/O49</f>
        <v>67.920096366191515</v>
      </c>
      <c r="P50" s="279">
        <f>P46/P49</f>
        <v>63.865004533091565</v>
      </c>
      <c r="Q50" s="279">
        <f>Q46/Q49</f>
        <v>59.234394444221429</v>
      </c>
      <c r="R50" s="31"/>
      <c r="S50" s="279">
        <f>S46/S49</f>
        <v>59.603941588507659</v>
      </c>
      <c r="T50" s="279">
        <f>T46/T49</f>
        <v>70.078676291670035</v>
      </c>
      <c r="U50" s="279">
        <f>U46/U49</f>
        <v>74.263047138047142</v>
      </c>
      <c r="V50" s="279">
        <f>V46/V49</f>
        <v>73.864699372925116</v>
      </c>
      <c r="W50" s="126"/>
      <c r="X50" s="279">
        <f>X46/X49</f>
        <v>61.01322112596327</v>
      </c>
      <c r="Y50" s="279">
        <f>Y46/Y49</f>
        <v>68.38699899357627</v>
      </c>
      <c r="Z50" s="279">
        <f>Z46/Z49</f>
        <v>76.103046678886201</v>
      </c>
      <c r="AA50" s="279">
        <f>AA46/AA49</f>
        <v>67.765379598094597</v>
      </c>
      <c r="AB50" s="31"/>
      <c r="AC50" s="279">
        <f>AC46/AC49</f>
        <v>62.1073758695942</v>
      </c>
      <c r="AD50" s="279">
        <f>AD46/AD49</f>
        <v>69.547107275216902</v>
      </c>
      <c r="AE50" s="279">
        <f>AE46/AE49</f>
        <v>70.982810797514773</v>
      </c>
      <c r="AF50" s="279">
        <f>AF46/AF49</f>
        <v>66.405254190960434</v>
      </c>
      <c r="AG50" s="31"/>
      <c r="AH50" s="279">
        <f>AH46/AH49</f>
        <v>60.890892954343364</v>
      </c>
      <c r="AI50" s="279">
        <f>AI46/AI49</f>
        <v>69.075330474951585</v>
      </c>
      <c r="AJ50" s="279">
        <f>AJ46/AJ49</f>
        <v>73.721587596340868</v>
      </c>
      <c r="AK50" s="279">
        <f>AK46/AK49</f>
        <v>69.19758560495184</v>
      </c>
      <c r="AL50" s="31"/>
      <c r="AM50" s="279">
        <f>AM46/AM49</f>
        <v>61.332316267898513</v>
      </c>
      <c r="AN50" s="279">
        <f>AN46/AN49</f>
        <v>68.747236131879276</v>
      </c>
      <c r="AO50" s="279">
        <f>AO46/AO49</f>
        <v>73.542851422870086</v>
      </c>
      <c r="AP50" s="279">
        <f>AP46/AP49</f>
        <v>67.770239743085654</v>
      </c>
      <c r="AQ50" s="31"/>
      <c r="AR50" s="279">
        <f>AR46/AR49</f>
        <v>61.439424320120906</v>
      </c>
      <c r="AS50" s="279">
        <f>AS46/AS49</f>
        <v>68.868160036797605</v>
      </c>
      <c r="AT50" s="279">
        <f>AT46/AT49</f>
        <v>72.727307604163983</v>
      </c>
      <c r="AU50" s="279">
        <f>AU46/AU49</f>
        <v>67.771859946339916</v>
      </c>
      <c r="AV50" s="31"/>
    </row>
    <row r="51" spans="2:48" s="23" customFormat="1" outlineLevel="1" x14ac:dyDescent="0.3">
      <c r="B51" s="486" t="s">
        <v>254</v>
      </c>
      <c r="C51" s="487"/>
      <c r="D51" s="276">
        <f>'IS (Before Changes)'!D9/'BS (Before Changes)'!D22</f>
        <v>1.9771013175829171</v>
      </c>
      <c r="E51" s="276">
        <f>'IS (Before Changes)'!E9/'BS (Before Changes)'!E22</f>
        <v>1.8345946931704202</v>
      </c>
      <c r="F51" s="276">
        <f>'IS (Before Changes)'!F9/'BS (Before Changes)'!F22</f>
        <v>1.9203771608171816</v>
      </c>
      <c r="G51" s="276">
        <f>'IS (Before Changes)'!G9/'BS (Before Changes)'!G22</f>
        <v>1.7983525258468513</v>
      </c>
      <c r="H51" s="127"/>
      <c r="I51" s="276">
        <f>'IS (Before Changes)'!I9/'BS (Before Changes)'!I22</f>
        <v>2.0600589535740608</v>
      </c>
      <c r="J51" s="276">
        <f>'IS (Before Changes)'!J9/'BS (Before Changes)'!J22</f>
        <v>2.0023053021950488</v>
      </c>
      <c r="K51" s="276">
        <f>'IS (Before Changes)'!K9/'BS (Before Changes)'!K22</f>
        <v>1.7239776951672863</v>
      </c>
      <c r="L51" s="276">
        <f>'IS (Before Changes)'!L9/'BS (Before Changes)'!L22</f>
        <v>1.9809600160336707</v>
      </c>
      <c r="M51" s="280"/>
      <c r="N51" s="276">
        <f>'IS (Before Changes)'!N9/'BS (Before Changes)'!N22</f>
        <v>1.9504092899295642</v>
      </c>
      <c r="O51" s="276">
        <f>'IS (Before Changes)'!O9/'BS (Before Changes)'!O22</f>
        <v>1.9276315789473686</v>
      </c>
      <c r="P51" s="276">
        <f>'IS (Before Changes)'!P9/'BS (Before Changes)'!P22</f>
        <v>1.9574090505767525</v>
      </c>
      <c r="Q51" s="276">
        <f>'IS (Before Changes)'!Q9/'BS (Before Changes)'!Q22</f>
        <v>2.0560415978870914</v>
      </c>
      <c r="R51" s="280"/>
      <c r="S51" s="276">
        <f>'IS (Before Changes)'!S9/'BS (Before Changes)'!S22</f>
        <v>1.9597487203350394</v>
      </c>
      <c r="T51" s="276">
        <f>'IS (Before Changes)'!T9/'BS (Before Changes)'!T22</f>
        <v>1.8546822113576533</v>
      </c>
      <c r="U51" s="276">
        <f>'IS (Before Changes)'!U9/'BS (Before Changes)'!U22</f>
        <v>1.7543294401933145</v>
      </c>
      <c r="V51" s="276">
        <f>'IS (Before Changes)'!V9/'BS (Before Changes)'!V22</f>
        <v>1.8808103232967948</v>
      </c>
      <c r="W51" s="127"/>
      <c r="X51" s="277">
        <f t="shared" ref="X51:AA51" si="49">AVERAGE(S51,N51,I51)</f>
        <v>1.9900723212795548</v>
      </c>
      <c r="Y51" s="277">
        <f t="shared" si="49"/>
        <v>1.9282063641666902</v>
      </c>
      <c r="Z51" s="277">
        <f t="shared" si="49"/>
        <v>1.8119053953124509</v>
      </c>
      <c r="AA51" s="277">
        <f t="shared" si="49"/>
        <v>1.9726039790725192</v>
      </c>
      <c r="AB51" s="31"/>
      <c r="AC51" s="277">
        <f t="shared" ref="AC51:AF51" si="50">AVERAGE(X51,S51,N51)</f>
        <v>1.9667434438480529</v>
      </c>
      <c r="AD51" s="277">
        <f t="shared" si="50"/>
        <v>1.9035067181572376</v>
      </c>
      <c r="AE51" s="277">
        <f t="shared" si="50"/>
        <v>1.8412146286941729</v>
      </c>
      <c r="AF51" s="277">
        <f t="shared" si="50"/>
        <v>1.9698186334188019</v>
      </c>
      <c r="AG51" s="31"/>
      <c r="AH51" s="277">
        <f t="shared" ref="AH51:AK51" si="51">AVERAGE(AC51,X51,S51)</f>
        <v>1.9721881618208823</v>
      </c>
      <c r="AI51" s="277">
        <f t="shared" si="51"/>
        <v>1.8954650978938605</v>
      </c>
      <c r="AJ51" s="277">
        <f t="shared" si="51"/>
        <v>1.8024831547333129</v>
      </c>
      <c r="AK51" s="277">
        <f t="shared" si="51"/>
        <v>1.9410776452627054</v>
      </c>
      <c r="AL51" s="31"/>
      <c r="AM51" s="277">
        <f t="shared" ref="AM51:AP51" si="52">AVERAGE(AH51,AC51,X51)</f>
        <v>1.9763346423161634</v>
      </c>
      <c r="AN51" s="277">
        <f t="shared" si="52"/>
        <v>1.9090593934059295</v>
      </c>
      <c r="AO51" s="277">
        <f t="shared" si="52"/>
        <v>1.8185343929133122</v>
      </c>
      <c r="AP51" s="277">
        <f t="shared" si="52"/>
        <v>1.9611667525846757</v>
      </c>
      <c r="AQ51" s="31"/>
      <c r="AR51" s="277">
        <f t="shared" ref="AR51:AU51" si="53">AVERAGE(AM51,AH51,AC51)</f>
        <v>1.9717554159950328</v>
      </c>
      <c r="AS51" s="277">
        <f t="shared" si="53"/>
        <v>1.9026770698190092</v>
      </c>
      <c r="AT51" s="277">
        <f t="shared" si="53"/>
        <v>1.8207440587802661</v>
      </c>
      <c r="AU51" s="277">
        <f t="shared" si="53"/>
        <v>1.9573543437553944</v>
      </c>
      <c r="AV51" s="31"/>
    </row>
    <row r="52" spans="2:48" s="23" customFormat="1" outlineLevel="1" x14ac:dyDescent="0.3">
      <c r="B52" s="504" t="s">
        <v>255</v>
      </c>
      <c r="C52" s="505"/>
      <c r="D52" s="16">
        <f>D46/D51</f>
        <v>46.532769556025364</v>
      </c>
      <c r="E52" s="16">
        <f>E46/E51</f>
        <v>49.057157057654081</v>
      </c>
      <c r="F52" s="101">
        <f>F46/F51</f>
        <v>47.386524822695037</v>
      </c>
      <c r="G52" s="101">
        <f>G46/G51</f>
        <v>51.157934096751603</v>
      </c>
      <c r="H52" s="128"/>
      <c r="I52" s="101">
        <f>I46/I51</f>
        <v>44.658916115185114</v>
      </c>
      <c r="J52" s="101">
        <f>J46/J51</f>
        <v>45.447614756970509</v>
      </c>
      <c r="K52" s="101">
        <f>K46/K51</f>
        <v>52.784905660377355</v>
      </c>
      <c r="L52" s="16">
        <f>L46/L51</f>
        <v>46.44212869283691</v>
      </c>
      <c r="M52" s="28"/>
      <c r="N52" s="16">
        <f>N46/N51</f>
        <v>47.169586647796592</v>
      </c>
      <c r="O52" s="16">
        <f>O46/O51</f>
        <v>46.689419795221838</v>
      </c>
      <c r="P52" s="16">
        <f>P46/P51</f>
        <v>46.490027198549406</v>
      </c>
      <c r="Q52" s="16">
        <f>Q46/Q51</f>
        <v>44.74617638794107</v>
      </c>
      <c r="R52" s="28"/>
      <c r="S52" s="16">
        <f>S46/S51</f>
        <v>46.944794016383717</v>
      </c>
      <c r="T52" s="16">
        <f>T46/T51</f>
        <v>48.525833400924647</v>
      </c>
      <c r="U52" s="16">
        <f>U46/U51</f>
        <v>51.871671258034894</v>
      </c>
      <c r="V52" s="16">
        <f>V46/V51</f>
        <v>48.915086683880489</v>
      </c>
      <c r="W52" s="28"/>
      <c r="X52" s="16">
        <f>X46/X51</f>
        <v>46.229475691037628</v>
      </c>
      <c r="Y52" s="16">
        <f>Y46/Y51</f>
        <v>46.675501996330745</v>
      </c>
      <c r="Z52" s="16">
        <f>Z46/Z51</f>
        <v>50.223372718810005</v>
      </c>
      <c r="AA52" s="16">
        <f>AA46/AA51</f>
        <v>46.638859586634645</v>
      </c>
      <c r="AB52" s="28"/>
      <c r="AC52" s="16">
        <f>AC46/AC51</f>
        <v>46.77783484560468</v>
      </c>
      <c r="AD52" s="16">
        <f>AD46/AD51</f>
        <v>47.80650319327269</v>
      </c>
      <c r="AE52" s="16">
        <f>AE46/AE51</f>
        <v>49.423895824974551</v>
      </c>
      <c r="AF52" s="16">
        <f>AF46/AF51</f>
        <v>46.70480745748938</v>
      </c>
      <c r="AG52" s="28"/>
      <c r="AH52" s="16">
        <f>AH46/AH51</f>
        <v>46.648692949793499</v>
      </c>
      <c r="AI52" s="16">
        <f>AI46/AI51</f>
        <v>47.481750046467852</v>
      </c>
      <c r="AJ52" s="16">
        <f>AJ46/AJ51</f>
        <v>50.485908709345992</v>
      </c>
      <c r="AK52" s="16">
        <f>AK46/AK51</f>
        <v>47.396352343004146</v>
      </c>
      <c r="AL52" s="28"/>
      <c r="AM52" s="16">
        <f>AM46/AM51</f>
        <v>46.550820913699461</v>
      </c>
      <c r="AN52" s="16">
        <f>AN46/AN51</f>
        <v>47.143635400170609</v>
      </c>
      <c r="AO52" s="16">
        <f>AO46/AO51</f>
        <v>50.040296380766819</v>
      </c>
      <c r="AP52" s="16">
        <f>AP46/AP51</f>
        <v>46.910850328637615</v>
      </c>
      <c r="AQ52" s="28"/>
      <c r="AR52" s="16">
        <f>AR46/AR51</f>
        <v>46.658931048794827</v>
      </c>
      <c r="AS52" s="16">
        <f>AS46/AS51</f>
        <v>47.301773604998132</v>
      </c>
      <c r="AT52" s="16">
        <f>AT46/AT51</f>
        <v>49.979567178135831</v>
      </c>
      <c r="AU52" s="16">
        <f>AU46/AU51</f>
        <v>47.002220264057108</v>
      </c>
      <c r="AV52" s="28"/>
    </row>
    <row r="53" spans="2:48" s="23" customFormat="1" outlineLevel="1" x14ac:dyDescent="0.3">
      <c r="B53" s="486" t="s">
        <v>256</v>
      </c>
      <c r="C53" s="487"/>
      <c r="D53" s="30">
        <f t="shared" ref="D53:L53" si="54">(D12+D7)/D20</f>
        <v>2.4783172266068774E-2</v>
      </c>
      <c r="E53" s="30">
        <f t="shared" si="54"/>
        <v>1.862044337628033E-2</v>
      </c>
      <c r="F53" s="118">
        <f t="shared" si="54"/>
        <v>1.4104190097872643E-2</v>
      </c>
      <c r="G53" s="118">
        <f t="shared" si="54"/>
        <v>1.5114935950133718E-2</v>
      </c>
      <c r="H53" s="128">
        <f t="shared" si="54"/>
        <v>1.5114935950133718E-2</v>
      </c>
      <c r="I53" s="118">
        <f t="shared" si="54"/>
        <v>9.6713821566244626E-3</v>
      </c>
      <c r="J53" s="118">
        <f t="shared" si="54"/>
        <v>9.1597553031598795E-3</v>
      </c>
      <c r="K53" s="118">
        <f t="shared" si="54"/>
        <v>1.5555616562459249E-2</v>
      </c>
      <c r="L53" s="118">
        <f t="shared" si="54"/>
        <v>1.6589218539890038E-2</v>
      </c>
      <c r="M53" s="28"/>
      <c r="N53" s="118">
        <f>(N12+N7)/N20</f>
        <v>1.4228367975494099E-2</v>
      </c>
      <c r="O53" s="118">
        <f>(O12+O7)/O20</f>
        <v>1.4373528458035493E-2</v>
      </c>
      <c r="P53" s="118">
        <f>(P12+P7)/P20</f>
        <v>1.4910030939586384E-2</v>
      </c>
      <c r="Q53" s="118">
        <f>(Q12+Q7)/Q20</f>
        <v>1.4140275096678831E-2</v>
      </c>
      <c r="R53" s="28"/>
      <c r="S53" s="118">
        <f>(S12+S7)/S20</f>
        <v>1.3421701538813684E-2</v>
      </c>
      <c r="T53" s="118">
        <f>(T12+T7)/T20</f>
        <v>1.2669917130403319E-2</v>
      </c>
      <c r="U53" s="118">
        <f>(U12+U7)/U20</f>
        <v>1.3119668137035531E-2</v>
      </c>
      <c r="V53" s="118">
        <f>(V12+V7)/V20</f>
        <v>2.3003542030788138E-2</v>
      </c>
      <c r="W53" s="28"/>
      <c r="X53" s="34">
        <f>AVERAGE(S53,T53,U53,V53)</f>
        <v>1.5553707209260168E-2</v>
      </c>
      <c r="Y53" s="34">
        <f>AVERAGE(T53,U53,V53,X53)</f>
        <v>1.6086708626871789E-2</v>
      </c>
      <c r="Z53" s="34">
        <f>AVERAGE(U53,V53,X53,Y53)</f>
        <v>1.6940906500988909E-2</v>
      </c>
      <c r="AA53" s="34">
        <f>AVERAGE(V53,X53,Y53,Z53)</f>
        <v>1.7896216091977252E-2</v>
      </c>
      <c r="AB53" s="28"/>
      <c r="AC53" s="34">
        <f>AVERAGE(X53,Y53,Z53,AA53)</f>
        <v>1.661938460727453E-2</v>
      </c>
      <c r="AD53" s="34">
        <f>AVERAGE(Y53,Z53,AA53,AC53)</f>
        <v>1.688580395677812E-2</v>
      </c>
      <c r="AE53" s="34">
        <f>AVERAGE(Z53,AA53,AC53,AD53)</f>
        <v>1.7085577789254701E-2</v>
      </c>
      <c r="AF53" s="34">
        <f>AVERAGE(AA53,AC53,AD53,AE53)</f>
        <v>1.7121745611321151E-2</v>
      </c>
      <c r="AG53" s="28"/>
      <c r="AH53" s="34">
        <f>AVERAGE(AC53,AD53,AE53,AF53)</f>
        <v>1.6928127991157126E-2</v>
      </c>
      <c r="AI53" s="34">
        <f>AVERAGE(AD53,AE53,AF53,AH53)</f>
        <v>1.7005313837127774E-2</v>
      </c>
      <c r="AJ53" s="34">
        <f>AVERAGE(AE53,AF53,AH53,AI53)</f>
        <v>1.7035191307215189E-2</v>
      </c>
      <c r="AK53" s="34">
        <f>AVERAGE(AF53,AH53,AI53,AJ53)</f>
        <v>1.7022594686705309E-2</v>
      </c>
      <c r="AL53" s="28"/>
      <c r="AM53" s="34">
        <f>AVERAGE(AH53,AI53,AJ53,AK53)</f>
        <v>1.6997806955551351E-2</v>
      </c>
      <c r="AN53" s="34">
        <f>AVERAGE(AI53,AJ53,AK53,AM53)</f>
        <v>1.7015226696649906E-2</v>
      </c>
      <c r="AO53" s="34">
        <f>AVERAGE(AJ53,AK53,AM53,AN53)</f>
        <v>1.7017704911530436E-2</v>
      </c>
      <c r="AP53" s="34">
        <f>AVERAGE(AK53,AM53,AN53,AO53)</f>
        <v>1.701333331260925E-2</v>
      </c>
      <c r="AQ53" s="28"/>
      <c r="AR53" s="34">
        <f>AVERAGE(AM53,AN53,AO53,AP53)</f>
        <v>1.7011017969085235E-2</v>
      </c>
      <c r="AS53" s="34">
        <f>AVERAGE(AN53,AO53,AP53,AR53)</f>
        <v>1.7014320722468706E-2</v>
      </c>
      <c r="AT53" s="34">
        <f>AVERAGE(AO53,AP53,AR53,AS53)</f>
        <v>1.7014094228923408E-2</v>
      </c>
      <c r="AU53" s="34">
        <f>AVERAGE(AP53,AR53,AS53,AT53)</f>
        <v>1.7013191558271648E-2</v>
      </c>
      <c r="AV53" s="28"/>
    </row>
    <row r="54" spans="2:48" s="23" customFormat="1" outlineLevel="1" x14ac:dyDescent="0.3">
      <c r="B54" s="180" t="s">
        <v>257</v>
      </c>
      <c r="C54" s="201"/>
      <c r="D54" s="30">
        <f t="shared" ref="D54:L54" si="55">D7/(D7+D12)</f>
        <v>0.4648626817447496</v>
      </c>
      <c r="E54" s="30">
        <f t="shared" si="55"/>
        <v>0.23318112633181123</v>
      </c>
      <c r="F54" s="118">
        <f t="shared" si="55"/>
        <v>0.24465558194774345</v>
      </c>
      <c r="G54" s="118">
        <f t="shared" si="55"/>
        <v>0.24268502581755594</v>
      </c>
      <c r="H54" s="128">
        <f t="shared" si="55"/>
        <v>0.24268502581755594</v>
      </c>
      <c r="I54" s="118">
        <f t="shared" si="55"/>
        <v>0.25503355704697983</v>
      </c>
      <c r="J54" s="118">
        <f t="shared" si="55"/>
        <v>0.21017083829956296</v>
      </c>
      <c r="K54" s="118">
        <f t="shared" si="55"/>
        <v>0.50716964482682547</v>
      </c>
      <c r="L54" s="118">
        <f t="shared" si="55"/>
        <v>0.57705725425815724</v>
      </c>
      <c r="M54" s="28"/>
      <c r="N54" s="118">
        <f>N7/(N7+N12)</f>
        <v>0.55229831144465291</v>
      </c>
      <c r="O54" s="118">
        <f>O7/(O7+O12)</f>
        <v>0.30161844041196662</v>
      </c>
      <c r="P54" s="118">
        <f>P7/(P7+P12)</f>
        <v>0.34948805460750854</v>
      </c>
      <c r="Q54" s="118">
        <f>Q7/(Q7+Q12)</f>
        <v>0.3653976120747916</v>
      </c>
      <c r="R54" s="28"/>
      <c r="S54" s="118">
        <f>S7/(S7+S12)</f>
        <v>0.22583979328165377</v>
      </c>
      <c r="T54" s="118">
        <f>T7/(T7+T12)</f>
        <v>0.22327984770193088</v>
      </c>
      <c r="U54" s="118">
        <f>U7/(U7+U12)</f>
        <v>0.20817541959935032</v>
      </c>
      <c r="V54" s="118">
        <f>V7/(V7+V12)</f>
        <v>0.5663455562461156</v>
      </c>
      <c r="W54" s="28"/>
      <c r="X54" s="34">
        <f>AVERAGE(S54,T54,U54,V54)</f>
        <v>0.30591015420726264</v>
      </c>
      <c r="Y54" s="34">
        <f>AVERAGE(T54,U54,V54,X54)</f>
        <v>0.32592774443866485</v>
      </c>
      <c r="Z54" s="34">
        <f>AVERAGE(U54,V54,X54,Y54)</f>
        <v>0.35158971862284832</v>
      </c>
      <c r="AA54" s="34">
        <f>AVERAGE(V54,X54,Y54,Z54)</f>
        <v>0.38744329337872285</v>
      </c>
      <c r="AB54" s="28"/>
      <c r="AC54" s="34">
        <f>AVERAGE(X54,Y54,Z54,AA54)</f>
        <v>0.34271772766187464</v>
      </c>
      <c r="AD54" s="34">
        <f>AVERAGE(Y54,Z54,AA54,AC54)</f>
        <v>0.35191962102552765</v>
      </c>
      <c r="AE54" s="34">
        <f>AVERAGE(Z54,AA54,AC54,AD54)</f>
        <v>0.35841759017224339</v>
      </c>
      <c r="AF54" s="34">
        <f>AVERAGE(AA54,AC54,AD54,AE54)</f>
        <v>0.36012455805959209</v>
      </c>
      <c r="AG54" s="28"/>
      <c r="AH54" s="34">
        <f>AVERAGE(AC54,AD54,AE54,AF54)</f>
        <v>0.35329487422980943</v>
      </c>
      <c r="AI54" s="34">
        <f>AVERAGE(AD54,AE54,AF54,AH54)</f>
        <v>0.35593916087179311</v>
      </c>
      <c r="AJ54" s="34">
        <f>AVERAGE(AE54,AF54,AH54,AI54)</f>
        <v>0.35694404583335948</v>
      </c>
      <c r="AK54" s="34">
        <f>AVERAGE(AF54,AH54,AI54,AJ54)</f>
        <v>0.35657565974863853</v>
      </c>
      <c r="AL54" s="28"/>
      <c r="AM54" s="34">
        <f>AVERAGE(AH54,AI54,AJ54,AK54)</f>
        <v>0.35568843517090015</v>
      </c>
      <c r="AN54" s="34">
        <f>AVERAGE(AI54,AJ54,AK54,AM54)</f>
        <v>0.35628682540617285</v>
      </c>
      <c r="AO54" s="34">
        <f>AVERAGE(AJ54,AK54,AM54,AN54)</f>
        <v>0.35637374153976775</v>
      </c>
      <c r="AP54" s="34">
        <f>AVERAGE(AK54,AM54,AN54,AO54)</f>
        <v>0.35623116546636979</v>
      </c>
      <c r="AQ54" s="28"/>
      <c r="AR54" s="34">
        <f>AVERAGE(AM54,AN54,AO54,AP54)</f>
        <v>0.35614504189580265</v>
      </c>
      <c r="AS54" s="34">
        <f>AVERAGE(AN54,AO54,AP54,AR54)</f>
        <v>0.35625919357702829</v>
      </c>
      <c r="AT54" s="34">
        <f>AVERAGE(AO54,AP54,AR54,AS54)</f>
        <v>0.35625228561974209</v>
      </c>
      <c r="AU54" s="34">
        <f>AVERAGE(AP54,AR54,AS54,AT54)</f>
        <v>0.35622192163973571</v>
      </c>
      <c r="AV54" s="28"/>
    </row>
    <row r="55" spans="2:48" s="23" customFormat="1" outlineLevel="1" x14ac:dyDescent="0.3">
      <c r="B55" s="200" t="s">
        <v>258</v>
      </c>
      <c r="C55" s="201"/>
      <c r="D55" s="30">
        <f t="shared" ref="D55:L55" si="56">+D16/(D27+D33)</f>
        <v>7.7585075018799465E-2</v>
      </c>
      <c r="E55" s="30">
        <f t="shared" si="56"/>
        <v>0.12468259571674534</v>
      </c>
      <c r="F55" s="113">
        <f t="shared" si="56"/>
        <v>0.19119242713361023</v>
      </c>
      <c r="G55" s="113">
        <f t="shared" si="56"/>
        <v>0.22035590386103276</v>
      </c>
      <c r="H55" s="125">
        <f t="shared" si="56"/>
        <v>0.22035590386103276</v>
      </c>
      <c r="I55" s="281">
        <f t="shared" si="56"/>
        <v>0.20507171706404201</v>
      </c>
      <c r="J55" s="281">
        <f t="shared" si="56"/>
        <v>0.21050752296288999</v>
      </c>
      <c r="K55" s="113">
        <f t="shared" si="56"/>
        <v>0.2146584586535733</v>
      </c>
      <c r="L55" s="113">
        <f t="shared" si="56"/>
        <v>0.22220980757293607</v>
      </c>
      <c r="M55" s="282"/>
      <c r="N55" s="281">
        <f>+N16/(N27+N33)</f>
        <v>0.21164495979407008</v>
      </c>
      <c r="O55" s="281">
        <f>+O16/(O27+O33)</f>
        <v>0.21706605185058006</v>
      </c>
      <c r="P55" s="113">
        <f>+P16/(P27+P33)</f>
        <v>0.22796408734312845</v>
      </c>
      <c r="Q55" s="113">
        <f>+Q16/(Q27+Q33)</f>
        <v>0.23263143527192862</v>
      </c>
      <c r="R55" s="282"/>
      <c r="S55" s="281">
        <f>+S16/(S27+S33)</f>
        <v>0.21831564613072879</v>
      </c>
      <c r="T55" s="281">
        <f>+T16/(T27+T33)</f>
        <v>0.22164512770257855</v>
      </c>
      <c r="U55" s="281">
        <f>+U16/(U27+U33)</f>
        <v>0.21758667345241495</v>
      </c>
      <c r="V55" s="113">
        <f>+V16/(V27+V33)</f>
        <v>0.22718895172692385</v>
      </c>
      <c r="W55" s="282"/>
      <c r="X55" s="283">
        <f>AVERAGE(S55,T55,U55,V55)</f>
        <v>0.22118409975316156</v>
      </c>
      <c r="Y55" s="283">
        <f>AVERAGE(T55,U55,V55,X55)</f>
        <v>0.22190121315876973</v>
      </c>
      <c r="Z55" s="35">
        <f>AVERAGE(U55,V55,X55,Y55)</f>
        <v>0.22196523452281752</v>
      </c>
      <c r="AA55" s="284">
        <f>AVERAGE(V55,X55,Y55,Z55)</f>
        <v>0.22305987479041817</v>
      </c>
      <c r="AB55" s="28"/>
      <c r="AC55" s="283">
        <f>AVERAGE(X55,Y55,Z55,AA55)</f>
        <v>0.22202760555629175</v>
      </c>
      <c r="AD55" s="283">
        <f>AVERAGE(Y55,Z55,AA55,AC55)</f>
        <v>0.2222384820070743</v>
      </c>
      <c r="AE55" s="35">
        <f>AVERAGE(Z55,AA55,AC55,AD55)</f>
        <v>0.22232279921915044</v>
      </c>
      <c r="AF55" s="284">
        <f>AVERAGE(AA55,AC55,AD55,AE55)</f>
        <v>0.22241219039323365</v>
      </c>
      <c r="AG55" s="28"/>
      <c r="AH55" s="283">
        <f>AVERAGE(AC55,AD55,AE55,AF55)</f>
        <v>0.22225026929393754</v>
      </c>
      <c r="AI55" s="283">
        <f>AVERAGE(AD55,AE55,AF55,AH55)</f>
        <v>0.22230593522834899</v>
      </c>
      <c r="AJ55" s="35">
        <f>AVERAGE(AE55,AF55,AH55,AI55)</f>
        <v>0.22232279853366765</v>
      </c>
      <c r="AK55" s="284">
        <f>AVERAGE(AF55,AH55,AI55,AJ55)</f>
        <v>0.22232279836229696</v>
      </c>
      <c r="AL55" s="28"/>
      <c r="AM55" s="283">
        <f>AVERAGE(AH55,AI55,AJ55,AK55)</f>
        <v>0.22230045035456278</v>
      </c>
      <c r="AN55" s="283">
        <f>AVERAGE(AI55,AJ55,AK55,AM55)</f>
        <v>0.22231299561971909</v>
      </c>
      <c r="AO55" s="35">
        <f>AVERAGE(AJ55,AK55,AM55,AN55)</f>
        <v>0.22231476071756162</v>
      </c>
      <c r="AP55" s="284">
        <f>AVERAGE(AK55,AM55,AN55,AO55)</f>
        <v>0.22231275126353511</v>
      </c>
      <c r="AQ55" s="28"/>
      <c r="AR55" s="283">
        <f>AVERAGE(AM55,AN55,AO55,AP55)</f>
        <v>0.22231023948884465</v>
      </c>
      <c r="AS55" s="283">
        <f>AVERAGE(AN55,AO55,AP55,AR55)</f>
        <v>0.22231268677241511</v>
      </c>
      <c r="AT55" s="35">
        <f>AVERAGE(AO55,AP55,AR55,AS55)</f>
        <v>0.22231260956058913</v>
      </c>
      <c r="AU55" s="284">
        <f>AVERAGE(AP55,AR55,AS55,AT55)</f>
        <v>0.22231207177134599</v>
      </c>
      <c r="AV55" s="28"/>
    </row>
    <row r="56" spans="2:48" outlineLevel="1" x14ac:dyDescent="0.3">
      <c r="B56" s="200" t="s">
        <v>259</v>
      </c>
      <c r="C56" s="201"/>
      <c r="D56" s="285"/>
      <c r="E56" s="285">
        <f>+'CFS (Before Changes) '!E7/((E14+D14)/2)</f>
        <v>6.122482504846076E-2</v>
      </c>
      <c r="F56" s="286">
        <f>+'CFS (Before Changes) '!F7/((F14+E14)/2)</f>
        <v>5.8442138063667992E-2</v>
      </c>
      <c r="G56" s="286">
        <f>+'CFS (Before Changes) '!G7/((G14+F14)/2)</f>
        <v>5.7957922263164152E-2</v>
      </c>
      <c r="H56" s="125">
        <f>+'CFS (Before Changes) '!H7/((H14+G14)/2)</f>
        <v>0.2253370026587061</v>
      </c>
      <c r="I56" s="287">
        <f>+'CFS (Before Changes) '!I7/((I14+G14)/2)</f>
        <v>5.75858250276855E-2</v>
      </c>
      <c r="J56" s="287">
        <f>+'CFS (Before Changes) '!J7/((J14+I14)/2)</f>
        <v>5.9117695395957084E-2</v>
      </c>
      <c r="K56" s="286">
        <f>+'CFS (Before Changes) '!K7/((K14+J14)/2)</f>
        <v>5.9467301657388859E-2</v>
      </c>
      <c r="L56" s="286">
        <f>+'CFS (Before Changes) '!L7/((L14+K14)/2)</f>
        <v>6.0492940894950963E-2</v>
      </c>
      <c r="M56" s="282"/>
      <c r="N56" s="287">
        <f>+'CFS (Before Changes) '!N7/((N14+L14)/2)</f>
        <v>6.2547808652661588E-2</v>
      </c>
      <c r="O56" s="287">
        <f>+'CFS (Before Changes) '!O7/((O14+N14)/2)</f>
        <v>6.251524266319812E-2</v>
      </c>
      <c r="P56" s="286">
        <f>+'CFS (Before Changes) '!P7/((P14+O14)/2)</f>
        <v>6.0825288199111989E-2</v>
      </c>
      <c r="Q56" s="286">
        <f>+'CFS (Before Changes) '!Q7/((Q14+P14)/2)</f>
        <v>6.0363072942040873E-2</v>
      </c>
      <c r="R56" s="282"/>
      <c r="S56" s="287">
        <f>+'CFS (Before Changes) '!S7/((S14+Q14)/2)</f>
        <v>6.052868611709418E-2</v>
      </c>
      <c r="T56" s="287">
        <f>+'CFS (Before Changes) '!T7/((T14+S14)/2)</f>
        <v>6.0861044576476821E-2</v>
      </c>
      <c r="U56" s="287">
        <f>+'CFS (Before Changes) '!U7/((U14+T14)/2)</f>
        <v>6.0812805967829661E-2</v>
      </c>
      <c r="V56" s="286">
        <f>+'CFS (Before Changes) '!V7/((V14+U14)/2)</f>
        <v>5.5579973320379075E-2</v>
      </c>
      <c r="W56" s="282"/>
      <c r="X56" s="289">
        <f>AVERAGE(S56,T56,U56,V56)</f>
        <v>5.9445627495444936E-2</v>
      </c>
      <c r="Y56" s="289">
        <f>AVERAGE(T56,U56,V56,X56)</f>
        <v>5.9174862840032628E-2</v>
      </c>
      <c r="Z56" s="288">
        <f>AVERAGE(U56,V56,X56,Y56)</f>
        <v>5.8753317405921573E-2</v>
      </c>
      <c r="AA56" s="288">
        <f>AVERAGE(V56,X56,Y56,Z56)</f>
        <v>5.8238445265444555E-2</v>
      </c>
      <c r="AB56" s="290"/>
      <c r="AC56" s="289">
        <f>AVERAGE(X56,Y56,Z56,AA56)</f>
        <v>5.8903063251710921E-2</v>
      </c>
      <c r="AD56" s="289">
        <f>AVERAGE(Y56,Z56,AA56,AC56)</f>
        <v>5.8767422190777421E-2</v>
      </c>
      <c r="AE56" s="288">
        <f>AVERAGE(Z56,AA56,AC56,AD56)</f>
        <v>5.8665562028463611E-2</v>
      </c>
      <c r="AF56" s="288">
        <f>AVERAGE(AA56,AC56,AD56,AE56)</f>
        <v>5.8643623184099131E-2</v>
      </c>
      <c r="AG56" s="290"/>
      <c r="AH56" s="289">
        <f>AVERAGE(AC56,AD56,AE56,AF56)</f>
        <v>5.8744917663762768E-2</v>
      </c>
      <c r="AI56" s="289">
        <f>AVERAGE(AD56,AE56,AF56,AH56)</f>
        <v>5.8705381266775734E-2</v>
      </c>
      <c r="AJ56" s="288">
        <f>AVERAGE(AE56,AF56,AH56,AI56)</f>
        <v>5.8689871035775311E-2</v>
      </c>
      <c r="AK56" s="288">
        <f>AVERAGE(AF56,AH56,AI56,AJ56)</f>
        <v>5.8695948287603238E-2</v>
      </c>
      <c r="AL56" s="290"/>
      <c r="AM56" s="289">
        <f>AVERAGE(AH56,AI56,AJ56,AK56)</f>
        <v>5.8709029563479266E-2</v>
      </c>
      <c r="AN56" s="289">
        <f>AVERAGE(AI56,AJ56,AK56,AM56)</f>
        <v>5.8700057538408387E-2</v>
      </c>
      <c r="AO56" s="288">
        <f>AVERAGE(AJ56,AK56,AM56,AN56)</f>
        <v>5.8698726606316545E-2</v>
      </c>
      <c r="AP56" s="288">
        <f>AVERAGE(AK56,AM56,AN56,AO56)</f>
        <v>5.8700940498951859E-2</v>
      </c>
      <c r="AQ56" s="290"/>
      <c r="AR56" s="289">
        <f>AVERAGE(AM56,AN56,AO56,AP56)</f>
        <v>5.870218855178902E-2</v>
      </c>
      <c r="AS56" s="289">
        <f>AVERAGE(AN56,AO56,AP56,AR56)</f>
        <v>5.8700478298866453E-2</v>
      </c>
      <c r="AT56" s="288">
        <f>AVERAGE(AO56,AP56,AR56,AS56)</f>
        <v>5.8700583488980974E-2</v>
      </c>
      <c r="AU56" s="288">
        <f>AVERAGE(AP56,AR56,AS56,AT56)</f>
        <v>5.8701047709647076E-2</v>
      </c>
      <c r="AV56" s="290"/>
    </row>
    <row r="57" spans="2:48" outlineLevel="1" x14ac:dyDescent="0.3">
      <c r="B57" s="200"/>
      <c r="C57" s="201"/>
      <c r="D57" s="285"/>
      <c r="E57" s="285"/>
      <c r="F57" s="286"/>
      <c r="G57" s="286"/>
      <c r="H57" s="125"/>
      <c r="I57" s="287"/>
      <c r="J57" s="287"/>
      <c r="K57" s="286"/>
      <c r="L57" s="286"/>
      <c r="M57" s="282"/>
      <c r="N57" s="287"/>
      <c r="O57" s="287"/>
      <c r="P57" s="286"/>
      <c r="Q57" s="286"/>
      <c r="R57" s="282"/>
      <c r="S57" s="287"/>
      <c r="T57" s="287"/>
      <c r="U57" s="287"/>
      <c r="V57" s="286"/>
      <c r="W57" s="282"/>
      <c r="X57" s="289"/>
      <c r="Y57" s="289"/>
      <c r="Z57" s="288"/>
      <c r="AA57" s="288"/>
      <c r="AB57" s="290"/>
      <c r="AC57" s="289"/>
      <c r="AD57" s="289"/>
      <c r="AE57" s="288"/>
      <c r="AF57" s="288"/>
      <c r="AG57" s="290"/>
      <c r="AH57" s="289"/>
      <c r="AI57" s="289"/>
      <c r="AJ57" s="288"/>
      <c r="AK57" s="288"/>
      <c r="AL57" s="290"/>
      <c r="AM57" s="289"/>
      <c r="AN57" s="289"/>
      <c r="AO57" s="288"/>
      <c r="AP57" s="288"/>
      <c r="AQ57" s="290"/>
      <c r="AR57" s="289"/>
      <c r="AS57" s="289"/>
      <c r="AT57" s="288"/>
      <c r="AU57" s="288"/>
      <c r="AV57" s="290"/>
    </row>
    <row r="58" spans="2:48" s="296" customFormat="1" outlineLevel="1" x14ac:dyDescent="0.3">
      <c r="B58" s="291" t="s">
        <v>260</v>
      </c>
      <c r="C58" s="249"/>
      <c r="D58" s="292"/>
      <c r="E58" s="292"/>
      <c r="F58" s="293"/>
      <c r="G58" s="293"/>
      <c r="H58" s="294"/>
      <c r="I58" s="292"/>
      <c r="J58" s="292"/>
      <c r="K58" s="293"/>
      <c r="L58" s="293"/>
      <c r="M58" s="294"/>
      <c r="N58" s="292"/>
      <c r="O58" s="292"/>
      <c r="P58" s="293"/>
      <c r="Q58" s="293"/>
      <c r="R58" s="294"/>
      <c r="S58" s="292"/>
      <c r="T58" s="292"/>
      <c r="U58" s="292"/>
      <c r="V58" s="293"/>
      <c r="W58" s="294"/>
      <c r="X58" s="292"/>
      <c r="Y58" s="292"/>
      <c r="Z58" s="293"/>
      <c r="AA58" s="293"/>
      <c r="AB58" s="295"/>
      <c r="AC58" s="292"/>
      <c r="AD58" s="292"/>
      <c r="AE58" s="293"/>
      <c r="AF58" s="293"/>
      <c r="AG58" s="295"/>
      <c r="AH58" s="292"/>
      <c r="AI58" s="292"/>
      <c r="AJ58" s="293"/>
      <c r="AK58" s="293"/>
      <c r="AL58" s="295"/>
      <c r="AM58" s="292"/>
      <c r="AN58" s="292"/>
      <c r="AO58" s="293"/>
      <c r="AP58" s="293"/>
      <c r="AQ58" s="295"/>
      <c r="AR58" s="292"/>
      <c r="AS58" s="292"/>
      <c r="AT58" s="293"/>
      <c r="AU58" s="293"/>
      <c r="AV58" s="295"/>
    </row>
    <row r="59" spans="2:48" s="302" customFormat="1" outlineLevel="1" x14ac:dyDescent="0.3">
      <c r="B59" s="200" t="s">
        <v>261</v>
      </c>
      <c r="C59" s="297"/>
      <c r="D59" s="298"/>
      <c r="E59" s="298"/>
      <c r="F59" s="146"/>
      <c r="G59" s="146"/>
      <c r="H59" s="122"/>
      <c r="I59" s="299"/>
      <c r="J59" s="299"/>
      <c r="K59" s="146"/>
      <c r="L59" s="146"/>
      <c r="M59" s="26"/>
      <c r="N59" s="299"/>
      <c r="O59" s="299"/>
      <c r="P59" s="146"/>
      <c r="Q59" s="146"/>
      <c r="R59" s="26"/>
      <c r="S59" s="299"/>
      <c r="T59" s="299"/>
      <c r="U59" s="299"/>
      <c r="V59" s="146"/>
      <c r="W59" s="26"/>
      <c r="X59" s="301">
        <v>0</v>
      </c>
      <c r="Y59" s="301">
        <v>1000</v>
      </c>
      <c r="Z59" s="300">
        <v>0</v>
      </c>
      <c r="AA59" s="300">
        <v>0</v>
      </c>
      <c r="AB59" s="6"/>
      <c r="AC59" s="301">
        <v>750</v>
      </c>
      <c r="AD59" s="301">
        <f>500+626.3</f>
        <v>1126.3</v>
      </c>
      <c r="AE59" s="300">
        <v>0</v>
      </c>
      <c r="AF59" s="300">
        <v>0</v>
      </c>
      <c r="AG59" s="6"/>
      <c r="AH59" s="301">
        <v>0</v>
      </c>
      <c r="AI59" s="301">
        <v>0</v>
      </c>
      <c r="AJ59" s="300">
        <v>0</v>
      </c>
      <c r="AK59" s="300">
        <v>1250</v>
      </c>
      <c r="AL59" s="6"/>
      <c r="AM59" s="301">
        <v>0</v>
      </c>
      <c r="AN59" s="301">
        <v>0</v>
      </c>
      <c r="AO59" s="300">
        <v>500</v>
      </c>
      <c r="AP59" s="300">
        <v>0</v>
      </c>
      <c r="AQ59" s="6"/>
      <c r="AR59" s="301">
        <v>0</v>
      </c>
      <c r="AS59" s="301">
        <v>500</v>
      </c>
      <c r="AT59" s="300">
        <v>0</v>
      </c>
      <c r="AU59" s="300">
        <v>0</v>
      </c>
      <c r="AV59" s="6"/>
    </row>
    <row r="60" spans="2:48" s="302" customFormat="1" outlineLevel="1" x14ac:dyDescent="0.3">
      <c r="B60" s="200" t="s">
        <v>262</v>
      </c>
      <c r="C60" s="297"/>
      <c r="D60" s="298"/>
      <c r="E60" s="298"/>
      <c r="F60" s="146"/>
      <c r="G60" s="146"/>
      <c r="H60" s="122"/>
      <c r="I60" s="299"/>
      <c r="J60" s="299"/>
      <c r="K60" s="146"/>
      <c r="L60" s="146"/>
      <c r="M60" s="26"/>
      <c r="N60" s="299"/>
      <c r="O60" s="299"/>
      <c r="P60" s="146"/>
      <c r="Q60" s="146"/>
      <c r="R60" s="26"/>
      <c r="S60" s="299"/>
      <c r="T60" s="299"/>
      <c r="U60" s="299"/>
      <c r="V60" s="146"/>
      <c r="W60" s="26"/>
      <c r="X60" s="300">
        <f>AA59</f>
        <v>0</v>
      </c>
      <c r="Y60" s="300">
        <f>AC59</f>
        <v>750</v>
      </c>
      <c r="Z60" s="300">
        <f>AD59</f>
        <v>1126.3</v>
      </c>
      <c r="AA60" s="300">
        <f>AE59</f>
        <v>0</v>
      </c>
      <c r="AB60" s="6"/>
      <c r="AC60" s="300">
        <f>AF59</f>
        <v>0</v>
      </c>
      <c r="AD60" s="300">
        <f>AH59</f>
        <v>0</v>
      </c>
      <c r="AE60" s="300">
        <f>AI59</f>
        <v>0</v>
      </c>
      <c r="AF60" s="300">
        <f>AJ59</f>
        <v>0</v>
      </c>
      <c r="AG60" s="6"/>
      <c r="AH60" s="300">
        <f>AK59</f>
        <v>1250</v>
      </c>
      <c r="AI60" s="300">
        <f>AM59</f>
        <v>0</v>
      </c>
      <c r="AJ60" s="300">
        <f>AN59</f>
        <v>0</v>
      </c>
      <c r="AK60" s="300">
        <f>AO59</f>
        <v>500</v>
      </c>
      <c r="AL60" s="6"/>
      <c r="AM60" s="300">
        <f>AP59</f>
        <v>0</v>
      </c>
      <c r="AN60" s="300">
        <f>AR59</f>
        <v>0</v>
      </c>
      <c r="AO60" s="300">
        <f>AS59</f>
        <v>500</v>
      </c>
      <c r="AP60" s="300">
        <f>AT59</f>
        <v>0</v>
      </c>
      <c r="AQ60" s="6"/>
      <c r="AR60" s="300">
        <f>AU60</f>
        <v>0</v>
      </c>
      <c r="AS60" s="300">
        <f t="shared" ref="AS60:AU60" si="57">AW60</f>
        <v>0</v>
      </c>
      <c r="AT60" s="300">
        <f t="shared" si="57"/>
        <v>0</v>
      </c>
      <c r="AU60" s="300">
        <f t="shared" si="57"/>
        <v>0</v>
      </c>
      <c r="AV60" s="6"/>
    </row>
    <row r="61" spans="2:48" s="302" customFormat="1" outlineLevel="1" x14ac:dyDescent="0.3">
      <c r="B61" s="200" t="s">
        <v>263</v>
      </c>
      <c r="C61" s="297"/>
      <c r="D61" s="298"/>
      <c r="E61" s="298"/>
      <c r="F61" s="146"/>
      <c r="G61" s="146"/>
      <c r="H61" s="122"/>
      <c r="I61" s="299"/>
      <c r="J61" s="299"/>
      <c r="K61" s="146"/>
      <c r="L61" s="146"/>
      <c r="M61" s="26"/>
      <c r="N61" s="299"/>
      <c r="O61" s="299"/>
      <c r="P61" s="146"/>
      <c r="Q61" s="146"/>
      <c r="R61" s="26"/>
      <c r="S61" s="299"/>
      <c r="T61" s="299"/>
      <c r="U61" s="299"/>
      <c r="V61" s="146"/>
      <c r="W61" s="26"/>
      <c r="X61" s="301">
        <v>0</v>
      </c>
      <c r="Y61" s="301">
        <v>1000</v>
      </c>
      <c r="Z61" s="300">
        <v>0</v>
      </c>
      <c r="AA61" s="300">
        <v>0</v>
      </c>
      <c r="AB61" s="6"/>
      <c r="AC61" s="301">
        <v>750</v>
      </c>
      <c r="AD61" s="301">
        <v>1126</v>
      </c>
      <c r="AE61" s="300">
        <v>0</v>
      </c>
      <c r="AF61" s="300">
        <f>0.5*(SUM('IS (Before Changes)'!AC154:AF154))</f>
        <v>100</v>
      </c>
      <c r="AG61" s="6"/>
      <c r="AH61" s="301"/>
      <c r="AI61" s="301"/>
      <c r="AJ61" s="300">
        <f>0.5*(SUM('IS (Before Changes)'!AH154:AK154))</f>
        <v>5541.98119731518</v>
      </c>
      <c r="AK61" s="300">
        <v>1250</v>
      </c>
      <c r="AL61" s="6"/>
      <c r="AM61" s="301">
        <v>0</v>
      </c>
      <c r="AN61" s="301">
        <v>0</v>
      </c>
      <c r="AO61" s="300">
        <v>500</v>
      </c>
      <c r="AP61" s="300">
        <v>0</v>
      </c>
      <c r="AQ61" s="6"/>
      <c r="AR61" s="301">
        <v>0</v>
      </c>
      <c r="AS61" s="301">
        <v>500</v>
      </c>
      <c r="AT61" s="300">
        <v>0</v>
      </c>
      <c r="AU61" s="300">
        <v>0</v>
      </c>
      <c r="AV61" s="6"/>
    </row>
    <row r="62" spans="2:48" s="23" customFormat="1" outlineLevel="1" x14ac:dyDescent="0.3">
      <c r="B62" s="200" t="s">
        <v>264</v>
      </c>
      <c r="C62" s="201"/>
      <c r="D62" s="179">
        <f>+(D28+D31)/D41</f>
        <v>-3.1717034875642636</v>
      </c>
      <c r="E62" s="179">
        <f>+(E28+E31)/E41</f>
        <v>-1.8304138862408643</v>
      </c>
      <c r="F62" s="303">
        <f>+(F28+F31)/F41</f>
        <v>-2.5837230840472332</v>
      </c>
      <c r="G62" s="303">
        <f>+(G28+G31)/G41</f>
        <v>-1.7921681913015568</v>
      </c>
      <c r="H62" s="128"/>
      <c r="I62" s="303">
        <f>+(I28+I31)/I41</f>
        <v>-1.7235726649997785</v>
      </c>
      <c r="J62" s="303">
        <f>+(J28+J31)/J41</f>
        <v>-1.8605318005017988</v>
      </c>
      <c r="K62" s="303">
        <f>+(K28+K31)/K41</f>
        <v>-1.9516598448569742</v>
      </c>
      <c r="L62" s="179">
        <f>+(L28+L31)/L41</f>
        <v>-2.0960971356771032</v>
      </c>
      <c r="M62" s="28"/>
      <c r="N62" s="179">
        <f>+(N28+N31)/N41</f>
        <v>-2.0136766194331983</v>
      </c>
      <c r="O62" s="179">
        <f>+(O28+O31)/O41</f>
        <v>-1.9152752899337104</v>
      </c>
      <c r="P62" s="179">
        <f>+(P28+P31)/P41</f>
        <v>-2.1515240716482933</v>
      </c>
      <c r="Q62" s="179">
        <f>+(Q28+Q31)/Q41</f>
        <v>-2.7501740521215541</v>
      </c>
      <c r="R62" s="28"/>
      <c r="S62" s="179">
        <f t="shared" ref="S62:AA62" si="58">+(S28+S31)/S41</f>
        <v>-1.7497130279398361</v>
      </c>
      <c r="T62" s="179">
        <f t="shared" si="58"/>
        <v>-1.8277176642469066</v>
      </c>
      <c r="U62" s="179">
        <f t="shared" si="58"/>
        <v>-1.7473235630391852</v>
      </c>
      <c r="V62" s="179">
        <f t="shared" si="58"/>
        <v>-1.7294423304631725</v>
      </c>
      <c r="W62" s="28">
        <f t="shared" si="58"/>
        <v>-1.7294423304631725</v>
      </c>
      <c r="X62" s="179">
        <f t="shared" si="58"/>
        <v>-1.7893304722762835</v>
      </c>
      <c r="Y62" s="179">
        <f t="shared" si="58"/>
        <v>-1.8508833932289814</v>
      </c>
      <c r="Z62" s="179">
        <f t="shared" si="58"/>
        <v>-1.9778511552461675</v>
      </c>
      <c r="AA62" s="179">
        <f t="shared" si="58"/>
        <v>-2.1463095593024675</v>
      </c>
      <c r="AB62" s="28"/>
      <c r="AC62" s="179">
        <f>+(AC28+AC31)/AC41</f>
        <v>-2.3539951255432436</v>
      </c>
      <c r="AD62" s="179">
        <f>+(AD28+AD31)/AD41</f>
        <v>-2.522945008610801</v>
      </c>
      <c r="AE62" s="179">
        <f>+(AE28+AE31)/AE41</f>
        <v>-2.7855308152906044</v>
      </c>
      <c r="AF62" s="179">
        <f>+(AF28+AF31)/AF41</f>
        <v>-3.1176790884589605</v>
      </c>
      <c r="AG62" s="28"/>
      <c r="AH62" s="179">
        <f>+(AH28+AH31)/AH41</f>
        <v>-3.6310634653635212</v>
      </c>
      <c r="AI62" s="179">
        <f>+(AI28+AI31)/AI41</f>
        <v>-4.1006499212981486</v>
      </c>
      <c r="AJ62" s="179">
        <f>+(AJ28+AJ31)/AJ41</f>
        <v>-2.5107096387436356</v>
      </c>
      <c r="AK62" s="179">
        <f>+(AK28+AK31)/AK41</f>
        <v>-1.6045970956825959</v>
      </c>
      <c r="AL62" s="28"/>
      <c r="AM62" s="179">
        <f>+(AM28+AM31)/AM41</f>
        <v>-1.6835785746007454</v>
      </c>
      <c r="AN62" s="179">
        <f>+(AN28+AN31)/AN41</f>
        <v>-1.7354299633662991</v>
      </c>
      <c r="AO62" s="179">
        <f>+(AO28+AO31)/AO41</f>
        <v>-1.8478389178516872</v>
      </c>
      <c r="AP62" s="179">
        <f>+(AP28+AP31)/AP41</f>
        <v>-1.9658573973226157</v>
      </c>
      <c r="AQ62" s="28"/>
      <c r="AR62" s="179">
        <f>+(AR28+AR31)/AR41</f>
        <v>-2.1132802907330941</v>
      </c>
      <c r="AS62" s="179">
        <f>+(AS28+AS31)/AS41</f>
        <v>-2.2227690148804751</v>
      </c>
      <c r="AT62" s="179">
        <f>+(AT28+AT31)/AT41</f>
        <v>-2.4418290206264448</v>
      </c>
      <c r="AU62" s="179">
        <f>+(AU28+AU31)/AU41</f>
        <v>-2.686331072379327</v>
      </c>
      <c r="AV62" s="28"/>
    </row>
    <row r="63" spans="2:48" s="23" customFormat="1" outlineLevel="1" x14ac:dyDescent="0.3">
      <c r="B63" s="200" t="s">
        <v>265</v>
      </c>
      <c r="C63" s="201"/>
      <c r="D63" s="179">
        <f>+D28/(D28+D31)</f>
        <v>0</v>
      </c>
      <c r="E63" s="179">
        <f>+E28/(E28+E31)</f>
        <v>8.1375793413985785E-3</v>
      </c>
      <c r="F63" s="303">
        <f>+F28/(F28+F31)</f>
        <v>0</v>
      </c>
      <c r="G63" s="303">
        <f>+G28/(G28+G31)</f>
        <v>0</v>
      </c>
      <c r="H63" s="128"/>
      <c r="I63" s="303">
        <f>+I28/(I28+I31)</f>
        <v>8.5546532987690757E-2</v>
      </c>
      <c r="J63" s="303">
        <f>+J28/(J28+J31)</f>
        <v>0.16813887778982817</v>
      </c>
      <c r="K63" s="303">
        <f>+K28/(K28+K31)</f>
        <v>0.12987992894360045</v>
      </c>
      <c r="L63" s="179">
        <f>+L28/(L28+L31)</f>
        <v>0.10329514383758555</v>
      </c>
      <c r="M63" s="28"/>
      <c r="N63" s="179">
        <f>+N28/(N28+N31)</f>
        <v>7.8071889470410452E-2</v>
      </c>
      <c r="O63" s="179">
        <f>+O28/(O28+O31)</f>
        <v>1.2492661414742708E-3</v>
      </c>
      <c r="P63" s="179">
        <f>+P28/(P28+P31)</f>
        <v>6.8333093904132544E-2</v>
      </c>
      <c r="Q63" s="179">
        <f>+Q28/(Q28+Q31)</f>
        <v>6.8343847069609609E-2</v>
      </c>
      <c r="R63" s="28"/>
      <c r="S63" s="179">
        <f t="shared" ref="S63:AA63" si="59">+S28/(S28+S31)</f>
        <v>8.1112704252786494E-2</v>
      </c>
      <c r="T63" s="179">
        <f t="shared" si="59"/>
        <v>0.12481109098857178</v>
      </c>
      <c r="U63" s="179">
        <f t="shared" si="59"/>
        <v>7.9253663276029576E-2</v>
      </c>
      <c r="V63" s="179">
        <f t="shared" si="59"/>
        <v>0.12789236833533857</v>
      </c>
      <c r="W63" s="28">
        <f t="shared" si="59"/>
        <v>0.12789236833533857</v>
      </c>
      <c r="X63" s="179">
        <f t="shared" si="59"/>
        <v>0.12789236833533857</v>
      </c>
      <c r="Y63" s="179">
        <f t="shared" si="59"/>
        <v>0.11127433710673429</v>
      </c>
      <c r="Z63" s="179">
        <f t="shared" si="59"/>
        <v>0.18614189139784232</v>
      </c>
      <c r="AA63" s="179">
        <f t="shared" si="59"/>
        <v>0.18614189139784232</v>
      </c>
      <c r="AB63" s="28"/>
      <c r="AC63" s="179">
        <f>+AC28/(AC28+AC31)</f>
        <v>0.13628779771202945</v>
      </c>
      <c r="AD63" s="179">
        <f>+AD28/(AD28+AD31)</f>
        <v>6.1421468265574743E-2</v>
      </c>
      <c r="AE63" s="179">
        <f>+AE28/(AE28+AE31)</f>
        <v>6.1421468265574743E-2</v>
      </c>
      <c r="AF63" s="179">
        <f>+AF28/(AF28+AF31)</f>
        <v>6.1015874692939606E-2</v>
      </c>
      <c r="AG63" s="28"/>
      <c r="AH63" s="179">
        <f>+AH28/(AH28+AH31)</f>
        <v>0.14355899521910245</v>
      </c>
      <c r="AI63" s="179">
        <f>+AI28/(AI28+AI31)</f>
        <v>0.14355899521910245</v>
      </c>
      <c r="AJ63" s="179">
        <f>+AJ28/(AJ28+AJ31)</f>
        <v>0.10509736126158097</v>
      </c>
      <c r="AK63" s="179">
        <f>+AK28/(AK28+AK31)</f>
        <v>6.8840221911909527E-2</v>
      </c>
      <c r="AL63" s="28"/>
      <c r="AM63" s="179">
        <f>+AM28/(AM28+AM31)</f>
        <v>6.8840221911909527E-2</v>
      </c>
      <c r="AN63" s="179">
        <f>+AN28/(AN28+AN31)</f>
        <v>6.8840221911909527E-2</v>
      </c>
      <c r="AO63" s="179">
        <f>+AO28/(AO28+AO31)</f>
        <v>6.8840221911909527E-2</v>
      </c>
      <c r="AP63" s="179">
        <f>+AP28/(AP28+AP31)</f>
        <v>6.8840221911909527E-2</v>
      </c>
      <c r="AQ63" s="28"/>
      <c r="AR63" s="179">
        <f>+AR28/(AR28+AR31)</f>
        <v>6.8840221911909527E-2</v>
      </c>
      <c r="AS63" s="179">
        <f>+AS28/(AS28+AS31)</f>
        <v>4.4668795678795226E-2</v>
      </c>
      <c r="AT63" s="179">
        <f>+AT28/(AT28+AT31)</f>
        <v>4.4668795678795226E-2</v>
      </c>
      <c r="AU63" s="179">
        <f>+AU28/(AU28+AU31)</f>
        <v>4.4668795678795226E-2</v>
      </c>
      <c r="AV63" s="28"/>
    </row>
    <row r="64" spans="2:48" outlineLevel="1" x14ac:dyDescent="0.3">
      <c r="B64" s="200" t="s">
        <v>328</v>
      </c>
      <c r="C64" s="201"/>
      <c r="D64" s="304"/>
      <c r="E64" s="304"/>
      <c r="F64" s="304"/>
      <c r="G64" s="304"/>
      <c r="H64" s="306"/>
      <c r="I64" s="305"/>
      <c r="J64" s="305"/>
      <c r="K64" s="305"/>
      <c r="L64" s="305"/>
      <c r="M64" s="306">
        <f>M67/(M65-M66)</f>
        <v>14.55407378391847</v>
      </c>
      <c r="N64" s="305"/>
      <c r="O64" s="305"/>
      <c r="P64" s="305"/>
      <c r="Q64" s="305"/>
      <c r="R64" s="306">
        <f>R67/(R65-R66)</f>
        <v>3.5268936560411204</v>
      </c>
      <c r="S64" s="305"/>
      <c r="T64" s="305"/>
      <c r="U64" s="305"/>
      <c r="V64" s="305"/>
      <c r="W64" s="306">
        <f>W67/(W65-W66)</f>
        <v>4.1612739491288941</v>
      </c>
      <c r="X64" s="307"/>
      <c r="Y64" s="307"/>
      <c r="Z64" s="307"/>
      <c r="AA64" s="307"/>
      <c r="AB64" s="306">
        <f>AB67/(AB65-AB66)</f>
        <v>3.4565881824304836</v>
      </c>
      <c r="AC64" s="307"/>
      <c r="AD64" s="307"/>
      <c r="AE64" s="307"/>
      <c r="AF64" s="307"/>
      <c r="AG64" s="405">
        <f>AG67/(AG65-AG66)</f>
        <v>2.8473690744878386</v>
      </c>
      <c r="AH64" s="307"/>
      <c r="AI64" s="307"/>
      <c r="AJ64" s="307"/>
      <c r="AK64" s="307"/>
      <c r="AL64" s="405">
        <f>AL67/(AL65-AL66)</f>
        <v>3.183845630558507</v>
      </c>
      <c r="AM64" s="307"/>
      <c r="AN64" s="307"/>
      <c r="AO64" s="307"/>
      <c r="AP64" s="307"/>
      <c r="AQ64" s="306">
        <f>AQ67/(AQ65-AQ66)</f>
        <v>2.8440892228964887</v>
      </c>
      <c r="AR64" s="307"/>
      <c r="AS64" s="307"/>
      <c r="AT64" s="307"/>
      <c r="AU64" s="307"/>
      <c r="AV64" s="306">
        <f>AV67/(AV65-AV66)</f>
        <v>2.6585612840525723</v>
      </c>
    </row>
    <row r="65" spans="2:48" outlineLevel="1" x14ac:dyDescent="0.3">
      <c r="B65" s="180" t="s">
        <v>325</v>
      </c>
      <c r="C65" s="44"/>
      <c r="D65" s="139"/>
      <c r="E65" s="139"/>
      <c r="F65" s="309"/>
      <c r="G65" s="309"/>
      <c r="H65" s="17"/>
      <c r="I65" s="139"/>
      <c r="J65" s="139"/>
      <c r="K65" s="309"/>
      <c r="L65" s="309"/>
      <c r="M65" s="17">
        <f>'IS (Before Changes)'!M19+'IS (Before Changes)'!M12</f>
        <v>3564.3800000000042</v>
      </c>
      <c r="N65" s="139"/>
      <c r="O65" s="139"/>
      <c r="P65" s="309"/>
      <c r="Q65" s="309"/>
      <c r="R65" s="17">
        <f>'IS (Before Changes)'!R19+'IS (Before Changes)'!R12</f>
        <v>6703.7999999999975</v>
      </c>
      <c r="S65" s="139"/>
      <c r="T65" s="139"/>
      <c r="U65" s="309"/>
      <c r="V65" s="309"/>
      <c r="W65" s="17">
        <f>'IS (Before Changes)'!W19+'IS (Before Changes)'!W12</f>
        <v>6302.899999999996</v>
      </c>
      <c r="X65" s="139"/>
      <c r="Y65" s="305"/>
      <c r="Z65" s="305"/>
      <c r="AA65" s="310"/>
      <c r="AB65" s="17">
        <f>'IS (Before Changes)'!AB19+'IS (Before Changes)'!AB12</f>
        <v>7174.3088591228761</v>
      </c>
      <c r="AC65" s="139"/>
      <c r="AD65" s="139"/>
      <c r="AE65" s="309"/>
      <c r="AF65" s="309"/>
      <c r="AG65" s="17">
        <f>'IS (Before Changes)'!AG19+'IS (Before Changes)'!AG12</f>
        <v>8281.6262054754079</v>
      </c>
      <c r="AH65" s="139"/>
      <c r="AI65" s="139"/>
      <c r="AJ65" s="309"/>
      <c r="AK65" s="309"/>
      <c r="AL65" s="17">
        <f>'IS (Before Changes)'!AL19+'IS (Before Changes)'!AL12</f>
        <v>9608.3741063464586</v>
      </c>
      <c r="AM65" s="139"/>
      <c r="AN65" s="139"/>
      <c r="AO65" s="309"/>
      <c r="AP65" s="309"/>
      <c r="AQ65" s="17">
        <f>'IS (Before Changes)'!AQ19+'IS (Before Changes)'!AQ12</f>
        <v>10540.080849028845</v>
      </c>
      <c r="AR65" s="139"/>
      <c r="AS65" s="139"/>
      <c r="AT65" s="309"/>
      <c r="AU65" s="309"/>
      <c r="AV65" s="17">
        <f>'IS (Before Changes)'!AV19+'IS (Before Changes)'!AV12</f>
        <v>11210.985471406721</v>
      </c>
    </row>
    <row r="66" spans="2:48" outlineLevel="1" x14ac:dyDescent="0.3">
      <c r="B66" s="180" t="s">
        <v>327</v>
      </c>
      <c r="C66" s="44"/>
      <c r="D66" s="139"/>
      <c r="E66" s="139"/>
      <c r="F66" s="309"/>
      <c r="G66" s="309"/>
      <c r="H66" s="387"/>
      <c r="I66" s="139"/>
      <c r="J66" s="139"/>
      <c r="K66" s="309"/>
      <c r="L66" s="309"/>
      <c r="M66" s="387">
        <v>2441.1</v>
      </c>
      <c r="N66" s="139"/>
      <c r="O66" s="139"/>
      <c r="P66" s="309"/>
      <c r="Q66" s="309"/>
      <c r="R66" s="387">
        <v>2559.6999999999998</v>
      </c>
      <c r="S66" s="139"/>
      <c r="T66" s="139"/>
      <c r="U66" s="309"/>
      <c r="V66" s="309"/>
      <c r="W66" s="388">
        <f>R66*1.05</f>
        <v>2687.6849999999999</v>
      </c>
      <c r="X66" s="139"/>
      <c r="Y66" s="179"/>
      <c r="Z66" s="179"/>
      <c r="AA66" s="310"/>
      <c r="AB66" s="388">
        <f>W66*1.05</f>
        <v>2822.06925</v>
      </c>
      <c r="AC66" s="139"/>
      <c r="AD66" s="139"/>
      <c r="AE66" s="309"/>
      <c r="AF66" s="309"/>
      <c r="AG66" s="388">
        <f>AB66*1.05</f>
        <v>2963.1727125000002</v>
      </c>
      <c r="AH66" s="139"/>
      <c r="AI66" s="139"/>
      <c r="AJ66" s="309"/>
      <c r="AK66" s="309"/>
      <c r="AL66" s="388">
        <f>AG66*1.05</f>
        <v>3111.3313481250002</v>
      </c>
      <c r="AM66" s="139"/>
      <c r="AN66" s="139"/>
      <c r="AO66" s="309"/>
      <c r="AP66" s="309"/>
      <c r="AQ66" s="388">
        <f>AL66*1.05</f>
        <v>3266.8979155312504</v>
      </c>
      <c r="AR66" s="139"/>
      <c r="AS66" s="139"/>
      <c r="AT66" s="309"/>
      <c r="AU66" s="309"/>
      <c r="AV66" s="388">
        <f>AQ66*1.05</f>
        <v>3430.2428113078131</v>
      </c>
    </row>
    <row r="67" spans="2:48" outlineLevel="1" x14ac:dyDescent="0.3">
      <c r="B67" s="386" t="s">
        <v>326</v>
      </c>
      <c r="C67" s="312"/>
      <c r="D67" s="313"/>
      <c r="E67" s="313"/>
      <c r="F67" s="314"/>
      <c r="G67" s="314"/>
      <c r="H67" s="316"/>
      <c r="I67" s="313"/>
      <c r="J67" s="313"/>
      <c r="K67" s="314"/>
      <c r="L67" s="314"/>
      <c r="M67" s="316">
        <f>M28+M31</f>
        <v>16348.300000000001</v>
      </c>
      <c r="N67" s="313"/>
      <c r="O67" s="313"/>
      <c r="P67" s="314"/>
      <c r="Q67" s="314"/>
      <c r="R67" s="316">
        <f>R28+R31</f>
        <v>14615.8</v>
      </c>
      <c r="S67" s="313"/>
      <c r="T67" s="313"/>
      <c r="U67" s="314"/>
      <c r="V67" s="314"/>
      <c r="W67" s="316">
        <f>W28+W31</f>
        <v>15043.9</v>
      </c>
      <c r="X67" s="313"/>
      <c r="Y67" s="313"/>
      <c r="Z67" s="314"/>
      <c r="AA67" s="315"/>
      <c r="AB67" s="316">
        <f>AB28+AB31</f>
        <v>15043.900000000001</v>
      </c>
      <c r="AC67" s="313"/>
      <c r="AD67" s="313"/>
      <c r="AE67" s="314"/>
      <c r="AF67" s="314"/>
      <c r="AG67" s="316">
        <f>AG28+AG31</f>
        <v>15143.6</v>
      </c>
      <c r="AH67" s="313"/>
      <c r="AI67" s="313"/>
      <c r="AJ67" s="314"/>
      <c r="AK67" s="314"/>
      <c r="AL67" s="316">
        <f>AL28+AL31</f>
        <v>20685.581197315179</v>
      </c>
      <c r="AM67" s="313"/>
      <c r="AN67" s="313"/>
      <c r="AO67" s="314"/>
      <c r="AP67" s="314"/>
      <c r="AQ67" s="316">
        <f>AQ28+AQ31</f>
        <v>20685.581197315179</v>
      </c>
      <c r="AR67" s="313"/>
      <c r="AS67" s="313"/>
      <c r="AT67" s="314"/>
      <c r="AU67" s="314"/>
      <c r="AV67" s="316">
        <f>AV28+AV31</f>
        <v>20685.581197315179</v>
      </c>
    </row>
  </sheetData>
  <dataConsolidate/>
  <mergeCells count="27">
    <mergeCell ref="B19:C19"/>
    <mergeCell ref="B3:C3"/>
    <mergeCell ref="B5:C5"/>
    <mergeCell ref="B6:C6"/>
    <mergeCell ref="B8:C8"/>
    <mergeCell ref="B10:C10"/>
    <mergeCell ref="B42:C42"/>
    <mergeCell ref="B20:C20"/>
    <mergeCell ref="B21:C21"/>
    <mergeCell ref="B22:C22"/>
    <mergeCell ref="B23:C23"/>
    <mergeCell ref="B34:C34"/>
    <mergeCell ref="B35:C35"/>
    <mergeCell ref="B36:C36"/>
    <mergeCell ref="B37:C37"/>
    <mergeCell ref="B38:C38"/>
    <mergeCell ref="B39:C39"/>
    <mergeCell ref="B41:C41"/>
    <mergeCell ref="B51:C51"/>
    <mergeCell ref="B52:C52"/>
    <mergeCell ref="B53:C53"/>
    <mergeCell ref="B44:C44"/>
    <mergeCell ref="B45:C45"/>
    <mergeCell ref="B47:C47"/>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68C1D-210F-414F-9333-38996EF80DA1}">
  <sheetPr>
    <tabColor theme="6" tint="0.79998168889431442"/>
    <pageSetUpPr fitToPage="1"/>
  </sheetPr>
  <dimension ref="B1:AV65"/>
  <sheetViews>
    <sheetView showGridLines="0" zoomScaleNormal="100" workbookViewId="0">
      <pane xSplit="3" ySplit="4" topLeftCell="AH17" activePane="bottomRight" state="frozen"/>
      <selection activeCell="W1" sqref="W1"/>
      <selection pane="topRight" activeCell="W1" sqref="W1"/>
      <selection pane="bottomLeft" activeCell="W1" sqref="W1"/>
      <selection pane="bottomRight" activeCell="B1" sqref="B1"/>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2:48" ht="16.2" customHeight="1" x14ac:dyDescent="0.3">
      <c r="B1" s="237" t="s">
        <v>210</v>
      </c>
      <c r="D1" s="45"/>
      <c r="E1" s="149"/>
      <c r="F1" s="149"/>
      <c r="G1" s="149"/>
      <c r="H1" s="149"/>
      <c r="I1" s="216"/>
      <c r="J1" s="380"/>
      <c r="K1" s="380"/>
      <c r="L1" s="380"/>
      <c r="M1" s="380"/>
      <c r="N1" s="380"/>
      <c r="O1" s="380"/>
      <c r="P1" s="380"/>
      <c r="Q1" s="380"/>
      <c r="R1" s="380"/>
      <c r="S1" s="380"/>
      <c r="T1" s="380"/>
      <c r="U1" s="380"/>
      <c r="V1" s="216"/>
      <c r="W1" s="195"/>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row>
    <row r="2" spans="2:48" ht="6.9" customHeight="1" x14ac:dyDescent="0.3">
      <c r="B2" s="99"/>
      <c r="D2" s="45"/>
      <c r="E2" s="149"/>
      <c r="F2" s="149"/>
      <c r="G2" s="149"/>
      <c r="H2" s="149"/>
      <c r="I2" s="216"/>
      <c r="J2" s="381"/>
      <c r="K2" s="381"/>
      <c r="L2" s="381"/>
      <c r="M2" s="381"/>
      <c r="N2" s="381"/>
      <c r="O2" s="381"/>
      <c r="P2" s="381"/>
      <c r="Q2" s="381"/>
      <c r="R2" s="381"/>
      <c r="S2" s="381"/>
      <c r="T2" s="381"/>
      <c r="U2" s="381"/>
      <c r="V2" s="216"/>
      <c r="W2" s="195"/>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row>
    <row r="3" spans="2:48" ht="15.6" x14ac:dyDescent="0.3">
      <c r="B3" s="494" t="s">
        <v>266</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3" t="s">
        <v>346</v>
      </c>
      <c r="W3" s="39" t="s">
        <v>346</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2:48" ht="16.2" x14ac:dyDescent="0.45">
      <c r="B4" s="251" t="s">
        <v>3</v>
      </c>
      <c r="C4" s="252"/>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4" t="s">
        <v>347</v>
      </c>
      <c r="W4" s="40" t="s">
        <v>348</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2:48" outlineLevel="1" x14ac:dyDescent="0.3">
      <c r="B5" s="510" t="s">
        <v>267</v>
      </c>
      <c r="C5" s="511"/>
      <c r="D5" s="4"/>
      <c r="E5" s="4"/>
      <c r="F5" s="4"/>
      <c r="G5" s="4"/>
      <c r="H5" s="317"/>
      <c r="I5" s="4"/>
      <c r="J5" s="4"/>
      <c r="K5" s="318"/>
      <c r="L5" s="4"/>
      <c r="M5" s="317"/>
      <c r="N5" s="4"/>
      <c r="O5" s="4"/>
      <c r="P5" s="4"/>
      <c r="Q5" s="4"/>
      <c r="R5" s="317"/>
      <c r="S5" s="4"/>
      <c r="T5" s="4"/>
      <c r="U5" s="4"/>
      <c r="V5" s="4"/>
      <c r="W5" s="317"/>
      <c r="X5" s="4"/>
      <c r="Y5" s="4"/>
      <c r="Z5" s="4"/>
      <c r="AA5" s="4"/>
      <c r="AB5" s="317"/>
      <c r="AC5" s="4"/>
      <c r="AD5" s="4"/>
      <c r="AE5" s="4"/>
      <c r="AF5" s="4"/>
      <c r="AG5" s="317"/>
      <c r="AH5" s="4"/>
      <c r="AI5" s="4"/>
      <c r="AJ5" s="4"/>
      <c r="AK5" s="4"/>
      <c r="AL5" s="317"/>
      <c r="AM5" s="4"/>
      <c r="AN5" s="4"/>
      <c r="AO5" s="4"/>
      <c r="AP5" s="4"/>
      <c r="AQ5" s="317"/>
      <c r="AR5" s="4"/>
      <c r="AS5" s="4"/>
      <c r="AT5" s="4"/>
      <c r="AU5" s="4"/>
      <c r="AV5" s="317"/>
    </row>
    <row r="6" spans="2:48" outlineLevel="1" x14ac:dyDescent="0.3">
      <c r="B6" s="308" t="s">
        <v>268</v>
      </c>
      <c r="C6" s="44"/>
      <c r="D6" s="16">
        <v>760.40000000000043</v>
      </c>
      <c r="E6" s="101">
        <v>658.59999999999968</v>
      </c>
      <c r="F6" s="16">
        <v>1373.200000000001</v>
      </c>
      <c r="G6" s="16">
        <v>802.400000000001</v>
      </c>
      <c r="H6" s="17">
        <v>3594.6000000000054</v>
      </c>
      <c r="I6" s="16">
        <v>885.29999999999882</v>
      </c>
      <c r="J6" s="16">
        <v>324.79999999999905</v>
      </c>
      <c r="K6" s="16">
        <v>-678.09999999999923</v>
      </c>
      <c r="L6" s="16">
        <f>924.7-K6-J6-I6</f>
        <v>392.70000000000141</v>
      </c>
      <c r="M6" s="17">
        <v>924.70000000000437</v>
      </c>
      <c r="N6" s="16">
        <v>622.20000000000016</v>
      </c>
      <c r="O6" s="16">
        <v>659.4</v>
      </c>
      <c r="P6" s="16">
        <v>1154.1999999999989</v>
      </c>
      <c r="Q6" s="16">
        <v>1764.6</v>
      </c>
      <c r="R6" s="17">
        <v>4200.3999999999978</v>
      </c>
      <c r="S6" s="16">
        <v>816.10000000000014</v>
      </c>
      <c r="T6" s="16">
        <v>675.00000000000011</v>
      </c>
      <c r="U6" s="16">
        <v>913.69999999999959</v>
      </c>
      <c r="V6" s="16">
        <f>'IS (Before Changes)'!V25</f>
        <v>878.49999999999864</v>
      </c>
      <c r="W6" s="17">
        <f t="shared" ref="W6:W13" si="0">SUM(S6:V6)</f>
        <v>3283.2999999999988</v>
      </c>
      <c r="X6" s="16">
        <f>'IS (Before Changes)'!X25</f>
        <v>831.49973640470444</v>
      </c>
      <c r="Y6" s="16">
        <f>'IS (Before Changes)'!Y25</f>
        <v>830.32996880559256</v>
      </c>
      <c r="Z6" s="16">
        <f>'IS (Before Changes)'!Z25</f>
        <v>1066.8235778548733</v>
      </c>
      <c r="AA6" s="16">
        <f>'IS (Before Changes)'!AA25</f>
        <v>1170.3222715850643</v>
      </c>
      <c r="AB6" s="17">
        <f t="shared" ref="AB6" si="1">SUM(X6:AA6)</f>
        <v>3898.9755546502347</v>
      </c>
      <c r="AC6" s="16">
        <f>'IS (Before Changes)'!AC25</f>
        <v>1155.2919648976308</v>
      </c>
      <c r="AD6" s="16">
        <f>'IS (Before Changes)'!AD25</f>
        <v>971.358458232418</v>
      </c>
      <c r="AE6" s="16">
        <f>'IS (Before Changes)'!AE25</f>
        <v>1199.6599949304841</v>
      </c>
      <c r="AF6" s="16">
        <f>'IS (Before Changes)'!AF25</f>
        <v>1209.9085990086128</v>
      </c>
      <c r="AG6" s="17">
        <f t="shared" ref="AG6" si="2">SUM(AC6:AF6)</f>
        <v>4536.2190170691456</v>
      </c>
      <c r="AH6" s="16">
        <f>'IS (Before Changes)'!AH25</f>
        <v>1351.6636336295119</v>
      </c>
      <c r="AI6" s="16">
        <f>'IS (Before Changes)'!AI25</f>
        <v>1148.407308817018</v>
      </c>
      <c r="AJ6" s="16">
        <f>'IS (Before Changes)'!AJ25</f>
        <v>1460.197088184231</v>
      </c>
      <c r="AK6" s="16">
        <f>'IS (Before Changes)'!AK25</f>
        <v>1383.7969685539142</v>
      </c>
      <c r="AL6" s="17">
        <f t="shared" ref="AL6" si="3">SUM(AH6:AK6)</f>
        <v>5344.0649991846749</v>
      </c>
      <c r="AM6" s="16">
        <f>'IS (Before Changes)'!AM25</f>
        <v>1447.9055890546595</v>
      </c>
      <c r="AN6" s="16">
        <f>'IS (Before Changes)'!AN25</f>
        <v>1216.426585151281</v>
      </c>
      <c r="AO6" s="16">
        <f>'IS (Before Changes)'!AO25</f>
        <v>1541.205964295656</v>
      </c>
      <c r="AP6" s="16">
        <f>'IS (Before Changes)'!AP25</f>
        <v>1491.1666526446313</v>
      </c>
      <c r="AQ6" s="17">
        <f t="shared" ref="AQ6" si="4">SUM(AM6:AP6)</f>
        <v>5696.7047911462287</v>
      </c>
      <c r="AR6" s="16">
        <f>'IS (Before Changes)'!AR25</f>
        <v>1552.8978262658381</v>
      </c>
      <c r="AS6" s="16">
        <f>'IS (Before Changes)'!AS25</f>
        <v>1306.7995179538839</v>
      </c>
      <c r="AT6" s="16">
        <f>'IS (Before Changes)'!AT25</f>
        <v>1651.4423995583891</v>
      </c>
      <c r="AU6" s="16">
        <f>'IS (Before Changes)'!AU25</f>
        <v>1597.778149525916</v>
      </c>
      <c r="AV6" s="17">
        <f t="shared" ref="AV6" si="5">SUM(AR6:AU6)</f>
        <v>6108.9178933040275</v>
      </c>
    </row>
    <row r="7" spans="2:48" outlineLevel="1" x14ac:dyDescent="0.3">
      <c r="B7" s="308" t="s">
        <v>269</v>
      </c>
      <c r="C7" s="44"/>
      <c r="D7" s="16">
        <v>350.8</v>
      </c>
      <c r="E7" s="16">
        <f>723.5-D7</f>
        <v>372.7</v>
      </c>
      <c r="F7" s="16">
        <f>1083.6-E7-D7</f>
        <v>360.09999999999985</v>
      </c>
      <c r="G7" s="16">
        <f>1449.3-F7-E7-D7</f>
        <v>365.7</v>
      </c>
      <c r="H7" s="17">
        <f t="shared" ref="H7:H13" si="6">SUM(D7:G7)</f>
        <v>1449.3</v>
      </c>
      <c r="I7" s="16">
        <v>369.2</v>
      </c>
      <c r="J7" s="16">
        <f>746.9-I7</f>
        <v>377.7</v>
      </c>
      <c r="K7" s="16">
        <f>1124-J7-I7</f>
        <v>377.09999999999997</v>
      </c>
      <c r="L7" s="16">
        <f>1503.2-K7-J7-I7</f>
        <v>379.2000000000001</v>
      </c>
      <c r="M7" s="17">
        <f t="shared" ref="M7:M13" si="7">SUM(I7:L7)</f>
        <v>1503.2</v>
      </c>
      <c r="N7" s="16">
        <v>388.4</v>
      </c>
      <c r="O7" s="16">
        <f>772.9-N7</f>
        <v>384.5</v>
      </c>
      <c r="P7" s="16">
        <f>1146.2-O7-N7</f>
        <v>373.30000000000007</v>
      </c>
      <c r="Q7" s="16">
        <f>1524.1-P7-O7-N7</f>
        <v>377.89999999999975</v>
      </c>
      <c r="R7" s="17">
        <f t="shared" ref="R7:R13" si="8">SUM(N7:Q7)</f>
        <v>1524.1</v>
      </c>
      <c r="S7" s="16">
        <v>386.4</v>
      </c>
      <c r="T7" s="16">
        <f>777.7-S7</f>
        <v>391.30000000000007</v>
      </c>
      <c r="U7" s="16">
        <f>1169-T7-S7</f>
        <v>391.29999999999995</v>
      </c>
      <c r="V7" s="16">
        <f>1529.4-U7-T7-S7</f>
        <v>360.40000000000009</v>
      </c>
      <c r="W7" s="17">
        <f t="shared" si="0"/>
        <v>1529.4</v>
      </c>
      <c r="X7" s="16">
        <f>('BS (Before Changes)'!W14*'BS (Before Changes)'!X56)</f>
        <v>389.99303918386653</v>
      </c>
      <c r="Y7" s="16">
        <f>('BS (Before Changes)'!X14*'BS (Before Changes)'!Y56)</f>
        <v>401.02150208877782</v>
      </c>
      <c r="Z7" s="16">
        <f>('BS (Before Changes)'!Y14*'BS (Before Changes)'!Z56)</f>
        <v>409.09530542193568</v>
      </c>
      <c r="AA7" s="16">
        <f>('BS (Before Changes)'!Z14*'BS (Before Changes)'!AA56)</f>
        <v>419.12262770367187</v>
      </c>
      <c r="AB7" s="17">
        <f t="shared" ref="AB7:AB13" si="9">SUM(X7:AA7)</f>
        <v>1619.232474398252</v>
      </c>
      <c r="AC7" s="16">
        <f>('BS (Before Changes)'!AB14*'BS (Before Changes)'!AC56)</f>
        <v>438.3134517334222</v>
      </c>
      <c r="AD7" s="16">
        <f>('BS (Before Changes)'!AC14*'BS (Before Changes)'!AD56)</f>
        <v>451.41583522353898</v>
      </c>
      <c r="AE7" s="16">
        <f>('BS (Before Changes)'!AD14*'BS (Before Changes)'!AE56)</f>
        <v>461.77622021293325</v>
      </c>
      <c r="AF7" s="16">
        <f>('BS (Before Changes)'!AE14*'BS (Before Changes)'!AF56)</f>
        <v>475.74282283507068</v>
      </c>
      <c r="AG7" s="17">
        <f t="shared" ref="AG7:AG13" si="10">SUM(AC7:AF7)</f>
        <v>1827.2483300049651</v>
      </c>
      <c r="AH7" s="16">
        <f>('BS (Before Changes)'!AG14*'BS (Before Changes)'!AH56)</f>
        <v>491.34361898346435</v>
      </c>
      <c r="AI7" s="16">
        <f>('BS (Before Changes)'!AH14*'BS (Before Changes)'!AI56)</f>
        <v>501.98890047623047</v>
      </c>
      <c r="AJ7" s="16">
        <f>('BS (Before Changes)'!AI14*'BS (Before Changes)'!AJ56)</f>
        <v>510.00006828331999</v>
      </c>
      <c r="AK7" s="16">
        <f>('BS (Before Changes)'!AJ14*'BS (Before Changes)'!AK56)</f>
        <v>521.36152608803093</v>
      </c>
      <c r="AL7" s="17">
        <f t="shared" ref="AL7:AL13" si="11">SUM(AH7:AK7)</f>
        <v>2024.6941138310458</v>
      </c>
      <c r="AM7" s="16">
        <f>('BS (Before Changes)'!AL14*'BS (Before Changes)'!AM56)</f>
        <v>533.62545493745836</v>
      </c>
      <c r="AN7" s="16">
        <f>('BS (Before Changes)'!AM14*'BS (Before Changes)'!AN56)</f>
        <v>546.01077294646541</v>
      </c>
      <c r="AO7" s="16">
        <f>('BS (Before Changes)'!AN14*'BS (Before Changes)'!AO56)</f>
        <v>555.10498123489617</v>
      </c>
      <c r="AP7" s="16">
        <f>('BS (Before Changes)'!AO14*'BS (Before Changes)'!AP56)</f>
        <v>567.51243315034708</v>
      </c>
      <c r="AQ7" s="17">
        <f t="shared" ref="AQ7:AQ13" si="12">SUM(AM7:AP7)</f>
        <v>2202.2536422691669</v>
      </c>
      <c r="AR7" s="16">
        <f>('BS (Before Changes)'!AQ14*'BS (Before Changes)'!AR56)</f>
        <v>580.6658507137812</v>
      </c>
      <c r="AS7" s="16">
        <f>('BS (Before Changes)'!AR14*'BS (Before Changes)'!AS56)</f>
        <v>593.19393678982419</v>
      </c>
      <c r="AT7" s="16">
        <f>('BS (Before Changes)'!AS14*'BS (Before Changes)'!AT56)</f>
        <v>602.16947282689023</v>
      </c>
      <c r="AU7" s="16">
        <f>('BS (Before Changes)'!AT14*'BS (Before Changes)'!AU56)</f>
        <v>614.66985133360492</v>
      </c>
      <c r="AV7" s="17">
        <f t="shared" ref="AV7:AV13" si="13">SUM(AR7:AU7)</f>
        <v>2390.6991116641007</v>
      </c>
    </row>
    <row r="8" spans="2:48" outlineLevel="1" x14ac:dyDescent="0.3">
      <c r="B8" s="308" t="s">
        <v>222</v>
      </c>
      <c r="C8" s="44"/>
      <c r="D8" s="16">
        <v>-354.6</v>
      </c>
      <c r="E8" s="16">
        <f>-714.5-D8</f>
        <v>-359.9</v>
      </c>
      <c r="F8" s="16">
        <f>-1243.5-E8-D8</f>
        <v>-529</v>
      </c>
      <c r="G8" s="101">
        <f>-1495.4-F8-E8-D8</f>
        <v>-251.90000000000009</v>
      </c>
      <c r="H8" s="17">
        <f t="shared" si="6"/>
        <v>-1495.4</v>
      </c>
      <c r="I8" s="16">
        <v>10.4</v>
      </c>
      <c r="J8" s="16">
        <f>47.7-I8</f>
        <v>37.300000000000004</v>
      </c>
      <c r="K8" s="16">
        <f>20-J8-I8</f>
        <v>-27.700000000000003</v>
      </c>
      <c r="L8" s="101">
        <f>-25.8-K8-J8-I8</f>
        <v>-45.800000000000004</v>
      </c>
      <c r="M8" s="17">
        <f t="shared" si="7"/>
        <v>-25.800000000000004</v>
      </c>
      <c r="N8" s="16">
        <v>-6.1</v>
      </c>
      <c r="O8" s="16">
        <f>-25.2-N8</f>
        <v>-19.100000000000001</v>
      </c>
      <c r="P8" s="16">
        <f>-113.2-O8-N8</f>
        <v>-88</v>
      </c>
      <c r="Q8" s="101">
        <f>-146.2-P8-O8-N8</f>
        <v>-32.999999999999986</v>
      </c>
      <c r="R8" s="17">
        <f t="shared" si="8"/>
        <v>-146.19999999999999</v>
      </c>
      <c r="S8" s="16">
        <v>-0.3</v>
      </c>
      <c r="T8" s="16">
        <f>28.4-S8</f>
        <v>28.7</v>
      </c>
      <c r="U8" s="16">
        <f>35-T8-S8</f>
        <v>6.6000000000000005</v>
      </c>
      <c r="V8" s="16">
        <f>-37.8-U8-T8-S8</f>
        <v>-72.8</v>
      </c>
      <c r="W8" s="17">
        <f t="shared" si="0"/>
        <v>-37.799999999999997</v>
      </c>
      <c r="X8" s="16">
        <f>-('BS (Before Changes)'!X16-'BS (Before Changes)'!V16)</f>
        <v>-54.435767663959496</v>
      </c>
      <c r="Y8" s="16">
        <f>-('BS (Before Changes)'!Y16-'BS (Before Changes)'!X16)</f>
        <v>71.967352964008342</v>
      </c>
      <c r="Z8" s="16">
        <f>-('BS (Before Changes)'!Z16-'BS (Before Changes)'!Y16)</f>
        <v>10.412791446641904</v>
      </c>
      <c r="AA8" s="16">
        <f>-('BS (Before Changes)'!AA16-'BS (Before Changes)'!Z16)</f>
        <v>2.1681559228675269</v>
      </c>
      <c r="AB8" s="17">
        <f t="shared" si="9"/>
        <v>30.112532669558277</v>
      </c>
      <c r="AC8" s="16">
        <f>-('BS (Before Changes)'!AC16-'BS (Before Changes)'!AA16)</f>
        <v>-103.42032077227964</v>
      </c>
      <c r="AD8" s="16">
        <f>-('BS (Before Changes)'!AD16-'BS (Before Changes)'!AC16)</f>
        <v>82.087056498663969</v>
      </c>
      <c r="AE8" s="16">
        <f>-('BS (Before Changes)'!AE16-'BS (Before Changes)'!AD16)</f>
        <v>10.462742607551718</v>
      </c>
      <c r="AF8" s="16">
        <f>-('BS (Before Changes)'!AF16-'BS (Before Changes)'!AE16)</f>
        <v>10.353229467274559</v>
      </c>
      <c r="AG8" s="17">
        <f t="shared" si="10"/>
        <v>-0.51729219878939148</v>
      </c>
      <c r="AH8" s="16">
        <f>-('BS (Before Changes)'!AH16-'BS (Before Changes)'!AF16)</f>
        <v>-120.41041873261065</v>
      </c>
      <c r="AI8" s="16">
        <f>-('BS (Before Changes)'!AI16-'BS (Before Changes)'!AH16)</f>
        <v>89.681605389261222</v>
      </c>
      <c r="AJ8" s="16">
        <f>-('BS (Before Changes)'!AJ16-'BS (Before Changes)'!AI16)</f>
        <v>11.233775556209821</v>
      </c>
      <c r="AK8" s="16">
        <f>-('BS (Before Changes)'!AK16-'BS (Before Changes)'!AJ16)</f>
        <v>11.289874302513681</v>
      </c>
      <c r="AL8" s="17">
        <f t="shared" si="11"/>
        <v>-8.2051634846259276</v>
      </c>
      <c r="AM8" s="16">
        <f>-('BS (Before Changes)'!AM16-'BS (Before Changes)'!AK16)</f>
        <v>-132.34213874032685</v>
      </c>
      <c r="AN8" s="16">
        <f>-('BS (Before Changes)'!AN16-'BS (Before Changes)'!AM16)</f>
        <v>96.847881287818836</v>
      </c>
      <c r="AO8" s="16">
        <f>-('BS (Before Changes)'!AO16-'BS (Before Changes)'!AN16)</f>
        <v>11.616492231986285</v>
      </c>
      <c r="AP8" s="16">
        <f>-('BS (Before Changes)'!AP16-'BS (Before Changes)'!AO16)</f>
        <v>11.563306022151664</v>
      </c>
      <c r="AQ8" s="17">
        <f t="shared" si="12"/>
        <v>-12.314459198370059</v>
      </c>
      <c r="AR8" s="16">
        <f>-('BS (Before Changes)'!AR16-'BS (Before Changes)'!AP16)</f>
        <v>-144.1836869654876</v>
      </c>
      <c r="AS8" s="16">
        <f>-('BS (Before Changes)'!AS16-'BS (Before Changes)'!AR16)</f>
        <v>104.30989945032911</v>
      </c>
      <c r="AT8" s="16">
        <f>-('BS (Before Changes)'!AT16-'BS (Before Changes)'!AS16)</f>
        <v>11.927553287992168</v>
      </c>
      <c r="AU8" s="16">
        <f>-('BS (Before Changes)'!AU16-'BS (Before Changes)'!AT16)</f>
        <v>11.843909252719413</v>
      </c>
      <c r="AV8" s="17">
        <f t="shared" si="13"/>
        <v>-16.102324974446901</v>
      </c>
    </row>
    <row r="9" spans="2:48" outlineLevel="1" x14ac:dyDescent="0.3">
      <c r="B9" s="308" t="s">
        <v>270</v>
      </c>
      <c r="C9" s="44"/>
      <c r="D9" s="16">
        <v>-55</v>
      </c>
      <c r="E9" s="16">
        <f>-108.2-D9</f>
        <v>-53.2</v>
      </c>
      <c r="F9" s="16">
        <f>-174.1-E9-D9</f>
        <v>-65.899999999999991</v>
      </c>
      <c r="G9" s="101">
        <f>-250.6-F9-E9-D9</f>
        <v>-76.5</v>
      </c>
      <c r="H9" s="17">
        <f t="shared" si="6"/>
        <v>-250.6</v>
      </c>
      <c r="I9" s="16">
        <v>-62.9</v>
      </c>
      <c r="J9" s="16">
        <f>-116.3-I9</f>
        <v>-53.4</v>
      </c>
      <c r="K9" s="16">
        <f>-182.3-J9-I9</f>
        <v>-66</v>
      </c>
      <c r="L9" s="101">
        <f>-280.7-K9-J9-I9</f>
        <v>-98.399999999999977</v>
      </c>
      <c r="M9" s="17">
        <f t="shared" si="7"/>
        <v>-280.7</v>
      </c>
      <c r="N9" s="16">
        <v>-69</v>
      </c>
      <c r="O9" s="16">
        <f>-131.3-N9</f>
        <v>-62.300000000000011</v>
      </c>
      <c r="P9" s="16">
        <f>-238.3-O9-N9</f>
        <v>-107</v>
      </c>
      <c r="Q9" s="101">
        <f>-347.3-P9-O9-N9</f>
        <v>-109</v>
      </c>
      <c r="R9" s="17">
        <f t="shared" si="8"/>
        <v>-347.3</v>
      </c>
      <c r="S9" s="16">
        <v>-46.6</v>
      </c>
      <c r="T9" s="16">
        <f>-118.7-S9</f>
        <v>-72.099999999999994</v>
      </c>
      <c r="U9" s="16">
        <f>-175-T9-S9</f>
        <v>-56.300000000000004</v>
      </c>
      <c r="V9" s="16">
        <f>-268.7-U9-T9-S9</f>
        <v>-93.699999999999989</v>
      </c>
      <c r="W9" s="17">
        <f t="shared" si="0"/>
        <v>-268.7</v>
      </c>
      <c r="X9" s="16">
        <f>-'IS (Before Changes)'!X16</f>
        <v>-90.4</v>
      </c>
      <c r="Y9" s="16">
        <f>-'IS (Before Changes)'!Y16</f>
        <v>-90.5</v>
      </c>
      <c r="Z9" s="16">
        <f>-'IS (Before Changes)'!Z16</f>
        <v>-90.6</v>
      </c>
      <c r="AA9" s="16">
        <f>-'IS (Before Changes)'!AA16</f>
        <v>-90.7</v>
      </c>
      <c r="AB9" s="17">
        <f t="shared" si="9"/>
        <v>-362.2</v>
      </c>
      <c r="AC9" s="16">
        <f>-'IS (Before Changes)'!AC16</f>
        <v>-91</v>
      </c>
      <c r="AD9" s="16">
        <f>-'IS (Before Changes)'!AD16</f>
        <v>-91</v>
      </c>
      <c r="AE9" s="16">
        <f>-'IS (Before Changes)'!AE16</f>
        <v>-91</v>
      </c>
      <c r="AF9" s="16">
        <f>-'IS (Before Changes)'!AF16</f>
        <v>-91</v>
      </c>
      <c r="AG9" s="17">
        <f t="shared" si="10"/>
        <v>-364</v>
      </c>
      <c r="AH9" s="16">
        <f>-'IS (Before Changes)'!AH16</f>
        <v>-91</v>
      </c>
      <c r="AI9" s="16">
        <f>-'IS (Before Changes)'!AI16</f>
        <v>-91</v>
      </c>
      <c r="AJ9" s="16">
        <f>-'IS (Before Changes)'!AJ16</f>
        <v>-91</v>
      </c>
      <c r="AK9" s="16">
        <f>-'IS (Before Changes)'!AK16</f>
        <v>-91</v>
      </c>
      <c r="AL9" s="17">
        <f t="shared" si="11"/>
        <v>-364</v>
      </c>
      <c r="AM9" s="16">
        <f>-'IS (Before Changes)'!AM16</f>
        <v>-91</v>
      </c>
      <c r="AN9" s="16">
        <f>-'IS (Before Changes)'!AN16</f>
        <v>-91</v>
      </c>
      <c r="AO9" s="16">
        <f>-'IS (Before Changes)'!AO16</f>
        <v>-91</v>
      </c>
      <c r="AP9" s="16">
        <f>-'IS (Before Changes)'!AP16</f>
        <v>-91</v>
      </c>
      <c r="AQ9" s="17">
        <f t="shared" si="12"/>
        <v>-364</v>
      </c>
      <c r="AR9" s="16">
        <f>-'IS (Before Changes)'!AR16</f>
        <v>-91</v>
      </c>
      <c r="AS9" s="16">
        <f>-'IS (Before Changes)'!AS16</f>
        <v>-91</v>
      </c>
      <c r="AT9" s="16">
        <f>-'IS (Before Changes)'!AT16</f>
        <v>-91</v>
      </c>
      <c r="AU9" s="16">
        <f>-'IS (Before Changes)'!AU16</f>
        <v>-91</v>
      </c>
      <c r="AV9" s="17">
        <f t="shared" si="13"/>
        <v>-364</v>
      </c>
    </row>
    <row r="10" spans="2:48" outlineLevel="1" x14ac:dyDescent="0.3">
      <c r="B10" s="308" t="s">
        <v>271</v>
      </c>
      <c r="C10" s="44"/>
      <c r="D10" s="16">
        <v>63.7</v>
      </c>
      <c r="E10" s="16">
        <f>93.3-D10</f>
        <v>29.599999999999994</v>
      </c>
      <c r="F10" s="16">
        <f>163.7-E10-D10</f>
        <v>70.399999999999991</v>
      </c>
      <c r="G10" s="101">
        <f>216.8-F10-E10-D10</f>
        <v>53.100000000000037</v>
      </c>
      <c r="H10" s="17">
        <f t="shared" si="6"/>
        <v>216.8</v>
      </c>
      <c r="I10" s="16">
        <v>64.3</v>
      </c>
      <c r="J10" s="16">
        <f>98.1-I10</f>
        <v>33.799999999999997</v>
      </c>
      <c r="K10" s="16">
        <f>165.6-J10-I10</f>
        <v>67.500000000000014</v>
      </c>
      <c r="L10" s="101">
        <f>227.7-K10-J10-I10</f>
        <v>62.099999999999994</v>
      </c>
      <c r="M10" s="17">
        <f t="shared" si="7"/>
        <v>227.70000000000002</v>
      </c>
      <c r="N10" s="16">
        <v>77.2</v>
      </c>
      <c r="O10" s="16">
        <f>130.2-N10</f>
        <v>52.999999999999986</v>
      </c>
      <c r="P10" s="16">
        <f>226.7-O10-N10</f>
        <v>96.499999999999986</v>
      </c>
      <c r="Q10" s="101">
        <f>336-P10-O10-N10</f>
        <v>109.3</v>
      </c>
      <c r="R10" s="17">
        <f t="shared" si="8"/>
        <v>336</v>
      </c>
      <c r="S10" s="16">
        <v>44.9</v>
      </c>
      <c r="T10" s="16">
        <f>100.8-S10</f>
        <v>55.9</v>
      </c>
      <c r="U10" s="16">
        <f>145.9-T10-S10</f>
        <v>45.1</v>
      </c>
      <c r="V10" s="16">
        <f>231.2-U10-T10-S10</f>
        <v>85.299999999999983</v>
      </c>
      <c r="W10" s="17">
        <f t="shared" si="0"/>
        <v>231.2</v>
      </c>
      <c r="X10" s="16">
        <f>-X54*X9</f>
        <v>90.4</v>
      </c>
      <c r="Y10" s="16">
        <f>-Y54*Y9</f>
        <v>90.5</v>
      </c>
      <c r="Z10" s="16">
        <f>-Z54*Z9</f>
        <v>90.6</v>
      </c>
      <c r="AA10" s="16">
        <f>-AA54*AA9</f>
        <v>90.7</v>
      </c>
      <c r="AB10" s="17">
        <f t="shared" si="9"/>
        <v>362.2</v>
      </c>
      <c r="AC10" s="16">
        <f>-AC54*AC9</f>
        <v>91</v>
      </c>
      <c r="AD10" s="16">
        <f>-AD54*AD9</f>
        <v>91</v>
      </c>
      <c r="AE10" s="16">
        <f>-AE54*AE9</f>
        <v>91</v>
      </c>
      <c r="AF10" s="16">
        <f>-AF54*AF9</f>
        <v>91</v>
      </c>
      <c r="AG10" s="17">
        <f t="shared" si="10"/>
        <v>364</v>
      </c>
      <c r="AH10" s="16">
        <f>-AH54*AH9</f>
        <v>91</v>
      </c>
      <c r="AI10" s="16">
        <f>-AI54*AI9</f>
        <v>91</v>
      </c>
      <c r="AJ10" s="16">
        <f>-AJ54*AJ9</f>
        <v>91</v>
      </c>
      <c r="AK10" s="16">
        <f>-AK54*AK9</f>
        <v>91</v>
      </c>
      <c r="AL10" s="17">
        <f t="shared" si="11"/>
        <v>364</v>
      </c>
      <c r="AM10" s="16">
        <f>-AM54*AM9</f>
        <v>91</v>
      </c>
      <c r="AN10" s="16">
        <f>-AN54*AN9</f>
        <v>91</v>
      </c>
      <c r="AO10" s="16">
        <f>-AO54*AO9</f>
        <v>91</v>
      </c>
      <c r="AP10" s="16">
        <f>-AP54*AP9</f>
        <v>91</v>
      </c>
      <c r="AQ10" s="17">
        <f t="shared" si="12"/>
        <v>364</v>
      </c>
      <c r="AR10" s="16">
        <f>-AR54*AR9</f>
        <v>91</v>
      </c>
      <c r="AS10" s="16">
        <f>-AS54*AS9</f>
        <v>91</v>
      </c>
      <c r="AT10" s="16">
        <f>-AT54*AT9</f>
        <v>91</v>
      </c>
      <c r="AU10" s="16">
        <f>-AU54*AU9</f>
        <v>91</v>
      </c>
      <c r="AV10" s="17">
        <f t="shared" si="13"/>
        <v>364</v>
      </c>
    </row>
    <row r="11" spans="2:48" outlineLevel="1" x14ac:dyDescent="0.3">
      <c r="B11" s="308" t="s">
        <v>272</v>
      </c>
      <c r="C11" s="44"/>
      <c r="D11" s="16">
        <v>0</v>
      </c>
      <c r="E11" s="16">
        <f>-21-D11</f>
        <v>-21</v>
      </c>
      <c r="F11" s="16">
        <f>-622.8-E11-D11</f>
        <v>-601.79999999999995</v>
      </c>
      <c r="G11" s="101">
        <f>-622.8-F11-E11-D11</f>
        <v>0</v>
      </c>
      <c r="H11" s="17">
        <f t="shared" si="6"/>
        <v>-622.79999999999995</v>
      </c>
      <c r="I11" s="16">
        <v>0</v>
      </c>
      <c r="J11" s="16">
        <f>0-I11</f>
        <v>0</v>
      </c>
      <c r="K11" s="16">
        <f>0-J11-I11</f>
        <v>0</v>
      </c>
      <c r="L11" s="101">
        <f>0-K11-J11-I11</f>
        <v>0</v>
      </c>
      <c r="M11" s="17">
        <f t="shared" si="7"/>
        <v>0</v>
      </c>
      <c r="N11" s="16">
        <v>0</v>
      </c>
      <c r="O11" s="16">
        <f>0-N11</f>
        <v>0</v>
      </c>
      <c r="P11" s="16">
        <f>0-O11-N11</f>
        <v>0</v>
      </c>
      <c r="Q11" s="101">
        <f>-864.5-P11-O11-N11</f>
        <v>-864.5</v>
      </c>
      <c r="R11" s="17">
        <f t="shared" si="8"/>
        <v>-864.5</v>
      </c>
      <c r="S11" s="16">
        <v>0</v>
      </c>
      <c r="T11" s="16">
        <f>0-S11</f>
        <v>0</v>
      </c>
      <c r="U11" s="16">
        <f t="shared" ref="U11" si="14">0-T11-S11</f>
        <v>0</v>
      </c>
      <c r="V11" s="16">
        <f t="shared" ref="V11:V17" si="15">0-U11-T11-S11</f>
        <v>0</v>
      </c>
      <c r="W11" s="17">
        <f t="shared" si="0"/>
        <v>0</v>
      </c>
      <c r="X11" s="16">
        <v>0</v>
      </c>
      <c r="Y11" s="16">
        <v>0</v>
      </c>
      <c r="Z11" s="16">
        <v>0</v>
      </c>
      <c r="AA11" s="16">
        <v>0</v>
      </c>
      <c r="AB11" s="17">
        <f t="shared" si="9"/>
        <v>0</v>
      </c>
      <c r="AC11" s="16">
        <v>0</v>
      </c>
      <c r="AD11" s="16">
        <v>0</v>
      </c>
      <c r="AE11" s="16">
        <v>0</v>
      </c>
      <c r="AF11" s="16">
        <v>0</v>
      </c>
      <c r="AG11" s="17">
        <f t="shared" si="10"/>
        <v>0</v>
      </c>
      <c r="AH11" s="16">
        <v>0</v>
      </c>
      <c r="AI11" s="16">
        <v>0</v>
      </c>
      <c r="AJ11" s="16">
        <v>0</v>
      </c>
      <c r="AK11" s="16">
        <v>0</v>
      </c>
      <c r="AL11" s="17">
        <f t="shared" si="11"/>
        <v>0</v>
      </c>
      <c r="AM11" s="16">
        <v>0</v>
      </c>
      <c r="AN11" s="16">
        <v>0</v>
      </c>
      <c r="AO11" s="16">
        <v>0</v>
      </c>
      <c r="AP11" s="16">
        <v>0</v>
      </c>
      <c r="AQ11" s="17">
        <f t="shared" si="12"/>
        <v>0</v>
      </c>
      <c r="AR11" s="16">
        <v>0</v>
      </c>
      <c r="AS11" s="16">
        <v>0</v>
      </c>
      <c r="AT11" s="16">
        <v>0</v>
      </c>
      <c r="AU11" s="16">
        <v>0</v>
      </c>
      <c r="AV11" s="17">
        <f t="shared" si="13"/>
        <v>0</v>
      </c>
    </row>
    <row r="12" spans="2:48" outlineLevel="1" x14ac:dyDescent="0.3">
      <c r="B12" s="308" t="s">
        <v>273</v>
      </c>
      <c r="C12" s="44"/>
      <c r="D12" s="16">
        <v>97.3</v>
      </c>
      <c r="E12" s="16">
        <f>192.1-D12</f>
        <v>94.8</v>
      </c>
      <c r="F12" s="16">
        <f>255.4-E12-D12</f>
        <v>63.300000000000026</v>
      </c>
      <c r="G12" s="101">
        <f>308-F12-E12-D12</f>
        <v>52.59999999999998</v>
      </c>
      <c r="H12" s="17">
        <f t="shared" si="6"/>
        <v>308</v>
      </c>
      <c r="I12" s="16">
        <v>90.3</v>
      </c>
      <c r="J12" s="16">
        <f>146.6-I12</f>
        <v>56.3</v>
      </c>
      <c r="K12" s="16">
        <f>188-J12-I12</f>
        <v>41.399999999999991</v>
      </c>
      <c r="L12" s="101">
        <f>248.6-K12-J12-I12</f>
        <v>60.59999999999998</v>
      </c>
      <c r="M12" s="17">
        <f t="shared" si="7"/>
        <v>248.59999999999997</v>
      </c>
      <c r="N12" s="16">
        <v>99.3</v>
      </c>
      <c r="O12" s="16">
        <f>175.3-N12</f>
        <v>76.000000000000014</v>
      </c>
      <c r="P12" s="16">
        <f>255.3-O12-N12</f>
        <v>80.000000000000014</v>
      </c>
      <c r="Q12" s="101">
        <f>319.1-P12-O12-N12</f>
        <v>63.800000000000026</v>
      </c>
      <c r="R12" s="17">
        <f t="shared" si="8"/>
        <v>319.10000000000002</v>
      </c>
      <c r="S12" s="16">
        <v>95.8</v>
      </c>
      <c r="T12" s="16">
        <f>149.2-S12</f>
        <v>53.399999999999991</v>
      </c>
      <c r="U12" s="16">
        <f>206.6-T12-S12</f>
        <v>57.399999999999991</v>
      </c>
      <c r="V12" s="16">
        <f>271.5-U12-T12-S12</f>
        <v>64.900000000000048</v>
      </c>
      <c r="W12" s="17">
        <f t="shared" si="0"/>
        <v>271.5</v>
      </c>
      <c r="X12" s="16">
        <f>'IS (Before Changes)'!X8*X53</f>
        <v>73.407434150082651</v>
      </c>
      <c r="Y12" s="16">
        <f>'IS (Before Changes)'!Y8*Y53</f>
        <v>63.702736831532256</v>
      </c>
      <c r="Z12" s="16">
        <f>'IS (Before Changes)'!Z8*Z53</f>
        <v>71.018895551540098</v>
      </c>
      <c r="AA12" s="16">
        <f>'IS (Before Changes)'!AA8*AA53</f>
        <v>74.842031353274876</v>
      </c>
      <c r="AB12" s="17">
        <f t="shared" si="9"/>
        <v>282.9710978864299</v>
      </c>
      <c r="AC12" s="16">
        <f>'IS (Before Changes)'!AC8*AC53</f>
        <v>77.08192232706871</v>
      </c>
      <c r="AD12" s="16">
        <f>'IS (Before Changes)'!AD8*AD53</f>
        <v>71.603897689508941</v>
      </c>
      <c r="AE12" s="16">
        <f>'IS (Before Changes)'!AE8*AE53</f>
        <v>78.954140556800539</v>
      </c>
      <c r="AF12" s="16">
        <f>'IS (Before Changes)'!AF8*AF53</f>
        <v>81.96264940689484</v>
      </c>
      <c r="AG12" s="17">
        <f t="shared" si="10"/>
        <v>309.60260998027303</v>
      </c>
      <c r="AH12" s="16">
        <f>'IS (Before Changes)'!AH8*AH53</f>
        <v>85.148349672689605</v>
      </c>
      <c r="AI12" s="16">
        <f>'IS (Before Changes)'!AI8*AI53</f>
        <v>80.246396662622047</v>
      </c>
      <c r="AJ12" s="16">
        <f>'IS (Before Changes)'!AJ8*AJ53</f>
        <v>88.13074185010791</v>
      </c>
      <c r="AK12" s="16">
        <f>'IS (Before Changes)'!AK8*AK53</f>
        <v>91.372500940103251</v>
      </c>
      <c r="AL12" s="17">
        <f t="shared" si="11"/>
        <v>344.89798912552283</v>
      </c>
      <c r="AM12" s="16">
        <f>'IS (Before Changes)'!AM8*AM53</f>
        <v>93.559890808876872</v>
      </c>
      <c r="AN12" s="16">
        <f>'IS (Before Changes)'!AN8*AN53</f>
        <v>87.913978476818855</v>
      </c>
      <c r="AO12" s="16">
        <f>'IS (Before Changes)'!AO8*AO53</f>
        <v>96.087513476770866</v>
      </c>
      <c r="AP12" s="16">
        <f>'IS (Before Changes)'!AP8*AP53</f>
        <v>99.255512529185168</v>
      </c>
      <c r="AQ12" s="17">
        <f t="shared" si="12"/>
        <v>376.8168952916518</v>
      </c>
      <c r="AR12" s="16">
        <f>'IS (Before Changes)'!AR8*AR53</f>
        <v>99.623352458040884</v>
      </c>
      <c r="AS12" s="16">
        <f>'IS (Before Changes)'!AS8*AS53</f>
        <v>93.565559177838352</v>
      </c>
      <c r="AT12" s="16">
        <f>'IS (Before Changes)'!AT8*AT53</f>
        <v>102.21864620180055</v>
      </c>
      <c r="AU12" s="16">
        <f>'IS (Before Changes)'!AU8*AU53</f>
        <v>105.58033575375845</v>
      </c>
      <c r="AV12" s="17">
        <f t="shared" si="13"/>
        <v>400.98789359143825</v>
      </c>
    </row>
    <row r="13" spans="2:48" outlineLevel="1" x14ac:dyDescent="0.3">
      <c r="B13" s="319" t="s">
        <v>274</v>
      </c>
      <c r="C13" s="320"/>
      <c r="D13" s="16">
        <v>6.1</v>
      </c>
      <c r="E13" s="101">
        <f>5.4+91.1-D13</f>
        <v>90.4</v>
      </c>
      <c r="F13" s="101">
        <f>10.5+122.3-E13-D13</f>
        <v>36.300000000000004</v>
      </c>
      <c r="G13" s="101">
        <f>10.5+187.9-F13-E13-D13</f>
        <v>65.599999999999994</v>
      </c>
      <c r="H13" s="17">
        <f t="shared" si="6"/>
        <v>198.4</v>
      </c>
      <c r="I13" s="101">
        <f>5.1+294.9</f>
        <v>300</v>
      </c>
      <c r="J13" s="101">
        <f>596.3+67.7-I13</f>
        <v>364</v>
      </c>
      <c r="K13" s="101">
        <f>902.4+124.6+63.7-J13-I13</f>
        <v>426.70000000000005</v>
      </c>
      <c r="L13" s="101">
        <f>1197.6+454.4+24.5-K13-J13-I13</f>
        <v>585.79999999999995</v>
      </c>
      <c r="M13" s="17">
        <f t="shared" si="7"/>
        <v>1676.5</v>
      </c>
      <c r="N13" s="101">
        <f>308.3+132.6-10.2</f>
        <v>430.7</v>
      </c>
      <c r="O13" s="101">
        <f>617.9+175.4-15.4-N13</f>
        <v>347.2</v>
      </c>
      <c r="P13" s="101">
        <f>931.7+204.7-6.8-O13-N13</f>
        <v>351.7000000000001</v>
      </c>
      <c r="Q13" s="101">
        <f>1248.6+226.2-6-P13-O13-N13</f>
        <v>339.19999999999987</v>
      </c>
      <c r="R13" s="17">
        <f t="shared" si="8"/>
        <v>1468.8</v>
      </c>
      <c r="S13" s="101">
        <v>0</v>
      </c>
      <c r="T13" s="101">
        <f>0-S13</f>
        <v>0</v>
      </c>
      <c r="U13" s="101">
        <f>1090.4+89.6-44.7</f>
        <v>1135.3</v>
      </c>
      <c r="V13" s="101">
        <f>1497.7+91.4-67.8-U13-T13-S13</f>
        <v>386.00000000000023</v>
      </c>
      <c r="W13" s="17">
        <f t="shared" si="0"/>
        <v>1521.3000000000002</v>
      </c>
      <c r="X13" s="33">
        <v>0</v>
      </c>
      <c r="Y13" s="33">
        <v>0</v>
      </c>
      <c r="Z13" s="33">
        <v>0</v>
      </c>
      <c r="AA13" s="33">
        <v>0</v>
      </c>
      <c r="AB13" s="17">
        <f t="shared" si="9"/>
        <v>0</v>
      </c>
      <c r="AC13" s="33">
        <v>0</v>
      </c>
      <c r="AD13" s="33">
        <v>0</v>
      </c>
      <c r="AE13" s="33">
        <v>0</v>
      </c>
      <c r="AF13" s="33">
        <v>0</v>
      </c>
      <c r="AG13" s="17">
        <f t="shared" si="10"/>
        <v>0</v>
      </c>
      <c r="AH13" s="33">
        <v>0</v>
      </c>
      <c r="AI13" s="33">
        <v>0</v>
      </c>
      <c r="AJ13" s="33">
        <v>0</v>
      </c>
      <c r="AK13" s="33">
        <v>0</v>
      </c>
      <c r="AL13" s="17">
        <f t="shared" si="11"/>
        <v>0</v>
      </c>
      <c r="AM13" s="33">
        <v>0</v>
      </c>
      <c r="AN13" s="33">
        <v>0</v>
      </c>
      <c r="AO13" s="33">
        <v>0</v>
      </c>
      <c r="AP13" s="33">
        <v>0</v>
      </c>
      <c r="AQ13" s="17">
        <f t="shared" si="12"/>
        <v>0</v>
      </c>
      <c r="AR13" s="33">
        <v>0</v>
      </c>
      <c r="AS13" s="33">
        <v>0</v>
      </c>
      <c r="AT13" s="33">
        <v>0</v>
      </c>
      <c r="AU13" s="33">
        <v>0</v>
      </c>
      <c r="AV13" s="17">
        <f t="shared" si="13"/>
        <v>0</v>
      </c>
    </row>
    <row r="14" spans="2:48" outlineLevel="1" x14ac:dyDescent="0.3">
      <c r="B14" s="542" t="s">
        <v>275</v>
      </c>
      <c r="C14" s="543"/>
      <c r="D14" s="321"/>
      <c r="E14" s="322"/>
      <c r="F14" s="323"/>
      <c r="G14" s="323"/>
      <c r="H14" s="324"/>
      <c r="I14" s="323"/>
      <c r="J14" s="323"/>
      <c r="K14" s="323"/>
      <c r="L14" s="323"/>
      <c r="M14" s="324"/>
      <c r="N14" s="323"/>
      <c r="O14" s="323"/>
      <c r="P14" s="323"/>
      <c r="Q14" s="323"/>
      <c r="R14" s="324"/>
      <c r="S14" s="323"/>
      <c r="T14" s="323"/>
      <c r="U14" s="323"/>
      <c r="V14" s="323"/>
      <c r="W14" s="324"/>
      <c r="X14" s="323"/>
      <c r="Y14" s="323"/>
      <c r="Z14" s="323"/>
      <c r="AA14" s="323"/>
      <c r="AB14" s="324"/>
      <c r="AC14" s="323"/>
      <c r="AD14" s="323"/>
      <c r="AE14" s="323"/>
      <c r="AF14" s="323"/>
      <c r="AG14" s="324"/>
      <c r="AH14" s="323"/>
      <c r="AI14" s="323"/>
      <c r="AJ14" s="323"/>
      <c r="AK14" s="323"/>
      <c r="AL14" s="324"/>
      <c r="AM14" s="323"/>
      <c r="AN14" s="323"/>
      <c r="AO14" s="323"/>
      <c r="AP14" s="323"/>
      <c r="AQ14" s="324"/>
      <c r="AR14" s="323"/>
      <c r="AS14" s="323"/>
      <c r="AT14" s="323"/>
      <c r="AU14" s="323"/>
      <c r="AV14" s="324"/>
    </row>
    <row r="15" spans="2:48" outlineLevel="1" x14ac:dyDescent="0.3">
      <c r="B15" s="538" t="s">
        <v>276</v>
      </c>
      <c r="C15" s="539"/>
      <c r="D15" s="327">
        <v>-28.8</v>
      </c>
      <c r="E15" s="327">
        <f>9.8-D15</f>
        <v>38.6</v>
      </c>
      <c r="F15" s="327">
        <f>-70.1-E15-D15</f>
        <v>-79.899999999999991</v>
      </c>
      <c r="G15" s="327">
        <f>-197.7-F15-E15-D15</f>
        <v>-127.60000000000001</v>
      </c>
      <c r="H15" s="328">
        <f t="shared" ref="H15:H21" si="16">SUM(D15:G15)</f>
        <v>-197.7</v>
      </c>
      <c r="I15" s="327">
        <v>-22.9</v>
      </c>
      <c r="J15" s="327">
        <f>-60.7-I15</f>
        <v>-37.800000000000004</v>
      </c>
      <c r="K15" s="327">
        <f>13.4-J15-I15</f>
        <v>74.099999999999994</v>
      </c>
      <c r="L15" s="327">
        <f>-2.7-K15-J15-I15</f>
        <v>-16.099999999999994</v>
      </c>
      <c r="M15" s="328">
        <f t="shared" ref="M15:M21" si="17">SUM(I15:L15)</f>
        <v>-2.7000000000000028</v>
      </c>
      <c r="N15" s="327">
        <v>19.600000000000001</v>
      </c>
      <c r="O15" s="327">
        <f>12.8-N15</f>
        <v>-6.8000000000000007</v>
      </c>
      <c r="P15" s="327">
        <f>-13.1-O15-N15</f>
        <v>-25.9</v>
      </c>
      <c r="Q15" s="327">
        <f>-43-P15-O15-N15</f>
        <v>-29.900000000000002</v>
      </c>
      <c r="R15" s="328">
        <f t="shared" ref="R15:R21" si="18">SUM(N15:Q15)</f>
        <v>-43</v>
      </c>
      <c r="S15" s="327">
        <v>-91.6</v>
      </c>
      <c r="T15" s="327">
        <f>-62.1-S15</f>
        <v>29.499999999999993</v>
      </c>
      <c r="U15" s="327">
        <f>-245.5-T15-S15</f>
        <v>-183.4</v>
      </c>
      <c r="V15" s="327">
        <f>-326.1-U15-T15-S15</f>
        <v>-80.600000000000023</v>
      </c>
      <c r="W15" s="328">
        <f t="shared" ref="W15:W21" si="19">SUM(S15:V15)</f>
        <v>-326.10000000000002</v>
      </c>
      <c r="X15" s="327">
        <f>-('BS (Before Changes)'!X8-'BS (Before Changes)'!V8)</f>
        <v>48.271126324638089</v>
      </c>
      <c r="Y15" s="327">
        <f>-('BS (Before Changes)'!Y8-'BS (Before Changes)'!X8)</f>
        <v>-47.841418593078743</v>
      </c>
      <c r="Z15" s="327">
        <f>-('BS (Before Changes)'!Z8-'BS (Before Changes)'!Y8)</f>
        <v>-203.55272573736192</v>
      </c>
      <c r="AA15" s="327">
        <f>-('BS (Before Changes)'!AA8-'BS (Before Changes)'!Z8)</f>
        <v>124.4357176686924</v>
      </c>
      <c r="AB15" s="328">
        <f t="shared" ref="AB15:AB21" si="20">SUM(X15:AA15)</f>
        <v>-78.687300337110173</v>
      </c>
      <c r="AC15" s="327">
        <f>-('BS (Before Changes)'!AC8-'BS (Before Changes)'!AA8)</f>
        <v>-15.662600279592652</v>
      </c>
      <c r="AD15" s="327">
        <f>-('BS (Before Changes)'!AD8-'BS (Before Changes)'!AC8)</f>
        <v>28.484335491165666</v>
      </c>
      <c r="AE15" s="327">
        <f>-('BS (Before Changes)'!AE8-'BS (Before Changes)'!AD8)</f>
        <v>-139.93645214024787</v>
      </c>
      <c r="AF15" s="327">
        <f>-('BS (Before Changes)'!AF8-'BS (Before Changes)'!AE8)</f>
        <v>36.845429497810983</v>
      </c>
      <c r="AG15" s="328">
        <f t="shared" ref="AG15:AG21" si="21">SUM(AC15:AF15)</f>
        <v>-90.269287430863869</v>
      </c>
      <c r="AH15" s="327">
        <f>-('BS (Before Changes)'!AH8-'BS (Before Changes)'!AF8)</f>
        <v>-64.264511667334318</v>
      </c>
      <c r="AI15" s="327">
        <f>-('BS (Before Changes)'!AI8-'BS (Before Changes)'!AH8)</f>
        <v>18.699480669316472</v>
      </c>
      <c r="AJ15" s="327">
        <f>-('BS (Before Changes)'!AJ8-'BS (Before Changes)'!AI8)</f>
        <v>-213.66531560951307</v>
      </c>
      <c r="AK15" s="327">
        <f>-('BS (Before Changes)'!AK8-'BS (Before Changes)'!AJ8)</f>
        <v>45.770653392642771</v>
      </c>
      <c r="AL15" s="328">
        <f t="shared" ref="AL15:AL21" si="22">SUM(AH15:AK15)</f>
        <v>-213.45969321488815</v>
      </c>
      <c r="AM15" s="327">
        <f>-('BS (Before Changes)'!AM8-'BS (Before Changes)'!AK8)</f>
        <v>5.0967590088323504</v>
      </c>
      <c r="AN15" s="327">
        <f>-('BS (Before Changes)'!AN8-'BS (Before Changes)'!AM8)</f>
        <v>18.192435133293657</v>
      </c>
      <c r="AO15" s="327">
        <f>-('BS (Before Changes)'!AO8-'BS (Before Changes)'!AN8)</f>
        <v>-218.36817111082746</v>
      </c>
      <c r="AP15" s="327">
        <f>-('BS (Before Changes)'!AP8-'BS (Before Changes)'!AO8)</f>
        <v>87.449627655116274</v>
      </c>
      <c r="AQ15" s="328">
        <f t="shared" ref="AQ15:AQ21" si="23">SUM(AM15:AP15)</f>
        <v>-107.62934931358518</v>
      </c>
      <c r="AR15" s="327">
        <f>-('BS (Before Changes)'!AR8-'BS (Before Changes)'!AP8)</f>
        <v>11.786858210239416</v>
      </c>
      <c r="AS15" s="327">
        <f>-('BS (Before Changes)'!AS8-'BS (Before Changes)'!AR8)</f>
        <v>33.212657518792412</v>
      </c>
      <c r="AT15" s="327">
        <f>-('BS (Before Changes)'!AT8-'BS (Before Changes)'!AS8)</f>
        <v>-215.80333000290625</v>
      </c>
      <c r="AU15" s="327">
        <f>-('BS (Before Changes)'!AU8-'BS (Before Changes)'!AT8)</f>
        <v>67.432214609708808</v>
      </c>
      <c r="AV15" s="328">
        <f t="shared" ref="AV15:AV21" si="24">SUM(AR15:AU15)</f>
        <v>-103.37159966416561</v>
      </c>
    </row>
    <row r="16" spans="2:48" outlineLevel="1" x14ac:dyDescent="0.3">
      <c r="B16" s="325" t="s">
        <v>215</v>
      </c>
      <c r="C16" s="326"/>
      <c r="D16" s="327">
        <v>44.8</v>
      </c>
      <c r="E16" s="327">
        <f>-51-D16</f>
        <v>-95.8</v>
      </c>
      <c r="F16" s="327">
        <f>-140.5-E16-D16</f>
        <v>-89.5</v>
      </c>
      <c r="G16" s="327">
        <f>-173-F16-E16-D16</f>
        <v>-32.5</v>
      </c>
      <c r="H16" s="328">
        <f t="shared" si="16"/>
        <v>-173</v>
      </c>
      <c r="I16" s="327">
        <v>122.8</v>
      </c>
      <c r="J16" s="327">
        <f>36.9-I16</f>
        <v>-85.9</v>
      </c>
      <c r="K16" s="327">
        <f>-51.7-J16-I16</f>
        <v>-88.6</v>
      </c>
      <c r="L16" s="327">
        <f>-10.9-K16-J16-I16</f>
        <v>40.799999999999997</v>
      </c>
      <c r="M16" s="328">
        <f t="shared" si="17"/>
        <v>-10.900000000000006</v>
      </c>
      <c r="N16" s="327">
        <v>90.1</v>
      </c>
      <c r="O16" s="327">
        <f>51.3-N16</f>
        <v>-38.799999999999997</v>
      </c>
      <c r="P16" s="327">
        <f>8.4-O16-N16</f>
        <v>-42.9</v>
      </c>
      <c r="Q16" s="327">
        <f>-49.8-P16-O16-N16</f>
        <v>-58.199999999999996</v>
      </c>
      <c r="R16" s="328">
        <f t="shared" si="18"/>
        <v>-49.8</v>
      </c>
      <c r="S16" s="327">
        <v>-36</v>
      </c>
      <c r="T16" s="327">
        <f>-324.9-S16</f>
        <v>-288.89999999999998</v>
      </c>
      <c r="U16" s="327">
        <f>-557.3-T16-S16</f>
        <v>-232.39999999999998</v>
      </c>
      <c r="V16" s="327">
        <f>-641-U16-T16-S16</f>
        <v>-83.700000000000045</v>
      </c>
      <c r="W16" s="328">
        <f t="shared" si="19"/>
        <v>-641</v>
      </c>
      <c r="X16" s="327">
        <f>-('BS (Before Changes)'!X9-'BS (Before Changes)'!V9)</f>
        <v>313.20574438894619</v>
      </c>
      <c r="Y16" s="327">
        <f>-('BS (Before Changes)'!Y9-'BS (Before Changes)'!X9)</f>
        <v>-187.75849140305263</v>
      </c>
      <c r="Z16" s="327">
        <f>-('BS (Before Changes)'!Z9-'BS (Before Changes)'!Y9)</f>
        <v>-418.80305110849622</v>
      </c>
      <c r="AA16" s="327">
        <f>-('BS (Before Changes)'!AA9-'BS (Before Changes)'!Z9)</f>
        <v>279.87689754257053</v>
      </c>
      <c r="AB16" s="328">
        <f t="shared" si="20"/>
        <v>-13.478900580032132</v>
      </c>
      <c r="AC16" s="327">
        <f>-('BS (Before Changes)'!AC9-'BS (Before Changes)'!AA9)</f>
        <v>136.81491262844702</v>
      </c>
      <c r="AD16" s="327">
        <f>-('BS (Before Changes)'!AD9-'BS (Before Changes)'!AC9)</f>
        <v>-165.49264430844823</v>
      </c>
      <c r="AE16" s="327">
        <f>-('BS (Before Changes)'!AE9-'BS (Before Changes)'!AD9)</f>
        <v>-292.1572316298566</v>
      </c>
      <c r="AF16" s="327">
        <f>-('BS (Before Changes)'!AF9-'BS (Before Changes)'!AE9)</f>
        <v>100.55311762528481</v>
      </c>
      <c r="AG16" s="328">
        <f t="shared" si="21"/>
        <v>-220.281845684573</v>
      </c>
      <c r="AH16" s="327">
        <f>-('BS (Before Changes)'!AH9-'BS (Before Changes)'!AF9)</f>
        <v>180.88975023647936</v>
      </c>
      <c r="AI16" s="327">
        <f>-('BS (Before Changes)'!AI9-'BS (Before Changes)'!AH9)</f>
        <v>-233.13042753350874</v>
      </c>
      <c r="AJ16" s="327">
        <f>-('BS (Before Changes)'!AJ9-'BS (Before Changes)'!AI9)</f>
        <v>-402.1356362874003</v>
      </c>
      <c r="AK16" s="327">
        <f>-('BS (Before Changes)'!AK9-'BS (Before Changes)'!AJ9)</f>
        <v>78.069567708848354</v>
      </c>
      <c r="AL16" s="328">
        <f t="shared" si="22"/>
        <v>-376.30674587558133</v>
      </c>
      <c r="AM16" s="327">
        <f>-('BS (Before Changes)'!AM9-'BS (Before Changes)'!AK9)</f>
        <v>321.12994760067977</v>
      </c>
      <c r="AN16" s="327">
        <f>-('BS (Before Changes)'!AN9-'BS (Before Changes)'!AM9)</f>
        <v>-208.4966512060214</v>
      </c>
      <c r="AO16" s="327">
        <f>-('BS (Before Changes)'!AO9-'BS (Before Changes)'!AN9)</f>
        <v>-434.93917356611564</v>
      </c>
      <c r="AP16" s="327">
        <f>-('BS (Before Changes)'!AP9-'BS (Before Changes)'!AO9)</f>
        <v>149.34259261884654</v>
      </c>
      <c r="AQ16" s="328">
        <f t="shared" si="23"/>
        <v>-172.96328455261073</v>
      </c>
      <c r="AR16" s="327">
        <f>-('BS (Before Changes)'!AR9-'BS (Before Changes)'!AP9)</f>
        <v>333.27051859099674</v>
      </c>
      <c r="AS16" s="327">
        <f>-('BS (Before Changes)'!AS9-'BS (Before Changes)'!AR9)</f>
        <v>-219.26926090497182</v>
      </c>
      <c r="AT16" s="327">
        <f>-('BS (Before Changes)'!AT9-'BS (Before Changes)'!AS9)</f>
        <v>-420.54605153754665</v>
      </c>
      <c r="AU16" s="327">
        <f>-('BS (Before Changes)'!AU9-'BS (Before Changes)'!AT9)</f>
        <v>121.40453870630881</v>
      </c>
      <c r="AV16" s="328">
        <f t="shared" si="24"/>
        <v>-185.1402551452129</v>
      </c>
    </row>
    <row r="17" spans="2:48" outlineLevel="1" x14ac:dyDescent="0.3">
      <c r="B17" s="538" t="s">
        <v>277</v>
      </c>
      <c r="C17" s="539"/>
      <c r="D17" s="327">
        <v>847.3</v>
      </c>
      <c r="E17" s="327">
        <f>774.6-D17</f>
        <v>-72.699999999999932</v>
      </c>
      <c r="F17" s="327">
        <f>831.6-E17-D17</f>
        <v>57</v>
      </c>
      <c r="G17" s="327">
        <f>922-F17-E17-D17</f>
        <v>90.399999999999977</v>
      </c>
      <c r="H17" s="328">
        <f t="shared" si="16"/>
        <v>922</v>
      </c>
      <c r="I17" s="327">
        <v>-28.5</v>
      </c>
      <c r="J17" s="327">
        <f>-247.7-I17</f>
        <v>-219.2</v>
      </c>
      <c r="K17" s="327">
        <f>-492.1-J17-I17</f>
        <v>-244.40000000000003</v>
      </c>
      <c r="L17" s="327">
        <f>-317.5-K17-J17-I17</f>
        <v>174.60000000000002</v>
      </c>
      <c r="M17" s="328">
        <f t="shared" si="17"/>
        <v>-317.5</v>
      </c>
      <c r="N17" s="327">
        <v>5.2</v>
      </c>
      <c r="O17" s="327">
        <f>139.7-N17</f>
        <v>134.5</v>
      </c>
      <c r="P17" s="327">
        <f>216.8-O17-N17</f>
        <v>77.100000000000009</v>
      </c>
      <c r="Q17" s="327">
        <f>251.1-P17-O17-N17</f>
        <v>34.299999999999997</v>
      </c>
      <c r="R17" s="328">
        <f t="shared" si="18"/>
        <v>251.10000000000002</v>
      </c>
      <c r="S17" s="327">
        <f>64.6+330.4+50.7-4.9</f>
        <v>440.8</v>
      </c>
      <c r="T17" s="327">
        <f>-120.7+670.7+77.3-17.9-S17</f>
        <v>168.59999999999997</v>
      </c>
      <c r="U17" s="327">
        <f t="shared" ref="U17:U20" si="25">0-T17-S17</f>
        <v>-609.4</v>
      </c>
      <c r="V17" s="327">
        <f t="shared" si="15"/>
        <v>0</v>
      </c>
      <c r="W17" s="328">
        <f t="shared" si="19"/>
        <v>0</v>
      </c>
      <c r="X17" s="327">
        <f>-('BS (Before Changes)'!X10-'BS (Before Changes)'!V10)</f>
        <v>-4.8369999999999891</v>
      </c>
      <c r="Y17" s="327">
        <f>-('BS (Before Changes)'!Y10-'BS (Before Changes)'!X10)</f>
        <v>-4.8853700000000231</v>
      </c>
      <c r="Z17" s="327">
        <f>-('BS (Before Changes)'!Z10-'BS (Before Changes)'!Y10)</f>
        <v>-4.9342237000000182</v>
      </c>
      <c r="AA17" s="327">
        <f>-('BS (Before Changes)'!AA10-'BS (Before Changes)'!Z10)</f>
        <v>-4.9835659369999803</v>
      </c>
      <c r="AB17" s="328">
        <f t="shared" si="20"/>
        <v>-19.640159637000011</v>
      </c>
      <c r="AC17" s="327">
        <f>-('BS (Before Changes)'!AC10-'BS (Before Changes)'!AA10)</f>
        <v>-5.0334015963700267</v>
      </c>
      <c r="AD17" s="327">
        <f>-('BS (Before Changes)'!AD10-'BS (Before Changes)'!AC10)</f>
        <v>-5.083735612333669</v>
      </c>
      <c r="AE17" s="327">
        <f>-('BS (Before Changes)'!AE10-'BS (Before Changes)'!AD10)</f>
        <v>-5.1345729684570642</v>
      </c>
      <c r="AF17" s="327">
        <f>-('BS (Before Changes)'!AF10-'BS (Before Changes)'!AE10)</f>
        <v>-5.1859186981415633</v>
      </c>
      <c r="AG17" s="328">
        <f t="shared" si="21"/>
        <v>-20.437628875302323</v>
      </c>
      <c r="AH17" s="327">
        <f>-('BS (Before Changes)'!AH10-'BS (Before Changes)'!AF10)</f>
        <v>-5.2377778851230232</v>
      </c>
      <c r="AI17" s="327">
        <f>-('BS (Before Changes)'!AI10-'BS (Before Changes)'!AH10)</f>
        <v>-5.2901556639742466</v>
      </c>
      <c r="AJ17" s="327">
        <f>-('BS (Before Changes)'!AJ10-'BS (Before Changes)'!AI10)</f>
        <v>-5.3430572206140141</v>
      </c>
      <c r="AK17" s="327">
        <f>-('BS (Before Changes)'!AK10-'BS (Before Changes)'!AJ10)</f>
        <v>-5.3964877928201531</v>
      </c>
      <c r="AL17" s="328">
        <f t="shared" si="22"/>
        <v>-21.267478562531437</v>
      </c>
      <c r="AM17" s="327">
        <f>-('BS (Before Changes)'!AM10-'BS (Before Changes)'!AK10)</f>
        <v>-5.450452670748291</v>
      </c>
      <c r="AN17" s="327">
        <f>-('BS (Before Changes)'!AN10-'BS (Before Changes)'!AM10)</f>
        <v>-5.5049571974558376</v>
      </c>
      <c r="AO17" s="327">
        <f>-('BS (Before Changes)'!AO10-'BS (Before Changes)'!AN10)</f>
        <v>-5.5600067694304016</v>
      </c>
      <c r="AP17" s="327">
        <f>-('BS (Before Changes)'!AP10-'BS (Before Changes)'!AO10)</f>
        <v>-5.6156068371246874</v>
      </c>
      <c r="AQ17" s="328">
        <f t="shared" si="23"/>
        <v>-22.131023474759218</v>
      </c>
      <c r="AR17" s="327">
        <f>-('BS (Before Changes)'!AR10-'BS (Before Changes)'!AP10)</f>
        <v>-5.6717629054959389</v>
      </c>
      <c r="AS17" s="327">
        <f>-('BS (Before Changes)'!AS10-'BS (Before Changes)'!AR10)</f>
        <v>-5.7284805345508403</v>
      </c>
      <c r="AT17" s="327">
        <f>-('BS (Before Changes)'!AT10-'BS (Before Changes)'!AS10)</f>
        <v>-5.785765339896443</v>
      </c>
      <c r="AU17" s="327">
        <f>-('BS (Before Changes)'!AU10-'BS (Before Changes)'!AT10)</f>
        <v>-5.843622993295412</v>
      </c>
      <c r="AV17" s="328">
        <f t="shared" si="24"/>
        <v>-23.029631773238634</v>
      </c>
    </row>
    <row r="18" spans="2:48" outlineLevel="1" x14ac:dyDescent="0.3">
      <c r="B18" s="538" t="s">
        <v>228</v>
      </c>
      <c r="C18" s="539"/>
      <c r="D18" s="327">
        <v>-21.3</v>
      </c>
      <c r="E18" s="327">
        <f>-83.4-D18</f>
        <v>-62.100000000000009</v>
      </c>
      <c r="F18" s="327">
        <f>-15.1-E18-D18</f>
        <v>68.300000000000011</v>
      </c>
      <c r="G18" s="327">
        <f>31.9-F18-E18-D18</f>
        <v>47</v>
      </c>
      <c r="H18" s="328">
        <f t="shared" si="16"/>
        <v>31.900000000000006</v>
      </c>
      <c r="I18" s="327">
        <v>-110.3</v>
      </c>
      <c r="J18" s="327">
        <f>-186.4-I18</f>
        <v>-76.100000000000009</v>
      </c>
      <c r="K18" s="327">
        <f>-320.3-J18-I18</f>
        <v>-133.89999999999998</v>
      </c>
      <c r="L18" s="327">
        <f>-210.8-K18-J18-I18</f>
        <v>109.49999999999997</v>
      </c>
      <c r="M18" s="328">
        <f t="shared" si="17"/>
        <v>-210.79999999999998</v>
      </c>
      <c r="N18" s="327">
        <v>24.8</v>
      </c>
      <c r="O18" s="327">
        <f>21.3-N18</f>
        <v>-3.5</v>
      </c>
      <c r="P18" s="327">
        <f>108.2-O18-N18</f>
        <v>86.9</v>
      </c>
      <c r="Q18" s="327">
        <f>189.9-P18-O18-N18</f>
        <v>81.7</v>
      </c>
      <c r="R18" s="328">
        <f t="shared" si="18"/>
        <v>189.9</v>
      </c>
      <c r="S18" s="327">
        <v>84</v>
      </c>
      <c r="T18" s="327">
        <f>133-S18</f>
        <v>49</v>
      </c>
      <c r="U18" s="327">
        <f>341.7-T18-S18</f>
        <v>208.7</v>
      </c>
      <c r="V18" s="327">
        <f>345.5-U18-T18-S18</f>
        <v>3.8000000000000114</v>
      </c>
      <c r="W18" s="328">
        <f t="shared" si="19"/>
        <v>345.5</v>
      </c>
      <c r="X18" s="327">
        <f>'BS (Before Changes)'!X22-'BS (Before Changes)'!V22</f>
        <v>-29.513562063138352</v>
      </c>
      <c r="Y18" s="327">
        <f>'BS (Before Changes)'!Y22-'BS (Before Changes)'!X22</f>
        <v>-11.933441797506021</v>
      </c>
      <c r="Z18" s="327">
        <f>'BS (Before Changes)'!Z22-'BS (Before Changes)'!Y22</f>
        <v>230.06729952001911</v>
      </c>
      <c r="AA18" s="327">
        <f>'BS (Before Changes)'!AA22-'BS (Before Changes)'!Z22</f>
        <v>-122.7199170059173</v>
      </c>
      <c r="AB18" s="328">
        <f t="shared" si="20"/>
        <v>65.900378653457437</v>
      </c>
      <c r="AC18" s="327">
        <f>'BS (Before Changes)'!AC22-'BS (Before Changes)'!AA22</f>
        <v>39.170429008673636</v>
      </c>
      <c r="AD18" s="327">
        <f>'BS (Before Changes)'!AD22-'BS (Before Changes)'!AC22</f>
        <v>-21.303188461489071</v>
      </c>
      <c r="AE18" s="327">
        <f>'BS (Before Changes)'!AE22-'BS (Before Changes)'!AD22</f>
        <v>223.13093139328794</v>
      </c>
      <c r="AF18" s="327">
        <f>'BS (Before Changes)'!AF22-'BS (Before Changes)'!AE22</f>
        <v>-53.019525930496229</v>
      </c>
      <c r="AG18" s="328">
        <f t="shared" si="21"/>
        <v>187.97864600997627</v>
      </c>
      <c r="AH18" s="327">
        <f>'BS (Before Changes)'!AH22-'BS (Before Changes)'!AF22</f>
        <v>12.725290730135157</v>
      </c>
      <c r="AI18" s="327">
        <f>'BS (Before Changes)'!AI22-'BS (Before Changes)'!AH22</f>
        <v>-15.234632590087813</v>
      </c>
      <c r="AJ18" s="327">
        <f>'BS (Before Changes)'!AJ22-'BS (Before Changes)'!AI22</f>
        <v>269.05531846652934</v>
      </c>
      <c r="AK18" s="327">
        <f>'BS (Before Changes)'!AK22-'BS (Before Changes)'!AJ22</f>
        <v>-53.118603993334318</v>
      </c>
      <c r="AL18" s="328">
        <f t="shared" si="22"/>
        <v>213.42737261324237</v>
      </c>
      <c r="AM18" s="327">
        <f>'BS (Before Changes)'!AM22-'BS (Before Changes)'!AK22</f>
        <v>-37.379767600156811</v>
      </c>
      <c r="AN18" s="327">
        <f>'BS (Before Changes)'!AN22-'BS (Before Changes)'!AM22</f>
        <v>-37.599191820182114</v>
      </c>
      <c r="AO18" s="327">
        <f>'BS (Before Changes)'!AO22-'BS (Before Changes)'!AN22</f>
        <v>281.69161145028261</v>
      </c>
      <c r="AP18" s="327">
        <f>'BS (Before Changes)'!AP22-'BS (Before Changes)'!AO22</f>
        <v>-66.749944404559756</v>
      </c>
      <c r="AQ18" s="328">
        <f t="shared" si="23"/>
        <v>139.96270762538393</v>
      </c>
      <c r="AR18" s="327">
        <f>'BS (Before Changes)'!AR22-'BS (Before Changes)'!AP22</f>
        <v>-54.132802713189903</v>
      </c>
      <c r="AS18" s="327">
        <f>'BS (Before Changes)'!AS22-'BS (Before Changes)'!AR22</f>
        <v>-40.028976890258036</v>
      </c>
      <c r="AT18" s="327">
        <f>'BS (Before Changes)'!AT22-'BS (Before Changes)'!AS22</f>
        <v>290.06966677278842</v>
      </c>
      <c r="AU18" s="327">
        <f>'BS (Before Changes)'!AU22-'BS (Before Changes)'!AT22</f>
        <v>-63.565273704668925</v>
      </c>
      <c r="AV18" s="328">
        <f t="shared" si="24"/>
        <v>132.34261346467156</v>
      </c>
    </row>
    <row r="19" spans="2:48" outlineLevel="1" x14ac:dyDescent="0.3">
      <c r="B19" s="325" t="s">
        <v>233</v>
      </c>
      <c r="C19" s="326"/>
      <c r="D19" s="327">
        <v>362.7</v>
      </c>
      <c r="E19" s="327">
        <f>9.4-D19</f>
        <v>-353.3</v>
      </c>
      <c r="F19" s="327">
        <f>-32.4-E19-D19</f>
        <v>-41.799999999999955</v>
      </c>
      <c r="G19" s="327">
        <f>-30.5-F19-E19-D19</f>
        <v>1.8999999999999773</v>
      </c>
      <c r="H19" s="328">
        <f t="shared" si="16"/>
        <v>-30.5</v>
      </c>
      <c r="I19" s="327">
        <v>426.7</v>
      </c>
      <c r="J19" s="327">
        <f>112.1-I19</f>
        <v>-314.60000000000002</v>
      </c>
      <c r="K19" s="327">
        <f>92-J19-I19</f>
        <v>-20.099999999999966</v>
      </c>
      <c r="L19" s="327">
        <f>31-K19-J19-I19</f>
        <v>-61</v>
      </c>
      <c r="M19" s="328">
        <f t="shared" si="17"/>
        <v>31</v>
      </c>
      <c r="N19" s="327">
        <v>398.9</v>
      </c>
      <c r="O19" s="327">
        <f>89.8-N19</f>
        <v>-309.09999999999997</v>
      </c>
      <c r="P19" s="327">
        <f>52.4-O19-N19</f>
        <v>-37.400000000000034</v>
      </c>
      <c r="Q19" s="327">
        <f>-6.1-P19-O19-N19</f>
        <v>-58.5</v>
      </c>
      <c r="R19" s="328">
        <f t="shared" si="18"/>
        <v>-6.1000000000000227</v>
      </c>
      <c r="S19" s="327">
        <v>461.3</v>
      </c>
      <c r="T19" s="327">
        <f>110.2-S19</f>
        <v>-351.1</v>
      </c>
      <c r="U19" s="327">
        <f>32.7-T19-S19</f>
        <v>-77.5</v>
      </c>
      <c r="V19" s="327">
        <f>-75.8-U19-T19-S19</f>
        <v>-108.5</v>
      </c>
      <c r="W19" s="328">
        <f t="shared" si="19"/>
        <v>-75.800000000000011</v>
      </c>
      <c r="X19" s="327">
        <f>+('BS (Before Changes)'!X27-'BS (Before Changes)'!V27)</f>
        <v>492.57000000000016</v>
      </c>
      <c r="Y19" s="327">
        <f>+('BS (Before Changes)'!Y27-'BS (Before Changes)'!X27)</f>
        <v>-320.17050000000017</v>
      </c>
      <c r="Z19" s="327">
        <f>+('BS (Before Changes)'!Z27-'BS (Before Changes)'!Y27)</f>
        <v>-18.142994999999928</v>
      </c>
      <c r="AA19" s="327">
        <f>+('BS (Before Changes)'!AA27-'BS (Before Changes)'!Z27)</f>
        <v>-17.96156504999999</v>
      </c>
      <c r="AB19" s="328">
        <f t="shared" si="20"/>
        <v>136.29493995000007</v>
      </c>
      <c r="AC19" s="327">
        <f>+('BS (Before Changes)'!AC27-'BS (Before Changes)'!AA27)</f>
        <v>533.45848198499993</v>
      </c>
      <c r="AD19" s="327">
        <f>+('BS (Before Changes)'!AD27-'BS (Before Changes)'!AC27)</f>
        <v>-346.74801329025013</v>
      </c>
      <c r="AE19" s="327">
        <f>+('BS (Before Changes)'!AE27-'BS (Before Changes)'!AD27)</f>
        <v>-19.64905408644745</v>
      </c>
      <c r="AF19" s="327">
        <f>+('BS (Before Changes)'!AF27-'BS (Before Changes)'!AE27)</f>
        <v>-19.452563545582962</v>
      </c>
      <c r="AG19" s="328">
        <f t="shared" si="21"/>
        <v>147.6088510627194</v>
      </c>
      <c r="AH19" s="327">
        <f>+('BS (Before Changes)'!AH27-'BS (Before Changes)'!AF27)</f>
        <v>577.74113730381578</v>
      </c>
      <c r="AI19" s="327">
        <f>+('BS (Before Changes)'!AI27-'BS (Before Changes)'!AH27)</f>
        <v>-375.53173924748035</v>
      </c>
      <c r="AJ19" s="327">
        <f>+('BS (Before Changes)'!AJ27-'BS (Before Changes)'!AI27)</f>
        <v>-21.280131890690427</v>
      </c>
      <c r="AK19" s="327">
        <f>+('BS (Before Changes)'!AK27-'BS (Before Changes)'!AJ27)</f>
        <v>-21.067330571783714</v>
      </c>
      <c r="AL19" s="328">
        <f t="shared" si="22"/>
        <v>159.86193559386129</v>
      </c>
      <c r="AM19" s="327">
        <f>+('BS (Before Changes)'!AM27-'BS (Before Changes)'!AK27)</f>
        <v>625.69971798197457</v>
      </c>
      <c r="AN19" s="327">
        <f>+('BS (Before Changes)'!AN27-'BS (Before Changes)'!AM27)</f>
        <v>-406.70481668828324</v>
      </c>
      <c r="AO19" s="327">
        <f>+('BS (Before Changes)'!AO27-'BS (Before Changes)'!AN27)</f>
        <v>-23.046606279002845</v>
      </c>
      <c r="AP19" s="327">
        <f>+('BS (Before Changes)'!AP27-'BS (Before Changes)'!AO27)</f>
        <v>-22.816140216212716</v>
      </c>
      <c r="AQ19" s="328">
        <f t="shared" si="23"/>
        <v>173.13215479847577</v>
      </c>
      <c r="AR19" s="327">
        <f>+('BS (Before Changes)'!AR27-'BS (Before Changes)'!AP27)</f>
        <v>677.63936442151726</v>
      </c>
      <c r="AS19" s="327">
        <f>+('BS (Before Changes)'!AS27-'BS (Before Changes)'!AR27)</f>
        <v>-440.46558687398601</v>
      </c>
      <c r="AT19" s="327">
        <f>+('BS (Before Changes)'!AT27-'BS (Before Changes)'!AS27)</f>
        <v>-24.959716589526124</v>
      </c>
      <c r="AU19" s="327">
        <f>+('BS (Before Changes)'!AU27-'BS (Before Changes)'!AT27)</f>
        <v>-24.710119423630658</v>
      </c>
      <c r="AV19" s="328">
        <f t="shared" si="24"/>
        <v>187.50394153437446</v>
      </c>
    </row>
    <row r="20" spans="2:48" outlineLevel="1" x14ac:dyDescent="0.3">
      <c r="B20" s="325" t="s">
        <v>278</v>
      </c>
      <c r="C20" s="326"/>
      <c r="D20" s="327">
        <v>0</v>
      </c>
      <c r="E20" s="327">
        <v>0</v>
      </c>
      <c r="F20" s="327">
        <f>1045.4-E20-D20</f>
        <v>1045.4000000000001</v>
      </c>
      <c r="G20" s="327">
        <f>1237-F20-E20-D20</f>
        <v>191.59999999999991</v>
      </c>
      <c r="H20" s="328">
        <f t="shared" si="16"/>
        <v>1237</v>
      </c>
      <c r="I20" s="327">
        <v>125.1</v>
      </c>
      <c r="J20" s="327">
        <f>-1227.4-I20</f>
        <v>-1352.5</v>
      </c>
      <c r="K20" s="327">
        <f>-1224.5-J20-I20</f>
        <v>2.9000000000000057</v>
      </c>
      <c r="L20" s="327">
        <f>-1214.6-K20-J20-I20</f>
        <v>9.9000000000000057</v>
      </c>
      <c r="M20" s="328">
        <f t="shared" si="17"/>
        <v>-1214.5999999999999</v>
      </c>
      <c r="N20" s="327">
        <v>56.9</v>
      </c>
      <c r="O20" s="327">
        <f>40-N20</f>
        <v>-16.899999999999999</v>
      </c>
      <c r="P20" s="327">
        <f>128.9-O20-N20</f>
        <v>88.9</v>
      </c>
      <c r="Q20" s="327">
        <f>286.1-P20-O20-N20</f>
        <v>157.20000000000002</v>
      </c>
      <c r="R20" s="328">
        <f t="shared" si="18"/>
        <v>286.10000000000002</v>
      </c>
      <c r="S20" s="327">
        <v>0</v>
      </c>
      <c r="T20" s="327">
        <f>0-S20</f>
        <v>0</v>
      </c>
      <c r="U20" s="327">
        <f t="shared" si="25"/>
        <v>0</v>
      </c>
      <c r="V20" s="327">
        <f>-149.6-U20-T20-S20</f>
        <v>-149.6</v>
      </c>
      <c r="W20" s="328">
        <f t="shared" si="19"/>
        <v>-149.6</v>
      </c>
      <c r="X20" s="327">
        <f>+('BS (Before Changes)'!X25-'BS (Before Changes)'!V25)</f>
        <v>0</v>
      </c>
      <c r="Y20" s="327">
        <f>+('BS (Before Changes)'!Y25-'BS (Before Changes)'!X25)</f>
        <v>0</v>
      </c>
      <c r="Z20" s="327">
        <f>+('BS (Before Changes)'!Z25-'BS (Before Changes)'!Y25)</f>
        <v>0</v>
      </c>
      <c r="AA20" s="327">
        <f>+('BS (Before Changes)'!AA25-'BS (Before Changes)'!Z25)</f>
        <v>0</v>
      </c>
      <c r="AB20" s="328">
        <f t="shared" si="20"/>
        <v>0</v>
      </c>
      <c r="AC20" s="327">
        <f>+('BS (Before Changes)'!AC25-'BS (Before Changes)'!AA25)</f>
        <v>0</v>
      </c>
      <c r="AD20" s="327">
        <f>+('BS (Before Changes)'!AD25-'BS (Before Changes)'!AC25)</f>
        <v>0</v>
      </c>
      <c r="AE20" s="327">
        <f>+('BS (Before Changes)'!AE25-'BS (Before Changes)'!AD25)</f>
        <v>0</v>
      </c>
      <c r="AF20" s="327">
        <f>+('BS (Before Changes)'!AF25-'BS (Before Changes)'!AE25)</f>
        <v>0</v>
      </c>
      <c r="AG20" s="328">
        <f t="shared" si="21"/>
        <v>0</v>
      </c>
      <c r="AH20" s="327">
        <f>+('BS (Before Changes)'!AH25-'BS (Before Changes)'!AF25)</f>
        <v>0</v>
      </c>
      <c r="AI20" s="327">
        <f>+('BS (Before Changes)'!AI25-'BS (Before Changes)'!AH25)</f>
        <v>0</v>
      </c>
      <c r="AJ20" s="327">
        <f>+('BS (Before Changes)'!AJ25-'BS (Before Changes)'!AI25)</f>
        <v>0</v>
      </c>
      <c r="AK20" s="327">
        <f>+('BS (Before Changes)'!AK25-'BS (Before Changes)'!AJ25)</f>
        <v>0</v>
      </c>
      <c r="AL20" s="328">
        <f t="shared" si="22"/>
        <v>0</v>
      </c>
      <c r="AM20" s="327">
        <f>+('BS (Before Changes)'!AM25-'BS (Before Changes)'!AK25)</f>
        <v>0</v>
      </c>
      <c r="AN20" s="327">
        <f>+('BS (Before Changes)'!AN25-'BS (Before Changes)'!AM25)</f>
        <v>0</v>
      </c>
      <c r="AO20" s="327">
        <f>+('BS (Before Changes)'!AO25-'BS (Before Changes)'!AN25)</f>
        <v>0</v>
      </c>
      <c r="AP20" s="327">
        <f>+('BS (Before Changes)'!AP25-'BS (Before Changes)'!AO25)</f>
        <v>0</v>
      </c>
      <c r="AQ20" s="328">
        <f t="shared" si="23"/>
        <v>0</v>
      </c>
      <c r="AR20" s="327">
        <f>+('BS (Before Changes)'!AR25-'BS (Before Changes)'!AP25)</f>
        <v>0</v>
      </c>
      <c r="AS20" s="327">
        <f>+('BS (Before Changes)'!AS25-'BS (Before Changes)'!AR25)</f>
        <v>0</v>
      </c>
      <c r="AT20" s="327">
        <f>+('BS (Before Changes)'!AT25-'BS (Before Changes)'!AS25)</f>
        <v>0</v>
      </c>
      <c r="AU20" s="327">
        <f>+('BS (Before Changes)'!AU25-'BS (Before Changes)'!AT25)</f>
        <v>0</v>
      </c>
      <c r="AV20" s="328">
        <f t="shared" si="24"/>
        <v>0</v>
      </c>
    </row>
    <row r="21" spans="2:48" ht="16.2" outlineLevel="1" x14ac:dyDescent="0.45">
      <c r="B21" s="538" t="s">
        <v>279</v>
      </c>
      <c r="C21" s="539"/>
      <c r="D21" s="329">
        <v>305.60000000000002</v>
      </c>
      <c r="E21" s="329">
        <f>429.3-D21</f>
        <v>123.69999999999999</v>
      </c>
      <c r="F21" s="329">
        <f>-67.4-E21-D21</f>
        <v>-496.70000000000005</v>
      </c>
      <c r="G21" s="329">
        <f>-141.1-F21-E21-D21</f>
        <v>-73.699999999999989</v>
      </c>
      <c r="H21" s="330">
        <f t="shared" si="16"/>
        <v>-141.10000000000002</v>
      </c>
      <c r="I21" s="329">
        <f>-31.8-301.6</f>
        <v>-333.40000000000003</v>
      </c>
      <c r="J21" s="329">
        <f>-608.6-140.5-I21</f>
        <v>-415.7</v>
      </c>
      <c r="K21" s="329">
        <f>-918.2+70.5-J21-I21</f>
        <v>-98.600000000000023</v>
      </c>
      <c r="L21" s="329">
        <f>-1231.4+280.5-K21-J21-I21</f>
        <v>-103.20000000000005</v>
      </c>
      <c r="M21" s="330">
        <f t="shared" si="17"/>
        <v>-950.90000000000009</v>
      </c>
      <c r="N21" s="329">
        <f>-314.8+12.3</f>
        <v>-302.5</v>
      </c>
      <c r="O21" s="329">
        <f>-676.3+59.5-N21</f>
        <v>-314.29999999999995</v>
      </c>
      <c r="P21" s="329">
        <f>-1029.8+154.6-O21-N21</f>
        <v>-258.39999999999998</v>
      </c>
      <c r="Q21" s="329">
        <f>-1488.1+358.7-P21-O21-N21</f>
        <v>-254.19999999999993</v>
      </c>
      <c r="R21" s="330">
        <f t="shared" si="18"/>
        <v>-1129.3999999999999</v>
      </c>
      <c r="S21" s="329">
        <f>-363.3+79.4</f>
        <v>-283.89999999999998</v>
      </c>
      <c r="T21" s="329">
        <f>-766.3-95-S21</f>
        <v>-577.4</v>
      </c>
      <c r="U21" s="329">
        <f>-1201.4+5.8-T21-S21</f>
        <v>-334.30000000000018</v>
      </c>
      <c r="V21" s="329">
        <f>339.6-1625.6-U21-T21-S21</f>
        <v>-90.399999999999864</v>
      </c>
      <c r="W21" s="330">
        <f t="shared" si="19"/>
        <v>-1286</v>
      </c>
      <c r="X21" s="329">
        <f>('BS (Before Changes)'!X23-'BS (Before Changes)'!V23)+('BS (Before Changes)'!X33-'BS (Before Changes)'!V33)+('BS (Before Changes)'!X34-'BS (Before Changes)'!V34)+('BS (Before Changes)'!X26-'BS (Before Changes)'!V26)+('BS (Before Changes)'!X24-'BS (Before Changes)'!V24)</f>
        <v>-36.381300000000238</v>
      </c>
      <c r="Y21" s="329">
        <f>('BS (Before Changes)'!Y23-'BS (Before Changes)'!X23)+('BS (Before Changes)'!Y33-'BS (Before Changes)'!X33)+('BS (Before Changes)'!Y34-'BS (Before Changes)'!X34)+('BS (Before Changes)'!Y26-'BS (Before Changes)'!X26)+('BS (Before Changes)'!Y24-'BS (Before Changes)'!X24)</f>
        <v>-36.204376299999922</v>
      </c>
      <c r="Z21" s="329">
        <f>('BS (Before Changes)'!Z23-'BS (Before Changes)'!Y23)+('BS (Before Changes)'!Z33-'BS (Before Changes)'!Y33)+('BS (Before Changes)'!Z34-'BS (Before Changes)'!Y34)+('BS (Before Changes)'!Z26-'BS (Before Changes)'!Y26)+('BS (Before Changes)'!Z24-'BS (Before Changes)'!Y24)</f>
        <v>-36.028317287300297</v>
      </c>
      <c r="AA21" s="329">
        <f>('BS (Before Changes)'!AA23-'BS (Before Changes)'!Z23)+('BS (Before Changes)'!AA33-'BS (Before Changes)'!Z33)+('BS (Before Changes)'!AA34-'BS (Before Changes)'!Z34)+('BS (Before Changes)'!AA26-'BS (Before Changes)'!Z26)+('BS (Before Changes)'!AA24-'BS (Before Changes)'!Z24)</f>
        <v>-35.853118718188171</v>
      </c>
      <c r="AB21" s="330">
        <f t="shared" si="20"/>
        <v>-144.46711230548863</v>
      </c>
      <c r="AC21" s="329">
        <f>('BS (Before Changes)'!AC23-'BS (Before Changes)'!AA23)+('BS (Before Changes)'!AC33-'BS (Before Changes)'!AA33)+('BS (Before Changes)'!AC34-'BS (Before Changes)'!AA34)+('BS (Before Changes)'!AC26-'BS (Before Changes)'!AA26)+('BS (Before Changes)'!AC24-'BS (Before Changes)'!AA24)</f>
        <v>-35.67877636985304</v>
      </c>
      <c r="AD21" s="329">
        <f>('BS (Before Changes)'!AD23-'BS (Before Changes)'!AC23)+('BS (Before Changes)'!AD33-'BS (Before Changes)'!AC33)+('BS (Before Changes)'!AD34-'BS (Before Changes)'!AC34)+('BS (Before Changes)'!AD26-'BS (Before Changes)'!AC26)+('BS (Before Changes)'!AD24-'BS (Before Changes)'!AC24)</f>
        <v>-35.505286040278406</v>
      </c>
      <c r="AE21" s="329">
        <f>('BS (Before Changes)'!AE23-'BS (Before Changes)'!AD23)+('BS (Before Changes)'!AE33-'BS (Before Changes)'!AD33)+('BS (Before Changes)'!AE34-'BS (Before Changes)'!AD34)+('BS (Before Changes)'!AE26-'BS (Before Changes)'!AD26)+('BS (Before Changes)'!AE24-'BS (Before Changes)'!AD24)</f>
        <v>-35.332643548142414</v>
      </c>
      <c r="AF21" s="329">
        <f>('BS (Before Changes)'!AF23-'BS (Before Changes)'!AE23)+('BS (Before Changes)'!AF33-'BS (Before Changes)'!AE33)+('BS (Before Changes)'!AF34-'BS (Before Changes)'!AE34)+('BS (Before Changes)'!AF26-'BS (Before Changes)'!AE26)+('BS (Before Changes)'!AF24-'BS (Before Changes)'!AE24)</f>
        <v>-35.16084473271485</v>
      </c>
      <c r="AG21" s="330">
        <f t="shared" si="21"/>
        <v>-141.67755069098871</v>
      </c>
      <c r="AH21" s="329">
        <f>('BS (Before Changes)'!AH23-'BS (Before Changes)'!AF23)+('BS (Before Changes)'!AH33-'BS (Before Changes)'!AF33)+('BS (Before Changes)'!AH34-'BS (Before Changes)'!AF34)+('BS (Before Changes)'!AH26-'BS (Before Changes)'!AF26)+('BS (Before Changes)'!AH24-'BS (Before Changes)'!AF24)</f>
        <v>-34.989885453755051</v>
      </c>
      <c r="AI21" s="329">
        <f>('BS (Before Changes)'!AI23-'BS (Before Changes)'!AH23)+('BS (Before Changes)'!AI33-'BS (Before Changes)'!AH33)+('BS (Before Changes)'!AI34-'BS (Before Changes)'!AH34)+('BS (Before Changes)'!AI26-'BS (Before Changes)'!AH26)+('BS (Before Changes)'!AI24-'BS (Before Changes)'!AH24)</f>
        <v>-34.819761591410725</v>
      </c>
      <c r="AJ21" s="329">
        <f>('BS (Before Changes)'!AJ23-'BS (Before Changes)'!AI23)+('BS (Before Changes)'!AJ33-'BS (Before Changes)'!AI33)+('BS (Before Changes)'!AJ34-'BS (Before Changes)'!AI34)+('BS (Before Changes)'!AJ26-'BS (Before Changes)'!AI26)+('BS (Before Changes)'!AJ24-'BS (Before Changes)'!AI24)</f>
        <v>-34.650469046119269</v>
      </c>
      <c r="AK21" s="329">
        <f>('BS (Before Changes)'!AK23-'BS (Before Changes)'!AJ23)+('BS (Before Changes)'!AK33-'BS (Before Changes)'!AJ33)+('BS (Before Changes)'!AK34-'BS (Before Changes)'!AJ34)+('BS (Before Changes)'!AK26-'BS (Before Changes)'!AJ26)+('BS (Before Changes)'!AK24-'BS (Before Changes)'!AJ24)</f>
        <v>-34.482003738503181</v>
      </c>
      <c r="AL21" s="330">
        <f t="shared" si="22"/>
        <v>-138.94211982978823</v>
      </c>
      <c r="AM21" s="329">
        <f>('BS (Before Changes)'!AM23-'BS (Before Changes)'!AK23)+('BS (Before Changes)'!AM33-'BS (Before Changes)'!AK33)+('BS (Before Changes)'!AM34-'BS (Before Changes)'!AK34)+('BS (Before Changes)'!AM26-'BS (Before Changes)'!AK26)+('BS (Before Changes)'!AM24-'BS (Before Changes)'!AK24)</f>
        <v>-34.314361609275011</v>
      </c>
      <c r="AN21" s="329">
        <f>('BS (Before Changes)'!AN23-'BS (Before Changes)'!AM23)+('BS (Before Changes)'!AN33-'BS (Before Changes)'!AM33)+('BS (Before Changes)'!AN34-'BS (Before Changes)'!AM34)+('BS (Before Changes)'!AN26-'BS (Before Changes)'!AM26)+('BS (Before Changes)'!AN24-'BS (Before Changes)'!AM24)</f>
        <v>-34.147538619135275</v>
      </c>
      <c r="AO21" s="329">
        <f>('BS (Before Changes)'!AO23-'BS (Before Changes)'!AN23)+('BS (Before Changes)'!AO33-'BS (Before Changes)'!AN33)+('BS (Before Changes)'!AO34-'BS (Before Changes)'!AN34)+('BS (Before Changes)'!AO26-'BS (Before Changes)'!AN26)+('BS (Before Changes)'!AO24-'BS (Before Changes)'!AN24)</f>
        <v>-33.981530748674459</v>
      </c>
      <c r="AP21" s="329">
        <f>('BS (Before Changes)'!AP23-'BS (Before Changes)'!AO23)+('BS (Before Changes)'!AP33-'BS (Before Changes)'!AO33)+('BS (Before Changes)'!AP34-'BS (Before Changes)'!AO34)+('BS (Before Changes)'!AP26-'BS (Before Changes)'!AO26)+('BS (Before Changes)'!AP24-'BS (Before Changes)'!AO24)</f>
        <v>-33.816333998275013</v>
      </c>
      <c r="AQ21" s="330">
        <f t="shared" si="23"/>
        <v>-136.25976497535976</v>
      </c>
      <c r="AR21" s="329">
        <f>('BS (Before Changes)'!AR23-'BS (Before Changes)'!AP23)+('BS (Before Changes)'!AR33-'BS (Before Changes)'!AP33)+('BS (Before Changes)'!AR34-'BS (Before Changes)'!AP34)+('BS (Before Changes)'!AR26-'BS (Before Changes)'!AP26)+('BS (Before Changes)'!AR24-'BS (Before Changes)'!AP24)</f>
        <v>-33.651944388014272</v>
      </c>
      <c r="AS21" s="329">
        <f>('BS (Before Changes)'!AS23-'BS (Before Changes)'!AR23)+('BS (Before Changes)'!AS33-'BS (Before Changes)'!AR33)+('BS (Before Changes)'!AS34-'BS (Before Changes)'!AR34)+('BS (Before Changes)'!AS26-'BS (Before Changes)'!AR26)+('BS (Before Changes)'!AS24-'BS (Before Changes)'!AR24)</f>
        <v>-33.488357957565995</v>
      </c>
      <c r="AT21" s="329">
        <f>('BS (Before Changes)'!AT23-'BS (Before Changes)'!AS23)+('BS (Before Changes)'!AT33-'BS (Before Changes)'!AS33)+('BS (Before Changes)'!AT34-'BS (Before Changes)'!AS34)+('BS (Before Changes)'!AT26-'BS (Before Changes)'!AS26)+('BS (Before Changes)'!AT24-'BS (Before Changes)'!AS24)</f>
        <v>-33.32557076610442</v>
      </c>
      <c r="AU21" s="329">
        <f>('BS (Before Changes)'!AU23-'BS (Before Changes)'!AT23)+('BS (Before Changes)'!AU33-'BS (Before Changes)'!AT33)+('BS (Before Changes)'!AU34-'BS (Before Changes)'!AT34)+('BS (Before Changes)'!AU26-'BS (Before Changes)'!AT26)+('BS (Before Changes)'!AU24-'BS (Before Changes)'!AT24)</f>
        <v>-33.16357889220626</v>
      </c>
      <c r="AV21" s="330">
        <f t="shared" si="24"/>
        <v>-133.62945200389095</v>
      </c>
    </row>
    <row r="22" spans="2:48" outlineLevel="1" x14ac:dyDescent="0.3">
      <c r="B22" s="540" t="s">
        <v>280</v>
      </c>
      <c r="C22" s="541"/>
      <c r="D22" s="331">
        <f t="shared" ref="D22:AV22" si="26">D6+SUM(D7:D21)</f>
        <v>2379.0000000000005</v>
      </c>
      <c r="E22" s="331">
        <f t="shared" si="26"/>
        <v>390.39999999999969</v>
      </c>
      <c r="F22" s="331">
        <f t="shared" si="26"/>
        <v>1169.400000000001</v>
      </c>
      <c r="G22" s="331">
        <f t="shared" si="26"/>
        <v>1108.1000000000008</v>
      </c>
      <c r="H22" s="332">
        <f t="shared" si="26"/>
        <v>5046.9000000000051</v>
      </c>
      <c r="I22" s="331">
        <f t="shared" si="26"/>
        <v>1836.0999999999985</v>
      </c>
      <c r="J22" s="331">
        <f t="shared" si="26"/>
        <v>-1361.3000000000009</v>
      </c>
      <c r="K22" s="331">
        <f t="shared" si="26"/>
        <v>-367.69999999999925</v>
      </c>
      <c r="L22" s="331">
        <f t="shared" si="26"/>
        <v>1490.7000000000014</v>
      </c>
      <c r="M22" s="332">
        <f t="shared" si="26"/>
        <v>1597.8000000000043</v>
      </c>
      <c r="N22" s="331">
        <f t="shared" si="26"/>
        <v>1835.7000000000003</v>
      </c>
      <c r="O22" s="331">
        <f t="shared" si="26"/>
        <v>883.80000000000018</v>
      </c>
      <c r="P22" s="331">
        <f t="shared" si="26"/>
        <v>1748.9999999999991</v>
      </c>
      <c r="Q22" s="331">
        <f t="shared" si="26"/>
        <v>1520.6999999999996</v>
      </c>
      <c r="R22" s="332">
        <f t="shared" si="26"/>
        <v>5989.199999999998</v>
      </c>
      <c r="S22" s="331">
        <f t="shared" si="26"/>
        <v>1870.8999999999999</v>
      </c>
      <c r="T22" s="331">
        <f t="shared" si="26"/>
        <v>161.9000000000002</v>
      </c>
      <c r="U22" s="331">
        <f t="shared" si="26"/>
        <v>1264.7999999999993</v>
      </c>
      <c r="V22" s="331">
        <f t="shared" si="26"/>
        <v>1099.599999999999</v>
      </c>
      <c r="W22" s="332">
        <f>W6+SUM(W7:W21)</f>
        <v>4397.1999999999989</v>
      </c>
      <c r="X22" s="331">
        <f t="shared" si="26"/>
        <v>2023.7794507251399</v>
      </c>
      <c r="Y22" s="331">
        <f t="shared" si="26"/>
        <v>758.22796259627353</v>
      </c>
      <c r="Z22" s="331">
        <f t="shared" si="26"/>
        <v>1105.9565569618517</v>
      </c>
      <c r="AA22" s="331">
        <f t="shared" si="26"/>
        <v>1889.2495350650361</v>
      </c>
      <c r="AB22" s="332">
        <f t="shared" si="26"/>
        <v>5777.2135053483016</v>
      </c>
      <c r="AC22" s="331">
        <f t="shared" si="26"/>
        <v>2220.336063562147</v>
      </c>
      <c r="AD22" s="331">
        <f t="shared" si="26"/>
        <v>1030.8167154224961</v>
      </c>
      <c r="AE22" s="331">
        <f t="shared" si="26"/>
        <v>1481.7740753279063</v>
      </c>
      <c r="AF22" s="331">
        <f t="shared" si="26"/>
        <v>1802.5469949340131</v>
      </c>
      <c r="AG22" s="332">
        <f t="shared" si="26"/>
        <v>6535.4738492465622</v>
      </c>
      <c r="AH22" s="331">
        <f t="shared" si="26"/>
        <v>2474.609186817273</v>
      </c>
      <c r="AI22" s="331">
        <f t="shared" si="26"/>
        <v>1175.0169753879863</v>
      </c>
      <c r="AJ22" s="331">
        <f t="shared" si="26"/>
        <v>1661.542382286061</v>
      </c>
      <c r="AK22" s="331">
        <f t="shared" si="26"/>
        <v>2017.5966648896119</v>
      </c>
      <c r="AL22" s="332">
        <f t="shared" si="26"/>
        <v>7328.765209380932</v>
      </c>
      <c r="AM22" s="331">
        <f t="shared" si="26"/>
        <v>2817.5306387719743</v>
      </c>
      <c r="AN22" s="331">
        <f t="shared" si="26"/>
        <v>1272.9384974646</v>
      </c>
      <c r="AO22" s="331">
        <f t="shared" si="26"/>
        <v>1769.8110742155411</v>
      </c>
      <c r="AP22" s="331">
        <f t="shared" si="26"/>
        <v>2277.2920991641058</v>
      </c>
      <c r="AQ22" s="332">
        <f t="shared" si="26"/>
        <v>8137.5723096162219</v>
      </c>
      <c r="AR22" s="331">
        <f t="shared" si="26"/>
        <v>3018.2435736882262</v>
      </c>
      <c r="AS22" s="331">
        <f t="shared" si="26"/>
        <v>1392.1009077293352</v>
      </c>
      <c r="AT22" s="331">
        <f t="shared" si="26"/>
        <v>1957.4073044118804</v>
      </c>
      <c r="AU22" s="331">
        <f t="shared" si="26"/>
        <v>2391.4264041682154</v>
      </c>
      <c r="AV22" s="332">
        <f t="shared" si="26"/>
        <v>8759.1781899976577</v>
      </c>
    </row>
    <row r="23" spans="2:48" outlineLevel="1" x14ac:dyDescent="0.3">
      <c r="B23" s="506" t="s">
        <v>281</v>
      </c>
      <c r="C23" s="507"/>
      <c r="D23" s="333"/>
      <c r="E23" s="334"/>
      <c r="F23" s="334"/>
      <c r="G23" s="334"/>
      <c r="H23" s="335"/>
      <c r="I23" s="336"/>
      <c r="J23" s="336"/>
      <c r="K23" s="334"/>
      <c r="L23" s="334"/>
      <c r="M23" s="337"/>
      <c r="N23" s="334"/>
      <c r="O23" s="334"/>
      <c r="P23" s="334"/>
      <c r="Q23" s="334"/>
      <c r="R23" s="337"/>
      <c r="S23" s="334"/>
      <c r="T23" s="334"/>
      <c r="U23" s="334"/>
      <c r="V23" s="334"/>
      <c r="W23" s="337"/>
      <c r="X23" s="334"/>
      <c r="Y23" s="334"/>
      <c r="Z23" s="334"/>
      <c r="AA23" s="334"/>
      <c r="AB23" s="337"/>
      <c r="AC23" s="334"/>
      <c r="AD23" s="334"/>
      <c r="AE23" s="334"/>
      <c r="AF23" s="334"/>
      <c r="AG23" s="337"/>
      <c r="AH23" s="334"/>
      <c r="AI23" s="334"/>
      <c r="AJ23" s="334"/>
      <c r="AK23" s="334"/>
      <c r="AL23" s="337"/>
      <c r="AM23" s="334"/>
      <c r="AN23" s="334"/>
      <c r="AO23" s="334"/>
      <c r="AP23" s="334"/>
      <c r="AQ23" s="337"/>
      <c r="AR23" s="334"/>
      <c r="AS23" s="334"/>
      <c r="AT23" s="334"/>
      <c r="AU23" s="334"/>
      <c r="AV23" s="337"/>
    </row>
    <row r="24" spans="2:48" outlineLevel="1" x14ac:dyDescent="0.3">
      <c r="B24" s="200" t="s">
        <v>282</v>
      </c>
      <c r="C24" s="201"/>
      <c r="D24" s="16">
        <f>-108.7+32.1+14.2</f>
        <v>-62.399999999999991</v>
      </c>
      <c r="E24" s="16">
        <f>-150.2+218.3+55.1-D24</f>
        <v>185.60000000000002</v>
      </c>
      <c r="F24" s="16">
        <f>-176.3+281.7+57.5-E24-D24</f>
        <v>39.699999999999946</v>
      </c>
      <c r="G24" s="16">
        <f>-190.4+298.3+59.8-F24-E24-D24</f>
        <v>4.8000000000000256</v>
      </c>
      <c r="H24" s="17">
        <f>SUM(D24:G24)</f>
        <v>167.7</v>
      </c>
      <c r="I24" s="16">
        <f>-38+64.6+1.3</f>
        <v>27.899999999999995</v>
      </c>
      <c r="J24" s="16">
        <f>-65.1+93.7+4.3-I24</f>
        <v>5.0000000000000107</v>
      </c>
      <c r="K24" s="16">
        <f>-297.4+133.5+10-J24-I24</f>
        <v>-186.79999999999998</v>
      </c>
      <c r="L24" s="16">
        <f>-443.9+186.7+73.7-K24-J24-I24</f>
        <v>-29.600000000000023</v>
      </c>
      <c r="M24" s="17">
        <f>SUM(I24:L24)</f>
        <v>-183.5</v>
      </c>
      <c r="N24" s="16">
        <f>-135.5+91.2+113.7</f>
        <v>69.400000000000006</v>
      </c>
      <c r="O24" s="16">
        <f>-321.7+121.7+289-N24</f>
        <v>19.599999999999994</v>
      </c>
      <c r="P24" s="16">
        <f>-367.3+130.4+298.7-O24-N24</f>
        <v>-27.200000000000017</v>
      </c>
      <c r="Q24" s="16">
        <f>-432+143.2+345.5-P24-O24-N24</f>
        <v>-5.0999999999999943</v>
      </c>
      <c r="R24" s="17">
        <f>SUM(N24:Q24)</f>
        <v>56.699999999999989</v>
      </c>
      <c r="S24" s="16">
        <f>-61+72.6+45.6</f>
        <v>57.199999999999996</v>
      </c>
      <c r="T24" s="16">
        <f>-67.5+72.6+55.7-S24</f>
        <v>3.6000000000000014</v>
      </c>
      <c r="U24" s="16">
        <f>-117.3+72.6+59.5-T24-S24</f>
        <v>-46</v>
      </c>
      <c r="V24" s="16">
        <f>-377.9+72.6+67.3-U24-T24-S24</f>
        <v>-252.79999999999993</v>
      </c>
      <c r="W24" s="17">
        <f>SUM(S24:V24)</f>
        <v>-237.99999999999994</v>
      </c>
      <c r="X24" s="16">
        <f>-('BS (Before Changes)'!X7-'BS (Before Changes)'!V7)-('BS (Before Changes)'!X12-'BS (Before Changes)'!V12)</f>
        <v>197.73499987937311</v>
      </c>
      <c r="Y24" s="16">
        <f>-('BS (Before Changes)'!Y7-'BS (Before Changes)'!X7)-('BS (Before Changes)'!Y12-'BS (Before Changes)'!X12)</f>
        <v>-13.370456041946113</v>
      </c>
      <c r="Z24" s="16">
        <f>-('BS (Before Changes)'!Z7-'BS (Before Changes)'!Y7)-('BS (Before Changes)'!Z12-'BS (Before Changes)'!Y12)</f>
        <v>-35.699167719382871</v>
      </c>
      <c r="AA24" s="16">
        <f>-('BS (Before Changes)'!AA7-'BS (Before Changes)'!Z7)-('BS (Before Changes)'!AA12-'BS (Before Changes)'!Z12)</f>
        <v>-34.902728758489673</v>
      </c>
      <c r="AB24" s="17">
        <f>SUM(X24:AA24)</f>
        <v>113.76264735955445</v>
      </c>
      <c r="AC24" s="16">
        <f>-('BS (Before Changes)'!AC7-'BS (Before Changes)'!AA7)-('BS (Before Changes)'!AC12-'BS (Before Changes)'!AA12)</f>
        <v>19.092467560801481</v>
      </c>
      <c r="AD24" s="16">
        <f>-('BS (Before Changes)'!AD7-'BS (Before Changes)'!AC7)-('BS (Before Changes)'!AD12-'BS (Before Changes)'!AC12)</f>
        <v>-8.0990822337616635</v>
      </c>
      <c r="AE24" s="16">
        <f>-('BS (Before Changes)'!AE7-'BS (Before Changes)'!AD7)-('BS (Before Changes)'!AE12-'BS (Before Changes)'!AD12)</f>
        <v>-18.113566327854414</v>
      </c>
      <c r="AF24" s="16">
        <f>-('BS (Before Changes)'!AF7-'BS (Before Changes)'!AE7)-('BS (Before Changes)'!AF12-'BS (Before Changes)'!AE12)</f>
        <v>-9.807614958567882</v>
      </c>
      <c r="AG24" s="17">
        <f>SUM(AC24:AF24)</f>
        <v>-16.927795959382479</v>
      </c>
      <c r="AH24" s="16">
        <f>-('BS (Before Changes)'!AH7-'BS (Before Changes)'!AF7)-('BS (Before Changes)'!AH12-'BS (Before Changes)'!AF12)</f>
        <v>-14.352987580036057</v>
      </c>
      <c r="AI24" s="16">
        <f>-('BS (Before Changes)'!AI7-'BS (Before Changes)'!AH7)-('BS (Before Changes)'!AI12-'BS (Before Changes)'!AH12)</f>
        <v>-2.9498008008039278</v>
      </c>
      <c r="AJ24" s="16">
        <f>-('BS (Before Changes)'!AJ7-'BS (Before Changes)'!AI7)-('BS (Before Changes)'!AJ12-'BS (Before Changes)'!AI12)</f>
        <v>-21.0970556702529</v>
      </c>
      <c r="AK24" s="16">
        <f>-('BS (Before Changes)'!AK7-'BS (Before Changes)'!AJ7)-('BS (Before Changes)'!AK12-'BS (Before Changes)'!AJ12)</f>
        <v>81.969954638839795</v>
      </c>
      <c r="AL24" s="17">
        <f>SUM(AH24:AK24)</f>
        <v>43.57011058774691</v>
      </c>
      <c r="AM24" s="16">
        <f>-('BS (Before Changes)'!AM7-'BS (Before Changes)'!AK7)-('BS (Before Changes)'!AM12-'BS (Before Changes)'!AK12)</f>
        <v>-18.477013831312235</v>
      </c>
      <c r="AN24" s="16">
        <f>-('BS (Before Changes)'!AN7-'BS (Before Changes)'!AM7)-('BS (Before Changes)'!AN12-'BS (Before Changes)'!AM12)</f>
        <v>1.8455264199308772</v>
      </c>
      <c r="AO24" s="16">
        <f>-('BS (Before Changes)'!AO7-'BS (Before Changes)'!AN7)-('BS (Before Changes)'!AO12-'BS (Before Changes)'!AN12)</f>
        <v>-15.754841110246389</v>
      </c>
      <c r="AP24" s="16">
        <f>-('BS (Before Changes)'!AP7-'BS (Before Changes)'!AO7)-('BS (Before Changes)'!AP12-'BS (Before Changes)'!AO12)</f>
        <v>-8.7154895590405488</v>
      </c>
      <c r="AQ24" s="17">
        <f>SUM(AM24:AP24)</f>
        <v>-41.101818080668295</v>
      </c>
      <c r="AR24" s="16">
        <f>-('BS (Before Changes)'!AR7-'BS (Before Changes)'!AP7)-('BS (Before Changes)'!AR12-'BS (Before Changes)'!AP12)</f>
        <v>-21.967230384364996</v>
      </c>
      <c r="AS24" s="16">
        <f>-('BS (Before Changes)'!AS7-'BS (Before Changes)'!AR7)-('BS (Before Changes)'!AS12-'BS (Before Changes)'!AR12)</f>
        <v>0.90938236630506708</v>
      </c>
      <c r="AT24" s="16">
        <f>-('BS (Before Changes)'!AT7-'BS (Before Changes)'!AS7)-('BS (Before Changes)'!AT12-'BS (Before Changes)'!AS12)</f>
        <v>-17.664851965200597</v>
      </c>
      <c r="AU24" s="16">
        <f>-('BS (Before Changes)'!AU7-'BS (Before Changes)'!AT7)-('BS (Before Changes)'!AU12-'BS (Before Changes)'!AT12)</f>
        <v>-10.546881427897063</v>
      </c>
      <c r="AV24" s="17">
        <f>SUM(AR24:AU24)</f>
        <v>-49.269581411157588</v>
      </c>
    </row>
    <row r="25" spans="2:48" outlineLevel="1" x14ac:dyDescent="0.3">
      <c r="B25" s="486" t="s">
        <v>283</v>
      </c>
      <c r="C25" s="487"/>
      <c r="D25" s="16">
        <v>-431.4</v>
      </c>
      <c r="E25" s="16">
        <f>-845.6-D25</f>
        <v>-414.20000000000005</v>
      </c>
      <c r="F25" s="16">
        <f>-1280.7-E25-D25</f>
        <v>-435.1</v>
      </c>
      <c r="G25" s="16">
        <f>-1806.6-F25-E25-D25</f>
        <v>-525.9</v>
      </c>
      <c r="H25" s="169">
        <f>SUM(D25:G25)</f>
        <v>-1806.6</v>
      </c>
      <c r="I25" s="16">
        <v>-394.3</v>
      </c>
      <c r="J25" s="16">
        <f>-758.3-I25</f>
        <v>-363.99999999999994</v>
      </c>
      <c r="K25" s="16">
        <f>-1138.4-J25-I25</f>
        <v>-380.10000000000008</v>
      </c>
      <c r="L25" s="16">
        <f>-1483.6-K25-J25-I25</f>
        <v>-345.19999999999976</v>
      </c>
      <c r="M25" s="169">
        <f>SUM(I25:L25)</f>
        <v>-1483.6</v>
      </c>
      <c r="N25" s="16">
        <v>-324.2</v>
      </c>
      <c r="O25" s="16">
        <f>-647.9-N25</f>
        <v>-323.7</v>
      </c>
      <c r="P25" s="16">
        <f>-985.7-O25-N25</f>
        <v>-337.8</v>
      </c>
      <c r="Q25" s="16">
        <f>-1470-P25-O25-N25</f>
        <v>-484.3</v>
      </c>
      <c r="R25" s="169">
        <f>SUM(N25:Q25)</f>
        <v>-1470</v>
      </c>
      <c r="S25" s="16">
        <v>-416.8</v>
      </c>
      <c r="T25" s="16">
        <f>-871.9-S25</f>
        <v>-455.09999999999997</v>
      </c>
      <c r="U25" s="16">
        <f>-1295.4-T25-S25</f>
        <v>-423.50000000000017</v>
      </c>
      <c r="V25" s="16">
        <f>-1841.3-U25-T25-S25</f>
        <v>-545.89999999999986</v>
      </c>
      <c r="W25" s="169">
        <f>SUM(S25:V25)</f>
        <v>-1841.3</v>
      </c>
      <c r="X25" s="16">
        <f>-'IS (Before Changes)'!X8*X56</f>
        <v>-606.38246219544101</v>
      </c>
      <c r="Y25" s="16">
        <f>-'IS (Before Changes)'!Y8*Y56</f>
        <v>-587.06325444440381</v>
      </c>
      <c r="Z25" s="16">
        <f>-'IS (Before Changes)'!Z8*Z56</f>
        <v>-642.8299372093752</v>
      </c>
      <c r="AA25" s="16">
        <f>-'IS (Before Changes)'!AA8*AA56</f>
        <v>-663.72434615078043</v>
      </c>
      <c r="AB25" s="418">
        <f>SUM(X25:AA25)</f>
        <v>-2500.0000000000005</v>
      </c>
      <c r="AC25" s="16">
        <f>-'IS (Before Changes)'!AC8*AC56</f>
        <v>-678.44181513463332</v>
      </c>
      <c r="AD25" s="16">
        <f>-'IS (Before Changes)'!AD8*AD56</f>
        <v>-641.35372785019376</v>
      </c>
      <c r="AE25" s="16">
        <f>-'IS (Before Changes)'!AE8*AE56</f>
        <v>-702.881558205543</v>
      </c>
      <c r="AF25" s="16">
        <f>-'IS (Before Changes)'!AF8*AF56</f>
        <v>-727.32289880962992</v>
      </c>
      <c r="AG25" s="418">
        <f>SUM(AC25:AF25)</f>
        <v>-2750</v>
      </c>
      <c r="AH25" s="16">
        <f>-'IS (Before Changes)'!AH8*AH56</f>
        <v>-678.31054500021446</v>
      </c>
      <c r="AI25" s="16">
        <f>-'IS (Before Changes)'!AI8*AI56</f>
        <v>-640.74871428043809</v>
      </c>
      <c r="AJ25" s="16">
        <f>-'IS (Before Changes)'!AJ8*AJ56</f>
        <v>-702.66495163999798</v>
      </c>
      <c r="AK25" s="16">
        <f>-'IS (Before Changes)'!AK8*AK56</f>
        <v>-728.27578907934981</v>
      </c>
      <c r="AL25" s="418">
        <f>SUM(AH25:AK25)</f>
        <v>-2750</v>
      </c>
      <c r="AM25" s="16">
        <f>-'IS (Before Changes)'!AM8*AM56</f>
        <v>-746.00800078693715</v>
      </c>
      <c r="AN25" s="16">
        <f>-'IS (Before Changes)'!AN8*AN56</f>
        <v>-701.15192772308876</v>
      </c>
      <c r="AO25" s="16">
        <f>-'IS (Before Changes)'!AO8*AO56</f>
        <v>-766.11549251962367</v>
      </c>
      <c r="AP25" s="16">
        <f>-'IS (Before Changes)'!AP8*AP56</f>
        <v>-791.37719677188761</v>
      </c>
      <c r="AQ25" s="17">
        <f>SUM(AM25:AP25)</f>
        <v>-3004.6526178015374</v>
      </c>
      <c r="AR25" s="16">
        <f>-'IS (Before Changes)'!AR8*AR56</f>
        <v>-794.37796668922374</v>
      </c>
      <c r="AS25" s="16">
        <f>-'IS (Before Changes)'!AS8*AS56</f>
        <v>-746.0795217646712</v>
      </c>
      <c r="AT25" s="16">
        <f>-'IS (Before Changes)'!AT8*AT56</f>
        <v>-815.03818419235006</v>
      </c>
      <c r="AU25" s="16">
        <f>-'IS (Before Changes)'!AU8*AU56</f>
        <v>-841.85249841730865</v>
      </c>
      <c r="AV25" s="17">
        <f>SUM(AR25:AU25)</f>
        <v>-3197.3481710635538</v>
      </c>
    </row>
    <row r="26" spans="2:48" ht="16.2" outlineLevel="1" x14ac:dyDescent="0.45">
      <c r="B26" s="486" t="s">
        <v>284</v>
      </c>
      <c r="C26" s="487"/>
      <c r="D26" s="260">
        <v>-16.600000000000001</v>
      </c>
      <c r="E26" s="260">
        <f>48.5-37.1-D26</f>
        <v>28</v>
      </c>
      <c r="F26" s="260">
        <f>684.2-72.9-E26-D26</f>
        <v>599.90000000000009</v>
      </c>
      <c r="G26" s="260">
        <f>684.3-56.2-F26-E26-D26</f>
        <v>16.79999999999982</v>
      </c>
      <c r="H26" s="261">
        <f>SUM(D26:G26)</f>
        <v>628.09999999999991</v>
      </c>
      <c r="I26" s="260">
        <v>-19.899999999999999</v>
      </c>
      <c r="J26" s="260">
        <f>-22.5-I26</f>
        <v>-2.6000000000000014</v>
      </c>
      <c r="K26" s="260">
        <f>-39.4-J26-I26</f>
        <v>-16.899999999999999</v>
      </c>
      <c r="L26" s="260">
        <f>-44.4-K26-J26-I26</f>
        <v>-5</v>
      </c>
      <c r="M26" s="261">
        <f>SUM(I26:L26)</f>
        <v>-44.4</v>
      </c>
      <c r="N26" s="260">
        <v>-17.7</v>
      </c>
      <c r="O26" s="260">
        <f>-20.1-N26</f>
        <v>-2.4000000000000021</v>
      </c>
      <c r="P26" s="260">
        <f>-62.3-O26-N26</f>
        <v>-42.199999999999989</v>
      </c>
      <c r="Q26" s="260">
        <f>1175-81.2-P26-O26-N26</f>
        <v>1156.1000000000001</v>
      </c>
      <c r="R26" s="261">
        <f>SUM(N26:Q26)</f>
        <v>1093.8000000000002</v>
      </c>
      <c r="S26" s="260">
        <v>-41.4</v>
      </c>
      <c r="T26" s="260">
        <f>-69.8-S26</f>
        <v>-28.4</v>
      </c>
      <c r="U26" s="260">
        <f>-95.7-T26-S26</f>
        <v>-25.900000000000013</v>
      </c>
      <c r="V26" s="260">
        <f>59.3-126.3-U26-T26-S26</f>
        <v>28.70000000000001</v>
      </c>
      <c r="W26" s="261">
        <f>SUM(S26:V26)</f>
        <v>-67</v>
      </c>
      <c r="X26" s="260">
        <f>-('BS (Before Changes)'!X13-'BS (Before Changes)'!V13)-('BS (Before Changes)'!X17-'BS (Before Changes)'!V17)-('BS (Before Changes)'!X15-'BS (Before Changes)'!V15)+('BS (Before Changes)'!X32-'BS (Before Changes)'!V32)-('BS (Before Changes)'!X18-'BS (Before Changes)'!V18)-('BS (Before Changes)'!X19-'BS (Before Changes)'!V19)</f>
        <v>0.85043077384059984</v>
      </c>
      <c r="Y26" s="260">
        <f>-('BS (Before Changes)'!Y13-'BS (Before Changes)'!X13)-('BS (Before Changes)'!Y17-'BS (Before Changes)'!X17)-('BS (Before Changes)'!Y15-'BS (Before Changes)'!X15)+('BS (Before Changes)'!Y32-'BS (Before Changes)'!X32)-('BS (Before Changes)'!Y18-'BS (Before Changes)'!X18)-('BS (Before Changes)'!Y19-'BS (Before Changes)'!X19)</f>
        <v>15.818017254917748</v>
      </c>
      <c r="Z26" s="260">
        <f>-('BS (Before Changes)'!Z13-'BS (Before Changes)'!Y13)-('BS (Before Changes)'!Z17-'BS (Before Changes)'!Y17)-('BS (Before Changes)'!Z15-'BS (Before Changes)'!Y15)+('BS (Before Changes)'!Z32-'BS (Before Changes)'!Y32)-('BS (Before Changes)'!Z18-'BS (Before Changes)'!Y18)-('BS (Before Changes)'!Z19-'BS (Before Changes)'!Y19)</f>
        <v>-0.68690028721235308</v>
      </c>
      <c r="AA26" s="260">
        <f>-('BS (Before Changes)'!AA13-'BS (Before Changes)'!Z13)-('BS (Before Changes)'!AA17-'BS (Before Changes)'!Z17)-('BS (Before Changes)'!AA15-'BS (Before Changes)'!Z15)+('BS (Before Changes)'!AA32-'BS (Before Changes)'!Z32)-('BS (Before Changes)'!AA18-'BS (Before Changes)'!Z18)-('BS (Before Changes)'!AA19-'BS (Before Changes)'!Z19)</f>
        <v>3.9493639902572113</v>
      </c>
      <c r="AB26" s="261">
        <f>SUM(X26:AA26)</f>
        <v>19.930911731803207</v>
      </c>
      <c r="AC26" s="260">
        <f>-('BS (Before Changes)'!AC13-'BS (Before Changes)'!AA13)-('BS (Before Changes)'!AC17-'BS (Before Changes)'!AA17)-('BS (Before Changes)'!AC15-'BS (Before Changes)'!AA15)+('BS (Before Changes)'!AC32-'BS (Before Changes)'!AA32)-('BS (Before Changes)'!AC18-'BS (Before Changes)'!AA18)-('BS (Before Changes)'!AC19-'BS (Before Changes)'!AA19)</f>
        <v>-11.394718973147008</v>
      </c>
      <c r="AD26" s="260">
        <f>-('BS (Before Changes)'!AD13-'BS (Before Changes)'!AC13)-('BS (Before Changes)'!AD17-'BS (Before Changes)'!AC17)-('BS (Before Changes)'!AD15-'BS (Before Changes)'!AC15)+('BS (Before Changes)'!AD32-'BS (Before Changes)'!AC32)-('BS (Before Changes)'!AD18-'BS (Before Changes)'!AC18)-('BS (Before Changes)'!AD19-'BS (Before Changes)'!AC19)</f>
        <v>10.285749728060836</v>
      </c>
      <c r="AE26" s="260">
        <f>-('BS (Before Changes)'!AE13-'BS (Before Changes)'!AD13)-('BS (Before Changes)'!AE17-'BS (Before Changes)'!AD17)-('BS (Before Changes)'!AE15-'BS (Before Changes)'!AD15)+('BS (Before Changes)'!AE32-'BS (Before Changes)'!AD32)-('BS (Before Changes)'!AE18-'BS (Before Changes)'!AD18)-('BS (Before Changes)'!AE19-'BS (Before Changes)'!AD19)</f>
        <v>-4.3669167051214686</v>
      </c>
      <c r="AF26" s="260">
        <f>-('BS (Before Changes)'!AF13-'BS (Before Changes)'!AE13)-('BS (Before Changes)'!AF17-'BS (Before Changes)'!AE17)-('BS (Before Changes)'!AF15-'BS (Before Changes)'!AE15)+('BS (Before Changes)'!AF32-'BS (Before Changes)'!AE32)-('BS (Before Changes)'!AF18-'BS (Before Changes)'!AE18)-('BS (Before Changes)'!AF19-'BS (Before Changes)'!AE19)</f>
        <v>-1.1277305422180035</v>
      </c>
      <c r="AG26" s="261">
        <f>SUM(AC26:AF26)</f>
        <v>-6.603616492425644</v>
      </c>
      <c r="AH26" s="260">
        <f>-('BS (Before Changes)'!AH13-'BS (Before Changes)'!AF13)-('BS (Before Changes)'!AH17-'BS (Before Changes)'!AF17)-('BS (Before Changes)'!AH15-'BS (Before Changes)'!AF15)+('BS (Before Changes)'!AH32-'BS (Before Changes)'!AF32)-('BS (Before Changes)'!AH18-'BS (Before Changes)'!AF18)-('BS (Before Changes)'!AH19-'BS (Before Changes)'!AF19)</f>
        <v>-15.690477703430233</v>
      </c>
      <c r="AI26" s="260">
        <f>-('BS (Before Changes)'!AI13-'BS (Before Changes)'!AH13)-('BS (Before Changes)'!AI17-'BS (Before Changes)'!AH17)-('BS (Before Changes)'!AI15-'BS (Before Changes)'!AH15)+('BS (Before Changes)'!AI32-'BS (Before Changes)'!AH32)-('BS (Before Changes)'!AI18-'BS (Before Changes)'!AH18)-('BS (Before Changes)'!AI19-'BS (Before Changes)'!AH19)</f>
        <v>7.3636696265236594</v>
      </c>
      <c r="AJ26" s="260">
        <f>-('BS (Before Changes)'!AJ13-'BS (Before Changes)'!AI13)-('BS (Before Changes)'!AJ17-'BS (Before Changes)'!AI17)-('BS (Before Changes)'!AJ15-'BS (Before Changes)'!AI15)+('BS (Before Changes)'!AJ32-'BS (Before Changes)'!AI32)-('BS (Before Changes)'!AJ18-'BS (Before Changes)'!AI18)-('BS (Before Changes)'!AJ19-'BS (Before Changes)'!AI19)</f>
        <v>-16.038170186492707</v>
      </c>
      <c r="AK26" s="260">
        <f>-('BS (Before Changes)'!AK13-'BS (Before Changes)'!AJ13)-('BS (Before Changes)'!AK17-'BS (Before Changes)'!AJ17)-('BS (Before Changes)'!AK15-'BS (Before Changes)'!AJ15)+('BS (Before Changes)'!AK32-'BS (Before Changes)'!AJ32)-('BS (Before Changes)'!AK18-'BS (Before Changes)'!AJ18)-('BS (Before Changes)'!AK19-'BS (Before Changes)'!AJ19)</f>
        <v>101.77939552112917</v>
      </c>
      <c r="AL26" s="261">
        <f>SUM(AH26:AK26)</f>
        <v>77.414417257729895</v>
      </c>
      <c r="AM26" s="260">
        <f>-('BS (Before Changes)'!AM13-'BS (Before Changes)'!AK13)-('BS (Before Changes)'!AM17-'BS (Before Changes)'!AK17)-('BS (Before Changes)'!AM15-'BS (Before Changes)'!AK15)+('BS (Before Changes)'!AM32-'BS (Before Changes)'!AK32)-('BS (Before Changes)'!AM18-'BS (Before Changes)'!AK18)-('BS (Before Changes)'!AM19-'BS (Before Changes)'!AK19)</f>
        <v>-15.892647478821743</v>
      </c>
      <c r="AN26" s="260">
        <f>-('BS (Before Changes)'!AN13-'BS (Before Changes)'!AM13)-('BS (Before Changes)'!AN17-'BS (Before Changes)'!AM17)-('BS (Before Changes)'!AN15-'BS (Before Changes)'!AM15)+('BS (Before Changes)'!AN32-'BS (Before Changes)'!AM32)-('BS (Before Changes)'!AN18-'BS (Before Changes)'!AM18)-('BS (Before Changes)'!AN19-'BS (Before Changes)'!AM19)</f>
        <v>8.8895006624823196</v>
      </c>
      <c r="AO26" s="260">
        <f>-('BS (Before Changes)'!AO13-'BS (Before Changes)'!AN13)-('BS (Before Changes)'!AO17-'BS (Before Changes)'!AN17)-('BS (Before Changes)'!AO15-'BS (Before Changes)'!AN15)+('BS (Before Changes)'!AO32-'BS (Before Changes)'!AN32)-('BS (Before Changes)'!AO18-'BS (Before Changes)'!AN18)-('BS (Before Changes)'!AO19-'BS (Before Changes)'!AN19)</f>
        <v>-12.476497942196985</v>
      </c>
      <c r="AP26" s="260">
        <f>-('BS (Before Changes)'!AP13-'BS (Before Changes)'!AO13)-('BS (Before Changes)'!AP17-'BS (Before Changes)'!AO17)-('BS (Before Changes)'!AP15-'BS (Before Changes)'!AO15)+('BS (Before Changes)'!AP32-'BS (Before Changes)'!AO32)-('BS (Before Changes)'!AP18-'BS (Before Changes)'!AO18)-('BS (Before Changes)'!AP19-'BS (Before Changes)'!AO19)</f>
        <v>-4.8518690285162265</v>
      </c>
      <c r="AQ26" s="261">
        <f>SUM(AM26:AP26)</f>
        <v>-24.331513787052636</v>
      </c>
      <c r="AR26" s="260">
        <f>-('BS (Before Changes)'!AR13-'BS (Before Changes)'!AP13)-('BS (Before Changes)'!AR17-'BS (Before Changes)'!AP17)-('BS (Before Changes)'!AR15-'BS (Before Changes)'!AP15)+('BS (Before Changes)'!AR32-'BS (Before Changes)'!AP32)-('BS (Before Changes)'!AR18-'BS (Before Changes)'!AP18)-('BS (Before Changes)'!AR19-'BS (Before Changes)'!AP19)</f>
        <v>-20.503237773124155</v>
      </c>
      <c r="AS26" s="260">
        <f>-('BS (Before Changes)'!AS13-'BS (Before Changes)'!AR13)-('BS (Before Changes)'!AS17-'BS (Before Changes)'!AR17)-('BS (Before Changes)'!AS15-'BS (Before Changes)'!AR15)+('BS (Before Changes)'!AS32-'BS (Before Changes)'!AR32)-('BS (Before Changes)'!AS18-'BS (Before Changes)'!AR18)-('BS (Before Changes)'!AS19-'BS (Before Changes)'!AR19)</f>
        <v>6.0787040091915543</v>
      </c>
      <c r="AT26" s="260">
        <f>-('BS (Before Changes)'!AT13-'BS (Before Changes)'!AS13)-('BS (Before Changes)'!AT17-'BS (Before Changes)'!AS17)-('BS (Before Changes)'!AT15-'BS (Before Changes)'!AS15)+('BS (Before Changes)'!AT32-'BS (Before Changes)'!AS32)-('BS (Before Changes)'!AT18-'BS (Before Changes)'!AS18)-('BS (Before Changes)'!AT19-'BS (Before Changes)'!AS19)</f>
        <v>-15.931780398796167</v>
      </c>
      <c r="AU26" s="260">
        <f>-('BS (Before Changes)'!AU13-'BS (Before Changes)'!AT13)-('BS (Before Changes)'!AU17-'BS (Before Changes)'!AT17)-('BS (Before Changes)'!AU15-'BS (Before Changes)'!AT15)+('BS (Before Changes)'!AU32-'BS (Before Changes)'!AT32)-('BS (Before Changes)'!AU18-'BS (Before Changes)'!AT18)-('BS (Before Changes)'!AU19-'BS (Before Changes)'!AT19)</f>
        <v>-7.9026902632935005</v>
      </c>
      <c r="AV26" s="261">
        <f>SUM(AR26:AU26)</f>
        <v>-38.259004426022273</v>
      </c>
    </row>
    <row r="27" spans="2:48" outlineLevel="1" x14ac:dyDescent="0.3">
      <c r="B27" s="500" t="s">
        <v>285</v>
      </c>
      <c r="C27" s="501"/>
      <c r="D27" s="21">
        <f t="shared" ref="D27:AV27" si="27">SUM(D24:D26)</f>
        <v>-510.4</v>
      </c>
      <c r="E27" s="21">
        <f t="shared" si="27"/>
        <v>-200.60000000000002</v>
      </c>
      <c r="F27" s="21">
        <f t="shared" si="27"/>
        <v>204.5</v>
      </c>
      <c r="G27" s="21">
        <f t="shared" si="27"/>
        <v>-504.30000000000007</v>
      </c>
      <c r="H27" s="22">
        <f t="shared" si="27"/>
        <v>-1010.8</v>
      </c>
      <c r="I27" s="21">
        <f t="shared" si="27"/>
        <v>-386.3</v>
      </c>
      <c r="J27" s="21">
        <f t="shared" si="27"/>
        <v>-361.59999999999997</v>
      </c>
      <c r="K27" s="21">
        <f t="shared" si="27"/>
        <v>-583.80000000000007</v>
      </c>
      <c r="L27" s="21">
        <f t="shared" si="27"/>
        <v>-379.79999999999978</v>
      </c>
      <c r="M27" s="22">
        <f t="shared" si="27"/>
        <v>-1711.5</v>
      </c>
      <c r="N27" s="21">
        <f t="shared" si="27"/>
        <v>-272.5</v>
      </c>
      <c r="O27" s="21">
        <f t="shared" si="27"/>
        <v>-306.5</v>
      </c>
      <c r="P27" s="21">
        <f t="shared" si="27"/>
        <v>-407.2</v>
      </c>
      <c r="Q27" s="21">
        <f t="shared" si="27"/>
        <v>666.70000000000016</v>
      </c>
      <c r="R27" s="22">
        <f t="shared" si="27"/>
        <v>-319.49999999999977</v>
      </c>
      <c r="S27" s="21">
        <f t="shared" si="27"/>
        <v>-401</v>
      </c>
      <c r="T27" s="21">
        <f t="shared" si="27"/>
        <v>-479.89999999999992</v>
      </c>
      <c r="U27" s="21">
        <f t="shared" si="27"/>
        <v>-495.4000000000002</v>
      </c>
      <c r="V27" s="21">
        <f t="shared" si="27"/>
        <v>-769.99999999999977</v>
      </c>
      <c r="W27" s="22">
        <f t="shared" si="27"/>
        <v>-2146.2999999999997</v>
      </c>
      <c r="X27" s="21">
        <f t="shared" si="27"/>
        <v>-407.79703154222727</v>
      </c>
      <c r="Y27" s="21">
        <f t="shared" si="27"/>
        <v>-584.61569323143215</v>
      </c>
      <c r="Z27" s="21">
        <f t="shared" si="27"/>
        <v>-679.21600521597043</v>
      </c>
      <c r="AA27" s="21">
        <f t="shared" si="27"/>
        <v>-694.67771091901284</v>
      </c>
      <c r="AB27" s="22">
        <f t="shared" si="27"/>
        <v>-2366.3064409086428</v>
      </c>
      <c r="AC27" s="21">
        <f t="shared" si="27"/>
        <v>-670.74406654697896</v>
      </c>
      <c r="AD27" s="21">
        <f t="shared" si="27"/>
        <v>-639.16706035589459</v>
      </c>
      <c r="AE27" s="21">
        <f t="shared" si="27"/>
        <v>-725.36204123851894</v>
      </c>
      <c r="AF27" s="21">
        <f t="shared" si="27"/>
        <v>-738.25824431041588</v>
      </c>
      <c r="AG27" s="22">
        <f t="shared" si="27"/>
        <v>-2773.5314124518081</v>
      </c>
      <c r="AH27" s="21">
        <f t="shared" si="27"/>
        <v>-708.35401028368074</v>
      </c>
      <c r="AI27" s="21">
        <f t="shared" si="27"/>
        <v>-636.33484545471833</v>
      </c>
      <c r="AJ27" s="21">
        <f t="shared" si="27"/>
        <v>-739.80017749674357</v>
      </c>
      <c r="AK27" s="21">
        <f t="shared" si="27"/>
        <v>-544.52643891938078</v>
      </c>
      <c r="AL27" s="22">
        <f t="shared" si="27"/>
        <v>-2629.0154721545232</v>
      </c>
      <c r="AM27" s="21">
        <f t="shared" si="27"/>
        <v>-780.37766209707115</v>
      </c>
      <c r="AN27" s="21">
        <f t="shared" si="27"/>
        <v>-690.41690064067552</v>
      </c>
      <c r="AO27" s="21">
        <f t="shared" si="27"/>
        <v>-794.346831572067</v>
      </c>
      <c r="AP27" s="21">
        <f t="shared" si="27"/>
        <v>-804.94455535944439</v>
      </c>
      <c r="AQ27" s="22">
        <f t="shared" si="27"/>
        <v>-3070.0859496692583</v>
      </c>
      <c r="AR27" s="21">
        <f t="shared" si="27"/>
        <v>-836.84843484671285</v>
      </c>
      <c r="AS27" s="21">
        <f t="shared" si="27"/>
        <v>-739.09143538917453</v>
      </c>
      <c r="AT27" s="21">
        <f t="shared" si="27"/>
        <v>-848.63481655634678</v>
      </c>
      <c r="AU27" s="21">
        <f t="shared" si="27"/>
        <v>-860.30207010849915</v>
      </c>
      <c r="AV27" s="22">
        <f t="shared" si="27"/>
        <v>-3284.8767569007337</v>
      </c>
    </row>
    <row r="28" spans="2:48" outlineLevel="1" x14ac:dyDescent="0.3">
      <c r="B28" s="542" t="s">
        <v>286</v>
      </c>
      <c r="C28" s="543"/>
      <c r="D28" s="321"/>
      <c r="E28" s="323"/>
      <c r="F28" s="323"/>
      <c r="G28" s="323"/>
      <c r="H28" s="324"/>
      <c r="I28" s="323"/>
      <c r="J28" s="323"/>
      <c r="K28" s="323"/>
      <c r="L28" s="323"/>
      <c r="M28" s="324"/>
      <c r="N28" s="323"/>
      <c r="O28" s="323"/>
      <c r="P28" s="323"/>
      <c r="Q28" s="323"/>
      <c r="R28" s="324"/>
      <c r="S28" s="323"/>
      <c r="T28" s="323"/>
      <c r="U28" s="323"/>
      <c r="V28" s="323"/>
      <c r="W28" s="324"/>
      <c r="X28" s="323"/>
      <c r="Y28" s="323"/>
      <c r="Z28" s="323"/>
      <c r="AA28" s="323"/>
      <c r="AB28" s="324"/>
      <c r="AC28" s="323"/>
      <c r="AD28" s="323"/>
      <c r="AE28" s="323"/>
      <c r="AF28" s="323"/>
      <c r="AG28" s="324"/>
      <c r="AH28" s="323"/>
      <c r="AI28" s="323"/>
      <c r="AJ28" s="323"/>
      <c r="AK28" s="323"/>
      <c r="AL28" s="324"/>
      <c r="AM28" s="323"/>
      <c r="AN28" s="323"/>
      <c r="AO28" s="323"/>
      <c r="AP28" s="323"/>
      <c r="AQ28" s="324"/>
      <c r="AR28" s="323"/>
      <c r="AS28" s="323"/>
      <c r="AT28" s="323"/>
      <c r="AU28" s="323"/>
      <c r="AV28" s="324"/>
    </row>
    <row r="29" spans="2:48" outlineLevel="1" x14ac:dyDescent="0.3">
      <c r="B29" s="538" t="s">
        <v>263</v>
      </c>
      <c r="C29" s="539"/>
      <c r="D29" s="327">
        <v>0</v>
      </c>
      <c r="E29" s="327">
        <f>-D29</f>
        <v>0</v>
      </c>
      <c r="F29" s="327">
        <f>1996-350-E29-D29</f>
        <v>1646</v>
      </c>
      <c r="G29" s="327">
        <f>1996-F29-E29-D29</f>
        <v>350</v>
      </c>
      <c r="H29" s="328">
        <f t="shared" ref="H29:H36" si="28">SUM(D29:G29)</f>
        <v>1996</v>
      </c>
      <c r="I29" s="327">
        <v>0</v>
      </c>
      <c r="J29" s="327">
        <f>1739.7-I29</f>
        <v>1739.7</v>
      </c>
      <c r="K29" s="327">
        <f>1157.2+4727.6-J29-I29</f>
        <v>4145.1000000000004</v>
      </c>
      <c r="L29" s="327">
        <f>1406.6-K29-J29-I29</f>
        <v>-4478.2000000000007</v>
      </c>
      <c r="M29" s="328">
        <f t="shared" ref="M29:M36" si="29">SUM(I29:L29)</f>
        <v>1406.5999999999995</v>
      </c>
      <c r="N29" s="327">
        <v>192.9</v>
      </c>
      <c r="O29" s="327">
        <f>203.3-N29</f>
        <v>10.400000000000006</v>
      </c>
      <c r="P29" s="327">
        <f>215.6-O29-N29</f>
        <v>12.299999999999983</v>
      </c>
      <c r="Q29" s="327">
        <f>-296.5-P29-O29-N29</f>
        <v>-512.09999999999991</v>
      </c>
      <c r="R29" s="328">
        <f t="shared" ref="R29:R36" si="30">SUM(N29:Q29)</f>
        <v>-296.49999999999989</v>
      </c>
      <c r="S29" s="327">
        <v>200</v>
      </c>
      <c r="T29" s="327">
        <f>17.4+1498.1-S29</f>
        <v>1315.5</v>
      </c>
      <c r="U29" s="327">
        <f>200+38.9+1498.1-T29-S29</f>
        <v>221.5</v>
      </c>
      <c r="V29" s="327">
        <f>36.6-36.6+1498.1-1000-U29-T29-S29</f>
        <v>-1238.9000000000001</v>
      </c>
      <c r="W29" s="328">
        <f t="shared" ref="W29:W36" si="31">SUM(S29:V29)</f>
        <v>498.09999999999991</v>
      </c>
      <c r="X29" s="327">
        <f>+('BS (Before Changes)'!X28-'BS (Before Changes)'!V28)+('BS (Before Changes)'!X31-'BS (Before Changes)'!V31)</f>
        <v>0</v>
      </c>
      <c r="Y29" s="327">
        <f>+('BS (Before Changes)'!Y28-'BS (Before Changes)'!X28)+('BS (Before Changes)'!Y31-'BS (Before Changes)'!X31)</f>
        <v>0</v>
      </c>
      <c r="Z29" s="327">
        <f>+('BS (Before Changes)'!Z28-'BS (Before Changes)'!Y28)+('BS (Before Changes)'!Z31-'BS (Before Changes)'!Y31)</f>
        <v>0</v>
      </c>
      <c r="AA29" s="327">
        <f>+('BS (Before Changes)'!AA28-'BS (Before Changes)'!Z28)+('BS (Before Changes)'!AA31-'BS (Before Changes)'!Z31)</f>
        <v>0</v>
      </c>
      <c r="AB29" s="328">
        <f t="shared" ref="AB29:AB36" si="32">SUM(X29:AA29)</f>
        <v>0</v>
      </c>
      <c r="AC29" s="327">
        <f>+('BS (Before Changes)'!AC28-'BS (Before Changes)'!AA28)+('BS (Before Changes)'!AC31-'BS (Before Changes)'!AA31)</f>
        <v>0</v>
      </c>
      <c r="AD29" s="327">
        <f>+('BS (Before Changes)'!AD28-'BS (Before Changes)'!AC28)+('BS (Before Changes)'!AD31-'BS (Before Changes)'!AC31)</f>
        <v>-0.29999999999995453</v>
      </c>
      <c r="AE29" s="327">
        <f>+('BS (Before Changes)'!AE28-'BS (Before Changes)'!AD28)+('BS (Before Changes)'!AE31-'BS (Before Changes)'!AD31)</f>
        <v>0</v>
      </c>
      <c r="AF29" s="327">
        <f>+('BS (Before Changes)'!AF28-'BS (Before Changes)'!AE28)+('BS (Before Changes)'!AF31-'BS (Before Changes)'!AE31)</f>
        <v>100</v>
      </c>
      <c r="AG29" s="328">
        <f t="shared" ref="AG29:AG36" si="33">SUM(AC29:AF29)</f>
        <v>99.700000000000045</v>
      </c>
      <c r="AH29" s="327">
        <f>+('BS (Before Changes)'!AH28-'BS (Before Changes)'!AF28)+('BS (Before Changes)'!AH31-'BS (Before Changes)'!AF31)</f>
        <v>0</v>
      </c>
      <c r="AI29" s="327">
        <f>+('BS (Before Changes)'!AI28-'BS (Before Changes)'!AH28)+('BS (Before Changes)'!AI31-'BS (Before Changes)'!AH31)</f>
        <v>0</v>
      </c>
      <c r="AJ29" s="327">
        <f>+('BS (Before Changes)'!AJ28-'BS (Before Changes)'!AI28)+('BS (Before Changes)'!AJ31-'BS (Before Changes)'!AI31)</f>
        <v>5541.9811973151791</v>
      </c>
      <c r="AK29" s="327">
        <f>+('BS (Before Changes)'!AK28-'BS (Before Changes)'!AJ28)+('BS (Before Changes)'!AK31-'BS (Before Changes)'!AJ31)</f>
        <v>0</v>
      </c>
      <c r="AL29" s="328">
        <f t="shared" ref="AL29:AL36" si="34">SUM(AH29:AK29)</f>
        <v>5541.9811973151791</v>
      </c>
      <c r="AM29" s="327">
        <f>+('BS (Before Changes)'!AM28-'BS (Before Changes)'!AK28)+('BS (Before Changes)'!AM31-'BS (Before Changes)'!AK31)</f>
        <v>0</v>
      </c>
      <c r="AN29" s="327">
        <f>+('BS (Before Changes)'!AN28-'BS (Before Changes)'!AM28)+('BS (Before Changes)'!AN31-'BS (Before Changes)'!AM31)</f>
        <v>0</v>
      </c>
      <c r="AO29" s="327">
        <f>+('BS (Before Changes)'!AO28-'BS (Before Changes)'!AN28)+('BS (Before Changes)'!AO31-'BS (Before Changes)'!AN31)</f>
        <v>0</v>
      </c>
      <c r="AP29" s="327">
        <f>+('BS (Before Changes)'!AP28-'BS (Before Changes)'!AO28)+('BS (Before Changes)'!AP31-'BS (Before Changes)'!AO31)</f>
        <v>0</v>
      </c>
      <c r="AQ29" s="328">
        <f t="shared" ref="AQ29:AQ36" si="35">SUM(AM29:AP29)</f>
        <v>0</v>
      </c>
      <c r="AR29" s="327">
        <f>+('BS (Before Changes)'!AR28-'BS (Before Changes)'!AP28)+('BS (Before Changes)'!AR31-'BS (Before Changes)'!AP31)</f>
        <v>0</v>
      </c>
      <c r="AS29" s="327">
        <f>+('BS (Before Changes)'!AS28-'BS (Before Changes)'!AR28)+('BS (Before Changes)'!AS31-'BS (Before Changes)'!AR31)</f>
        <v>0</v>
      </c>
      <c r="AT29" s="327">
        <f>+('BS (Before Changes)'!AT28-'BS (Before Changes)'!AS28)+('BS (Before Changes)'!AT31-'BS (Before Changes)'!AS31)</f>
        <v>0</v>
      </c>
      <c r="AU29" s="327">
        <f>+('BS (Before Changes)'!AU28-'BS (Before Changes)'!AT28)+('BS (Before Changes)'!AU31-'BS (Before Changes)'!AT31)</f>
        <v>0</v>
      </c>
      <c r="AV29" s="328">
        <f t="shared" ref="AV29:AV36" si="36">SUM(AR29:AU29)</f>
        <v>0</v>
      </c>
    </row>
    <row r="30" spans="2:48" outlineLevel="1" x14ac:dyDescent="0.3">
      <c r="B30" s="325" t="s">
        <v>287</v>
      </c>
      <c r="C30" s="326"/>
      <c r="D30" s="327">
        <v>-350</v>
      </c>
      <c r="E30" s="327">
        <v>0</v>
      </c>
      <c r="F30" s="327">
        <f>-75-E30-D30</f>
        <v>275</v>
      </c>
      <c r="G30" s="327">
        <f>-350-F30-E30-D30</f>
        <v>-275</v>
      </c>
      <c r="H30" s="328">
        <f t="shared" si="28"/>
        <v>-350</v>
      </c>
      <c r="I30" s="327"/>
      <c r="J30" s="327">
        <f>0-I30</f>
        <v>0</v>
      </c>
      <c r="K30" s="327">
        <v>-220.7</v>
      </c>
      <c r="L30" s="327">
        <f>-967.7-K30-J30-I30</f>
        <v>-747</v>
      </c>
      <c r="M30" s="328">
        <f t="shared" si="29"/>
        <v>-967.7</v>
      </c>
      <c r="N30" s="327">
        <f>-144.7-500</f>
        <v>-644.70000000000005</v>
      </c>
      <c r="O30" s="327">
        <f>-296.5-320.5-1250-N30</f>
        <v>-1222.3</v>
      </c>
      <c r="P30" s="327">
        <f>-296.5-346.2-1250-O30-N30</f>
        <v>-25.700000000000045</v>
      </c>
      <c r="Q30" s="327">
        <f>215.1-349.8-1250-P30-O30-N30</f>
        <v>508</v>
      </c>
      <c r="R30" s="328">
        <f t="shared" si="30"/>
        <v>-1384.7</v>
      </c>
      <c r="S30" s="327"/>
      <c r="T30" s="327">
        <v>-12.6</v>
      </c>
      <c r="U30" s="327">
        <f>-38.9-1000-T30-S30</f>
        <v>-1026.3000000000002</v>
      </c>
      <c r="V30" s="327">
        <f>175-U30-T30-S30</f>
        <v>1213.9000000000001</v>
      </c>
      <c r="W30" s="328">
        <f t="shared" si="31"/>
        <v>175</v>
      </c>
      <c r="X30" s="327"/>
      <c r="Y30" s="327"/>
      <c r="Z30" s="327"/>
      <c r="AA30" s="327"/>
      <c r="AB30" s="328">
        <f t="shared" si="32"/>
        <v>0</v>
      </c>
      <c r="AC30" s="327"/>
      <c r="AD30" s="327"/>
      <c r="AE30" s="327"/>
      <c r="AF30" s="327"/>
      <c r="AG30" s="328">
        <f t="shared" si="33"/>
        <v>0</v>
      </c>
      <c r="AH30" s="327"/>
      <c r="AI30" s="327"/>
      <c r="AJ30" s="327"/>
      <c r="AK30" s="327"/>
      <c r="AL30" s="328">
        <f t="shared" si="34"/>
        <v>0</v>
      </c>
      <c r="AM30" s="327"/>
      <c r="AN30" s="327"/>
      <c r="AO30" s="327"/>
      <c r="AP30" s="327"/>
      <c r="AQ30" s="328">
        <f t="shared" si="35"/>
        <v>0</v>
      </c>
      <c r="AR30" s="327"/>
      <c r="AS30" s="327"/>
      <c r="AT30" s="327"/>
      <c r="AU30" s="327"/>
      <c r="AV30" s="328">
        <f t="shared" si="36"/>
        <v>0</v>
      </c>
    </row>
    <row r="31" spans="2:48" outlineLevel="1" x14ac:dyDescent="0.3">
      <c r="B31" s="325" t="s">
        <v>288</v>
      </c>
      <c r="C31" s="326"/>
      <c r="D31" s="327"/>
      <c r="E31" s="327">
        <v>75</v>
      </c>
      <c r="F31" s="327">
        <v>0</v>
      </c>
      <c r="G31" s="327">
        <f>0-F31-E31-D31</f>
        <v>-75</v>
      </c>
      <c r="H31" s="328">
        <f t="shared" si="28"/>
        <v>0</v>
      </c>
      <c r="I31" s="327">
        <f>398.9+99</f>
        <v>497.9</v>
      </c>
      <c r="J31" s="327">
        <f>613+494.1-I31</f>
        <v>609.19999999999993</v>
      </c>
      <c r="K31" s="327">
        <f>0-J31-I31</f>
        <v>-1107.0999999999999</v>
      </c>
      <c r="L31" s="327">
        <f>4727.6-K31-J31-I31</f>
        <v>4727.6000000000013</v>
      </c>
      <c r="M31" s="328">
        <f t="shared" si="29"/>
        <v>4727.6000000000013</v>
      </c>
      <c r="N31" s="327">
        <v>0</v>
      </c>
      <c r="O31" s="327">
        <f>0-N31</f>
        <v>0</v>
      </c>
      <c r="P31" s="327">
        <f>0-O31-N31</f>
        <v>0</v>
      </c>
      <c r="Q31" s="327">
        <f>0-P31-O31-N31</f>
        <v>0</v>
      </c>
      <c r="R31" s="328">
        <f t="shared" si="30"/>
        <v>0</v>
      </c>
      <c r="S31" s="327">
        <v>0</v>
      </c>
      <c r="T31" s="327">
        <f>0-S31</f>
        <v>0</v>
      </c>
      <c r="U31" s="327">
        <f t="shared" ref="U31" si="37">0-T31-S31</f>
        <v>0</v>
      </c>
      <c r="V31" s="327">
        <f t="shared" ref="V31" si="38">0-U31-T31-S31</f>
        <v>0</v>
      </c>
      <c r="W31" s="328">
        <f t="shared" si="31"/>
        <v>0</v>
      </c>
      <c r="X31" s="327"/>
      <c r="Y31" s="327"/>
      <c r="Z31" s="327"/>
      <c r="AA31" s="327"/>
      <c r="AB31" s="328">
        <f t="shared" si="32"/>
        <v>0</v>
      </c>
      <c r="AC31" s="327"/>
      <c r="AD31" s="327"/>
      <c r="AE31" s="327"/>
      <c r="AF31" s="327"/>
      <c r="AG31" s="328">
        <f t="shared" si="33"/>
        <v>0</v>
      </c>
      <c r="AH31" s="327"/>
      <c r="AI31" s="327"/>
      <c r="AJ31" s="327"/>
      <c r="AK31" s="327"/>
      <c r="AL31" s="328">
        <f t="shared" si="34"/>
        <v>0</v>
      </c>
      <c r="AM31" s="327"/>
      <c r="AN31" s="327"/>
      <c r="AO31" s="327"/>
      <c r="AP31" s="327"/>
      <c r="AQ31" s="328">
        <f t="shared" si="35"/>
        <v>0</v>
      </c>
      <c r="AR31" s="327"/>
      <c r="AS31" s="327"/>
      <c r="AT31" s="327"/>
      <c r="AU31" s="327"/>
      <c r="AV31" s="328">
        <f t="shared" si="36"/>
        <v>0</v>
      </c>
    </row>
    <row r="32" spans="2:48" outlineLevel="1" x14ac:dyDescent="0.3">
      <c r="B32" s="325" t="s">
        <v>289</v>
      </c>
      <c r="C32" s="326"/>
      <c r="D32" s="327">
        <v>108.4</v>
      </c>
      <c r="E32" s="327">
        <f>275.7-D32</f>
        <v>167.29999999999998</v>
      </c>
      <c r="F32" s="327">
        <f>358.5-E32-D32</f>
        <v>82.800000000000011</v>
      </c>
      <c r="G32" s="327">
        <f>409.8-F32-E32-D32</f>
        <v>51.300000000000011</v>
      </c>
      <c r="H32" s="328">
        <f t="shared" si="28"/>
        <v>409.8</v>
      </c>
      <c r="I32" s="327">
        <v>33.1</v>
      </c>
      <c r="J32" s="327">
        <f>65.4-I32</f>
        <v>32.300000000000004</v>
      </c>
      <c r="K32" s="327">
        <f>98.9-J32-I32</f>
        <v>33.499999999999993</v>
      </c>
      <c r="L32" s="327">
        <f>298.8-K32-J32-I32</f>
        <v>199.9</v>
      </c>
      <c r="M32" s="328">
        <f t="shared" si="29"/>
        <v>298.8</v>
      </c>
      <c r="N32" s="327">
        <v>102.8</v>
      </c>
      <c r="O32" s="327">
        <f>134.4-N32</f>
        <v>31.600000000000009</v>
      </c>
      <c r="P32" s="327">
        <f>191.6-O32-N32</f>
        <v>57.2</v>
      </c>
      <c r="Q32" s="327">
        <f>246.2-P32-O32-N32</f>
        <v>54.59999999999998</v>
      </c>
      <c r="R32" s="328">
        <f t="shared" si="30"/>
        <v>246.2</v>
      </c>
      <c r="S32" s="327">
        <v>41.3</v>
      </c>
      <c r="T32" s="327">
        <f>56.3-S32</f>
        <v>15</v>
      </c>
      <c r="U32" s="327">
        <f>75.5-T32-S32</f>
        <v>19.200000000000003</v>
      </c>
      <c r="V32" s="327">
        <f>101.6-U32-T32-S32</f>
        <v>26.099999999999994</v>
      </c>
      <c r="W32" s="328">
        <f t="shared" si="31"/>
        <v>101.6</v>
      </c>
      <c r="X32" s="327">
        <v>0</v>
      </c>
      <c r="Y32" s="327">
        <v>0</v>
      </c>
      <c r="Z32" s="327">
        <v>0</v>
      </c>
      <c r="AA32" s="327">
        <v>0</v>
      </c>
      <c r="AB32" s="328">
        <f t="shared" si="32"/>
        <v>0</v>
      </c>
      <c r="AC32" s="327">
        <v>0</v>
      </c>
      <c r="AD32" s="327">
        <v>0</v>
      </c>
      <c r="AE32" s="327">
        <v>0</v>
      </c>
      <c r="AF32" s="327">
        <v>0</v>
      </c>
      <c r="AG32" s="328">
        <f t="shared" si="33"/>
        <v>0</v>
      </c>
      <c r="AH32" s="327">
        <v>0</v>
      </c>
      <c r="AI32" s="327">
        <v>0</v>
      </c>
      <c r="AJ32" s="327">
        <v>0</v>
      </c>
      <c r="AK32" s="327">
        <v>0</v>
      </c>
      <c r="AL32" s="328">
        <f t="shared" si="34"/>
        <v>0</v>
      </c>
      <c r="AM32" s="327">
        <v>0</v>
      </c>
      <c r="AN32" s="327">
        <v>0</v>
      </c>
      <c r="AO32" s="327">
        <v>0</v>
      </c>
      <c r="AP32" s="327">
        <v>0</v>
      </c>
      <c r="AQ32" s="328">
        <f t="shared" si="35"/>
        <v>0</v>
      </c>
      <c r="AR32" s="327">
        <v>0</v>
      </c>
      <c r="AS32" s="327">
        <v>0</v>
      </c>
      <c r="AT32" s="327">
        <v>0</v>
      </c>
      <c r="AU32" s="327">
        <v>0</v>
      </c>
      <c r="AV32" s="328">
        <f t="shared" si="36"/>
        <v>0</v>
      </c>
    </row>
    <row r="33" spans="2:48" outlineLevel="1" x14ac:dyDescent="0.3">
      <c r="B33" s="325" t="s">
        <v>290</v>
      </c>
      <c r="C33" s="326"/>
      <c r="D33" s="327">
        <v>-446.7</v>
      </c>
      <c r="E33" s="327">
        <f>-894.5-D33</f>
        <v>-447.8</v>
      </c>
      <c r="F33" s="327">
        <f>-1330.7-E33-D33</f>
        <v>-436.2000000000001</v>
      </c>
      <c r="G33" s="327">
        <f>-1761.3-F33-E33-D33</f>
        <v>-430.59999999999997</v>
      </c>
      <c r="H33" s="328">
        <f t="shared" si="28"/>
        <v>-1761.3</v>
      </c>
      <c r="I33" s="327">
        <v>-484.2</v>
      </c>
      <c r="J33" s="327">
        <f>-965.2-I33</f>
        <v>-481.00000000000006</v>
      </c>
      <c r="K33" s="327">
        <f>-1444.2-J33-I33</f>
        <v>-479.00000000000006</v>
      </c>
      <c r="L33" s="327">
        <f>-1923.5-K33-J33-I33</f>
        <v>-479.3</v>
      </c>
      <c r="M33" s="328">
        <f t="shared" si="29"/>
        <v>-1923.5</v>
      </c>
      <c r="N33" s="327">
        <v>-528.20000000000005</v>
      </c>
      <c r="O33" s="327">
        <f>-1058-N33</f>
        <v>-529.79999999999995</v>
      </c>
      <c r="P33" s="327">
        <f>-1588.2-O33-N33</f>
        <v>-530.20000000000005</v>
      </c>
      <c r="Q33" s="327">
        <f>-2119-P33-O33-N33</f>
        <v>-530.79999999999995</v>
      </c>
      <c r="R33" s="328">
        <f t="shared" si="30"/>
        <v>-2119</v>
      </c>
      <c r="S33" s="327">
        <v>-576</v>
      </c>
      <c r="T33" s="327">
        <f>-1139.2-S33</f>
        <v>-563.20000000000005</v>
      </c>
      <c r="U33" s="327">
        <f>-1701.1-T33-S33</f>
        <v>-561.89999999999986</v>
      </c>
      <c r="V33" s="327">
        <f>-2263.3-U33-T33-S33</f>
        <v>-562.20000000000027</v>
      </c>
      <c r="W33" s="328">
        <f t="shared" si="31"/>
        <v>-2263.3000000000002</v>
      </c>
      <c r="X33" s="327">
        <f>-'IS (Before Changes)'!X35*'IS (Before Changes)'!X30</f>
        <v>-609.58030771444623</v>
      </c>
      <c r="Y33" s="327">
        <f>-'IS (Before Changes)'!Y35*'IS (Before Changes)'!Y30</f>
        <v>-610.79946832987514</v>
      </c>
      <c r="Z33" s="327">
        <f>-'IS (Before Changes)'!Z35*'IS (Before Changes)'!Z30</f>
        <v>-612.02106726653483</v>
      </c>
      <c r="AA33" s="327">
        <f>-'IS (Before Changes)'!AA35*'IS (Before Changes)'!AA30</f>
        <v>-643.90736487112133</v>
      </c>
      <c r="AB33" s="328">
        <f t="shared" si="32"/>
        <v>-2476.3082081819775</v>
      </c>
      <c r="AC33" s="327">
        <f>-'IS (Before Changes)'!X35*'IS (Before Changes)'!X30</f>
        <v>-609.58030771444623</v>
      </c>
      <c r="AD33" s="327">
        <f>-'IS (Before Changes)'!Y35*'IS (Before Changes)'!Y30</f>
        <v>-610.79946832987514</v>
      </c>
      <c r="AE33" s="327">
        <f>-'IS (Before Changes)'!Z35*'IS (Before Changes)'!Z30</f>
        <v>-612.02106726653483</v>
      </c>
      <c r="AF33" s="327">
        <f>-'IS (Before Changes)'!AA35*'IS (Before Changes)'!AA30</f>
        <v>-643.90736487112133</v>
      </c>
      <c r="AG33" s="328">
        <f t="shared" si="33"/>
        <v>-2476.3082081819775</v>
      </c>
      <c r="AH33" s="327">
        <f>-'IS (Before Changes)'!AC35*'IS (Before Changes)'!AC30</f>
        <v>-645.19517960086364</v>
      </c>
      <c r="AI33" s="327">
        <f>-'IS (Before Changes)'!AD35*'IS (Before Changes)'!AD30</f>
        <v>-646.48556996006528</v>
      </c>
      <c r="AJ33" s="327">
        <f>-'IS (Before Changes)'!AE35*'IS (Before Changes)'!AE30</f>
        <v>-647.28471393949167</v>
      </c>
      <c r="AK33" s="327">
        <f>-'IS (Before Changes)'!AF35*'IS (Before Changes)'!AF30</f>
        <v>-680.48972901722072</v>
      </c>
      <c r="AL33" s="328">
        <f t="shared" si="34"/>
        <v>-2619.4551925176411</v>
      </c>
      <c r="AM33" s="327">
        <f>-'IS (Before Changes)'!AH35*'IS (Before Changes)'!AH30</f>
        <v>-681.35688131476138</v>
      </c>
      <c r="AN33" s="327">
        <f>-'IS (Before Changes)'!AI35*'IS (Before Changes)'!AI30</f>
        <v>-682.2257679168971</v>
      </c>
      <c r="AO33" s="327">
        <f>-'IS (Before Changes)'!AJ35*'IS (Before Changes)'!AJ30</f>
        <v>-656.71623823142136</v>
      </c>
      <c r="AP33" s="327">
        <f>-'IS (Before Changes)'!AK35*'IS (Before Changes)'!AK30</f>
        <v>-662.71347396090346</v>
      </c>
      <c r="AQ33" s="328">
        <f t="shared" si="35"/>
        <v>-2683.0123614239833</v>
      </c>
      <c r="AR33" s="327">
        <f>-'IS (Before Changes)'!AM35*'IS (Before Changes)'!AM30</f>
        <v>-662.795119814298</v>
      </c>
      <c r="AS33" s="327">
        <f>-'IS (Before Changes)'!AN35*'IS (Before Changes)'!AN30</f>
        <v>-662.87692895939927</v>
      </c>
      <c r="AT33" s="327">
        <f>-'IS (Before Changes)'!AO35*'IS (Before Changes)'!AO30</f>
        <v>-662.95890172279076</v>
      </c>
      <c r="AU33" s="327">
        <f>-'IS (Before Changes)'!AP35*'IS (Before Changes)'!AP30</f>
        <v>-676.3018592003433</v>
      </c>
      <c r="AV33" s="328">
        <f t="shared" si="36"/>
        <v>-2664.9328096968311</v>
      </c>
    </row>
    <row r="34" spans="2:48" outlineLevel="1" x14ac:dyDescent="0.3">
      <c r="B34" s="325" t="s">
        <v>291</v>
      </c>
      <c r="C34" s="338"/>
      <c r="D34" s="327">
        <v>-5114.7</v>
      </c>
      <c r="E34" s="327">
        <f>-7827.9-D34</f>
        <v>-2713.2</v>
      </c>
      <c r="F34" s="327">
        <f>-7972.9-E34-D34</f>
        <v>-145</v>
      </c>
      <c r="G34" s="327">
        <f>-10222.3-F34-E34-D34</f>
        <v>-2249.3999999999996</v>
      </c>
      <c r="H34" s="328">
        <f t="shared" si="28"/>
        <v>-10222.299999999999</v>
      </c>
      <c r="I34" s="327">
        <v>-1091.4000000000001</v>
      </c>
      <c r="J34" s="327">
        <f>-1698.9-I34</f>
        <v>-607.5</v>
      </c>
      <c r="K34" s="327">
        <f>-1698.9-J34-I34</f>
        <v>0</v>
      </c>
      <c r="L34" s="327">
        <f>-1698.9-K34-J34-I34</f>
        <v>0</v>
      </c>
      <c r="M34" s="328">
        <f t="shared" si="29"/>
        <v>-1698.9</v>
      </c>
      <c r="N34" s="327">
        <v>0</v>
      </c>
      <c r="O34" s="327">
        <f>0-N34</f>
        <v>0</v>
      </c>
      <c r="P34" s="327">
        <f>0-O34-N34</f>
        <v>0</v>
      </c>
      <c r="Q34" s="327">
        <f>0-P34-O34-N34</f>
        <v>0</v>
      </c>
      <c r="R34" s="328">
        <f t="shared" si="30"/>
        <v>0</v>
      </c>
      <c r="S34" s="327">
        <v>-3520.9</v>
      </c>
      <c r="T34" s="327">
        <f>-3997.5-S34</f>
        <v>-476.59999999999991</v>
      </c>
      <c r="U34" s="327">
        <f>-4013-T34-S34</f>
        <v>-15.5</v>
      </c>
      <c r="V34" s="327">
        <f>-4013-U34-T34-S34</f>
        <v>0</v>
      </c>
      <c r="W34" s="328">
        <f t="shared" si="31"/>
        <v>-4013</v>
      </c>
      <c r="X34" s="327">
        <f>-'IS (Before Changes)'!X154</f>
        <v>0</v>
      </c>
      <c r="Y34" s="327">
        <f>-'IS (Before Changes)'!Y154</f>
        <v>0</v>
      </c>
      <c r="Z34" s="327">
        <f>-'IS (Before Changes)'!Z154</f>
        <v>0</v>
      </c>
      <c r="AA34" s="327">
        <f>-'IS (Before Changes)'!AA154</f>
        <v>0</v>
      </c>
      <c r="AB34" s="328">
        <f t="shared" si="32"/>
        <v>0</v>
      </c>
      <c r="AC34" s="327">
        <f>-'IS (Before Changes)'!AC154</f>
        <v>0</v>
      </c>
      <c r="AD34" s="327">
        <f>-'IS (Before Changes)'!AD154</f>
        <v>0</v>
      </c>
      <c r="AE34" s="327">
        <f>-'IS (Before Changes)'!AE154</f>
        <v>-100</v>
      </c>
      <c r="AF34" s="327">
        <f>-'IS (Before Changes)'!AF154</f>
        <v>-100</v>
      </c>
      <c r="AG34" s="328">
        <f t="shared" si="33"/>
        <v>-200</v>
      </c>
      <c r="AH34" s="327">
        <f>-'IS (Before Changes)'!AH154</f>
        <v>-100</v>
      </c>
      <c r="AI34" s="327">
        <f>-'IS (Before Changes)'!AI154</f>
        <v>-100</v>
      </c>
      <c r="AJ34" s="327">
        <f>-'IS (Before Changes)'!AJ154</f>
        <v>-5441.98119731518</v>
      </c>
      <c r="AK34" s="327">
        <f>-'IS (Before Changes)'!AK154</f>
        <v>-5441.98119731518</v>
      </c>
      <c r="AL34" s="328">
        <f t="shared" si="34"/>
        <v>-11083.96239463036</v>
      </c>
      <c r="AM34" s="327">
        <f>-'IS (Before Changes)'!AM154</f>
        <v>-250</v>
      </c>
      <c r="AN34" s="327">
        <f>-'IS (Before Changes)'!AN154</f>
        <v>-250</v>
      </c>
      <c r="AO34" s="327">
        <f>-'IS (Before Changes)'!AO154</f>
        <v>-250</v>
      </c>
      <c r="AP34" s="327">
        <f>-'IS (Before Changes)'!AP154</f>
        <v>-250</v>
      </c>
      <c r="AQ34" s="328">
        <f t="shared" si="35"/>
        <v>-1000</v>
      </c>
      <c r="AR34" s="327">
        <f>-'IS (Before Changes)'!AR154</f>
        <v>-250</v>
      </c>
      <c r="AS34" s="327">
        <f>-'IS (Before Changes)'!AS154</f>
        <v>-250</v>
      </c>
      <c r="AT34" s="327">
        <f>-'IS (Before Changes)'!AT154</f>
        <v>-250</v>
      </c>
      <c r="AU34" s="327">
        <f>-'IS (Before Changes)'!AU154</f>
        <v>-250</v>
      </c>
      <c r="AV34" s="328">
        <f t="shared" si="36"/>
        <v>-1000</v>
      </c>
    </row>
    <row r="35" spans="2:48" outlineLevel="1" x14ac:dyDescent="0.3">
      <c r="B35" s="325" t="s">
        <v>292</v>
      </c>
      <c r="C35" s="339"/>
      <c r="D35" s="327">
        <v>-55.3</v>
      </c>
      <c r="E35" s="327">
        <f>-56.3-D35</f>
        <v>-1</v>
      </c>
      <c r="F35" s="327">
        <f>-106.1-E35-D35</f>
        <v>-49.8</v>
      </c>
      <c r="G35" s="327">
        <f>-111.6-F35-E35-D35</f>
        <v>-5.5</v>
      </c>
      <c r="H35" s="328">
        <f t="shared" si="28"/>
        <v>-111.6</v>
      </c>
      <c r="I35" s="327">
        <v>-78.400000000000006</v>
      </c>
      <c r="J35" s="327">
        <f>-87.6-I35</f>
        <v>-9.1999999999999886</v>
      </c>
      <c r="K35" s="327">
        <f>-89.1-J35-I35</f>
        <v>-1.5</v>
      </c>
      <c r="L35" s="327">
        <f>-91.9-K35-J35-I35</f>
        <v>-2.8000000000000114</v>
      </c>
      <c r="M35" s="328">
        <f t="shared" si="29"/>
        <v>-91.9</v>
      </c>
      <c r="N35" s="327">
        <v>-88.6</v>
      </c>
      <c r="O35" s="327">
        <f>-90.1-N35</f>
        <v>-1.5</v>
      </c>
      <c r="P35" s="327">
        <f>-94.2-O35-N35</f>
        <v>-4.1000000000000085</v>
      </c>
      <c r="Q35" s="327">
        <f>-97-P35-O35-N35</f>
        <v>-2.7999999999999972</v>
      </c>
      <c r="R35" s="328">
        <f t="shared" si="30"/>
        <v>-97</v>
      </c>
      <c r="S35" s="327">
        <v>-113.6</v>
      </c>
      <c r="T35" s="327">
        <f>-122.1-S35</f>
        <v>-8.5</v>
      </c>
      <c r="U35" s="327">
        <f>-123.5-T35-S35</f>
        <v>-1.4000000000000057</v>
      </c>
      <c r="V35" s="327">
        <f>-127.2-U35-T35-S35</f>
        <v>-3.7000000000000028</v>
      </c>
      <c r="W35" s="328">
        <f t="shared" si="31"/>
        <v>-127.2</v>
      </c>
      <c r="X35" s="327">
        <f>(V35/V12)*X12</f>
        <v>-4.1850155062450822</v>
      </c>
      <c r="Y35" s="327">
        <f>(X35/X12)*Y12</f>
        <v>-3.6317430859271091</v>
      </c>
      <c r="Z35" s="327">
        <f>(Y35/Y12)*Z12</f>
        <v>-4.0488430437703915</v>
      </c>
      <c r="AA35" s="327">
        <f>(Z35/Z12)*AA12</f>
        <v>-4.266803020140479</v>
      </c>
      <c r="AB35" s="328">
        <f t="shared" si="32"/>
        <v>-16.132404656083061</v>
      </c>
      <c r="AC35" s="327">
        <f>(AA35/AA12)*AC12</f>
        <v>-4.3945009647173237</v>
      </c>
      <c r="AD35" s="327">
        <f>(AC35/AC12)*AD12</f>
        <v>-4.0821944753649175</v>
      </c>
      <c r="AE35" s="327">
        <f>(AD35/AD12)*AE12</f>
        <v>-4.5012375972289993</v>
      </c>
      <c r="AF35" s="327">
        <f>(AE35/AE12)*AF12</f>
        <v>-4.6727550509323725</v>
      </c>
      <c r="AG35" s="328">
        <f t="shared" si="33"/>
        <v>-17.650688088243616</v>
      </c>
      <c r="AH35" s="327">
        <f>(AF35/AF12)*AH12</f>
        <v>-4.8543743264861572</v>
      </c>
      <c r="AI35" s="327">
        <f>(AH35/AH12)*AI12</f>
        <v>-4.5749101333081912</v>
      </c>
      <c r="AJ35" s="327">
        <f>(AI35/AI12)*AJ12</f>
        <v>-5.0244028481571545</v>
      </c>
      <c r="AK35" s="327">
        <f>(AJ35/AJ12)*AK12</f>
        <v>-5.2092180813310032</v>
      </c>
      <c r="AL35" s="328">
        <f t="shared" si="34"/>
        <v>-19.662905389282507</v>
      </c>
      <c r="AM35" s="327">
        <f>(AK35/AK12)*AM12</f>
        <v>-5.3339228966539993</v>
      </c>
      <c r="AN35" s="327">
        <f>(AM35/AM12)*AN12</f>
        <v>-5.0120449979080108</v>
      </c>
      <c r="AO35" s="327">
        <f>(AN35/AN12)*AO12</f>
        <v>-5.4780246512180639</v>
      </c>
      <c r="AP35" s="327">
        <f>(AO35/AO12)*AP12</f>
        <v>-5.6586347666869843</v>
      </c>
      <c r="AQ35" s="328">
        <f t="shared" si="35"/>
        <v>-21.482627312467059</v>
      </c>
      <c r="AR35" s="327">
        <f>(AP35/AP12)*AR12</f>
        <v>-5.6796056100886201</v>
      </c>
      <c r="AS35" s="327">
        <f>(AR35/AR12)*AS12</f>
        <v>-5.3342460548228354</v>
      </c>
      <c r="AT35" s="327">
        <f>(AS35/AS12)*AT12</f>
        <v>-5.8275653458653647</v>
      </c>
      <c r="AU35" s="327">
        <f>(AT35/AT12)*AU12</f>
        <v>-6.0192179089199751</v>
      </c>
      <c r="AV35" s="328">
        <f t="shared" si="36"/>
        <v>-22.8606349196968</v>
      </c>
    </row>
    <row r="36" spans="2:48" ht="16.2" outlineLevel="1" x14ac:dyDescent="0.45">
      <c r="B36" s="538" t="s">
        <v>293</v>
      </c>
      <c r="C36" s="539"/>
      <c r="D36" s="329">
        <v>-0.3</v>
      </c>
      <c r="E36" s="329">
        <f>0.1-D36</f>
        <v>0.4</v>
      </c>
      <c r="F36" s="329">
        <f>-17.6-E36-D36</f>
        <v>-17.7</v>
      </c>
      <c r="G36" s="329">
        <f>-17.5-F36-E36-D36</f>
        <v>9.9999999999999256E-2</v>
      </c>
      <c r="H36" s="330">
        <f t="shared" si="28"/>
        <v>-17.5</v>
      </c>
      <c r="I36" s="329">
        <v>0</v>
      </c>
      <c r="J36" s="329">
        <f>-10.4-I36</f>
        <v>-10.4</v>
      </c>
      <c r="K36" s="329">
        <f>-37.8-J36-I36</f>
        <v>-27.4</v>
      </c>
      <c r="L36" s="329">
        <f>-37.7-K36-J36-I36</f>
        <v>9.9999999999996092E-2</v>
      </c>
      <c r="M36" s="330">
        <f t="shared" si="29"/>
        <v>-37.700000000000003</v>
      </c>
      <c r="N36" s="329">
        <v>0</v>
      </c>
      <c r="O36" s="329">
        <f>0-N36</f>
        <v>0</v>
      </c>
      <c r="P36" s="329">
        <f>0-O36-N36</f>
        <v>0</v>
      </c>
      <c r="Q36" s="329">
        <f>0-P36-O36-N36</f>
        <v>0</v>
      </c>
      <c r="R36" s="330">
        <f t="shared" si="30"/>
        <v>0</v>
      </c>
      <c r="S36" s="329">
        <v>0</v>
      </c>
      <c r="T36" s="329">
        <f>-9.2-S36</f>
        <v>-9.1999999999999993</v>
      </c>
      <c r="U36" s="329">
        <f>-9.2-T36-S36</f>
        <v>0</v>
      </c>
      <c r="V36" s="329">
        <f>-9.2-U36-T36-S36</f>
        <v>0</v>
      </c>
      <c r="W36" s="330">
        <f t="shared" si="31"/>
        <v>-9.1999999999999993</v>
      </c>
      <c r="X36" s="329">
        <v>0</v>
      </c>
      <c r="Y36" s="329">
        <v>0</v>
      </c>
      <c r="Z36" s="329">
        <v>0</v>
      </c>
      <c r="AA36" s="329">
        <v>0</v>
      </c>
      <c r="AB36" s="330">
        <f t="shared" si="32"/>
        <v>0</v>
      </c>
      <c r="AC36" s="329">
        <v>0</v>
      </c>
      <c r="AD36" s="329">
        <v>0</v>
      </c>
      <c r="AE36" s="329">
        <v>0</v>
      </c>
      <c r="AF36" s="329">
        <v>0</v>
      </c>
      <c r="AG36" s="330">
        <f t="shared" si="33"/>
        <v>0</v>
      </c>
      <c r="AH36" s="329">
        <v>0</v>
      </c>
      <c r="AI36" s="329">
        <v>0</v>
      </c>
      <c r="AJ36" s="329">
        <v>0</v>
      </c>
      <c r="AK36" s="329">
        <v>0</v>
      </c>
      <c r="AL36" s="330">
        <f t="shared" si="34"/>
        <v>0</v>
      </c>
      <c r="AM36" s="329">
        <v>0</v>
      </c>
      <c r="AN36" s="329">
        <v>0</v>
      </c>
      <c r="AO36" s="329">
        <v>0</v>
      </c>
      <c r="AP36" s="329">
        <v>0</v>
      </c>
      <c r="AQ36" s="330">
        <f t="shared" si="35"/>
        <v>0</v>
      </c>
      <c r="AR36" s="329">
        <v>0</v>
      </c>
      <c r="AS36" s="329">
        <v>0</v>
      </c>
      <c r="AT36" s="329">
        <v>0</v>
      </c>
      <c r="AU36" s="329">
        <v>0</v>
      </c>
      <c r="AV36" s="330">
        <f t="shared" si="36"/>
        <v>0</v>
      </c>
    </row>
    <row r="37" spans="2:48" outlineLevel="1" x14ac:dyDescent="0.3">
      <c r="B37" s="540" t="s">
        <v>294</v>
      </c>
      <c r="C37" s="541"/>
      <c r="D37" s="331">
        <f t="shared" ref="D37:AV37" si="39">SUM(D29:D36)</f>
        <v>-5858.6</v>
      </c>
      <c r="E37" s="331">
        <f t="shared" si="39"/>
        <v>-2919.2999999999997</v>
      </c>
      <c r="F37" s="331">
        <f t="shared" si="39"/>
        <v>1355.1</v>
      </c>
      <c r="G37" s="331">
        <f t="shared" si="39"/>
        <v>-2634.1</v>
      </c>
      <c r="H37" s="332">
        <f t="shared" si="39"/>
        <v>-10056.9</v>
      </c>
      <c r="I37" s="331">
        <f t="shared" si="39"/>
        <v>-1123.0000000000002</v>
      </c>
      <c r="J37" s="331">
        <f t="shared" si="39"/>
        <v>1273.1000000000001</v>
      </c>
      <c r="K37" s="331">
        <f t="shared" si="39"/>
        <v>2342.9000000000005</v>
      </c>
      <c r="L37" s="331">
        <f t="shared" si="39"/>
        <v>-779.69999999999948</v>
      </c>
      <c r="M37" s="332">
        <f t="shared" si="39"/>
        <v>1713.3000000000009</v>
      </c>
      <c r="N37" s="331">
        <f t="shared" si="39"/>
        <v>-965.80000000000007</v>
      </c>
      <c r="O37" s="331">
        <f t="shared" si="39"/>
        <v>-1711.6</v>
      </c>
      <c r="P37" s="331">
        <f t="shared" si="39"/>
        <v>-490.50000000000011</v>
      </c>
      <c r="Q37" s="331">
        <f t="shared" si="39"/>
        <v>-483.09999999999991</v>
      </c>
      <c r="R37" s="332">
        <f t="shared" si="39"/>
        <v>-3651</v>
      </c>
      <c r="S37" s="331">
        <f t="shared" si="39"/>
        <v>-3969.2</v>
      </c>
      <c r="T37" s="331">
        <f t="shared" si="39"/>
        <v>260.40000000000015</v>
      </c>
      <c r="U37" s="331">
        <f t="shared" si="39"/>
        <v>-1364.4</v>
      </c>
      <c r="V37" s="331">
        <f t="shared" si="39"/>
        <v>-564.8000000000003</v>
      </c>
      <c r="W37" s="332">
        <f t="shared" si="39"/>
        <v>-5638</v>
      </c>
      <c r="X37" s="331">
        <f t="shared" si="39"/>
        <v>-613.76532322069136</v>
      </c>
      <c r="Y37" s="331">
        <f t="shared" si="39"/>
        <v>-614.4312114158023</v>
      </c>
      <c r="Z37" s="331">
        <f t="shared" si="39"/>
        <v>-616.0699103103052</v>
      </c>
      <c r="AA37" s="331">
        <f t="shared" si="39"/>
        <v>-648.17416789126185</v>
      </c>
      <c r="AB37" s="332">
        <f t="shared" si="39"/>
        <v>-2492.4406128380606</v>
      </c>
      <c r="AC37" s="331">
        <f t="shared" si="39"/>
        <v>-613.97480867916352</v>
      </c>
      <c r="AD37" s="331">
        <f t="shared" si="39"/>
        <v>-615.18166280523997</v>
      </c>
      <c r="AE37" s="331">
        <f t="shared" si="39"/>
        <v>-716.52230486376379</v>
      </c>
      <c r="AF37" s="331">
        <f t="shared" si="39"/>
        <v>-648.58011992205365</v>
      </c>
      <c r="AG37" s="332">
        <f t="shared" si="39"/>
        <v>-2594.2588962702212</v>
      </c>
      <c r="AH37" s="331">
        <f t="shared" si="39"/>
        <v>-750.04955392734985</v>
      </c>
      <c r="AI37" s="331">
        <f t="shared" si="39"/>
        <v>-751.06048009337349</v>
      </c>
      <c r="AJ37" s="331">
        <f t="shared" si="39"/>
        <v>-552.30911678764971</v>
      </c>
      <c r="AK37" s="331">
        <f t="shared" si="39"/>
        <v>-6127.6801444137309</v>
      </c>
      <c r="AL37" s="332">
        <f t="shared" si="39"/>
        <v>-8181.099295222104</v>
      </c>
      <c r="AM37" s="331">
        <f t="shared" si="39"/>
        <v>-936.69080421141541</v>
      </c>
      <c r="AN37" s="331">
        <f t="shared" si="39"/>
        <v>-937.23781291480509</v>
      </c>
      <c r="AO37" s="331">
        <f t="shared" si="39"/>
        <v>-912.19426288263946</v>
      </c>
      <c r="AP37" s="331">
        <f t="shared" si="39"/>
        <v>-918.37210872759044</v>
      </c>
      <c r="AQ37" s="332">
        <f t="shared" si="39"/>
        <v>-3704.4949887364505</v>
      </c>
      <c r="AR37" s="331">
        <f t="shared" si="39"/>
        <v>-918.47472542438663</v>
      </c>
      <c r="AS37" s="331">
        <f t="shared" si="39"/>
        <v>-918.21117501422214</v>
      </c>
      <c r="AT37" s="331">
        <f t="shared" si="39"/>
        <v>-918.78646706865607</v>
      </c>
      <c r="AU37" s="331">
        <f t="shared" si="39"/>
        <v>-932.32107710926323</v>
      </c>
      <c r="AV37" s="332">
        <f t="shared" si="39"/>
        <v>-3687.7934446165277</v>
      </c>
    </row>
    <row r="38" spans="2:48" outlineLevel="1" x14ac:dyDescent="0.3">
      <c r="B38" s="248" t="s">
        <v>295</v>
      </c>
      <c r="C38" s="249"/>
      <c r="D38" s="333">
        <f>-4.7-0.1</f>
        <v>-4.8</v>
      </c>
      <c r="E38" s="340">
        <f>18.3-0.1-D38</f>
        <v>23</v>
      </c>
      <c r="F38" s="340">
        <f>-2.5-E38-D38</f>
        <v>-20.7</v>
      </c>
      <c r="G38" s="340">
        <f>-49-F38-E38-D38</f>
        <v>-46.5</v>
      </c>
      <c r="H38" s="337">
        <f>SUM(D38:G38)</f>
        <v>-49</v>
      </c>
      <c r="I38" s="340">
        <v>27.1</v>
      </c>
      <c r="J38" s="340">
        <f>8.7-I38</f>
        <v>-18.400000000000002</v>
      </c>
      <c r="K38" s="340">
        <f>10.9-J38-I38</f>
        <v>2.2000000000000028</v>
      </c>
      <c r="L38" s="340">
        <f>64.7-K38-J38-I38</f>
        <v>53.800000000000004</v>
      </c>
      <c r="M38" s="337">
        <f>SUM(I38:L38)</f>
        <v>64.7</v>
      </c>
      <c r="N38" s="340">
        <v>79.8</v>
      </c>
      <c r="O38" s="340">
        <f>66.7-N38</f>
        <v>-13.099999999999994</v>
      </c>
      <c r="P38" s="340">
        <f>87.9-O38-N38</f>
        <v>21.200000000000003</v>
      </c>
      <c r="Q38" s="340">
        <f>86.2-P38-O38-N38</f>
        <v>-1.7000000000000028</v>
      </c>
      <c r="R38" s="337">
        <f>SUM(N38:Q38)</f>
        <v>86.2</v>
      </c>
      <c r="S38" s="340">
        <v>13</v>
      </c>
      <c r="T38" s="340">
        <f>14.6-S38</f>
        <v>1.5999999999999996</v>
      </c>
      <c r="U38" s="340">
        <f>-126.3-T38-S38</f>
        <v>-140.89999999999998</v>
      </c>
      <c r="V38" s="340">
        <f>-250.3-U38-T38-S38</f>
        <v>-124.00000000000003</v>
      </c>
      <c r="W38" s="337">
        <f>SUM(S38:V38)</f>
        <v>-250.3</v>
      </c>
      <c r="X38" s="341">
        <v>0</v>
      </c>
      <c r="Y38" s="341">
        <v>0</v>
      </c>
      <c r="Z38" s="341">
        <v>0</v>
      </c>
      <c r="AA38" s="341">
        <v>0</v>
      </c>
      <c r="AB38" s="337">
        <f>SUM(X38:AA38)</f>
        <v>0</v>
      </c>
      <c r="AC38" s="341">
        <v>0</v>
      </c>
      <c r="AD38" s="341">
        <v>0</v>
      </c>
      <c r="AE38" s="341">
        <v>0</v>
      </c>
      <c r="AF38" s="341">
        <v>0</v>
      </c>
      <c r="AG38" s="337">
        <f>SUM(AC38:AF38)</f>
        <v>0</v>
      </c>
      <c r="AH38" s="341">
        <v>0</v>
      </c>
      <c r="AI38" s="341">
        <v>0</v>
      </c>
      <c r="AJ38" s="341">
        <v>0</v>
      </c>
      <c r="AK38" s="341">
        <v>0</v>
      </c>
      <c r="AL38" s="337">
        <f>SUM(AH38:AK38)</f>
        <v>0</v>
      </c>
      <c r="AM38" s="341">
        <v>0</v>
      </c>
      <c r="AN38" s="341">
        <v>0</v>
      </c>
      <c r="AO38" s="341">
        <v>0</v>
      </c>
      <c r="AP38" s="341">
        <v>0</v>
      </c>
      <c r="AQ38" s="337">
        <f>SUM(AM38:AP38)</f>
        <v>0</v>
      </c>
      <c r="AR38" s="341">
        <v>0</v>
      </c>
      <c r="AS38" s="341">
        <v>0</v>
      </c>
      <c r="AT38" s="341">
        <v>0</v>
      </c>
      <c r="AU38" s="341">
        <v>0</v>
      </c>
      <c r="AV38" s="337">
        <f>SUM(AR38:AU38)</f>
        <v>0</v>
      </c>
    </row>
    <row r="39" spans="2:48" ht="16.2" outlineLevel="1" x14ac:dyDescent="0.45">
      <c r="B39" s="486" t="s">
        <v>296</v>
      </c>
      <c r="C39" s="487"/>
      <c r="D39" s="260">
        <f t="shared" ref="D39:AV39" si="40">D37+D27+D22+D38</f>
        <v>-3994.7999999999997</v>
      </c>
      <c r="E39" s="260">
        <f t="shared" si="40"/>
        <v>-2706.5</v>
      </c>
      <c r="F39" s="260">
        <f t="shared" si="40"/>
        <v>2708.3000000000011</v>
      </c>
      <c r="G39" s="260">
        <f t="shared" si="40"/>
        <v>-2076.7999999999993</v>
      </c>
      <c r="H39" s="261">
        <f t="shared" si="40"/>
        <v>-6069.7999999999938</v>
      </c>
      <c r="I39" s="260">
        <f t="shared" si="40"/>
        <v>353.89999999999839</v>
      </c>
      <c r="J39" s="260">
        <f t="shared" si="40"/>
        <v>-468.20000000000061</v>
      </c>
      <c r="K39" s="260">
        <f t="shared" si="40"/>
        <v>1393.600000000001</v>
      </c>
      <c r="L39" s="260">
        <f t="shared" si="40"/>
        <v>385.0000000000021</v>
      </c>
      <c r="M39" s="261">
        <f t="shared" si="40"/>
        <v>1664.3000000000052</v>
      </c>
      <c r="N39" s="260">
        <f t="shared" si="40"/>
        <v>677.2</v>
      </c>
      <c r="O39" s="260">
        <f t="shared" si="40"/>
        <v>-1147.3999999999996</v>
      </c>
      <c r="P39" s="260">
        <f t="shared" si="40"/>
        <v>872.49999999999909</v>
      </c>
      <c r="Q39" s="260">
        <f t="shared" si="40"/>
        <v>1702.5999999999997</v>
      </c>
      <c r="R39" s="261">
        <f t="shared" si="40"/>
        <v>2104.8999999999978</v>
      </c>
      <c r="S39" s="260">
        <f t="shared" si="40"/>
        <v>-2486.3000000000002</v>
      </c>
      <c r="T39" s="260">
        <f t="shared" si="40"/>
        <v>-55.999999999999567</v>
      </c>
      <c r="U39" s="260">
        <f t="shared" si="40"/>
        <v>-735.90000000000089</v>
      </c>
      <c r="V39" s="260">
        <f t="shared" si="40"/>
        <v>-359.20000000000118</v>
      </c>
      <c r="W39" s="261">
        <f>W37+W27+W22+W38</f>
        <v>-3637.4000000000005</v>
      </c>
      <c r="X39" s="260">
        <f>X37+X27+X22+X38</f>
        <v>1002.2170959622213</v>
      </c>
      <c r="Y39" s="260">
        <f t="shared" si="40"/>
        <v>-440.81894205096091</v>
      </c>
      <c r="Z39" s="260">
        <f t="shared" si="40"/>
        <v>-189.32935856442396</v>
      </c>
      <c r="AA39" s="260">
        <f t="shared" si="40"/>
        <v>546.39765625476139</v>
      </c>
      <c r="AB39" s="261">
        <f t="shared" si="40"/>
        <v>918.46645160159824</v>
      </c>
      <c r="AC39" s="260">
        <f t="shared" si="40"/>
        <v>935.61718833600457</v>
      </c>
      <c r="AD39" s="260">
        <f t="shared" si="40"/>
        <v>-223.53200773863841</v>
      </c>
      <c r="AE39" s="260">
        <f t="shared" si="40"/>
        <v>39.889729225623569</v>
      </c>
      <c r="AF39" s="260">
        <f t="shared" si="40"/>
        <v>415.7086307015436</v>
      </c>
      <c r="AG39" s="261">
        <f t="shared" si="40"/>
        <v>1167.6835405245329</v>
      </c>
      <c r="AH39" s="260">
        <f t="shared" si="40"/>
        <v>1016.2056226062423</v>
      </c>
      <c r="AI39" s="260">
        <f t="shared" si="40"/>
        <v>-212.37835016010558</v>
      </c>
      <c r="AJ39" s="260">
        <f t="shared" si="40"/>
        <v>369.43308800166756</v>
      </c>
      <c r="AK39" s="260">
        <f t="shared" si="40"/>
        <v>-4654.6099184434997</v>
      </c>
      <c r="AL39" s="261">
        <f t="shared" si="40"/>
        <v>-3481.3495579956962</v>
      </c>
      <c r="AM39" s="260">
        <f t="shared" si="40"/>
        <v>1100.4621724634876</v>
      </c>
      <c r="AN39" s="260">
        <f t="shared" si="40"/>
        <v>-354.71621609088061</v>
      </c>
      <c r="AO39" s="260">
        <f t="shared" si="40"/>
        <v>63.269979760834531</v>
      </c>
      <c r="AP39" s="260">
        <f t="shared" si="40"/>
        <v>553.97543507707087</v>
      </c>
      <c r="AQ39" s="261">
        <f t="shared" si="40"/>
        <v>1362.9913712105135</v>
      </c>
      <c r="AR39" s="260">
        <f t="shared" si="40"/>
        <v>1262.9204134171268</v>
      </c>
      <c r="AS39" s="260">
        <f t="shared" si="40"/>
        <v>-265.20170267406138</v>
      </c>
      <c r="AT39" s="260">
        <f t="shared" si="40"/>
        <v>189.98602078687759</v>
      </c>
      <c r="AU39" s="260">
        <f t="shared" si="40"/>
        <v>598.80325695045303</v>
      </c>
      <c r="AV39" s="261">
        <f t="shared" si="40"/>
        <v>1786.5079884803963</v>
      </c>
    </row>
    <row r="40" spans="2:48" ht="16.2" outlineLevel="1" x14ac:dyDescent="0.45">
      <c r="B40" s="486" t="s">
        <v>297</v>
      </c>
      <c r="C40" s="487"/>
      <c r="D40" s="260">
        <v>8756.2999999999993</v>
      </c>
      <c r="E40" s="260">
        <f>D41</f>
        <v>4761.6000000000004</v>
      </c>
      <c r="F40" s="260">
        <f>E41</f>
        <v>2055.1000000000004</v>
      </c>
      <c r="G40" s="260">
        <f>F41</f>
        <v>4763.4000000000015</v>
      </c>
      <c r="H40" s="261">
        <f>D40</f>
        <v>8756.2999999999993</v>
      </c>
      <c r="I40" s="112">
        <f>H41</f>
        <v>2686.5000000000055</v>
      </c>
      <c r="J40" s="260">
        <f>I41</f>
        <v>3040.5000000000036</v>
      </c>
      <c r="K40" s="260">
        <f>J41</f>
        <v>2572.3000000000029</v>
      </c>
      <c r="L40" s="260">
        <f>K41</f>
        <v>3965.9000000000042</v>
      </c>
      <c r="M40" s="261">
        <f>H41</f>
        <v>2686.5000000000055</v>
      </c>
      <c r="N40" s="260">
        <f>+M41</f>
        <v>4350.8000000000102</v>
      </c>
      <c r="O40" s="260">
        <f>N41</f>
        <v>5028.00000000001</v>
      </c>
      <c r="P40" s="260">
        <f>O41</f>
        <v>3880.6000000000104</v>
      </c>
      <c r="Q40" s="260">
        <f>P41</f>
        <v>4753.1000000000095</v>
      </c>
      <c r="R40" s="261">
        <f>M41</f>
        <v>4350.8000000000102</v>
      </c>
      <c r="S40" s="260">
        <f>+R41</f>
        <v>6455.700000000008</v>
      </c>
      <c r="T40" s="260">
        <f>S41</f>
        <v>3969.4000000000078</v>
      </c>
      <c r="U40" s="260">
        <f>T41</f>
        <v>3913.4000000000083</v>
      </c>
      <c r="V40" s="260">
        <f>U41</f>
        <v>3177.5000000000073</v>
      </c>
      <c r="W40" s="261">
        <f>R41</f>
        <v>6455.700000000008</v>
      </c>
      <c r="X40" s="260">
        <f>+W41</f>
        <v>2818.3000000000075</v>
      </c>
      <c r="Y40" s="260">
        <f>X41</f>
        <v>3820.5170959622287</v>
      </c>
      <c r="Z40" s="260">
        <f>Y41</f>
        <v>3379.6981539112676</v>
      </c>
      <c r="AA40" s="260">
        <f>Z41</f>
        <v>3190.3687953468434</v>
      </c>
      <c r="AB40" s="261">
        <f>W41</f>
        <v>2818.3000000000075</v>
      </c>
      <c r="AC40" s="260">
        <f>+AB41</f>
        <v>3736.7664516016057</v>
      </c>
      <c r="AD40" s="260">
        <f>AC41</f>
        <v>4672.3836399376105</v>
      </c>
      <c r="AE40" s="260">
        <f>AD41</f>
        <v>4448.8516321989719</v>
      </c>
      <c r="AF40" s="260">
        <f>AE41</f>
        <v>4488.7413614245952</v>
      </c>
      <c r="AG40" s="261">
        <f>AB41</f>
        <v>3736.7664516016057</v>
      </c>
      <c r="AH40" s="260">
        <f>+AG41</f>
        <v>4904.4499921261386</v>
      </c>
      <c r="AI40" s="260">
        <f>AH41</f>
        <v>5920.6556147323809</v>
      </c>
      <c r="AJ40" s="260">
        <f>AI41</f>
        <v>5708.2772645722753</v>
      </c>
      <c r="AK40" s="260">
        <f>AJ41</f>
        <v>6077.7103525739431</v>
      </c>
      <c r="AL40" s="261">
        <f>AG41</f>
        <v>4904.4499921261386</v>
      </c>
      <c r="AM40" s="260">
        <f>+AL41</f>
        <v>1423.1004341304424</v>
      </c>
      <c r="AN40" s="260">
        <f>AM41</f>
        <v>2523.56260659393</v>
      </c>
      <c r="AO40" s="260">
        <f>AN41</f>
        <v>2168.8463905030494</v>
      </c>
      <c r="AP40" s="260">
        <f>AO41</f>
        <v>2232.1163702638842</v>
      </c>
      <c r="AQ40" s="261">
        <f>AL41</f>
        <v>1423.1004341304424</v>
      </c>
      <c r="AR40" s="260">
        <f>+AQ41</f>
        <v>2786.0918053409559</v>
      </c>
      <c r="AS40" s="260">
        <f>AR41</f>
        <v>4049.0122187580828</v>
      </c>
      <c r="AT40" s="260">
        <f>AS41</f>
        <v>3783.8105160840214</v>
      </c>
      <c r="AU40" s="260">
        <f>AT41</f>
        <v>3973.7965368708992</v>
      </c>
      <c r="AV40" s="261">
        <f>AQ41</f>
        <v>2786.0918053409559</v>
      </c>
    </row>
    <row r="41" spans="2:48" outlineLevel="1" x14ac:dyDescent="0.3">
      <c r="B41" s="529" t="s">
        <v>298</v>
      </c>
      <c r="C41" s="530"/>
      <c r="D41" s="116">
        <f>+D40+D39+0.1</f>
        <v>4761.6000000000004</v>
      </c>
      <c r="E41" s="116">
        <f>+E40+E39</f>
        <v>2055.1000000000004</v>
      </c>
      <c r="F41" s="116">
        <f>+F40+F39</f>
        <v>4763.4000000000015</v>
      </c>
      <c r="G41" s="116">
        <f>+G40+G39</f>
        <v>2686.6000000000022</v>
      </c>
      <c r="H41" s="150">
        <f>+D40+H39</f>
        <v>2686.5000000000055</v>
      </c>
      <c r="I41" s="116">
        <f>+I40+I39+0.1</f>
        <v>3040.5000000000036</v>
      </c>
      <c r="J41" s="116">
        <f>+J40+J39</f>
        <v>2572.3000000000029</v>
      </c>
      <c r="K41" s="116">
        <f>+K40+K39</f>
        <v>3965.9000000000042</v>
      </c>
      <c r="L41" s="21">
        <f>+L40+L39</f>
        <v>4350.900000000006</v>
      </c>
      <c r="M41" s="22">
        <f>+I40+M39</f>
        <v>4350.8000000000102</v>
      </c>
      <c r="N41" s="21">
        <f>+N40+N39</f>
        <v>5028.00000000001</v>
      </c>
      <c r="O41" s="21">
        <f>+O40+O39</f>
        <v>3880.6000000000104</v>
      </c>
      <c r="P41" s="21">
        <f>+P40+P39</f>
        <v>4753.1000000000095</v>
      </c>
      <c r="Q41" s="21">
        <f>+Q40+Q39</f>
        <v>6455.7000000000089</v>
      </c>
      <c r="R41" s="22">
        <f>+N40+R39</f>
        <v>6455.700000000008</v>
      </c>
      <c r="S41" s="21">
        <f>+S40+S39</f>
        <v>3969.4000000000078</v>
      </c>
      <c r="T41" s="21">
        <f>+T40+T39</f>
        <v>3913.4000000000083</v>
      </c>
      <c r="U41" s="21">
        <f>+U40+U39</f>
        <v>3177.5000000000073</v>
      </c>
      <c r="V41" s="21">
        <f>+V40+V39</f>
        <v>2818.3000000000061</v>
      </c>
      <c r="W41" s="22">
        <f>+S40+W39</f>
        <v>2818.3000000000075</v>
      </c>
      <c r="X41" s="21">
        <f>+X40+X39</f>
        <v>3820.5170959622287</v>
      </c>
      <c r="Y41" s="21">
        <f>+Y40+Y39</f>
        <v>3379.6981539112676</v>
      </c>
      <c r="Z41" s="21">
        <f>+Z40+Z39</f>
        <v>3190.3687953468434</v>
      </c>
      <c r="AA41" s="21">
        <f>+AA40+AA39</f>
        <v>3736.7664516016048</v>
      </c>
      <c r="AB41" s="22">
        <f>+X40+AB39</f>
        <v>3736.7664516016057</v>
      </c>
      <c r="AC41" s="21">
        <f>+AC40+AC39</f>
        <v>4672.3836399376105</v>
      </c>
      <c r="AD41" s="21">
        <f>+AD40+AD39</f>
        <v>4448.8516321989719</v>
      </c>
      <c r="AE41" s="21">
        <f>+AE40+AE39</f>
        <v>4488.7413614245952</v>
      </c>
      <c r="AF41" s="21">
        <f>+AF40+AF39</f>
        <v>4904.4499921261386</v>
      </c>
      <c r="AG41" s="22">
        <f>+AC40+AG39</f>
        <v>4904.4499921261386</v>
      </c>
      <c r="AH41" s="21">
        <f>+AH40+AH39</f>
        <v>5920.6556147323809</v>
      </c>
      <c r="AI41" s="21">
        <f>+AI40+AI39</f>
        <v>5708.2772645722753</v>
      </c>
      <c r="AJ41" s="21">
        <f>+AJ40+AJ39</f>
        <v>6077.7103525739431</v>
      </c>
      <c r="AK41" s="21">
        <f>+AK40+AK39</f>
        <v>1423.1004341304433</v>
      </c>
      <c r="AL41" s="22">
        <f>+AH40+AL39</f>
        <v>1423.1004341304424</v>
      </c>
      <c r="AM41" s="21">
        <f>+AM40+AM39</f>
        <v>2523.56260659393</v>
      </c>
      <c r="AN41" s="21">
        <f>+AN40+AN39</f>
        <v>2168.8463905030494</v>
      </c>
      <c r="AO41" s="21">
        <f>+AO40+AO39</f>
        <v>2232.1163702638842</v>
      </c>
      <c r="AP41" s="21">
        <f>+AP40+AP39</f>
        <v>2786.091805340955</v>
      </c>
      <c r="AQ41" s="22">
        <f>+AM40+AQ39</f>
        <v>2786.0918053409559</v>
      </c>
      <c r="AR41" s="21">
        <f>+AR40+AR39</f>
        <v>4049.0122187580828</v>
      </c>
      <c r="AS41" s="21">
        <f>+AS40+AS39</f>
        <v>3783.8105160840214</v>
      </c>
      <c r="AT41" s="21">
        <f>+AT40+AT39</f>
        <v>3973.7965368708992</v>
      </c>
      <c r="AU41" s="21">
        <f>+AU40+AU39</f>
        <v>4572.5997938213523</v>
      </c>
      <c r="AV41" s="22">
        <f>+AR40+AV39</f>
        <v>4572.5997938213523</v>
      </c>
    </row>
    <row r="42" spans="2:48" s="23" customFormat="1" outlineLevel="1" x14ac:dyDescent="0.3">
      <c r="B42" s="531" t="s">
        <v>299</v>
      </c>
      <c r="C42" s="532"/>
      <c r="D42" s="321">
        <f>D22-(-D25)+((-'IS (Before Changes)'!D22*(1-'Valuation (Before Changes)'!$F$18)))</f>
        <v>2004.2250000000004</v>
      </c>
      <c r="E42" s="321">
        <f>E22-(-E25)+((-'IS (Before Changes)'!E22*(1-'Valuation (Before Changes)'!$F$18)))</f>
        <v>31.994499999999611</v>
      </c>
      <c r="F42" s="321">
        <f>F22-(-F25)+((-'IS (Before Changes)'!F22*(1-'Valuation (Before Changes)'!$F$18)))</f>
        <v>799.53200000000095</v>
      </c>
      <c r="G42" s="321">
        <f>G22-(-G25)+((-'IS (Before Changes)'!G22*(1-'Valuation (Before Changes)'!$F$18)))</f>
        <v>654.45350000000076</v>
      </c>
      <c r="H42" s="342">
        <f>SUM(D42:G42)</f>
        <v>3490.2050000000017</v>
      </c>
      <c r="I42" s="321">
        <f>I22-(-I25)+((-'IS (Before Changes)'!I22*(1-'Valuation (Before Changes)'!$F$18)))</f>
        <v>1511.1844999999985</v>
      </c>
      <c r="J42" s="321">
        <f>J22-(-J25)+((-'IS (Before Changes)'!J22*(1-'Valuation (Before Changes)'!$F$18)))</f>
        <v>-1650.4040000000009</v>
      </c>
      <c r="K42" s="321">
        <f>K22-(-K25)+((-'IS (Before Changes)'!K22*(1-'Valuation (Before Changes)'!$F$18)))</f>
        <v>-656.59599999999932</v>
      </c>
      <c r="L42" s="321">
        <f>L22-(-L25)+((-'IS (Before Changes)'!L22*(1-'Valuation (Before Changes)'!$F$18)))</f>
        <v>1239.8750000000016</v>
      </c>
      <c r="M42" s="342">
        <f>SUM(I42:L42)</f>
        <v>444.05949999999984</v>
      </c>
      <c r="N42" s="321">
        <f>N22-(-N25)+((-'IS (Before Changes)'!N22*(1-'Valuation (Before Changes)'!$F$18)))</f>
        <v>1602.6285000000003</v>
      </c>
      <c r="O42" s="321">
        <f>O22-(-O25)+((-'IS (Before Changes)'!O22*(1-'Valuation (Before Changes)'!$F$18)))</f>
        <v>646.92500000000007</v>
      </c>
      <c r="P42" s="321">
        <f>P22-(-P25)+((-'IS (Before Changes)'!P22*(1-'Valuation (Before Changes)'!$F$18)))</f>
        <v>1496.8169999999991</v>
      </c>
      <c r="Q42" s="321">
        <f>Q22-(-Q25)+((-'IS (Before Changes)'!Q22*(1-'Valuation (Before Changes)'!$F$18)))</f>
        <v>1127.4529999999995</v>
      </c>
      <c r="R42" s="342">
        <f>SUM(N42:Q42)</f>
        <v>4873.8234999999986</v>
      </c>
      <c r="S42" s="321">
        <f>S22-(-S25)+((-'IS (Before Changes)'!S22*(1-'Valuation (Before Changes)'!$F$18)))</f>
        <v>1541.1514999999999</v>
      </c>
      <c r="T42" s="321">
        <f>T22-(-T25)+((-'IS (Before Changes)'!T22*(1-'Valuation (Before Changes)'!$F$18)))</f>
        <v>-203.27949999999981</v>
      </c>
      <c r="U42" s="321">
        <f>U22-(-U25)+((-'IS (Before Changes)'!U22*(1-'Valuation (Before Changes)'!$F$18)))</f>
        <v>934.24049999999897</v>
      </c>
      <c r="V42" s="321">
        <f>V22-(-V25)+((-'IS (Before Changes)'!V22*(1-'Valuation (Before Changes)'!$F$18)))</f>
        <v>648.30149999999912</v>
      </c>
      <c r="W42" s="342">
        <f>SUM(S42:V42)</f>
        <v>2920.4139999999984</v>
      </c>
      <c r="X42" s="321">
        <f>X22-(-X25)+((-'IS (Before Changes)'!X22*(1-'Valuation (Before Changes)'!$F$18)))</f>
        <v>1521.2094885296985</v>
      </c>
      <c r="Y42" s="321">
        <f>Y22-(-Y25)+((-'IS (Before Changes)'!Y22*(1-'Valuation (Before Changes)'!$F$18)))</f>
        <v>274.97720815186955</v>
      </c>
      <c r="Z42" s="321">
        <f>Z22-(-Z25)+((-'IS (Before Changes)'!Z22*(1-'Valuation (Before Changes)'!$F$18)))</f>
        <v>566.93911975247636</v>
      </c>
      <c r="AA42" s="321">
        <f>AA22-(-AA25)+((-'IS (Before Changes)'!AA22*(1-'Valuation (Before Changes)'!$F$18)))</f>
        <v>1329.3376889142553</v>
      </c>
      <c r="AB42" s="342">
        <f>SUM(X42:AA42)</f>
        <v>3692.4635053482998</v>
      </c>
      <c r="AC42" s="321">
        <f>AC22-(-AC25)+((-'IS (Before Changes)'!AC22*(1-'Valuation (Before Changes)'!$F$18)))</f>
        <v>1646.8425628775135</v>
      </c>
      <c r="AD42" s="321">
        <f>AD22-(-AD25)+((-'IS (Before Changes)'!AD22*(1-'Valuation (Before Changes)'!$F$18)))</f>
        <v>495.54711647230221</v>
      </c>
      <c r="AE42" s="321">
        <f>AE22-(-AE25)+((-'IS (Before Changes)'!AE22*(1-'Valuation (Before Changes)'!$F$18)))</f>
        <v>886.1103223311228</v>
      </c>
      <c r="AF42" s="321">
        <f>AF22-(-AF25)+((-'IS (Before Changes)'!AF22*(1-'Valuation (Before Changes)'!$F$18)))</f>
        <v>1183.5776931331429</v>
      </c>
      <c r="AG42" s="342">
        <f>SUM(AC42:AF42)</f>
        <v>4212.077694814081</v>
      </c>
      <c r="AH42" s="321">
        <f>AH22-(-AH25)+((-'IS (Before Changes)'!AH22*(1-'Valuation (Before Changes)'!$F$18)))</f>
        <v>1906.5158443725859</v>
      </c>
      <c r="AI42" s="321">
        <f>AI22-(-AI25)+((-'IS (Before Changes)'!AI22*(1-'Valuation (Before Changes)'!$F$18)))</f>
        <v>645.62880546307554</v>
      </c>
      <c r="AJ42" s="321">
        <f>AJ22-(-AJ25)+((-'IS (Before Changes)'!AJ22*(1-'Valuation (Before Changes)'!$F$18)))</f>
        <v>1071.3813168015902</v>
      </c>
      <c r="AK42" s="321">
        <f>AK22-(-AK25)+((-'IS (Before Changes)'!AK22*(1-'Valuation (Before Changes)'!$F$18)))</f>
        <v>1444.5586635043273</v>
      </c>
      <c r="AL42" s="342">
        <f>SUM(AH42:AK42)</f>
        <v>5068.0846301415786</v>
      </c>
      <c r="AM42" s="321">
        <f>AM22-(-AM25)+((-'IS (Before Changes)'!AM22*(1-'Valuation (Before Changes)'!$F$18)))</f>
        <v>2226.7604256791028</v>
      </c>
      <c r="AN42" s="321">
        <f>AN22-(-AN25)+((-'IS (Before Changes)'!AN22*(1-'Valuation (Before Changes)'!$F$18)))</f>
        <v>727.02435743557658</v>
      </c>
      <c r="AO42" s="321">
        <f>AO22-(-AO25)+((-'IS (Before Changes)'!AO22*(1-'Valuation (Before Changes)'!$F$18)))</f>
        <v>1158.9333693899828</v>
      </c>
      <c r="AP42" s="321">
        <f>AP22-(-AP25)+((-'IS (Before Changes)'!AP22*(1-'Valuation (Before Changes)'!$F$18)))</f>
        <v>1641.1526900862834</v>
      </c>
      <c r="AQ42" s="342">
        <f>SUM(AM42:AP42)</f>
        <v>5753.8708425909454</v>
      </c>
      <c r="AR42" s="321">
        <f>AR22-(-AR25)+((-'IS (Before Changes)'!AR22*(1-'Valuation (Before Changes)'!$F$18)))</f>
        <v>2379.1033946930679</v>
      </c>
      <c r="AS42" s="321">
        <f>AS22-(-AS25)+((-'IS (Before Changes)'!AS22*(1-'Valuation (Before Changes)'!$F$18)))</f>
        <v>801.2591736587292</v>
      </c>
      <c r="AT42" s="321">
        <f>AT22-(-AT25)+((-'IS (Before Changes)'!AT22*(1-'Valuation (Before Changes)'!$F$18)))</f>
        <v>1297.6069079135957</v>
      </c>
      <c r="AU42" s="321">
        <f>AU22-(-AU25)+((-'IS (Before Changes)'!AU22*(1-'Valuation (Before Changes)'!$F$18)))</f>
        <v>1704.811693444972</v>
      </c>
      <c r="AV42" s="342">
        <f>SUM(AR42:AU42)</f>
        <v>6182.7811697103643</v>
      </c>
    </row>
    <row r="43" spans="2:48" s="23" customFormat="1" outlineLevel="1" x14ac:dyDescent="0.3">
      <c r="B43" s="325" t="s">
        <v>300</v>
      </c>
      <c r="C43" s="326"/>
      <c r="D43" s="327"/>
      <c r="E43" s="327"/>
      <c r="F43" s="343"/>
      <c r="G43" s="327"/>
      <c r="H43" s="328"/>
      <c r="I43" s="327"/>
      <c r="J43" s="327"/>
      <c r="K43" s="327"/>
      <c r="L43" s="327"/>
      <c r="M43" s="328"/>
      <c r="N43" s="327"/>
      <c r="O43" s="327"/>
      <c r="P43" s="327"/>
      <c r="Q43" s="327"/>
      <c r="R43" s="328"/>
      <c r="S43" s="327"/>
      <c r="T43" s="327"/>
      <c r="U43" s="327"/>
      <c r="V43" s="327"/>
      <c r="W43" s="328">
        <v>0</v>
      </c>
      <c r="X43" s="327"/>
      <c r="Y43" s="327"/>
      <c r="Z43" s="327"/>
      <c r="AA43" s="327"/>
      <c r="AB43" s="328">
        <f>1+W43</f>
        <v>1</v>
      </c>
      <c r="AC43" s="327"/>
      <c r="AD43" s="327"/>
      <c r="AE43" s="327"/>
      <c r="AF43" s="327"/>
      <c r="AG43" s="328">
        <f>1+AB43</f>
        <v>2</v>
      </c>
      <c r="AH43" s="327"/>
      <c r="AI43" s="327"/>
      <c r="AJ43" s="327"/>
      <c r="AK43" s="327"/>
      <c r="AL43" s="328">
        <f>1+AG43</f>
        <v>3</v>
      </c>
      <c r="AM43" s="327"/>
      <c r="AN43" s="327"/>
      <c r="AO43" s="327"/>
      <c r="AP43" s="327"/>
      <c r="AQ43" s="328">
        <f>1+AL43</f>
        <v>4</v>
      </c>
      <c r="AR43" s="327"/>
      <c r="AS43" s="327"/>
      <c r="AT43" s="327"/>
      <c r="AU43" s="327"/>
      <c r="AV43" s="328">
        <f>1+AQ43</f>
        <v>5</v>
      </c>
    </row>
    <row r="44" spans="2:48" s="23" customFormat="1" outlineLevel="1" x14ac:dyDescent="0.3">
      <c r="B44" s="533" t="s">
        <v>301</v>
      </c>
      <c r="C44" s="534"/>
      <c r="D44" s="344"/>
      <c r="E44" s="344"/>
      <c r="F44" s="344"/>
      <c r="G44" s="344"/>
      <c r="H44" s="345"/>
      <c r="I44" s="344"/>
      <c r="J44" s="344"/>
      <c r="K44" s="344"/>
      <c r="L44" s="344"/>
      <c r="M44" s="345"/>
      <c r="N44" s="344"/>
      <c r="O44" s="344"/>
      <c r="P44" s="344"/>
      <c r="Q44" s="344"/>
      <c r="R44" s="345"/>
      <c r="S44" s="344"/>
      <c r="T44" s="344"/>
      <c r="U44" s="344"/>
      <c r="V44" s="344"/>
      <c r="W44" s="345">
        <f>W42/(1+'Valuation (Before Changes)'!$F$20)^W43</f>
        <v>2920.4139999999984</v>
      </c>
      <c r="X44" s="344"/>
      <c r="Y44" s="344"/>
      <c r="Z44" s="344"/>
      <c r="AA44" s="344"/>
      <c r="AB44" s="345">
        <f>AB42/(1+'Valuation (Before Changes)'!$F$20)^AB43</f>
        <v>3312.5546873364465</v>
      </c>
      <c r="AC44" s="344"/>
      <c r="AD44" s="344"/>
      <c r="AE44" s="344"/>
      <c r="AF44" s="344"/>
      <c r="AG44" s="345">
        <f>AG42/(1+'Valuation (Before Changes)'!$F$20)^AG43</f>
        <v>3389.9247972452249</v>
      </c>
      <c r="AH44" s="344"/>
      <c r="AI44" s="344"/>
      <c r="AJ44" s="344"/>
      <c r="AK44" s="344"/>
      <c r="AL44" s="345">
        <f>AL42/(1+'Valuation (Before Changes)'!$F$20)^AL43</f>
        <v>3659.185227380367</v>
      </c>
      <c r="AM44" s="344"/>
      <c r="AN44" s="344"/>
      <c r="AO44" s="344"/>
      <c r="AP44" s="344"/>
      <c r="AQ44" s="345">
        <f>AQ42/(1+'Valuation (Before Changes)'!$F$20)^AQ43</f>
        <v>3726.8978532566935</v>
      </c>
      <c r="AR44" s="344"/>
      <c r="AS44" s="344"/>
      <c r="AT44" s="344"/>
      <c r="AU44" s="344"/>
      <c r="AV44" s="345">
        <f>AV42/(1+'Valuation (Before Changes)'!$F$20)^AV43</f>
        <v>3592.6764029974274</v>
      </c>
    </row>
    <row r="45" spans="2:48" outlineLevel="1" x14ac:dyDescent="0.3">
      <c r="B45" s="250" t="s">
        <v>302</v>
      </c>
      <c r="C45" s="249"/>
      <c r="D45" s="334"/>
      <c r="E45" s="334"/>
      <c r="F45" s="334"/>
      <c r="G45" s="334"/>
      <c r="H45" s="335"/>
      <c r="I45" s="334"/>
      <c r="J45" s="334"/>
      <c r="K45" s="334"/>
      <c r="L45" s="334"/>
      <c r="M45" s="335"/>
      <c r="N45" s="334"/>
      <c r="O45" s="334"/>
      <c r="P45" s="334"/>
      <c r="Q45" s="334"/>
      <c r="R45" s="335"/>
      <c r="S45" s="334"/>
      <c r="T45" s="334"/>
      <c r="U45" s="334"/>
      <c r="V45" s="334"/>
      <c r="W45" s="335"/>
      <c r="X45" s="334"/>
      <c r="Y45" s="334"/>
      <c r="Z45" s="334"/>
      <c r="AA45" s="334"/>
      <c r="AB45" s="335"/>
      <c r="AC45" s="334"/>
      <c r="AD45" s="334"/>
      <c r="AE45" s="334"/>
      <c r="AF45" s="334"/>
      <c r="AG45" s="335"/>
      <c r="AH45" s="334"/>
      <c r="AI45" s="334"/>
      <c r="AJ45" s="334"/>
      <c r="AK45" s="334"/>
      <c r="AL45" s="335"/>
      <c r="AM45" s="334"/>
      <c r="AN45" s="334"/>
      <c r="AO45" s="334"/>
      <c r="AP45" s="334"/>
      <c r="AQ45" s="335"/>
      <c r="AR45" s="334"/>
      <c r="AS45" s="334"/>
      <c r="AT45" s="334"/>
      <c r="AU45" s="334"/>
      <c r="AV45" s="335"/>
    </row>
    <row r="46" spans="2:48" outlineLevel="1" x14ac:dyDescent="0.3">
      <c r="B46" s="200" t="s">
        <v>303</v>
      </c>
      <c r="C46" s="201"/>
      <c r="D46" s="16">
        <f>+'BS (Before Changes)'!D6+'BS (Before Changes)'!D7+'BS (Before Changes)'!D12</f>
        <v>5256.8</v>
      </c>
      <c r="E46" s="16">
        <f>+'BS (Before Changes)'!E6+'BS (Before Changes)'!E7+'BS (Before Changes)'!E12</f>
        <v>2383.6000000000004</v>
      </c>
      <c r="F46" s="16">
        <f>+'BS (Before Changes)'!F6+'BS (Before Changes)'!F7+'BS (Before Changes)'!F12</f>
        <v>5058.1000000000022</v>
      </c>
      <c r="G46" s="16">
        <f>+'BS (Before Changes)'!G6+'BS (Before Changes)'!G7+'BS (Before Changes)'!G12</f>
        <v>2977.1000000000022</v>
      </c>
      <c r="H46" s="17">
        <f>+'BS (Before Changes)'!H6+'BS (Before Changes)'!H7+'BS (Before Changes)'!H12</f>
        <v>2977.1000000000022</v>
      </c>
      <c r="I46" s="16">
        <f>+'BS (Before Changes)'!I6+'BS (Before Changes)'!I7+'BS (Before Changes)'!I12</f>
        <v>3308.7000000000039</v>
      </c>
      <c r="J46" s="16">
        <f>+'BS (Before Changes)'!J6+'BS (Before Changes)'!J7+'BS (Before Changes)'!J12</f>
        <v>2824.0000000000032</v>
      </c>
      <c r="K46" s="16">
        <f>+'BS (Before Changes)'!K6+'BS (Before Changes)'!K7+'BS (Before Changes)'!K12</f>
        <v>4419.2000000000035</v>
      </c>
      <c r="L46" s="16">
        <f>+'BS (Before Changes)'!L6+'BS (Before Changes)'!L7+'BS (Before Changes)'!L12</f>
        <v>4838.2000000000062</v>
      </c>
      <c r="M46" s="17">
        <f>+'BS (Before Changes)'!M6+'BS (Before Changes)'!M7+'BS (Before Changes)'!M12</f>
        <v>4838.2000000000062</v>
      </c>
      <c r="N46" s="16">
        <f>+'BS (Before Changes)'!N6+'BS (Before Changes)'!N7+'BS (Before Changes)'!N12</f>
        <v>5454.4000000000096</v>
      </c>
      <c r="O46" s="16">
        <f>+'BS (Before Changes)'!O6+'BS (Before Changes)'!O7+'BS (Before Changes)'!O12</f>
        <v>4288.4000000000106</v>
      </c>
      <c r="P46" s="16">
        <f>+'BS (Before Changes)'!P6+'BS (Before Changes)'!P7+'BS (Before Changes)'!P12</f>
        <v>5192.6000000000095</v>
      </c>
      <c r="Q46" s="16">
        <f>+'BS (Before Changes)'!Q6+'BS (Before Changes)'!Q7+'BS (Before Changes)'!Q12</f>
        <v>6899.6000000000085</v>
      </c>
      <c r="R46" s="17">
        <f>+'BS (Before Changes)'!R6+'BS (Before Changes)'!R7+'BS (Before Changes)'!R12</f>
        <v>6899.6000000000085</v>
      </c>
      <c r="S46" s="16">
        <f>+'BS (Before Changes)'!S6+'BS (Before Changes)'!S7+'BS (Before Changes)'!S12</f>
        <v>4356.4000000000078</v>
      </c>
      <c r="T46" s="16">
        <f>+'BS (Before Changes)'!T6+'BS (Before Changes)'!T7+'BS (Before Changes)'!T12</f>
        <v>4281.1000000000085</v>
      </c>
      <c r="U46" s="16">
        <f>+'BS (Before Changes)'!U6+'BS (Before Changes)'!U7+'BS (Before Changes)'!U12</f>
        <v>3546.9000000000074</v>
      </c>
      <c r="V46" s="16">
        <f>+'BS (Before Changes)'!V6+'BS (Before Changes)'!V7+'BS (Before Changes)'!V12</f>
        <v>3461.900000000006</v>
      </c>
      <c r="W46" s="17">
        <f>+'BS (Before Changes)'!W6+'BS (Before Changes)'!W7+'BS (Before Changes)'!W12</f>
        <v>3461.900000000006</v>
      </c>
      <c r="X46" s="16">
        <f>+'BS (Before Changes)'!X6+'BS (Before Changes)'!X7+'BS (Before Changes)'!X12</f>
        <v>4266.3820960828562</v>
      </c>
      <c r="Y46" s="16">
        <f>+'BS (Before Changes)'!Y6+'BS (Before Changes)'!Y7+'BS (Before Changes)'!Y12</f>
        <v>3838.9336100738406</v>
      </c>
      <c r="Z46" s="16">
        <f>+'BS (Before Changes)'!Z6+'BS (Before Changes)'!Z7+'BS (Before Changes)'!Z12</f>
        <v>3685.3034192287992</v>
      </c>
      <c r="AA46" s="16">
        <f>+'BS (Before Changes)'!AA6+'BS (Before Changes)'!AA7+'BS (Before Changes)'!AA12</f>
        <v>4266.6038042420505</v>
      </c>
      <c r="AB46" s="17">
        <f>+'BS (Before Changes)'!AB6+'BS (Before Changes)'!AB7+'BS (Before Changes)'!AB12</f>
        <v>4266.6038042420505</v>
      </c>
      <c r="AC46" s="16">
        <f>+'BS (Before Changes)'!AC6+'BS (Before Changes)'!AC7+'BS (Before Changes)'!AC12</f>
        <v>5183.128525017255</v>
      </c>
      <c r="AD46" s="16">
        <f>+'BS (Before Changes)'!AD6+'BS (Before Changes)'!AD7+'BS (Before Changes)'!AD12</f>
        <v>4967.6955995123781</v>
      </c>
      <c r="AE46" s="16">
        <f>+'BS (Before Changes)'!AE6+'BS (Before Changes)'!AE7+'BS (Before Changes)'!AE12</f>
        <v>5025.6988950658551</v>
      </c>
      <c r="AF46" s="16">
        <f>+'BS (Before Changes)'!AF6+'BS (Before Changes)'!AF7+'BS (Before Changes)'!AF12</f>
        <v>5451.2151407259671</v>
      </c>
      <c r="AG46" s="17">
        <f>+'BS (Before Changes)'!AG6+'BS (Before Changes)'!AG7+'BS (Before Changes)'!AG12</f>
        <v>5451.2151407259671</v>
      </c>
      <c r="AH46" s="16">
        <f>+'BS (Before Changes)'!AH6+'BS (Before Changes)'!AH7+'BS (Before Changes)'!AH12</f>
        <v>6481.7737509122453</v>
      </c>
      <c r="AI46" s="16">
        <f>+'BS (Before Changes)'!AI6+'BS (Before Changes)'!AI7+'BS (Before Changes)'!AI12</f>
        <v>6272.3452015529438</v>
      </c>
      <c r="AJ46" s="16">
        <f>+'BS (Before Changes)'!AJ6+'BS (Before Changes)'!AJ7+'BS (Before Changes)'!AJ12</f>
        <v>6662.8753452248638</v>
      </c>
      <c r="AK46" s="16">
        <f>+'BS (Before Changes)'!AK6+'BS (Before Changes)'!AK7+'BS (Before Changes)'!AK12</f>
        <v>1926.2954721425244</v>
      </c>
      <c r="AL46" s="17">
        <f>+'BS (Before Changes)'!AL6+'BS (Before Changes)'!AL7+'BS (Before Changes)'!AL12</f>
        <v>1926.2954721425244</v>
      </c>
      <c r="AM46" s="16">
        <f>+'BS (Before Changes)'!AM6+'BS (Before Changes)'!AM7+'BS (Before Changes)'!AM12</f>
        <v>3045.2346584373236</v>
      </c>
      <c r="AN46" s="16">
        <f>+'BS (Before Changes)'!AN6+'BS (Before Changes)'!AN7+'BS (Before Changes)'!AN12</f>
        <v>2688.6729159265119</v>
      </c>
      <c r="AO46" s="16">
        <f>+'BS (Before Changes)'!AO6+'BS (Before Changes)'!AO7+'BS (Before Changes)'!AO12</f>
        <v>2767.6977367975933</v>
      </c>
      <c r="AP46" s="16">
        <f>+'BS (Before Changes)'!AP6+'BS (Before Changes)'!AP7+'BS (Before Changes)'!AP12</f>
        <v>3330.3886614337043</v>
      </c>
      <c r="AQ46" s="17">
        <f>+'BS (Before Changes)'!AQ6+'BS (Before Changes)'!AQ7+'BS (Before Changes)'!AQ12</f>
        <v>3330.3886614337043</v>
      </c>
      <c r="AR46" s="16">
        <f>+'BS (Before Changes)'!AR6+'BS (Before Changes)'!AR7+'BS (Before Changes)'!AR12</f>
        <v>4615.2763052351975</v>
      </c>
      <c r="AS46" s="16">
        <f>+'BS (Before Changes)'!AS6+'BS (Before Changes)'!AS7+'BS (Before Changes)'!AS12</f>
        <v>4349.1652201948309</v>
      </c>
      <c r="AT46" s="16">
        <f>+'BS (Before Changes)'!AT6+'BS (Before Changes)'!AT7+'BS (Before Changes)'!AT12</f>
        <v>4556.8160929469086</v>
      </c>
      <c r="AU46" s="16">
        <f>+'BS (Before Changes)'!AU6+'BS (Before Changes)'!AU7+'BS (Before Changes)'!AU12</f>
        <v>5166.1662313252591</v>
      </c>
      <c r="AV46" s="17">
        <f>+'BS (Before Changes)'!AV6+'BS (Before Changes)'!AV7+'BS (Before Changes)'!AV12</f>
        <v>5166.1662313252591</v>
      </c>
    </row>
    <row r="47" spans="2:48" outlineLevel="1" x14ac:dyDescent="0.3">
      <c r="B47" s="200" t="s">
        <v>304</v>
      </c>
      <c r="C47" s="201"/>
      <c r="D47" s="16">
        <f>'BS (Before Changes)'!D28+'BS (Before Changes)'!D31</f>
        <v>9130.7000000000007</v>
      </c>
      <c r="E47" s="16">
        <f>'BS (Before Changes)'!E28+'BS (Before Changes)'!E31</f>
        <v>9216.5</v>
      </c>
      <c r="F47" s="16">
        <f>'BS (Before Changes)'!F28+'BS (Before Changes)'!F31</f>
        <v>11159.1</v>
      </c>
      <c r="G47" s="16">
        <f>'BS (Before Changes)'!G28+'BS (Before Changes)'!G31</f>
        <v>11167</v>
      </c>
      <c r="H47" s="17">
        <f>'BS (Before Changes)'!H28+'BS (Before Changes)'!H31</f>
        <v>11167</v>
      </c>
      <c r="I47" s="16">
        <f>'BS (Before Changes)'!I28+'BS (Before Changes)'!I31</f>
        <v>11649.800000000001</v>
      </c>
      <c r="J47" s="16">
        <f>'BS (Before Changes)'!J28+'BS (Before Changes)'!J31</f>
        <v>14015.2</v>
      </c>
      <c r="K47" s="16">
        <f>'BS (Before Changes)'!K28+'BS (Before Changes)'!K31</f>
        <v>16831.7</v>
      </c>
      <c r="L47" s="16">
        <f>'BS (Before Changes)'!L28+'BS (Before Changes)'!L31</f>
        <v>16348.300000000001</v>
      </c>
      <c r="M47" s="17">
        <f>'BS (Before Changes)'!M28+'BS (Before Changes)'!M31</f>
        <v>16348.300000000001</v>
      </c>
      <c r="N47" s="16">
        <f>'BS (Before Changes)'!N28+'BS (Before Changes)'!N31</f>
        <v>15916.1</v>
      </c>
      <c r="O47" s="16">
        <f>'BS (Before Changes)'!O28+'BS (Before Changes)'!O31</f>
        <v>14648.599999999999</v>
      </c>
      <c r="P47" s="16">
        <f>'BS (Before Changes)'!P28+'BS (Before Changes)'!P31</f>
        <v>14618.1</v>
      </c>
      <c r="Q47" s="16">
        <f>'BS (Before Changes)'!Q28+'BS (Before Changes)'!Q31</f>
        <v>14615.8</v>
      </c>
      <c r="R47" s="17">
        <f>'BS (Before Changes)'!R28+'BS (Before Changes)'!R31</f>
        <v>14615.8</v>
      </c>
      <c r="S47" s="16">
        <f>'BS (Before Changes)'!S28+'BS (Before Changes)'!S31</f>
        <v>14785.599999999999</v>
      </c>
      <c r="T47" s="16">
        <f>'BS (Before Changes)'!T28+'BS (Before Changes)'!T31</f>
        <v>16013</v>
      </c>
      <c r="U47" s="16">
        <f>'BS (Before Changes)'!U28+'BS (Before Changes)'!U31</f>
        <v>15129.9</v>
      </c>
      <c r="V47" s="16">
        <f>'BS (Before Changes)'!V28+'BS (Before Changes)'!V31</f>
        <v>15043.9</v>
      </c>
      <c r="W47" s="17">
        <f>'BS (Before Changes)'!W28+'BS (Before Changes)'!W31</f>
        <v>15043.9</v>
      </c>
      <c r="X47" s="16">
        <f>'BS (Before Changes)'!X28+'BS (Before Changes)'!X31</f>
        <v>15043.9</v>
      </c>
      <c r="Y47" s="16">
        <f>'BS (Before Changes)'!Y28+'BS (Before Changes)'!Y31</f>
        <v>15043.9</v>
      </c>
      <c r="Z47" s="16">
        <f>'BS (Before Changes)'!Z28+'BS (Before Changes)'!Z31</f>
        <v>15043.900000000001</v>
      </c>
      <c r="AA47" s="16">
        <f>'BS (Before Changes)'!AA28+'BS (Before Changes)'!AA31</f>
        <v>15043.900000000001</v>
      </c>
      <c r="AB47" s="17">
        <f>'BS (Before Changes)'!AB28+'BS (Before Changes)'!AB31</f>
        <v>15043.900000000001</v>
      </c>
      <c r="AC47" s="16">
        <f>'BS (Before Changes)'!AC28+'BS (Before Changes)'!AC31</f>
        <v>15043.900000000001</v>
      </c>
      <c r="AD47" s="16">
        <f>'BS (Before Changes)'!AD28+'BS (Before Changes)'!AD31</f>
        <v>15043.6</v>
      </c>
      <c r="AE47" s="16">
        <f>'BS (Before Changes)'!AE28+'BS (Before Changes)'!AE31</f>
        <v>15043.6</v>
      </c>
      <c r="AF47" s="16">
        <f>'BS (Before Changes)'!AF28+'BS (Before Changes)'!AF31</f>
        <v>15143.6</v>
      </c>
      <c r="AG47" s="17">
        <f>'BS (Before Changes)'!AG28+'BS (Before Changes)'!AG31</f>
        <v>15143.6</v>
      </c>
      <c r="AH47" s="16">
        <f>'BS (Before Changes)'!AH28+'BS (Before Changes)'!AH31</f>
        <v>15143.6</v>
      </c>
      <c r="AI47" s="16">
        <f>'BS (Before Changes)'!AI28+'BS (Before Changes)'!AI31</f>
        <v>15143.6</v>
      </c>
      <c r="AJ47" s="16">
        <f>'BS (Before Changes)'!AJ28+'BS (Before Changes)'!AJ31</f>
        <v>20685.581197315179</v>
      </c>
      <c r="AK47" s="16">
        <f>'BS (Before Changes)'!AK28+'BS (Before Changes)'!AK31</f>
        <v>20685.581197315179</v>
      </c>
      <c r="AL47" s="17">
        <f>'BS (Before Changes)'!AL28+'BS (Before Changes)'!AL31</f>
        <v>20685.581197315179</v>
      </c>
      <c r="AM47" s="16">
        <f>'BS (Before Changes)'!AM28+'BS (Before Changes)'!AM31</f>
        <v>20685.581197315179</v>
      </c>
      <c r="AN47" s="16">
        <f>'BS (Before Changes)'!AN28+'BS (Before Changes)'!AN31</f>
        <v>20685.581197315179</v>
      </c>
      <c r="AO47" s="16">
        <f>'BS (Before Changes)'!AO28+'BS (Before Changes)'!AO31</f>
        <v>20685.581197315179</v>
      </c>
      <c r="AP47" s="16">
        <f>'BS (Before Changes)'!AP28+'BS (Before Changes)'!AP31</f>
        <v>20685.581197315179</v>
      </c>
      <c r="AQ47" s="17">
        <f>'BS (Before Changes)'!AQ28+'BS (Before Changes)'!AQ31</f>
        <v>20685.581197315179</v>
      </c>
      <c r="AR47" s="16">
        <f>'BS (Before Changes)'!AR28+'BS (Before Changes)'!AR31</f>
        <v>20685.581197315179</v>
      </c>
      <c r="AS47" s="16">
        <f>'BS (Before Changes)'!AS28+'BS (Before Changes)'!AS31</f>
        <v>20685.581197315179</v>
      </c>
      <c r="AT47" s="16">
        <f>'BS (Before Changes)'!AT28+'BS (Before Changes)'!AT31</f>
        <v>20685.581197315179</v>
      </c>
      <c r="AU47" s="16">
        <f>'BS (Before Changes)'!AU28+'BS (Before Changes)'!AU31</f>
        <v>20685.581197315179</v>
      </c>
      <c r="AV47" s="17">
        <f>'BS (Before Changes)'!AV28+'BS (Before Changes)'!AV31</f>
        <v>20685.581197315179</v>
      </c>
    </row>
    <row r="48" spans="2:48" outlineLevel="1" x14ac:dyDescent="0.3">
      <c r="B48" s="535" t="s">
        <v>305</v>
      </c>
      <c r="C48" s="536"/>
      <c r="D48" s="346">
        <f>(D46-D47)/'IS (Before Changes)'!D31</f>
        <v>-3.0907132599329823</v>
      </c>
      <c r="E48" s="346">
        <f>(E46-E47)/'IS (Before Changes)'!E31</f>
        <v>-5.4632605740785154</v>
      </c>
      <c r="F48" s="346">
        <f>(F46-F47)/'IS (Before Changes)'!F31</f>
        <v>-4.9885527391659839</v>
      </c>
      <c r="G48" s="346">
        <f>(G46-G47)/'IS (Before Changes)'!G31</f>
        <v>-6.6975821179389685</v>
      </c>
      <c r="H48" s="347">
        <f>(H46-H47)/'IS (Before Changes)'!H31</f>
        <v>-6.6411774245864397</v>
      </c>
      <c r="I48" s="346">
        <f>(I46-I47)/'IS (Before Changes)'!I31</f>
        <v>-7.0034424853064623</v>
      </c>
      <c r="J48" s="346">
        <f>(J46-J47)/'IS (Before Changes)'!J31</f>
        <v>-9.4784449902600123</v>
      </c>
      <c r="K48" s="346">
        <f>(K46-K47)/'IS (Before Changes)'!K31</f>
        <v>-10.62259306803594</v>
      </c>
      <c r="L48" s="346">
        <f>(L46-L47)/'IS (Before Changes)'!L31</f>
        <v>-9.7625954198473242</v>
      </c>
      <c r="M48" s="347">
        <f>(M46-M47)/'IS (Before Changes)'!M31</f>
        <v>-9.6019593007244595</v>
      </c>
      <c r="N48" s="346">
        <f>(N46-N47)/'IS (Before Changes)'!N31</f>
        <v>-8.8433643279797032</v>
      </c>
      <c r="O48" s="346">
        <f>(O46-O47)/'IS (Before Changes)'!O31</f>
        <v>-8.7442606347062704</v>
      </c>
      <c r="P48" s="346">
        <f>(P46-P47)/'IS (Before Changes)'!P31</f>
        <v>-7.9459618951272892</v>
      </c>
      <c r="Q48" s="346">
        <f>(Q46-Q47)/'IS (Before Changes)'!Q31</f>
        <v>-6.4956646182338496</v>
      </c>
      <c r="R48" s="347">
        <f>(R46-R47)/'IS (Before Changes)'!R31</f>
        <v>-6.504862503325251</v>
      </c>
      <c r="S48" s="346">
        <f>(S46-S47)/'IS (Before Changes)'!S31</f>
        <v>-8.8638449770525156</v>
      </c>
      <c r="T48" s="346">
        <f>(T46-T47)/'IS (Before Changes)'!T31</f>
        <v>-10.167172198630722</v>
      </c>
      <c r="U48" s="346">
        <f>(U46-U47)/'IS (Before Changes)'!U31</f>
        <v>-10.06342311033883</v>
      </c>
      <c r="V48" s="346">
        <f>(V46-V47)/'IS (Before Changes)'!V31</f>
        <v>-10.049457700650754</v>
      </c>
      <c r="W48" s="347">
        <f>(W46-W47)/'IS (Before Changes)'!W31</f>
        <v>-9.9985955103363526</v>
      </c>
      <c r="X48" s="346">
        <f>(X46-X47)/'IS (Before Changes)'!X31</f>
        <v>-9.3420834297304811</v>
      </c>
      <c r="Y48" s="346">
        <f>(Y46-Y47)/'IS (Before Changes)'!Y31</f>
        <v>-9.702898071393987</v>
      </c>
      <c r="Z48" s="346">
        <f>(Z46-Z47)/'IS (Before Changes)'!Z31</f>
        <v>-9.8261074439848599</v>
      </c>
      <c r="AA48" s="346">
        <f>(AA46-AA47)/'IS (Before Changes)'!AA31</f>
        <v>-9.3139215347223931</v>
      </c>
      <c r="AB48" s="347">
        <f>(AB46-AB47)/'IS (Before Changes)'!AB31</f>
        <v>-9.3263916466044456</v>
      </c>
      <c r="AC48" s="346">
        <f>(AC46-AC47)/'IS (Before Changes)'!AC31</f>
        <v>-8.5133320474984586</v>
      </c>
      <c r="AD48" s="346">
        <f>(AD46-AD47)/'IS (Before Changes)'!AD31</f>
        <v>-8.6903774447665914</v>
      </c>
      <c r="AE48" s="346">
        <f>(AE46-AE47)/'IS (Before Changes)'!AE31</f>
        <v>-8.6383232042269906</v>
      </c>
      <c r="AF48" s="346">
        <f>(AF46-AF47)/'IS (Before Changes)'!AF31</f>
        <v>-8.355672119629217</v>
      </c>
      <c r="AG48" s="347">
        <f>(AG46-AG47)/'IS (Before Changes)'!AG31</f>
        <v>-8.3601565826226611</v>
      </c>
      <c r="AH48" s="346">
        <f>(AH46-AH47)/'IS (Before Changes)'!AH31</f>
        <v>-7.4652153852260499</v>
      </c>
      <c r="AI48" s="346">
        <f>(AI46-AI47)/'IS (Before Changes)'!AI31</f>
        <v>-7.6436356508057814</v>
      </c>
      <c r="AJ48" s="346">
        <f>(AJ46-AJ47)/'IS (Before Changes)'!AJ31</f>
        <v>-12.567673221287325</v>
      </c>
      <c r="AK48" s="346">
        <f>(AK46-AK47)/'IS (Before Changes)'!AK31</f>
        <v>-17.517306979791638</v>
      </c>
      <c r="AL48" s="347">
        <f>(AL46-AL47)/'IS (Before Changes)'!AL31</f>
        <v>-16.67420783561203</v>
      </c>
      <c r="AM48" s="346">
        <f>(AM46-AM47)/'IS (Before Changes)'!AM31</f>
        <v>-16.487171457388623</v>
      </c>
      <c r="AN48" s="346">
        <f>(AN46-AN47)/'IS (Before Changes)'!AN31</f>
        <v>-16.835486860616438</v>
      </c>
      <c r="AO48" s="346">
        <f>(AO46-AO47)/'IS (Before Changes)'!AO31</f>
        <v>-16.776600265832336</v>
      </c>
      <c r="AP48" s="346">
        <f>(AP46-AP47)/'IS (Before Changes)'!AP31</f>
        <v>-16.264356954233794</v>
      </c>
      <c r="AQ48" s="347">
        <f>(AQ46-AQ47)/'IS (Before Changes)'!AQ31</f>
        <v>-16.243052609969226</v>
      </c>
      <c r="AR48" s="346">
        <f>(AR46-AR47)/'IS (Before Changes)'!AR31</f>
        <v>-15.073230453851155</v>
      </c>
      <c r="AS48" s="346">
        <f>(AS46-AS47)/'IS (Before Changes)'!AS31</f>
        <v>-15.336083570416092</v>
      </c>
      <c r="AT48" s="346">
        <f>(AT46-AT47)/'IS (Before Changes)'!AT31</f>
        <v>-15.154267926477148</v>
      </c>
      <c r="AU48" s="346">
        <f>(AU46-AU47)/'IS (Before Changes)'!AU31</f>
        <v>-14.594393574814072</v>
      </c>
      <c r="AV48" s="347">
        <f>(AV46-AV47)/'IS (Before Changes)'!AV31</f>
        <v>-14.575921609030049</v>
      </c>
    </row>
    <row r="49" spans="2:48" x14ac:dyDescent="0.3">
      <c r="B49" s="537"/>
      <c r="C49" s="537"/>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row>
    <row r="50" spans="2:48" ht="15.6" x14ac:dyDescent="0.3">
      <c r="B50" s="494" t="s">
        <v>306</v>
      </c>
      <c r="C50" s="495"/>
      <c r="D50" s="13" t="s">
        <v>15</v>
      </c>
      <c r="E50" s="13" t="s">
        <v>82</v>
      </c>
      <c r="F50" s="13" t="s">
        <v>84</v>
      </c>
      <c r="G50" s="13" t="s">
        <v>147</v>
      </c>
      <c r="H50" s="39" t="s">
        <v>147</v>
      </c>
      <c r="I50" s="13" t="s">
        <v>146</v>
      </c>
      <c r="J50" s="13" t="s">
        <v>145</v>
      </c>
      <c r="K50" s="13" t="s">
        <v>144</v>
      </c>
      <c r="L50" s="13" t="s">
        <v>141</v>
      </c>
      <c r="M50" s="39" t="s">
        <v>141</v>
      </c>
      <c r="N50" s="13" t="s">
        <v>148</v>
      </c>
      <c r="O50" s="13" t="s">
        <v>156</v>
      </c>
      <c r="P50" s="13" t="s">
        <v>158</v>
      </c>
      <c r="Q50" s="13" t="s">
        <v>171</v>
      </c>
      <c r="R50" s="39" t="s">
        <v>171</v>
      </c>
      <c r="S50" s="13" t="s">
        <v>187</v>
      </c>
      <c r="T50" s="13" t="s">
        <v>190</v>
      </c>
      <c r="U50" s="13" t="s">
        <v>203</v>
      </c>
      <c r="V50" s="13" t="s">
        <v>346</v>
      </c>
      <c r="W50" s="39" t="s">
        <v>346</v>
      </c>
      <c r="X50" s="15" t="s">
        <v>21</v>
      </c>
      <c r="Y50" s="15" t="s">
        <v>22</v>
      </c>
      <c r="Z50" s="15" t="s">
        <v>23</v>
      </c>
      <c r="AA50" s="15" t="s">
        <v>24</v>
      </c>
      <c r="AB50" s="41" t="s">
        <v>24</v>
      </c>
      <c r="AC50" s="15" t="s">
        <v>86</v>
      </c>
      <c r="AD50" s="15" t="s">
        <v>87</v>
      </c>
      <c r="AE50" s="15" t="s">
        <v>88</v>
      </c>
      <c r="AF50" s="15" t="s">
        <v>89</v>
      </c>
      <c r="AG50" s="41" t="s">
        <v>89</v>
      </c>
      <c r="AH50" s="15" t="s">
        <v>105</v>
      </c>
      <c r="AI50" s="15" t="s">
        <v>106</v>
      </c>
      <c r="AJ50" s="15" t="s">
        <v>107</v>
      </c>
      <c r="AK50" s="15" t="s">
        <v>108</v>
      </c>
      <c r="AL50" s="41" t="s">
        <v>108</v>
      </c>
      <c r="AM50" s="15" t="s">
        <v>160</v>
      </c>
      <c r="AN50" s="15" t="s">
        <v>161</v>
      </c>
      <c r="AO50" s="15" t="s">
        <v>162</v>
      </c>
      <c r="AP50" s="15" t="s">
        <v>163</v>
      </c>
      <c r="AQ50" s="41" t="s">
        <v>163</v>
      </c>
      <c r="AR50" s="15" t="s">
        <v>191</v>
      </c>
      <c r="AS50" s="15" t="s">
        <v>192</v>
      </c>
      <c r="AT50" s="15" t="s">
        <v>193</v>
      </c>
      <c r="AU50" s="15" t="s">
        <v>194</v>
      </c>
      <c r="AV50" s="41" t="s">
        <v>194</v>
      </c>
    </row>
    <row r="51" spans="2:48" ht="16.2" x14ac:dyDescent="0.45">
      <c r="B51" s="512"/>
      <c r="C51" s="513"/>
      <c r="D51" s="14" t="s">
        <v>19</v>
      </c>
      <c r="E51" s="14" t="s">
        <v>81</v>
      </c>
      <c r="F51" s="14" t="s">
        <v>85</v>
      </c>
      <c r="G51" s="14" t="s">
        <v>95</v>
      </c>
      <c r="H51" s="40" t="s">
        <v>96</v>
      </c>
      <c r="I51" s="14" t="s">
        <v>97</v>
      </c>
      <c r="J51" s="14" t="s">
        <v>98</v>
      </c>
      <c r="K51" s="14" t="s">
        <v>99</v>
      </c>
      <c r="L51" s="14" t="s">
        <v>142</v>
      </c>
      <c r="M51" s="40" t="s">
        <v>143</v>
      </c>
      <c r="N51" s="14" t="s">
        <v>149</v>
      </c>
      <c r="O51" s="14" t="s">
        <v>157</v>
      </c>
      <c r="P51" s="14" t="s">
        <v>159</v>
      </c>
      <c r="Q51" s="14" t="s">
        <v>172</v>
      </c>
      <c r="R51" s="40" t="s">
        <v>173</v>
      </c>
      <c r="S51" s="14" t="s">
        <v>188</v>
      </c>
      <c r="T51" s="14" t="s">
        <v>189</v>
      </c>
      <c r="U51" s="14" t="s">
        <v>204</v>
      </c>
      <c r="V51" s="14" t="s">
        <v>347</v>
      </c>
      <c r="W51" s="40" t="s">
        <v>348</v>
      </c>
      <c r="X51" s="12" t="s">
        <v>27</v>
      </c>
      <c r="Y51" s="12" t="s">
        <v>28</v>
      </c>
      <c r="Z51" s="12" t="s">
        <v>29</v>
      </c>
      <c r="AA51" s="12" t="s">
        <v>30</v>
      </c>
      <c r="AB51" s="42" t="s">
        <v>31</v>
      </c>
      <c r="AC51" s="12" t="s">
        <v>90</v>
      </c>
      <c r="AD51" s="12" t="s">
        <v>91</v>
      </c>
      <c r="AE51" s="12" t="s">
        <v>92</v>
      </c>
      <c r="AF51" s="12" t="s">
        <v>93</v>
      </c>
      <c r="AG51" s="42" t="s">
        <v>94</v>
      </c>
      <c r="AH51" s="12" t="s">
        <v>109</v>
      </c>
      <c r="AI51" s="12" t="s">
        <v>110</v>
      </c>
      <c r="AJ51" s="12" t="s">
        <v>111</v>
      </c>
      <c r="AK51" s="12" t="s">
        <v>112</v>
      </c>
      <c r="AL51" s="42" t="s">
        <v>113</v>
      </c>
      <c r="AM51" s="12" t="s">
        <v>164</v>
      </c>
      <c r="AN51" s="12" t="s">
        <v>165</v>
      </c>
      <c r="AO51" s="12" t="s">
        <v>166</v>
      </c>
      <c r="AP51" s="12" t="s">
        <v>167</v>
      </c>
      <c r="AQ51" s="42" t="s">
        <v>168</v>
      </c>
      <c r="AR51" s="12" t="s">
        <v>195</v>
      </c>
      <c r="AS51" s="12" t="s">
        <v>196</v>
      </c>
      <c r="AT51" s="12" t="s">
        <v>197</v>
      </c>
      <c r="AU51" s="12" t="s">
        <v>198</v>
      </c>
      <c r="AV51" s="42" t="s">
        <v>199</v>
      </c>
    </row>
    <row r="52" spans="2:48" ht="16.2" outlineLevel="1" x14ac:dyDescent="0.45">
      <c r="B52" s="510" t="s">
        <v>307</v>
      </c>
      <c r="C52" s="511"/>
      <c r="D52" s="349"/>
      <c r="E52" s="349"/>
      <c r="F52" s="349"/>
      <c r="G52" s="349"/>
      <c r="H52" s="350"/>
      <c r="I52" s="349"/>
      <c r="J52" s="349"/>
      <c r="K52" s="349"/>
      <c r="L52" s="349"/>
      <c r="M52" s="350"/>
      <c r="N52" s="349"/>
      <c r="O52" s="349"/>
      <c r="P52" s="349"/>
      <c r="Q52" s="349"/>
      <c r="R52" s="350"/>
      <c r="S52" s="349"/>
      <c r="T52" s="349"/>
      <c r="U52" s="349"/>
      <c r="V52" s="349"/>
      <c r="W52" s="350"/>
      <c r="X52" s="349"/>
      <c r="Y52" s="349"/>
      <c r="Z52" s="349"/>
      <c r="AA52" s="349"/>
      <c r="AB52" s="350"/>
      <c r="AC52" s="349"/>
      <c r="AD52" s="349"/>
      <c r="AE52" s="349"/>
      <c r="AF52" s="349"/>
      <c r="AG52" s="350"/>
      <c r="AH52" s="349"/>
      <c r="AI52" s="349"/>
      <c r="AJ52" s="349"/>
      <c r="AK52" s="349"/>
      <c r="AL52" s="350"/>
      <c r="AM52" s="349"/>
      <c r="AN52" s="349"/>
      <c r="AO52" s="349"/>
      <c r="AP52" s="349"/>
      <c r="AQ52" s="350"/>
      <c r="AR52" s="349"/>
      <c r="AS52" s="349"/>
      <c r="AT52" s="349"/>
      <c r="AU52" s="349"/>
      <c r="AV52" s="350"/>
    </row>
    <row r="53" spans="2:48" s="23" customFormat="1" outlineLevel="1" x14ac:dyDescent="0.3">
      <c r="B53" s="200" t="s">
        <v>308</v>
      </c>
      <c r="C53" s="201"/>
      <c r="D53" s="351">
        <f>D12/'IS (Before Changes)'!D8</f>
        <v>1.4669742337208073E-2</v>
      </c>
      <c r="E53" s="281">
        <f>E12/'IS (Before Changes)'!E8</f>
        <v>1.5033540018078308E-2</v>
      </c>
      <c r="F53" s="113">
        <f>F12/'IS (Before Changes)'!F8</f>
        <v>9.2774439396160081E-3</v>
      </c>
      <c r="G53" s="113">
        <f>G12/'IS (Before Changes)'!G8</f>
        <v>7.7960575070401619E-3</v>
      </c>
      <c r="H53" s="125">
        <f>H12/'IS (Before Changes)'!H8</f>
        <v>1.1618870857004896E-2</v>
      </c>
      <c r="I53" s="113">
        <f>I12/'IS (Before Changes)'!I8</f>
        <v>1.2723506784461259E-2</v>
      </c>
      <c r="J53" s="113">
        <f>J12/'IS (Before Changes)'!J8</f>
        <v>9.3900628783961833E-3</v>
      </c>
      <c r="K53" s="113">
        <f>K12/'IS (Before Changes)'!K8</f>
        <v>9.8055470026763899E-3</v>
      </c>
      <c r="L53" s="113">
        <f>L12/'IS (Before Changes)'!L8</f>
        <v>9.7693088939401224E-3</v>
      </c>
      <c r="M53" s="282">
        <f>M12/'IS (Before Changes)'!M8</f>
        <v>1.0570626753975675E-2</v>
      </c>
      <c r="N53" s="113">
        <f>N12/'IS (Before Changes)'!N8</f>
        <v>1.4712418881678371E-2</v>
      </c>
      <c r="O53" s="113">
        <f>O12/'IS (Before Changes)'!O8</f>
        <v>1.1397720455908821E-2</v>
      </c>
      <c r="P53" s="113">
        <f>P12/'IS (Before Changes)'!P8</f>
        <v>1.0671646768491964E-2</v>
      </c>
      <c r="Q53" s="113">
        <f>Q12/'IS (Before Changes)'!Q8</f>
        <v>7.8313918519155035E-3</v>
      </c>
      <c r="R53" s="282">
        <f>R12/'IS (Before Changes)'!R8</f>
        <v>1.0980502811366593E-2</v>
      </c>
      <c r="S53" s="113">
        <f>S12/'IS (Before Changes)'!S8</f>
        <v>1.1900029812183245E-2</v>
      </c>
      <c r="T53" s="113">
        <f>T12/'IS (Before Changes)'!T8</f>
        <v>6.9935564985069932E-3</v>
      </c>
      <c r="U53" s="113">
        <f>U12/'IS (Before Changes)'!U8</f>
        <v>7.0428583698359517E-3</v>
      </c>
      <c r="V53" s="113">
        <f>V12/'IS (Before Changes)'!V8</f>
        <v>7.7131515770958682E-3</v>
      </c>
      <c r="W53" s="282"/>
      <c r="X53" s="35">
        <f>AVERAGE(V53,U53,T53,S53)</f>
        <v>8.4123990644055149E-3</v>
      </c>
      <c r="Y53" s="35">
        <f>AVERAGE(X53,V53,U53,T53)</f>
        <v>7.5404913774610822E-3</v>
      </c>
      <c r="Z53" s="35">
        <f>AVERAGE(Y53,X53,V53,U53)</f>
        <v>7.6772250971996045E-3</v>
      </c>
      <c r="AA53" s="35">
        <f>AVERAGE(Z53,Y53,X53,V53)</f>
        <v>7.8358167790405168E-3</v>
      </c>
      <c r="AB53" s="282"/>
      <c r="AC53" s="35">
        <f>AVERAGE(AA53,Z53,Y53,X53)</f>
        <v>7.8664830795266791E-3</v>
      </c>
      <c r="AD53" s="35">
        <f>AVERAGE(AC53,AA53,Z53,Y53)</f>
        <v>7.7300040833069711E-3</v>
      </c>
      <c r="AE53" s="35">
        <f>AVERAGE(AD53,AC53,AA53,Z53)</f>
        <v>7.7773822597684431E-3</v>
      </c>
      <c r="AF53" s="35">
        <f>AVERAGE(AE53,AD53,AC53,AA53)</f>
        <v>7.8024215504106514E-3</v>
      </c>
      <c r="AG53" s="282"/>
      <c r="AH53" s="35">
        <f>AVERAGE(AF53,AE53,AD53,AC53)</f>
        <v>7.7940727432531855E-3</v>
      </c>
      <c r="AI53" s="35">
        <f>AVERAGE(AH53,AF53,AE53,AD53)</f>
        <v>7.775970159184813E-3</v>
      </c>
      <c r="AJ53" s="35">
        <f>AVERAGE(AI53,AH53,AF53,AE53)</f>
        <v>7.7874616781542731E-3</v>
      </c>
      <c r="AK53" s="35">
        <f>AVERAGE(AJ53,AI53,AH53,AF53)</f>
        <v>7.7899815327507303E-3</v>
      </c>
      <c r="AL53" s="282"/>
      <c r="AM53" s="35">
        <f>AVERAGE(AK53,AJ53,AI53,AH53)</f>
        <v>7.7868715283357509E-3</v>
      </c>
      <c r="AN53" s="35">
        <f>AVERAGE(AM53,AK53,AJ53,AI53)</f>
        <v>7.7850712246063918E-3</v>
      </c>
      <c r="AO53" s="35">
        <f>AVERAGE(AN53,AM53,AK53,AJ53)</f>
        <v>7.7873464909617857E-3</v>
      </c>
      <c r="AP53" s="35">
        <f>AVERAGE(AO53,AN53,AM53,AK53)</f>
        <v>7.7873176941636651E-3</v>
      </c>
      <c r="AQ53" s="282"/>
      <c r="AR53" s="35">
        <f>AVERAGE(AP53,AO53,AN53,AM53)</f>
        <v>7.786651734516899E-3</v>
      </c>
      <c r="AS53" s="35">
        <f>AVERAGE(AR53,AP53,AO53,AN53)</f>
        <v>7.7865967860621856E-3</v>
      </c>
      <c r="AT53" s="35">
        <f>AVERAGE(AS53,AR53,AP53,AO53)</f>
        <v>7.7869781764261341E-3</v>
      </c>
      <c r="AU53" s="35">
        <f>AVERAGE(AT53,AS53,AR53,AP53)</f>
        <v>7.7868860977922212E-3</v>
      </c>
      <c r="AV53" s="282"/>
    </row>
    <row r="54" spans="2:48" s="23" customFormat="1" outlineLevel="1" x14ac:dyDescent="0.3">
      <c r="B54" s="200" t="s">
        <v>309</v>
      </c>
      <c r="C54" s="201"/>
      <c r="D54" s="351">
        <f t="shared" ref="D54:U54" si="41">+D10/-D9</f>
        <v>1.1581818181818182</v>
      </c>
      <c r="E54" s="351">
        <f t="shared" si="41"/>
        <v>0.55639097744360888</v>
      </c>
      <c r="F54" s="113">
        <f t="shared" si="41"/>
        <v>1.0682852807283763</v>
      </c>
      <c r="G54" s="113">
        <f t="shared" si="41"/>
        <v>0.69411764705882406</v>
      </c>
      <c r="H54" s="125">
        <f t="shared" si="41"/>
        <v>0.86512370311252995</v>
      </c>
      <c r="I54" s="113">
        <f t="shared" si="41"/>
        <v>1.0222575516693164</v>
      </c>
      <c r="J54" s="113">
        <f t="shared" si="41"/>
        <v>0.63295880149812733</v>
      </c>
      <c r="K54" s="113">
        <f t="shared" si="41"/>
        <v>1.0227272727272729</v>
      </c>
      <c r="L54" s="113">
        <f t="shared" si="41"/>
        <v>0.63109756097560987</v>
      </c>
      <c r="M54" s="282">
        <f t="shared" si="41"/>
        <v>0.81118631991449952</v>
      </c>
      <c r="N54" s="113">
        <f t="shared" si="41"/>
        <v>1.1188405797101451</v>
      </c>
      <c r="O54" s="113">
        <f t="shared" si="41"/>
        <v>0.85072231139646837</v>
      </c>
      <c r="P54" s="113">
        <f t="shared" si="41"/>
        <v>0.9018691588785045</v>
      </c>
      <c r="Q54" s="113">
        <f t="shared" si="41"/>
        <v>1.0027522935779816</v>
      </c>
      <c r="R54" s="282">
        <f t="shared" si="41"/>
        <v>0.96746328822343797</v>
      </c>
      <c r="S54" s="113">
        <f t="shared" si="41"/>
        <v>0.96351931330472096</v>
      </c>
      <c r="T54" s="113">
        <f t="shared" si="41"/>
        <v>0.77531206657420249</v>
      </c>
      <c r="U54" s="113">
        <f t="shared" si="41"/>
        <v>0.80106571936056836</v>
      </c>
      <c r="V54" s="113">
        <f t="shared" ref="V54" si="42">+V10/-V9</f>
        <v>0.91035218783351113</v>
      </c>
      <c r="W54" s="282"/>
      <c r="X54" s="35">
        <v>1</v>
      </c>
      <c r="Y54" s="35">
        <v>1</v>
      </c>
      <c r="Z54" s="35">
        <v>1</v>
      </c>
      <c r="AA54" s="35">
        <v>1</v>
      </c>
      <c r="AB54" s="282"/>
      <c r="AC54" s="35">
        <v>1</v>
      </c>
      <c r="AD54" s="35">
        <v>1</v>
      </c>
      <c r="AE54" s="35">
        <v>1</v>
      </c>
      <c r="AF54" s="35">
        <v>1</v>
      </c>
      <c r="AG54" s="282"/>
      <c r="AH54" s="35">
        <v>1</v>
      </c>
      <c r="AI54" s="35">
        <v>1</v>
      </c>
      <c r="AJ54" s="35">
        <v>1</v>
      </c>
      <c r="AK54" s="35">
        <v>1</v>
      </c>
      <c r="AL54" s="282"/>
      <c r="AM54" s="35">
        <v>1</v>
      </c>
      <c r="AN54" s="35">
        <v>1</v>
      </c>
      <c r="AO54" s="35">
        <v>1</v>
      </c>
      <c r="AP54" s="35">
        <v>1</v>
      </c>
      <c r="AQ54" s="282"/>
      <c r="AR54" s="35">
        <v>1</v>
      </c>
      <c r="AS54" s="35">
        <v>1</v>
      </c>
      <c r="AT54" s="35">
        <v>1</v>
      </c>
      <c r="AU54" s="35">
        <v>1</v>
      </c>
      <c r="AV54" s="282"/>
    </row>
    <row r="55" spans="2:48" s="23" customFormat="1" outlineLevel="1" x14ac:dyDescent="0.3">
      <c r="B55" s="486" t="s">
        <v>310</v>
      </c>
      <c r="C55" s="487"/>
      <c r="D55" s="352"/>
      <c r="E55" s="352"/>
      <c r="F55" s="352"/>
      <c r="G55" s="352"/>
      <c r="H55" s="353"/>
      <c r="I55" s="352">
        <f t="shared" ref="I55:AV55" si="43">I22/D22-1</f>
        <v>-0.22820512820512895</v>
      </c>
      <c r="J55" s="352">
        <f t="shared" si="43"/>
        <v>-4.4869364754098413</v>
      </c>
      <c r="K55" s="352">
        <f t="shared" si="43"/>
        <v>-1.314434752864716</v>
      </c>
      <c r="L55" s="352">
        <f t="shared" si="43"/>
        <v>0.34527569713924766</v>
      </c>
      <c r="M55" s="353">
        <f t="shared" si="43"/>
        <v>-0.68340961778517451</v>
      </c>
      <c r="N55" s="352">
        <f t="shared" si="43"/>
        <v>-2.1785305811139466E-4</v>
      </c>
      <c r="O55" s="352">
        <f t="shared" si="43"/>
        <v>-1.649232351428781</v>
      </c>
      <c r="P55" s="352">
        <f t="shared" si="43"/>
        <v>-5.7565950503127619</v>
      </c>
      <c r="Q55" s="352">
        <f t="shared" si="43"/>
        <v>2.012477359629572E-2</v>
      </c>
      <c r="R55" s="353">
        <f t="shared" si="43"/>
        <v>2.7484040555764064</v>
      </c>
      <c r="S55" s="352">
        <f t="shared" si="43"/>
        <v>1.9175246499972598E-2</v>
      </c>
      <c r="T55" s="352">
        <f t="shared" si="43"/>
        <v>-0.81681375876895213</v>
      </c>
      <c r="U55" s="352">
        <f t="shared" si="43"/>
        <v>-0.27684391080617499</v>
      </c>
      <c r="V55" s="352">
        <f t="shared" si="43"/>
        <v>-0.27691194844479561</v>
      </c>
      <c r="W55" s="353">
        <f t="shared" si="43"/>
        <v>-0.26581179456354764</v>
      </c>
      <c r="X55" s="352">
        <f t="shared" si="43"/>
        <v>8.171438918442453E-2</v>
      </c>
      <c r="Y55" s="352">
        <f t="shared" si="43"/>
        <v>3.6833104545785833</v>
      </c>
      <c r="Z55" s="352">
        <f t="shared" si="43"/>
        <v>-0.12558779493844696</v>
      </c>
      <c r="AA55" s="352">
        <f t="shared" si="43"/>
        <v>0.71812434982269724</v>
      </c>
      <c r="AB55" s="353">
        <f t="shared" si="43"/>
        <v>0.31383914885570441</v>
      </c>
      <c r="AC55" s="352">
        <f t="shared" si="43"/>
        <v>9.7123534269793588E-2</v>
      </c>
      <c r="AD55" s="352">
        <f t="shared" si="43"/>
        <v>0.35950764977440608</v>
      </c>
      <c r="AE55" s="352">
        <f t="shared" si="43"/>
        <v>0.33981218882453623</v>
      </c>
      <c r="AF55" s="352">
        <f t="shared" si="43"/>
        <v>-4.5892582489394762E-2</v>
      </c>
      <c r="AG55" s="353">
        <f t="shared" si="43"/>
        <v>0.13125018543910394</v>
      </c>
      <c r="AH55" s="352">
        <f t="shared" si="43"/>
        <v>0.1145201068558912</v>
      </c>
      <c r="AI55" s="352">
        <f t="shared" si="43"/>
        <v>0.13988933028350004</v>
      </c>
      <c r="AJ55" s="352">
        <f t="shared" si="43"/>
        <v>0.12131964646390059</v>
      </c>
      <c r="AK55" s="352">
        <f t="shared" si="43"/>
        <v>0.119303225136425</v>
      </c>
      <c r="AL55" s="353">
        <f t="shared" si="43"/>
        <v>0.12138237845230204</v>
      </c>
      <c r="AM55" s="352">
        <f t="shared" si="43"/>
        <v>0.13857600375102086</v>
      </c>
      <c r="AN55" s="352">
        <f t="shared" si="43"/>
        <v>8.3336261626586472E-2</v>
      </c>
      <c r="AO55" s="352">
        <f t="shared" si="43"/>
        <v>6.5161558973004796E-2</v>
      </c>
      <c r="AP55" s="352">
        <f t="shared" si="43"/>
        <v>0.12871523768537885</v>
      </c>
      <c r="AQ55" s="353">
        <f t="shared" si="43"/>
        <v>0.11036062380604084</v>
      </c>
      <c r="AR55" s="352">
        <f t="shared" si="43"/>
        <v>7.1237179164707509E-2</v>
      </c>
      <c r="AS55" s="352">
        <f t="shared" si="43"/>
        <v>9.3612071990971435E-2</v>
      </c>
      <c r="AT55" s="352">
        <f t="shared" si="43"/>
        <v>0.10599788470613469</v>
      </c>
      <c r="AU55" s="352">
        <f t="shared" si="43"/>
        <v>5.0118430150442039E-2</v>
      </c>
      <c r="AV55" s="353">
        <f t="shared" si="43"/>
        <v>7.6387140627540706E-2</v>
      </c>
    </row>
    <row r="56" spans="2:48" outlineLevel="1" x14ac:dyDescent="0.3">
      <c r="B56" s="200" t="s">
        <v>311</v>
      </c>
      <c r="C56" s="356"/>
      <c r="D56" s="351">
        <f>-D25/'IS (Before Changes)'!D8</f>
        <v>6.5041385860961587E-2</v>
      </c>
      <c r="E56" s="351">
        <f>-E25/'IS (Before Changes)'!E8</f>
        <v>6.5684517673924428E-2</v>
      </c>
      <c r="F56" s="113">
        <f>-F25/'IS (Before Changes)'!F8</f>
        <v>6.3769602814011436E-2</v>
      </c>
      <c r="G56" s="113">
        <f>-G25/'IS (Before Changes)'!G8</f>
        <v>7.7945753668297008E-2</v>
      </c>
      <c r="H56" s="363">
        <f>-H25/'IS (Before Changes)'!H8</f>
        <v>6.8151467825535855E-2</v>
      </c>
      <c r="I56" s="354">
        <f>-I25/'IS (Before Changes)'!I8</f>
        <v>5.555790393259219E-2</v>
      </c>
      <c r="J56" s="118">
        <f>-J25/'IS (Before Changes)'!J8</f>
        <v>6.0710175625865198E-2</v>
      </c>
      <c r="K56" s="118">
        <f>-K25/'IS (Before Changes)'!K8</f>
        <v>9.0026290234717338E-2</v>
      </c>
      <c r="L56" s="113">
        <f>-L25/'IS (Before Changes)'!L8</f>
        <v>5.5649594557559891E-2</v>
      </c>
      <c r="M56" s="353">
        <f>-M25/'IS (Before Changes)'!M8</f>
        <v>6.3083595543838744E-2</v>
      </c>
      <c r="N56" s="354">
        <f>-N25/'IS (Before Changes)'!N8</f>
        <v>4.8033899309568251E-2</v>
      </c>
      <c r="O56" s="118">
        <f>-O25/'IS (Before Changes)'!O8</f>
        <v>4.8545290941811634E-2</v>
      </c>
      <c r="P56" s="118">
        <f>-P25/'IS (Before Changes)'!P8</f>
        <v>4.5061028479957313E-2</v>
      </c>
      <c r="Q56" s="118">
        <f>-Q25/'IS (Before Changes)'!Q8</f>
        <v>5.9447383603176751E-2</v>
      </c>
      <c r="R56" s="353">
        <f>-R25/'IS (Before Changes)'!R8</f>
        <v>5.058395215515165E-2</v>
      </c>
      <c r="S56" s="354">
        <f>-S25/'IS (Before Changes)'!S8</f>
        <v>5.1773824903110409E-2</v>
      </c>
      <c r="T56" s="118">
        <f>-T25/'IS (Before Changes)'!T8</f>
        <v>5.9602388810309603E-2</v>
      </c>
      <c r="U56" s="118">
        <f>-U25/'IS (Before Changes)'!U8</f>
        <v>5.1962552606716499E-2</v>
      </c>
      <c r="V56" s="118">
        <f>-V25/'IS (Before Changes)'!V8</f>
        <v>6.4878419814123733E-2</v>
      </c>
      <c r="W56" s="353">
        <f>-W25/'IS (Before Changes)'!W8</f>
        <v>5.7094042536038427E-2</v>
      </c>
      <c r="X56" s="355">
        <v>6.9490662855964933E-2</v>
      </c>
      <c r="Y56" s="355">
        <f>X56</f>
        <v>6.9490662855964933E-2</v>
      </c>
      <c r="Z56" s="355">
        <f>Y56</f>
        <v>6.9490662855964933E-2</v>
      </c>
      <c r="AA56" s="355">
        <f>Z56</f>
        <v>6.9490662855964933E-2</v>
      </c>
      <c r="AB56" s="353">
        <f>-AB25/'IS (Before Changes)'!AB8</f>
        <v>6.9490662855964946E-2</v>
      </c>
      <c r="AC56" s="355">
        <v>6.9237389235761101E-2</v>
      </c>
      <c r="AD56" s="35">
        <f>AC56</f>
        <v>6.9237389235761101E-2</v>
      </c>
      <c r="AE56" s="35">
        <f>AD56</f>
        <v>6.9237389235761101E-2</v>
      </c>
      <c r="AF56" s="35">
        <f>AE56</f>
        <v>6.9237389235761101E-2</v>
      </c>
      <c r="AG56" s="353">
        <f>-AG25/'IS (Before Changes)'!AG8</f>
        <v>6.9237389235761101E-2</v>
      </c>
      <c r="AH56" s="355">
        <v>6.2089303557495354E-2</v>
      </c>
      <c r="AI56" s="35">
        <f>AH56</f>
        <v>6.2089303557495354E-2</v>
      </c>
      <c r="AJ56" s="35">
        <f>AI56</f>
        <v>6.2089303557495354E-2</v>
      </c>
      <c r="AK56" s="35">
        <f>AJ56</f>
        <v>6.2089303557495354E-2</v>
      </c>
      <c r="AL56" s="353">
        <f>-AL25/'IS (Before Changes)'!AL8</f>
        <v>6.2089303557495361E-2</v>
      </c>
      <c r="AM56" s="355">
        <f>AVERAGE(AH56,AI56,AJ56,AK56)</f>
        <v>6.2089303557495354E-2</v>
      </c>
      <c r="AN56" s="35">
        <f>AVERAGE(AI56,AJ56,AK56,AM56)</f>
        <v>6.2089303557495354E-2</v>
      </c>
      <c r="AO56" s="35">
        <f>AVERAGE(AN56,AM56,AK56,AJ56)</f>
        <v>6.2089303557495354E-2</v>
      </c>
      <c r="AP56" s="35">
        <f>AVERAGE(AO56,AN56,AM56,AK56)</f>
        <v>6.2089303557495354E-2</v>
      </c>
      <c r="AQ56" s="353">
        <f>-AQ25/'IS (Before Changes)'!AQ8</f>
        <v>6.2089303557495368E-2</v>
      </c>
      <c r="AR56" s="355">
        <f>AVERAGE(AM56,AN56,AO56,AP56)</f>
        <v>6.2089303557495354E-2</v>
      </c>
      <c r="AS56" s="35">
        <f>AVERAGE(AN56,AO56,AP56,AR56)</f>
        <v>6.2089303557495354E-2</v>
      </c>
      <c r="AT56" s="35">
        <f>AVERAGE(AS56,AR56,AP56,AO56)</f>
        <v>6.2089303557495354E-2</v>
      </c>
      <c r="AU56" s="35">
        <f>AVERAGE(AT56,AS56,AR56,AP56)</f>
        <v>6.2089303557495354E-2</v>
      </c>
      <c r="AV56" s="353">
        <f>-AV25/'IS (Before Changes)'!AV8</f>
        <v>6.2089303557495354E-2</v>
      </c>
    </row>
    <row r="57" spans="2:48" outlineLevel="1" x14ac:dyDescent="0.3">
      <c r="B57" s="200" t="s">
        <v>312</v>
      </c>
      <c r="C57" s="356"/>
      <c r="D57" s="299">
        <f>-D34-D33</f>
        <v>5561.4</v>
      </c>
      <c r="E57" s="299">
        <f t="shared" ref="E57:AV57" si="44">-E34-E33</f>
        <v>3161</v>
      </c>
      <c r="F57" s="146">
        <f t="shared" si="44"/>
        <v>581.20000000000005</v>
      </c>
      <c r="G57" s="146">
        <f t="shared" si="44"/>
        <v>2679.9999999999995</v>
      </c>
      <c r="H57" s="122">
        <f t="shared" si="44"/>
        <v>11983.599999999999</v>
      </c>
      <c r="I57" s="299">
        <f t="shared" si="44"/>
        <v>1575.6000000000001</v>
      </c>
      <c r="J57" s="146">
        <f t="shared" si="44"/>
        <v>1088.5</v>
      </c>
      <c r="K57" s="146">
        <f t="shared" si="44"/>
        <v>479.00000000000006</v>
      </c>
      <c r="L57" s="146">
        <f t="shared" si="44"/>
        <v>479.3</v>
      </c>
      <c r="M57" s="122">
        <f t="shared" si="44"/>
        <v>3622.4</v>
      </c>
      <c r="N57" s="299">
        <f t="shared" si="44"/>
        <v>528.20000000000005</v>
      </c>
      <c r="O57" s="146">
        <f t="shared" si="44"/>
        <v>529.79999999999995</v>
      </c>
      <c r="P57" s="146">
        <f t="shared" si="44"/>
        <v>530.20000000000005</v>
      </c>
      <c r="Q57" s="146">
        <f t="shared" si="44"/>
        <v>530.79999999999995</v>
      </c>
      <c r="R57" s="122">
        <f t="shared" si="44"/>
        <v>2119</v>
      </c>
      <c r="S57" s="299">
        <f t="shared" si="44"/>
        <v>4096.8999999999996</v>
      </c>
      <c r="T57" s="146">
        <f t="shared" si="44"/>
        <v>1039.8</v>
      </c>
      <c r="U57" s="146">
        <f t="shared" si="44"/>
        <v>577.39999999999986</v>
      </c>
      <c r="V57" s="146">
        <f t="shared" si="44"/>
        <v>562.20000000000027</v>
      </c>
      <c r="W57" s="122">
        <f>-W34-W33</f>
        <v>6276.3</v>
      </c>
      <c r="X57" s="299">
        <f t="shared" si="44"/>
        <v>609.58030771444623</v>
      </c>
      <c r="Y57" s="299">
        <f t="shared" si="44"/>
        <v>610.79946832987514</v>
      </c>
      <c r="Z57" s="299">
        <f t="shared" si="44"/>
        <v>612.02106726653483</v>
      </c>
      <c r="AA57" s="299">
        <f t="shared" si="44"/>
        <v>643.90736487112133</v>
      </c>
      <c r="AB57" s="166">
        <f t="shared" si="44"/>
        <v>2476.3082081819775</v>
      </c>
      <c r="AC57" s="299">
        <f t="shared" si="44"/>
        <v>609.58030771444623</v>
      </c>
      <c r="AD57" s="146">
        <f t="shared" si="44"/>
        <v>610.79946832987514</v>
      </c>
      <c r="AE57" s="146">
        <f t="shared" si="44"/>
        <v>712.02106726653483</v>
      </c>
      <c r="AF57" s="146">
        <f t="shared" si="44"/>
        <v>743.90736487112133</v>
      </c>
      <c r="AG57" s="166">
        <f t="shared" si="44"/>
        <v>2676.3082081819775</v>
      </c>
      <c r="AH57" s="299">
        <f t="shared" si="44"/>
        <v>745.19517960086364</v>
      </c>
      <c r="AI57" s="146">
        <f t="shared" si="44"/>
        <v>746.48556996006528</v>
      </c>
      <c r="AJ57" s="146">
        <f t="shared" si="44"/>
        <v>6089.2659112546717</v>
      </c>
      <c r="AK57" s="146">
        <f>-AK34-AK33</f>
        <v>6122.4709263324003</v>
      </c>
      <c r="AL57" s="122">
        <f t="shared" si="44"/>
        <v>13703.417587148</v>
      </c>
      <c r="AM57" s="299">
        <f t="shared" si="44"/>
        <v>931.35688131476138</v>
      </c>
      <c r="AN57" s="146">
        <f t="shared" si="44"/>
        <v>932.2257679168971</v>
      </c>
      <c r="AO57" s="146">
        <f t="shared" si="44"/>
        <v>906.71623823142136</v>
      </c>
      <c r="AP57" s="146">
        <f t="shared" si="44"/>
        <v>912.71347396090346</v>
      </c>
      <c r="AQ57" s="122">
        <f t="shared" si="44"/>
        <v>3683.0123614239833</v>
      </c>
      <c r="AR57" s="299">
        <f t="shared" si="44"/>
        <v>912.795119814298</v>
      </c>
      <c r="AS57" s="146">
        <f t="shared" si="44"/>
        <v>912.87692895939927</v>
      </c>
      <c r="AT57" s="146">
        <f t="shared" si="44"/>
        <v>912.95890172279076</v>
      </c>
      <c r="AU57" s="146">
        <f t="shared" si="44"/>
        <v>926.3018592003433</v>
      </c>
      <c r="AV57" s="122">
        <f t="shared" si="44"/>
        <v>3664.9328096968311</v>
      </c>
    </row>
    <row r="58" spans="2:48" outlineLevel="1" x14ac:dyDescent="0.3">
      <c r="B58" s="203" t="s">
        <v>313</v>
      </c>
      <c r="C58" s="364"/>
      <c r="D58" s="365"/>
      <c r="E58" s="365"/>
      <c r="F58" s="366"/>
      <c r="G58" s="366"/>
      <c r="H58" s="367"/>
      <c r="I58" s="365"/>
      <c r="J58" s="366"/>
      <c r="K58" s="366"/>
      <c r="L58" s="366"/>
      <c r="M58" s="367"/>
      <c r="N58" s="365"/>
      <c r="O58" s="366"/>
      <c r="P58" s="366"/>
      <c r="Q58" s="366"/>
      <c r="R58" s="367"/>
      <c r="S58" s="365"/>
      <c r="T58" s="366"/>
      <c r="U58" s="366"/>
      <c r="V58" s="366"/>
      <c r="W58" s="367"/>
      <c r="X58" s="365">
        <f>X57</f>
        <v>609.58030771444623</v>
      </c>
      <c r="Y58" s="365">
        <f>+Y57+X58</f>
        <v>1220.3797760443213</v>
      </c>
      <c r="Z58" s="365">
        <f t="shared" ref="Z58:AA58" si="45">+Z57+Y58</f>
        <v>1832.4008433108561</v>
      </c>
      <c r="AA58" s="365">
        <f t="shared" si="45"/>
        <v>2476.3082081819775</v>
      </c>
      <c r="AB58" s="368">
        <f>AA58</f>
        <v>2476.3082081819775</v>
      </c>
      <c r="AC58" s="365">
        <f>AA58+AC57</f>
        <v>3085.888515896424</v>
      </c>
      <c r="AD58" s="365">
        <f>AC58+AD57</f>
        <v>3696.6879842262992</v>
      </c>
      <c r="AE58" s="365">
        <f t="shared" ref="AE58:AF58" si="46">AD58+AE57</f>
        <v>4408.7090514928341</v>
      </c>
      <c r="AF58" s="365">
        <f t="shared" si="46"/>
        <v>5152.6164163639551</v>
      </c>
      <c r="AG58" s="368">
        <f>+AF58</f>
        <v>5152.6164163639551</v>
      </c>
      <c r="AH58" s="365">
        <f>AF58+AH57</f>
        <v>5897.8115959648185</v>
      </c>
      <c r="AI58" s="365">
        <f>AH58+AI57</f>
        <v>6644.2971659248833</v>
      </c>
      <c r="AJ58" s="365">
        <f t="shared" ref="AJ58" si="47">AI58+AJ57</f>
        <v>12733.563077179555</v>
      </c>
      <c r="AK58" s="365">
        <f>AJ58+AK57</f>
        <v>18856.034003511955</v>
      </c>
      <c r="AL58" s="394">
        <f>+AK58</f>
        <v>18856.034003511955</v>
      </c>
      <c r="AM58" s="365"/>
      <c r="AN58" s="366"/>
      <c r="AO58" s="366"/>
      <c r="AP58" s="366"/>
      <c r="AQ58" s="367"/>
      <c r="AR58" s="365"/>
      <c r="AS58" s="366"/>
      <c r="AT58" s="366"/>
      <c r="AU58" s="366"/>
      <c r="AV58" s="367"/>
    </row>
    <row r="59" spans="2:48" x14ac:dyDescent="0.3">
      <c r="B59" s="395" t="s">
        <v>329</v>
      </c>
      <c r="C59" s="396"/>
      <c r="D59" s="397"/>
      <c r="E59" s="397"/>
      <c r="F59" s="398"/>
      <c r="G59" s="398"/>
      <c r="H59" s="398"/>
      <c r="I59" s="397"/>
      <c r="J59" s="397"/>
      <c r="K59" s="398"/>
      <c r="L59" s="398"/>
      <c r="M59" s="398"/>
      <c r="N59" s="397"/>
      <c r="O59" s="397"/>
      <c r="P59" s="398"/>
      <c r="Q59" s="398"/>
      <c r="R59" s="398"/>
      <c r="S59" s="397"/>
      <c r="T59" s="397"/>
      <c r="U59" s="398"/>
      <c r="V59" s="398"/>
      <c r="W59" s="398"/>
      <c r="X59" s="397"/>
      <c r="Y59" s="397"/>
      <c r="Z59" s="398"/>
      <c r="AA59" s="398"/>
      <c r="AB59" s="398"/>
      <c r="AC59" s="397"/>
      <c r="AD59" s="397"/>
      <c r="AE59" s="398"/>
      <c r="AF59" s="398"/>
      <c r="AG59" s="398"/>
      <c r="AH59" s="397"/>
      <c r="AI59" s="397"/>
      <c r="AJ59" s="398"/>
      <c r="AK59" s="398"/>
      <c r="AL59" s="403">
        <f>('IS (Before Changes)'!AL34/'IS (Before Changes)'!W34)^(1/3)-1</f>
        <v>0.17985647594392118</v>
      </c>
    </row>
    <row r="60" spans="2:48" x14ac:dyDescent="0.3">
      <c r="B60" s="308" t="s">
        <v>330</v>
      </c>
      <c r="D60" s="399"/>
      <c r="E60" s="399"/>
      <c r="I60" s="399"/>
      <c r="J60" s="399"/>
      <c r="N60" s="399"/>
      <c r="O60" s="399"/>
      <c r="S60" s="399"/>
      <c r="T60" s="399"/>
      <c r="X60" s="399"/>
      <c r="Y60" s="399"/>
      <c r="AC60" s="399"/>
      <c r="AD60" s="399"/>
      <c r="AH60" s="399"/>
      <c r="AI60" s="399"/>
      <c r="AL60" s="29">
        <v>0.16966830366076002</v>
      </c>
    </row>
    <row r="61" spans="2:48" x14ac:dyDescent="0.3">
      <c r="B61" s="311" t="s">
        <v>331</v>
      </c>
      <c r="C61" s="400"/>
      <c r="D61" s="401"/>
      <c r="E61" s="401"/>
      <c r="F61" s="402"/>
      <c r="G61" s="402"/>
      <c r="H61" s="402"/>
      <c r="I61" s="401"/>
      <c r="J61" s="401"/>
      <c r="K61" s="402"/>
      <c r="L61" s="402"/>
      <c r="M61" s="402"/>
      <c r="N61" s="401"/>
      <c r="O61" s="401"/>
      <c r="P61" s="402"/>
      <c r="Q61" s="402"/>
      <c r="R61" s="402"/>
      <c r="S61" s="401"/>
      <c r="T61" s="401"/>
      <c r="U61" s="402"/>
      <c r="V61" s="402"/>
      <c r="W61" s="402"/>
      <c r="X61" s="401"/>
      <c r="Y61" s="401"/>
      <c r="Z61" s="402"/>
      <c r="AA61" s="402"/>
      <c r="AB61" s="402"/>
      <c r="AC61" s="401"/>
      <c r="AD61" s="401"/>
      <c r="AE61" s="402"/>
      <c r="AF61" s="402"/>
      <c r="AG61" s="402"/>
      <c r="AH61" s="401"/>
      <c r="AI61" s="401"/>
      <c r="AJ61" s="402"/>
      <c r="AK61" s="402"/>
      <c r="AL61" s="404">
        <f>AL59-AL60</f>
        <v>1.0188172283161157E-2</v>
      </c>
    </row>
    <row r="62" spans="2:48" s="23" customFormat="1" x14ac:dyDescent="0.3">
      <c r="B62" s="395" t="s">
        <v>332</v>
      </c>
      <c r="C62" s="409"/>
      <c r="D62" s="410"/>
      <c r="E62" s="410"/>
      <c r="F62" s="411"/>
      <c r="G62" s="411"/>
      <c r="H62" s="411"/>
      <c r="I62" s="410"/>
      <c r="J62" s="410"/>
      <c r="K62" s="411"/>
      <c r="L62" s="411"/>
      <c r="M62" s="411"/>
      <c r="N62" s="410"/>
      <c r="O62" s="410"/>
      <c r="P62" s="411"/>
      <c r="Q62" s="411"/>
      <c r="R62" s="411"/>
      <c r="S62" s="410"/>
      <c r="T62" s="410"/>
      <c r="U62" s="411"/>
      <c r="V62" s="411"/>
      <c r="W62" s="411"/>
      <c r="X62" s="410"/>
      <c r="Y62" s="410"/>
      <c r="Z62" s="411"/>
      <c r="AA62" s="411"/>
      <c r="AB62" s="411"/>
      <c r="AC62" s="410"/>
      <c r="AD62" s="410"/>
      <c r="AE62" s="411"/>
      <c r="AF62" s="411"/>
      <c r="AG62" s="411"/>
      <c r="AH62" s="410"/>
      <c r="AI62" s="410"/>
      <c r="AJ62" s="411"/>
      <c r="AK62" s="412"/>
      <c r="AL62" s="416">
        <f>(0.15+1)^3*2.88</f>
        <v>4.3801199999999989</v>
      </c>
      <c r="AM62" s="408"/>
      <c r="AN62" s="48"/>
      <c r="AO62" s="309"/>
      <c r="AP62" s="309"/>
      <c r="AQ62" s="309"/>
      <c r="AR62" s="48"/>
      <c r="AS62" s="48"/>
      <c r="AT62" s="309"/>
      <c r="AU62" s="309"/>
      <c r="AV62" s="309"/>
    </row>
    <row r="63" spans="2:48" s="23" customFormat="1" x14ac:dyDescent="0.3">
      <c r="B63" s="311" t="s">
        <v>333</v>
      </c>
      <c r="C63" s="413"/>
      <c r="D63" s="313"/>
      <c r="E63" s="313"/>
      <c r="F63" s="314"/>
      <c r="G63" s="314"/>
      <c r="H63" s="314"/>
      <c r="I63" s="313"/>
      <c r="J63" s="313"/>
      <c r="K63" s="314"/>
      <c r="L63" s="314"/>
      <c r="M63" s="314"/>
      <c r="N63" s="313"/>
      <c r="O63" s="313"/>
      <c r="P63" s="314"/>
      <c r="Q63" s="314"/>
      <c r="R63" s="314"/>
      <c r="S63" s="313"/>
      <c r="T63" s="313"/>
      <c r="U63" s="314"/>
      <c r="V63" s="314"/>
      <c r="W63" s="314"/>
      <c r="X63" s="313"/>
      <c r="Y63" s="313"/>
      <c r="Z63" s="314"/>
      <c r="AA63" s="314"/>
      <c r="AB63" s="314"/>
      <c r="AC63" s="313"/>
      <c r="AD63" s="313"/>
      <c r="AE63" s="314"/>
      <c r="AF63" s="314"/>
      <c r="AG63" s="314"/>
      <c r="AH63" s="313"/>
      <c r="AI63" s="313"/>
      <c r="AJ63" s="314"/>
      <c r="AK63" s="414"/>
      <c r="AL63" s="417">
        <f>(0.2+1)^3*2.88</f>
        <v>4.9766399999999997</v>
      </c>
      <c r="AM63" s="215"/>
      <c r="AN63" s="407"/>
      <c r="AO63" s="309"/>
      <c r="AP63" s="309"/>
      <c r="AQ63" s="309"/>
      <c r="AR63" s="48"/>
      <c r="AS63" s="48"/>
      <c r="AT63" s="309"/>
      <c r="AU63" s="309"/>
      <c r="AV63" s="309"/>
    </row>
    <row r="64" spans="2:48" s="23" customFormat="1" x14ac:dyDescent="0.3">
      <c r="B64" s="395" t="s">
        <v>343</v>
      </c>
      <c r="C64" s="409"/>
      <c r="D64" s="410"/>
      <c r="E64" s="410"/>
      <c r="F64" s="411"/>
      <c r="G64" s="411"/>
      <c r="H64" s="411"/>
      <c r="I64" s="410"/>
      <c r="J64" s="410"/>
      <c r="K64" s="411"/>
      <c r="L64" s="411"/>
      <c r="M64" s="411"/>
      <c r="N64" s="410"/>
      <c r="O64" s="410"/>
      <c r="P64" s="411"/>
      <c r="Q64" s="411"/>
      <c r="R64" s="411"/>
      <c r="S64" s="410"/>
      <c r="T64" s="410"/>
      <c r="U64" s="411"/>
      <c r="V64" s="411"/>
      <c r="W64" s="411"/>
      <c r="X64" s="410"/>
      <c r="Y64" s="410"/>
      <c r="Z64" s="411"/>
      <c r="AA64" s="411"/>
      <c r="AB64" s="411"/>
      <c r="AC64" s="410"/>
      <c r="AD64" s="410"/>
      <c r="AE64" s="411"/>
      <c r="AF64" s="411"/>
      <c r="AG64" s="411"/>
      <c r="AH64" s="410"/>
      <c r="AI64" s="410"/>
      <c r="AJ64" s="411"/>
      <c r="AK64" s="411"/>
      <c r="AL64" s="403">
        <f>(('IS (Before Changes)'!AK57+'IS (Before Changes)'!AK90)/('IS (Before Changes)'!V57+'IS (Before Changes)'!V90))^(1/3)-1</f>
        <v>6.9563558604510023E-2</v>
      </c>
      <c r="AM64" s="16"/>
      <c r="AN64" s="48"/>
      <c r="AO64" s="309"/>
      <c r="AP64" s="309"/>
      <c r="AQ64" s="309"/>
      <c r="AR64" s="48"/>
      <c r="AS64" s="48"/>
      <c r="AT64" s="309"/>
      <c r="AU64" s="309"/>
      <c r="AV64" s="309"/>
    </row>
    <row r="65" spans="2:48" s="23" customFormat="1" x14ac:dyDescent="0.3">
      <c r="B65" s="311" t="s">
        <v>344</v>
      </c>
      <c r="C65" s="413"/>
      <c r="D65" s="313"/>
      <c r="E65" s="313"/>
      <c r="F65" s="314"/>
      <c r="G65" s="314"/>
      <c r="H65" s="314"/>
      <c r="I65" s="313"/>
      <c r="J65" s="313"/>
      <c r="K65" s="314"/>
      <c r="L65" s="314"/>
      <c r="M65" s="314"/>
      <c r="N65" s="313"/>
      <c r="O65" s="313"/>
      <c r="P65" s="314"/>
      <c r="Q65" s="314"/>
      <c r="R65" s="314"/>
      <c r="S65" s="313"/>
      <c r="T65" s="313"/>
      <c r="U65" s="314"/>
      <c r="V65" s="314"/>
      <c r="W65" s="314"/>
      <c r="X65" s="313"/>
      <c r="Y65" s="313"/>
      <c r="Z65" s="314"/>
      <c r="AA65" s="314"/>
      <c r="AB65" s="314"/>
      <c r="AC65" s="313"/>
      <c r="AD65" s="313"/>
      <c r="AE65" s="314"/>
      <c r="AF65" s="314"/>
      <c r="AG65" s="314"/>
      <c r="AH65" s="313"/>
      <c r="AI65" s="313"/>
      <c r="AJ65" s="314"/>
      <c r="AK65" s="314"/>
      <c r="AL65" s="425">
        <f>('IS (Before Changes)'!AL8/'IS (Before Changes)'!W8)^(1/3)-1</f>
        <v>0.11154585151284735</v>
      </c>
      <c r="AM65" s="48"/>
      <c r="AN65" s="48"/>
      <c r="AO65" s="309"/>
      <c r="AP65" s="309"/>
      <c r="AQ65" s="309"/>
      <c r="AR65" s="48"/>
      <c r="AS65" s="48"/>
      <c r="AT65" s="309"/>
      <c r="AU65" s="309"/>
      <c r="AV65" s="309"/>
    </row>
  </sheetData>
  <dataConsolidate/>
  <mergeCells count="27">
    <mergeCell ref="B18:C18"/>
    <mergeCell ref="B3:C3"/>
    <mergeCell ref="B5:C5"/>
    <mergeCell ref="B14:C14"/>
    <mergeCell ref="B15:C15"/>
    <mergeCell ref="B17:C17"/>
    <mergeCell ref="B40:C40"/>
    <mergeCell ref="B21:C21"/>
    <mergeCell ref="B22:C22"/>
    <mergeCell ref="B23:C23"/>
    <mergeCell ref="B25:C25"/>
    <mergeCell ref="B26:C26"/>
    <mergeCell ref="B27:C27"/>
    <mergeCell ref="B28:C28"/>
    <mergeCell ref="B29:C29"/>
    <mergeCell ref="B36:C36"/>
    <mergeCell ref="B37:C37"/>
    <mergeCell ref="B39:C39"/>
    <mergeCell ref="B51:C51"/>
    <mergeCell ref="B52:C52"/>
    <mergeCell ref="B55:C55"/>
    <mergeCell ref="B41:C41"/>
    <mergeCell ref="B42:C42"/>
    <mergeCell ref="B44:C44"/>
    <mergeCell ref="B48:C48"/>
    <mergeCell ref="B49:C49"/>
    <mergeCell ref="B50:C50"/>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BA3A6-E715-416D-A73C-2EF0D0FA94F1}">
  <sheetPr>
    <tabColor theme="4" tint="0.79998168889431442"/>
    <pageSetUpPr fitToPage="1"/>
  </sheetPr>
  <dimension ref="A1:AV316"/>
  <sheetViews>
    <sheetView showGridLines="0" zoomScaleNormal="100" workbookViewId="0">
      <pane xSplit="3" ySplit="4" topLeftCell="AC138" activePane="bottomRight" state="frozen"/>
      <selection activeCell="AA153" sqref="AA153"/>
      <selection pane="topRight" activeCell="AA153" sqref="AA153"/>
      <selection pane="bottomLeft" activeCell="AA153" sqref="AA153"/>
      <selection pane="bottomRight" activeCell="AA153" sqref="AA153"/>
    </sheetView>
  </sheetViews>
  <sheetFormatPr defaultColWidth="8.88671875" defaultRowHeight="14.4" outlineLevelRow="1" outlineLevelCol="1" x14ac:dyDescent="0.3"/>
  <cols>
    <col min="1" max="1" width="2" style="2" customWidth="1"/>
    <col min="2" max="2" width="39" style="2" customWidth="1"/>
    <col min="3" max="3" width="11.77734375" style="2" customWidth="1"/>
    <col min="4" max="5" width="11.5546875" style="1" customWidth="1" outlineLevel="1"/>
    <col min="6" max="7" width="11.5546875" style="3" customWidth="1" outlineLevel="1"/>
    <col min="8" max="8" width="11.5546875" style="3" customWidth="1"/>
    <col min="9" max="10" width="11.5546875" style="1" customWidth="1" outlineLevel="1"/>
    <col min="11" max="12" width="11.5546875" style="3" customWidth="1" outlineLevel="1"/>
    <col min="13" max="13" width="11.5546875" style="3" customWidth="1"/>
    <col min="14" max="15" width="11.5546875" style="1" customWidth="1" outlineLevel="1"/>
    <col min="16" max="17" width="11.5546875" style="3" customWidth="1" outlineLevel="1"/>
    <col min="18" max="18" width="11.5546875" style="3" customWidth="1"/>
    <col min="19" max="20" width="11.5546875" style="1" customWidth="1" outlineLevel="1"/>
    <col min="21" max="22" width="11.5546875" style="3" customWidth="1" outlineLevel="1"/>
    <col min="23" max="23" width="11.5546875" style="3" customWidth="1"/>
    <col min="24" max="25" width="11.5546875" style="1" customWidth="1" outlineLevel="1"/>
    <col min="26" max="27" width="11.5546875" style="3" customWidth="1" outlineLevel="1"/>
    <col min="28" max="28" width="11.5546875" style="3" customWidth="1"/>
    <col min="29" max="30" width="11.5546875" style="1" customWidth="1" outlineLevel="1"/>
    <col min="31" max="32" width="11.5546875" style="3" customWidth="1" outlineLevel="1"/>
    <col min="33" max="33" width="11.5546875" style="3" customWidth="1"/>
    <col min="34" max="35" width="11.5546875" style="1" customWidth="1" outlineLevel="1"/>
    <col min="36" max="37" width="11.5546875" style="3" customWidth="1" outlineLevel="1"/>
    <col min="38" max="38" width="11.5546875" style="3" customWidth="1"/>
    <col min="39" max="40" width="11.5546875" style="1" customWidth="1" outlineLevel="1"/>
    <col min="41" max="42" width="11.5546875" style="3" customWidth="1" outlineLevel="1"/>
    <col min="43" max="43" width="11.5546875" style="3" customWidth="1"/>
    <col min="44" max="45" width="11.5546875" style="1" customWidth="1" outlineLevel="1"/>
    <col min="46" max="47" width="11.5546875" style="3" customWidth="1" outlineLevel="1"/>
    <col min="48" max="48" width="11.5546875" style="3" customWidth="1"/>
    <col min="49" max="16384" width="8.88671875" style="2"/>
  </cols>
  <sheetData>
    <row r="1" spans="1:48" ht="16.2" customHeight="1" x14ac:dyDescent="0.3">
      <c r="B1" s="237" t="s">
        <v>210</v>
      </c>
      <c r="C1" s="370"/>
      <c r="D1" s="45"/>
      <c r="E1" s="149"/>
      <c r="F1" s="149"/>
      <c r="G1" s="149"/>
      <c r="H1" s="149"/>
      <c r="I1" s="369"/>
      <c r="J1" s="369"/>
      <c r="K1" s="369"/>
      <c r="L1" s="369"/>
      <c r="M1" s="369"/>
      <c r="N1" s="369"/>
      <c r="O1" s="369"/>
      <c r="P1" s="369"/>
      <c r="Q1" s="369"/>
      <c r="R1" s="369"/>
      <c r="S1" s="369"/>
      <c r="T1" s="369"/>
      <c r="U1" s="369"/>
      <c r="V1" s="369"/>
      <c r="W1" s="373"/>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row>
    <row r="2" spans="1:48" ht="9.3000000000000007" customHeight="1" x14ac:dyDescent="0.3">
      <c r="B2" s="99"/>
      <c r="C2" s="370"/>
      <c r="D2" s="45"/>
      <c r="E2" s="149"/>
      <c r="F2" s="149"/>
      <c r="G2" s="149"/>
      <c r="H2" s="149"/>
      <c r="I2" s="369"/>
      <c r="J2" s="369"/>
      <c r="K2" s="369"/>
      <c r="L2" s="369"/>
      <c r="M2" s="369"/>
      <c r="N2" s="369"/>
      <c r="O2" s="369"/>
      <c r="P2" s="369"/>
      <c r="Q2" s="369"/>
      <c r="R2" s="369"/>
      <c r="S2" s="369"/>
      <c r="T2" s="369"/>
      <c r="U2" s="373"/>
      <c r="V2" s="385"/>
      <c r="W2" s="385"/>
      <c r="X2" s="385"/>
      <c r="Y2" s="385"/>
      <c r="Z2" s="385"/>
      <c r="AA2" s="385"/>
      <c r="AB2" s="369"/>
      <c r="AC2" s="369"/>
      <c r="AD2" s="369"/>
      <c r="AE2" s="369"/>
      <c r="AF2" s="369"/>
      <c r="AG2" s="389"/>
      <c r="AH2" s="391"/>
      <c r="AI2" s="369"/>
      <c r="AJ2" s="369"/>
      <c r="AK2" s="369"/>
      <c r="AL2" s="389"/>
      <c r="AM2" s="391"/>
      <c r="AN2" s="369"/>
      <c r="AO2" s="369"/>
      <c r="AP2" s="369"/>
      <c r="AQ2" s="369"/>
      <c r="AR2" s="369"/>
      <c r="AS2" s="369"/>
      <c r="AT2" s="369"/>
      <c r="AU2" s="369"/>
      <c r="AV2" s="369"/>
    </row>
    <row r="3" spans="1:48" ht="15.6" x14ac:dyDescent="0.3">
      <c r="A3" s="522"/>
      <c r="B3" s="494" t="s">
        <v>18</v>
      </c>
      <c r="C3" s="495"/>
      <c r="D3" s="13" t="s">
        <v>15</v>
      </c>
      <c r="E3" s="13" t="s">
        <v>82</v>
      </c>
      <c r="F3" s="13" t="s">
        <v>84</v>
      </c>
      <c r="G3" s="13" t="s">
        <v>147</v>
      </c>
      <c r="H3" s="39" t="s">
        <v>147</v>
      </c>
      <c r="I3" s="13" t="s">
        <v>146</v>
      </c>
      <c r="J3" s="13" t="s">
        <v>145</v>
      </c>
      <c r="K3" s="13" t="s">
        <v>144</v>
      </c>
      <c r="L3" s="13" t="s">
        <v>141</v>
      </c>
      <c r="M3" s="39" t="s">
        <v>141</v>
      </c>
      <c r="N3" s="13" t="s">
        <v>148</v>
      </c>
      <c r="O3" s="13" t="s">
        <v>156</v>
      </c>
      <c r="P3" s="13" t="s">
        <v>158</v>
      </c>
      <c r="Q3" s="13" t="s">
        <v>171</v>
      </c>
      <c r="R3" s="39" t="s">
        <v>171</v>
      </c>
      <c r="S3" s="13" t="s">
        <v>187</v>
      </c>
      <c r="T3" s="13" t="s">
        <v>190</v>
      </c>
      <c r="U3" s="13" t="s">
        <v>203</v>
      </c>
      <c r="V3" s="15" t="s">
        <v>20</v>
      </c>
      <c r="W3" s="41" t="s">
        <v>20</v>
      </c>
      <c r="X3" s="15" t="s">
        <v>21</v>
      </c>
      <c r="Y3" s="15" t="s">
        <v>22</v>
      </c>
      <c r="Z3" s="15" t="s">
        <v>23</v>
      </c>
      <c r="AA3" s="15" t="s">
        <v>24</v>
      </c>
      <c r="AB3" s="41" t="s">
        <v>24</v>
      </c>
      <c r="AC3" s="15" t="s">
        <v>86</v>
      </c>
      <c r="AD3" s="15" t="s">
        <v>87</v>
      </c>
      <c r="AE3" s="15" t="s">
        <v>88</v>
      </c>
      <c r="AF3" s="15" t="s">
        <v>89</v>
      </c>
      <c r="AG3" s="41" t="s">
        <v>89</v>
      </c>
      <c r="AH3" s="15" t="s">
        <v>105</v>
      </c>
      <c r="AI3" s="15" t="s">
        <v>106</v>
      </c>
      <c r="AJ3" s="15" t="s">
        <v>107</v>
      </c>
      <c r="AK3" s="15" t="s">
        <v>108</v>
      </c>
      <c r="AL3" s="41" t="s">
        <v>108</v>
      </c>
      <c r="AM3" s="15" t="s">
        <v>160</v>
      </c>
      <c r="AN3" s="15" t="s">
        <v>161</v>
      </c>
      <c r="AO3" s="15" t="s">
        <v>162</v>
      </c>
      <c r="AP3" s="15" t="s">
        <v>163</v>
      </c>
      <c r="AQ3" s="41" t="s">
        <v>163</v>
      </c>
      <c r="AR3" s="15" t="s">
        <v>191</v>
      </c>
      <c r="AS3" s="15" t="s">
        <v>192</v>
      </c>
      <c r="AT3" s="15" t="s">
        <v>193</v>
      </c>
      <c r="AU3" s="15" t="s">
        <v>194</v>
      </c>
      <c r="AV3" s="41" t="s">
        <v>194</v>
      </c>
    </row>
    <row r="4" spans="1:48" ht="17.55" customHeight="1" x14ac:dyDescent="0.45">
      <c r="A4" s="522"/>
      <c r="B4" s="512" t="s">
        <v>3</v>
      </c>
      <c r="C4" s="513"/>
      <c r="D4" s="14" t="s">
        <v>19</v>
      </c>
      <c r="E4" s="14" t="s">
        <v>81</v>
      </c>
      <c r="F4" s="14" t="s">
        <v>85</v>
      </c>
      <c r="G4" s="14" t="s">
        <v>95</v>
      </c>
      <c r="H4" s="40" t="s">
        <v>96</v>
      </c>
      <c r="I4" s="14" t="s">
        <v>97</v>
      </c>
      <c r="J4" s="14" t="s">
        <v>98</v>
      </c>
      <c r="K4" s="14" t="s">
        <v>99</v>
      </c>
      <c r="L4" s="14" t="s">
        <v>142</v>
      </c>
      <c r="M4" s="40" t="s">
        <v>143</v>
      </c>
      <c r="N4" s="14" t="s">
        <v>149</v>
      </c>
      <c r="O4" s="14" t="s">
        <v>157</v>
      </c>
      <c r="P4" s="14" t="s">
        <v>159</v>
      </c>
      <c r="Q4" s="14" t="s">
        <v>172</v>
      </c>
      <c r="R4" s="40" t="s">
        <v>173</v>
      </c>
      <c r="S4" s="14" t="s">
        <v>188</v>
      </c>
      <c r="T4" s="14" t="s">
        <v>189</v>
      </c>
      <c r="U4" s="14" t="s">
        <v>204</v>
      </c>
      <c r="V4" s="12" t="s">
        <v>25</v>
      </c>
      <c r="W4" s="42" t="s">
        <v>26</v>
      </c>
      <c r="X4" s="12" t="s">
        <v>27</v>
      </c>
      <c r="Y4" s="12" t="s">
        <v>28</v>
      </c>
      <c r="Z4" s="12" t="s">
        <v>29</v>
      </c>
      <c r="AA4" s="12" t="s">
        <v>30</v>
      </c>
      <c r="AB4" s="42" t="s">
        <v>31</v>
      </c>
      <c r="AC4" s="12" t="s">
        <v>90</v>
      </c>
      <c r="AD4" s="12" t="s">
        <v>91</v>
      </c>
      <c r="AE4" s="12" t="s">
        <v>92</v>
      </c>
      <c r="AF4" s="12" t="s">
        <v>93</v>
      </c>
      <c r="AG4" s="42" t="s">
        <v>94</v>
      </c>
      <c r="AH4" s="12" t="s">
        <v>109</v>
      </c>
      <c r="AI4" s="12" t="s">
        <v>110</v>
      </c>
      <c r="AJ4" s="12" t="s">
        <v>111</v>
      </c>
      <c r="AK4" s="12" t="s">
        <v>112</v>
      </c>
      <c r="AL4" s="42" t="s">
        <v>113</v>
      </c>
      <c r="AM4" s="12" t="s">
        <v>164</v>
      </c>
      <c r="AN4" s="12" t="s">
        <v>165</v>
      </c>
      <c r="AO4" s="12" t="s">
        <v>166</v>
      </c>
      <c r="AP4" s="12" t="s">
        <v>167</v>
      </c>
      <c r="AQ4" s="42" t="s">
        <v>168</v>
      </c>
      <c r="AR4" s="12" t="s">
        <v>195</v>
      </c>
      <c r="AS4" s="12" t="s">
        <v>196</v>
      </c>
      <c r="AT4" s="12" t="s">
        <v>197</v>
      </c>
      <c r="AU4" s="12" t="s">
        <v>198</v>
      </c>
      <c r="AV4" s="42" t="s">
        <v>199</v>
      </c>
    </row>
    <row r="5" spans="1:48" outlineLevel="1" x14ac:dyDescent="0.3">
      <c r="B5" s="486" t="s">
        <v>101</v>
      </c>
      <c r="C5" s="487"/>
      <c r="D5" s="105">
        <v>5370.3</v>
      </c>
      <c r="E5" s="105">
        <v>5159</v>
      </c>
      <c r="F5" s="105">
        <v>5535</v>
      </c>
      <c r="G5" s="105">
        <f>H5-F5-E5-D5</f>
        <v>5480.1000000000013</v>
      </c>
      <c r="H5" s="170">
        <v>21544.400000000001</v>
      </c>
      <c r="I5" s="105">
        <v>5780.7</v>
      </c>
      <c r="J5" s="105">
        <v>4766</v>
      </c>
      <c r="K5" s="105">
        <v>3444.4</v>
      </c>
      <c r="L5" s="105">
        <v>5173.6000000000004</v>
      </c>
      <c r="M5" s="49">
        <f>SUM(I5:L5)</f>
        <v>19164.7</v>
      </c>
      <c r="N5" s="48">
        <v>5726.5</v>
      </c>
      <c r="O5" s="48">
        <v>5653.1</v>
      </c>
      <c r="P5" s="48">
        <v>6363.1</v>
      </c>
      <c r="Q5" s="105">
        <v>6864.3</v>
      </c>
      <c r="R5" s="49">
        <f>SUM(N5:Q5)</f>
        <v>24607</v>
      </c>
      <c r="S5" s="48">
        <v>6722.4</v>
      </c>
      <c r="T5" s="48">
        <v>6276.7</v>
      </c>
      <c r="U5" s="48">
        <v>6675.5</v>
      </c>
      <c r="V5" s="48">
        <f>+V45+V78</f>
        <v>6848.8037658907733</v>
      </c>
      <c r="W5" s="49">
        <f>SUM(S5:V5)</f>
        <v>26523.403765890773</v>
      </c>
      <c r="X5" s="48">
        <f>+X45+X78</f>
        <v>7152.5480557286273</v>
      </c>
      <c r="Y5" s="48">
        <f>+Y45+Y78</f>
        <v>6857.4886027854463</v>
      </c>
      <c r="Z5" s="48">
        <f>+Z45+Z78</f>
        <v>7528.1178194557115</v>
      </c>
      <c r="AA5" s="48">
        <f>+AA45+AA78</f>
        <v>7770.5482624277374</v>
      </c>
      <c r="AB5" s="49">
        <f>SUM(X5:AA5)</f>
        <v>29308.702740397523</v>
      </c>
      <c r="AC5" s="48">
        <f>+AC45+AC78</f>
        <v>8082.0653714707933</v>
      </c>
      <c r="AD5" s="48">
        <f>+AD45+AD78</f>
        <v>7528.9186896268975</v>
      </c>
      <c r="AE5" s="48">
        <f>+AE45+AE78</f>
        <v>8269.2690708785849</v>
      </c>
      <c r="AF5" s="48">
        <f>+AF45+AF78</f>
        <v>8567.0384126600347</v>
      </c>
      <c r="AG5" s="49">
        <f>SUM(AC5:AF5)</f>
        <v>32447.291544636311</v>
      </c>
      <c r="AH5" s="48">
        <f>+AH45+AH78</f>
        <v>9031.3509318393244</v>
      </c>
      <c r="AI5" s="48">
        <f>+AI45+AI78</f>
        <v>8408.8147233096352</v>
      </c>
      <c r="AJ5" s="48">
        <f>+AJ45+AJ78</f>
        <v>9240.2278570739163</v>
      </c>
      <c r="AK5" s="48">
        <f>+AK45+AK78</f>
        <v>9596.9517827829623</v>
      </c>
      <c r="AL5" s="49">
        <f>SUM(AH5:AK5)</f>
        <v>36277.345295005834</v>
      </c>
      <c r="AM5" s="48">
        <f>+AM45+AM78</f>
        <v>9951.2465837299314</v>
      </c>
      <c r="AN5" s="48">
        <f>+AN45+AN78</f>
        <v>9227.1137384203721</v>
      </c>
      <c r="AO5" s="48">
        <f>+AO45+AO78</f>
        <v>10109.899554216639</v>
      </c>
      <c r="AP5" s="48">
        <f>+AP45+AP78</f>
        <v>10478.003443959413</v>
      </c>
      <c r="AQ5" s="49">
        <f>SUM(AM5:AP5)</f>
        <v>39766.263320326354</v>
      </c>
      <c r="AR5" s="48">
        <f>+AR45+AR78</f>
        <v>10636.367135749306</v>
      </c>
      <c r="AS5" s="48">
        <f>+AS45+AS78</f>
        <v>9856.9494839221479</v>
      </c>
      <c r="AT5" s="48">
        <f>+AT45+AT78</f>
        <v>10796.256281417584</v>
      </c>
      <c r="AU5" s="48">
        <f>+AU45+AU78</f>
        <v>11190.181518807902</v>
      </c>
      <c r="AV5" s="49">
        <f>SUM(AR5:AU5)</f>
        <v>42479.754419896941</v>
      </c>
    </row>
    <row r="6" spans="1:48" outlineLevel="1" x14ac:dyDescent="0.3">
      <c r="B6" s="486" t="s">
        <v>102</v>
      </c>
      <c r="C6" s="487"/>
      <c r="D6" s="105">
        <v>737.1</v>
      </c>
      <c r="E6" s="105">
        <v>678.2</v>
      </c>
      <c r="F6" s="105">
        <v>725</v>
      </c>
      <c r="G6" s="105">
        <f t="shared" ref="G6:G16" si="0">H6-F6-E6-D6</f>
        <v>734.69999999999993</v>
      </c>
      <c r="H6" s="170">
        <v>2875</v>
      </c>
      <c r="I6" s="105">
        <v>792</v>
      </c>
      <c r="J6" s="105">
        <v>689.8</v>
      </c>
      <c r="K6" s="105">
        <v>300.5</v>
      </c>
      <c r="L6" s="48">
        <v>544.6</v>
      </c>
      <c r="M6" s="49">
        <f t="shared" ref="M6:M7" si="1">SUM(I6:L6)</f>
        <v>2326.9</v>
      </c>
      <c r="N6" s="48">
        <v>613.79999999999995</v>
      </c>
      <c r="O6" s="48">
        <v>595</v>
      </c>
      <c r="P6" s="48">
        <v>680.2</v>
      </c>
      <c r="Q6" s="105">
        <v>794.5</v>
      </c>
      <c r="R6" s="49">
        <f>SUM(N6:Q6)</f>
        <v>2683.5</v>
      </c>
      <c r="S6" s="48">
        <v>850.8</v>
      </c>
      <c r="T6" s="48">
        <v>849.5</v>
      </c>
      <c r="U6" s="48">
        <v>956.8</v>
      </c>
      <c r="V6" s="48">
        <f>+V54+V87</f>
        <v>908.81667302605592</v>
      </c>
      <c r="W6" s="49">
        <f t="shared" ref="W6:W7" si="2">SUM(S6:V6)</f>
        <v>3565.9166730260558</v>
      </c>
      <c r="X6" s="48">
        <f>+X54+X87</f>
        <v>1001.2189702663679</v>
      </c>
      <c r="Y6" s="48">
        <f>+Y54+Y87</f>
        <v>1007.5031116484407</v>
      </c>
      <c r="Z6" s="48">
        <f>+Z54+Z87</f>
        <v>1121.5323392099008</v>
      </c>
      <c r="AA6" s="48">
        <f>+AA54+AA87</f>
        <v>1075.1217785472472</v>
      </c>
      <c r="AB6" s="49">
        <f t="shared" ref="AB6:AB7" si="3">SUM(X6:AA6)</f>
        <v>4205.3761996719568</v>
      </c>
      <c r="AC6" s="48">
        <f>+AC54+AC87</f>
        <v>1115.9362143506919</v>
      </c>
      <c r="AD6" s="48">
        <f>+AD54+AD87</f>
        <v>1123.7600876027257</v>
      </c>
      <c r="AE6" s="48">
        <f>+AE54+AE87</f>
        <v>1253.5437312013921</v>
      </c>
      <c r="AF6" s="48">
        <f>+AF54+AF87</f>
        <v>1202.3100873805458</v>
      </c>
      <c r="AG6" s="49">
        <f t="shared" ref="AG6:AG7" si="4">SUM(AC6:AF6)</f>
        <v>4695.5501205353557</v>
      </c>
      <c r="AH6" s="48">
        <f>+AH54+AH87</f>
        <v>1259.2690223110171</v>
      </c>
      <c r="AI6" s="48">
        <f>+AI54+AI87</f>
        <v>1268.7489718700565</v>
      </c>
      <c r="AJ6" s="48">
        <f>+AJ54+AJ87</f>
        <v>1416.6057338416379</v>
      </c>
      <c r="AK6" s="48">
        <f>+AK54+AK87</f>
        <v>1359.1190710594724</v>
      </c>
      <c r="AL6" s="49">
        <f t="shared" ref="AL6:AL7" si="5">SUM(AH6:AK6)</f>
        <v>5303.7427990821834</v>
      </c>
      <c r="AM6" s="48">
        <f>+AM54+AM87</f>
        <v>1399.5818264463619</v>
      </c>
      <c r="AN6" s="48">
        <f>+AN54+AN87</f>
        <v>1393.6050603962776</v>
      </c>
      <c r="AO6" s="48">
        <f>+AO54+AO87</f>
        <v>1538.7542416120527</v>
      </c>
      <c r="AP6" s="48">
        <f>+AP54+AP87</f>
        <v>1459.1976477696517</v>
      </c>
      <c r="AQ6" s="49">
        <f t="shared" ref="AQ6:AQ7" si="6">SUM(AM6:AP6)</f>
        <v>5791.1387762243439</v>
      </c>
      <c r="AR6" s="48">
        <f>+AR54+AR87</f>
        <v>1465.1062284098773</v>
      </c>
      <c r="AS6" s="48">
        <f>+AS54+AS87</f>
        <v>1458.7938710081207</v>
      </c>
      <c r="AT6" s="48">
        <f>+AT54+AT87</f>
        <v>1610.939227369021</v>
      </c>
      <c r="AU6" s="48">
        <f>+AU54+AU87</f>
        <v>1527.5841436113446</v>
      </c>
      <c r="AV6" s="49">
        <f t="shared" ref="AV6:AV7" si="7">SUM(AR6:AU6)</f>
        <v>6062.4234703983639</v>
      </c>
    </row>
    <row r="7" spans="1:48" ht="16.2" outlineLevel="1" x14ac:dyDescent="0.45">
      <c r="B7" s="486" t="s">
        <v>103</v>
      </c>
      <c r="C7" s="487"/>
      <c r="D7" s="104">
        <v>525.29999999999995</v>
      </c>
      <c r="E7" s="104">
        <v>468.7</v>
      </c>
      <c r="F7" s="104">
        <v>563</v>
      </c>
      <c r="G7" s="104">
        <f t="shared" si="0"/>
        <v>532.19999999999982</v>
      </c>
      <c r="H7" s="173">
        <v>2089.1999999999998</v>
      </c>
      <c r="I7" s="104">
        <v>524.4</v>
      </c>
      <c r="J7" s="104">
        <v>539.9</v>
      </c>
      <c r="K7" s="104">
        <v>477.2</v>
      </c>
      <c r="L7" s="52">
        <v>484.9</v>
      </c>
      <c r="M7" s="53">
        <f t="shared" si="1"/>
        <v>2026.4</v>
      </c>
      <c r="N7" s="52">
        <v>409.1</v>
      </c>
      <c r="O7" s="52">
        <v>419.9</v>
      </c>
      <c r="P7" s="52">
        <v>453.2</v>
      </c>
      <c r="Q7" s="104">
        <v>487.9</v>
      </c>
      <c r="R7" s="53">
        <f>SUM(N7:Q7)</f>
        <v>1770.1</v>
      </c>
      <c r="S7" s="52">
        <v>477.2</v>
      </c>
      <c r="T7" s="52">
        <v>509.4</v>
      </c>
      <c r="U7" s="52">
        <v>517.79999999999995</v>
      </c>
      <c r="V7" s="52">
        <f>+V55+V88+V108+V123</f>
        <v>530.10800000000006</v>
      </c>
      <c r="W7" s="173">
        <f t="shared" si="2"/>
        <v>2034.5079999999998</v>
      </c>
      <c r="X7" s="52">
        <f>+X55+X88+X108+X123</f>
        <v>514.53500000000008</v>
      </c>
      <c r="Y7" s="52">
        <f>+Y55+Y88+Y108+Y123</f>
        <v>527.98200000000008</v>
      </c>
      <c r="Z7" s="52">
        <f>+Z55+Z88+Z108+Z123</f>
        <v>541.15800000000002</v>
      </c>
      <c r="AA7" s="52">
        <f>+AA55+AA88+AA108+AA123</f>
        <v>553.38710000000015</v>
      </c>
      <c r="AB7" s="53">
        <f t="shared" si="3"/>
        <v>2137.0621000000001</v>
      </c>
      <c r="AC7" s="52">
        <f>+AC55+AC88+AC108+AC123</f>
        <v>538.26440000000014</v>
      </c>
      <c r="AD7" s="52">
        <f>+AD55+AD88+AD108+AD123</f>
        <v>552.56346000000008</v>
      </c>
      <c r="AE7" s="52">
        <f>+AE55+AE88+AE108+AE123</f>
        <v>566.17452000000003</v>
      </c>
      <c r="AF7" s="52">
        <f>+AF55+AF88+AF108+AF123</f>
        <v>579.71528800000021</v>
      </c>
      <c r="AG7" s="53">
        <f t="shared" si="4"/>
        <v>2236.7176680000007</v>
      </c>
      <c r="AH7" s="52">
        <f>+AH55+AH88+AH108+AH123</f>
        <v>567.58199600000012</v>
      </c>
      <c r="AI7" s="52">
        <f>+AI55+AI88+AI108+AI123</f>
        <v>580.59704340000019</v>
      </c>
      <c r="AJ7" s="52">
        <f>+AJ55+AJ88+AJ108+AJ123</f>
        <v>593.31856080000011</v>
      </c>
      <c r="AK7" s="52">
        <f>+AK55+AK88+AK108+AK123</f>
        <v>608.49081032000015</v>
      </c>
      <c r="AL7" s="53">
        <f t="shared" si="5"/>
        <v>2349.9884105200008</v>
      </c>
      <c r="AM7" s="52">
        <f>+AM55+AM88+AM108+AM123</f>
        <v>594.36976184000025</v>
      </c>
      <c r="AN7" s="52">
        <f>+AN55+AN88+AN108+AN123</f>
        <v>607.20447663600021</v>
      </c>
      <c r="AO7" s="52">
        <f>+AO55+AO88+AO108+AO123</f>
        <v>620.07958123200001</v>
      </c>
      <c r="AP7" s="52">
        <f>+AP55+AP88+AP108+AP123</f>
        <v>636.60205053280015</v>
      </c>
      <c r="AQ7" s="53">
        <f t="shared" si="6"/>
        <v>2458.2558702408005</v>
      </c>
      <c r="AR7" s="52">
        <f>+AR55+AR88+AR108+AR123</f>
        <v>620.6669569136003</v>
      </c>
      <c r="AS7" s="52">
        <f>+AS55+AS88+AS108+AS123</f>
        <v>633.83488747644026</v>
      </c>
      <c r="AT7" s="52">
        <f>+AT55+AT88+AT108+AT123</f>
        <v>647.37274528128012</v>
      </c>
      <c r="AU7" s="52">
        <f>+AU55+AU88+AU108+AU123</f>
        <v>665.17309938411222</v>
      </c>
      <c r="AV7" s="53">
        <f t="shared" si="7"/>
        <v>2567.0476890554328</v>
      </c>
    </row>
    <row r="8" spans="1:48" s="8" customFormat="1" x14ac:dyDescent="0.3">
      <c r="B8" s="500" t="s">
        <v>104</v>
      </c>
      <c r="C8" s="501"/>
      <c r="D8" s="103">
        <f t="shared" ref="D8:AB8" si="8">SUM(D5:D7)</f>
        <v>6632.7000000000007</v>
      </c>
      <c r="E8" s="103">
        <f t="shared" si="8"/>
        <v>6305.9</v>
      </c>
      <c r="F8" s="103">
        <f t="shared" si="8"/>
        <v>6823</v>
      </c>
      <c r="G8" s="103">
        <f t="shared" si="8"/>
        <v>6747.0000000000009</v>
      </c>
      <c r="H8" s="171">
        <f t="shared" si="8"/>
        <v>26508.600000000002</v>
      </c>
      <c r="I8" s="103">
        <f>SUM(I5:I7)</f>
        <v>7097.0999999999995</v>
      </c>
      <c r="J8" s="103">
        <f>SUM(J5:J7)</f>
        <v>5995.7</v>
      </c>
      <c r="K8" s="103">
        <f>SUM(K5:K7)</f>
        <v>4222.1000000000004</v>
      </c>
      <c r="L8" s="103">
        <f>SUM(L5:L7)</f>
        <v>6203.1</v>
      </c>
      <c r="M8" s="171">
        <f t="shared" si="8"/>
        <v>23518.000000000004</v>
      </c>
      <c r="N8" s="103">
        <f t="shared" si="8"/>
        <v>6749.4000000000005</v>
      </c>
      <c r="O8" s="103">
        <f t="shared" si="8"/>
        <v>6668</v>
      </c>
      <c r="P8" s="103">
        <f t="shared" si="8"/>
        <v>7496.5</v>
      </c>
      <c r="Q8" s="103">
        <f>SUM(Q5:Q7)</f>
        <v>8146.7</v>
      </c>
      <c r="R8" s="171">
        <f t="shared" si="8"/>
        <v>29060.6</v>
      </c>
      <c r="S8" s="103">
        <f t="shared" si="8"/>
        <v>8050.4</v>
      </c>
      <c r="T8" s="103">
        <f t="shared" si="8"/>
        <v>7635.5999999999995</v>
      </c>
      <c r="U8" s="103">
        <f t="shared" si="8"/>
        <v>8150.1</v>
      </c>
      <c r="V8" s="103">
        <f t="shared" si="8"/>
        <v>8287.728438916829</v>
      </c>
      <c r="W8" s="171">
        <f t="shared" si="8"/>
        <v>32123.828438916826</v>
      </c>
      <c r="X8" s="50">
        <f t="shared" si="8"/>
        <v>8668.3020259949953</v>
      </c>
      <c r="Y8" s="50">
        <f t="shared" si="8"/>
        <v>8392.9737144338869</v>
      </c>
      <c r="Z8" s="50">
        <f t="shared" si="8"/>
        <v>9190.8081586656117</v>
      </c>
      <c r="AA8" s="50">
        <f t="shared" si="8"/>
        <v>9399.0571409749846</v>
      </c>
      <c r="AB8" s="171">
        <f t="shared" si="8"/>
        <v>35651.14104006948</v>
      </c>
      <c r="AC8" s="50">
        <f t="shared" ref="AC8:AQ8" si="9">SUM(AC5:AC7)</f>
        <v>9736.2659858214847</v>
      </c>
      <c r="AD8" s="50">
        <f t="shared" si="9"/>
        <v>9205.2422372296223</v>
      </c>
      <c r="AE8" s="50">
        <f t="shared" si="9"/>
        <v>10088.987322079978</v>
      </c>
      <c r="AF8" s="50">
        <f t="shared" si="9"/>
        <v>10349.063788040579</v>
      </c>
      <c r="AG8" s="51">
        <f t="shared" si="9"/>
        <v>39379.559333171666</v>
      </c>
      <c r="AH8" s="50">
        <f t="shared" si="9"/>
        <v>10858.201950150342</v>
      </c>
      <c r="AI8" s="50">
        <f t="shared" si="9"/>
        <v>10258.160738579692</v>
      </c>
      <c r="AJ8" s="50">
        <f t="shared" si="9"/>
        <v>11250.152151715554</v>
      </c>
      <c r="AK8" s="50">
        <f t="shared" si="9"/>
        <v>11564.561664162435</v>
      </c>
      <c r="AL8" s="51">
        <f t="shared" si="9"/>
        <v>43931.07650460802</v>
      </c>
      <c r="AM8" s="50">
        <f t="shared" si="9"/>
        <v>11945.198172016293</v>
      </c>
      <c r="AN8" s="50">
        <f t="shared" si="9"/>
        <v>11227.923275452649</v>
      </c>
      <c r="AO8" s="50">
        <f t="shared" si="9"/>
        <v>12268.733377060691</v>
      </c>
      <c r="AP8" s="50">
        <f t="shared" si="9"/>
        <v>12573.803142261864</v>
      </c>
      <c r="AQ8" s="51">
        <f t="shared" si="9"/>
        <v>48015.657966791499</v>
      </c>
      <c r="AR8" s="50">
        <f t="shared" ref="AR8:AV8" si="10">SUM(AR5:AR7)</f>
        <v>12722.140321072784</v>
      </c>
      <c r="AS8" s="50">
        <f t="shared" si="10"/>
        <v>11949.578242406709</v>
      </c>
      <c r="AT8" s="50">
        <f t="shared" si="10"/>
        <v>13054.568254067884</v>
      </c>
      <c r="AU8" s="50">
        <f t="shared" si="10"/>
        <v>13382.938761803358</v>
      </c>
      <c r="AV8" s="51">
        <f t="shared" si="10"/>
        <v>51109.225579350743</v>
      </c>
    </row>
    <row r="9" spans="1:48" outlineLevel="1" x14ac:dyDescent="0.3">
      <c r="B9" s="514" t="s">
        <v>100</v>
      </c>
      <c r="C9" s="515"/>
      <c r="D9" s="105">
        <v>2175.8000000000002</v>
      </c>
      <c r="E9" s="105">
        <v>2012</v>
      </c>
      <c r="F9" s="105">
        <v>2199.6</v>
      </c>
      <c r="G9" s="105">
        <f t="shared" si="0"/>
        <v>2139.4999999999991</v>
      </c>
      <c r="H9" s="170">
        <v>8526.9</v>
      </c>
      <c r="I9" s="105">
        <v>2236.4</v>
      </c>
      <c r="J9" s="105">
        <v>1997.7</v>
      </c>
      <c r="K9" s="105">
        <v>1484</v>
      </c>
      <c r="L9" s="105">
        <v>1976.8</v>
      </c>
      <c r="M9" s="170">
        <f>SUM(I9:L9)</f>
        <v>7694.9000000000005</v>
      </c>
      <c r="N9" s="105">
        <v>2049.1</v>
      </c>
      <c r="O9" s="105">
        <v>1992.4</v>
      </c>
      <c r="P9" s="105">
        <v>2206</v>
      </c>
      <c r="Q9" s="105">
        <v>2491.1</v>
      </c>
      <c r="R9" s="170">
        <f>SUM(N9:Q9)</f>
        <v>8738.6</v>
      </c>
      <c r="S9" s="105">
        <v>2526.9</v>
      </c>
      <c r="T9" s="105">
        <v>2465.8000000000002</v>
      </c>
      <c r="U9" s="105">
        <v>2613.6</v>
      </c>
      <c r="V9" s="105">
        <f>+V60+V93+V110+V125</f>
        <v>2680.4740760427126</v>
      </c>
      <c r="W9" s="170">
        <f>SUM(S9:V9)</f>
        <v>10286.774076042713</v>
      </c>
      <c r="X9" s="105">
        <f>+X60+X93+X110+X125</f>
        <v>2792.2046014811281</v>
      </c>
      <c r="Y9" s="105">
        <f>+Y60+Y93+Y110+Y125</f>
        <v>2698.0110990988778</v>
      </c>
      <c r="Z9" s="105">
        <f>+Z60+Z93+Z110+Z125</f>
        <v>2952.0141051285923</v>
      </c>
      <c r="AA9" s="105">
        <f>+AA60+AA93+AA110+AA125</f>
        <v>2951.0890842542804</v>
      </c>
      <c r="AB9" s="49">
        <f>SUM(X9:AA9)</f>
        <v>11393.318889962877</v>
      </c>
      <c r="AC9" s="105">
        <f>+AC60+AC93+AC110+AC125</f>
        <v>3023.2384942526246</v>
      </c>
      <c r="AD9" s="105">
        <f>+AD60+AD93+AD110+AD125</f>
        <v>2902.466857308701</v>
      </c>
      <c r="AE9" s="105">
        <f>+AE60+AE93+AE110+AE125</f>
        <v>3218.0178890072548</v>
      </c>
      <c r="AF9" s="105">
        <f>+AF60+AF93+AF110+AF125</f>
        <v>3315.8214837705582</v>
      </c>
      <c r="AG9" s="49">
        <f>SUM(AC9:AF9)</f>
        <v>12459.544724339139</v>
      </c>
      <c r="AH9" s="105">
        <f>+AH60+AH93+AH110+AH125</f>
        <v>3349.1473466965335</v>
      </c>
      <c r="AI9" s="105">
        <f>+AI60+AI93+AI110+AI125</f>
        <v>3208.547147045143</v>
      </c>
      <c r="AJ9" s="105">
        <f>+AJ60+AJ93+AJ110+AJ125</f>
        <v>3536.0498900789989</v>
      </c>
      <c r="AK9" s="105">
        <f>+AK60+AK93+AK110+AK125</f>
        <v>3681.0028136399264</v>
      </c>
      <c r="AL9" s="49">
        <f>SUM(AH9:AK9)</f>
        <v>13774.747197460601</v>
      </c>
      <c r="AM9" s="105">
        <f>+AM60+AM93+AM110+AM125</f>
        <v>3678.0411736337292</v>
      </c>
      <c r="AN9" s="105">
        <f>+AN60+AN93+AN110+AN125</f>
        <v>3501.2840744200125</v>
      </c>
      <c r="AO9" s="105">
        <f>+AO60+AO93+AO110+AO125</f>
        <v>3847.5319249663094</v>
      </c>
      <c r="AP9" s="105">
        <f>+AP60+AP93+AP110+AP125</f>
        <v>3993.436959935877</v>
      </c>
      <c r="AQ9" s="49">
        <f>SUM(AM9:AP9)</f>
        <v>15020.294132955929</v>
      </c>
      <c r="AR9" s="105">
        <f>+AR60+AR93+AR110+AR125</f>
        <v>3911.8014904043416</v>
      </c>
      <c r="AS9" s="105">
        <f>+AS60+AS93+AS110+AS125</f>
        <v>3720.0511128171688</v>
      </c>
      <c r="AT9" s="105">
        <f>+AT60+AT93+AT110+AT125</f>
        <v>4088.08973531024</v>
      </c>
      <c r="AU9" s="105">
        <f>+AU60+AU93+AU110+AU125</f>
        <v>4244.8193493405943</v>
      </c>
      <c r="AV9" s="49">
        <f>SUM(AR9:AU9)</f>
        <v>15964.761687872344</v>
      </c>
    </row>
    <row r="10" spans="1:48" outlineLevel="1" x14ac:dyDescent="0.3">
      <c r="B10" s="38" t="s">
        <v>32</v>
      </c>
      <c r="C10" s="18"/>
      <c r="D10" s="105">
        <v>2586.8000000000002</v>
      </c>
      <c r="E10" s="105">
        <v>2554.1</v>
      </c>
      <c r="F10" s="105">
        <v>2643.2</v>
      </c>
      <c r="G10" s="105">
        <f t="shared" si="0"/>
        <v>2709.5000000000009</v>
      </c>
      <c r="H10" s="170">
        <v>10493.6</v>
      </c>
      <c r="I10" s="105">
        <v>2821.5</v>
      </c>
      <c r="J10" s="105">
        <v>2721.4</v>
      </c>
      <c r="K10" s="105">
        <v>2537.8000000000002</v>
      </c>
      <c r="L10" s="48">
        <v>2683.4</v>
      </c>
      <c r="M10" s="49">
        <f t="shared" ref="M10:M13" si="11">SUM(I10:L10)</f>
        <v>10764.1</v>
      </c>
      <c r="N10" s="48">
        <v>2867.3</v>
      </c>
      <c r="O10" s="105">
        <v>2823.3</v>
      </c>
      <c r="P10" s="105">
        <v>2966.9</v>
      </c>
      <c r="Q10" s="105">
        <v>3273.4</v>
      </c>
      <c r="R10" s="170">
        <f t="shared" ref="R10:R13" si="12">SUM(N10:Q10)</f>
        <v>11930.9</v>
      </c>
      <c r="S10" s="48">
        <v>3400</v>
      </c>
      <c r="T10" s="48">
        <v>3314.7</v>
      </c>
      <c r="U10" s="48">
        <v>3302.5</v>
      </c>
      <c r="V10" s="48">
        <f>+V62+V95</f>
        <v>3414.8150402467754</v>
      </c>
      <c r="W10" s="170">
        <f t="shared" ref="W10:W13" si="13">SUM(S10:V10)</f>
        <v>13432.015040246777</v>
      </c>
      <c r="X10" s="48">
        <f>+X62+X95</f>
        <v>3685.4801881898834</v>
      </c>
      <c r="Y10" s="48">
        <f>+Y62+Y95</f>
        <v>3621.863857006987</v>
      </c>
      <c r="Z10" s="48">
        <f>+Z62+Z95</f>
        <v>3791.4905667549974</v>
      </c>
      <c r="AA10" s="48">
        <f>+AA62+AA95</f>
        <v>3859.9983897140073</v>
      </c>
      <c r="AB10" s="49">
        <f t="shared" ref="AB10:AB13" si="14">SUM(X10:AA10)</f>
        <v>14958.833001665877</v>
      </c>
      <c r="AC10" s="48">
        <f>+AC62+AC95</f>
        <v>4089.8826101992436</v>
      </c>
      <c r="AD10" s="48">
        <f>+AD62+AD95</f>
        <v>3933.8256950432133</v>
      </c>
      <c r="AE10" s="48">
        <f>+AE62+AE95</f>
        <v>4163.9065147189303</v>
      </c>
      <c r="AF10" s="48">
        <f>+AF62+AF95</f>
        <v>4315.9635483888687</v>
      </c>
      <c r="AG10" s="49">
        <f t="shared" ref="AG10:AG14" si="15">SUM(AC10:AF10)</f>
        <v>16503.578368350256</v>
      </c>
      <c r="AH10" s="48">
        <f>+AH62+AH95</f>
        <v>4555.7736821072267</v>
      </c>
      <c r="AI10" s="48">
        <f>+AI62+AI95</f>
        <v>4378.8433292944728</v>
      </c>
      <c r="AJ10" s="48">
        <f>+AJ62+AJ95</f>
        <v>4606.890573962497</v>
      </c>
      <c r="AK10" s="48">
        <f>+AK62+AK95</f>
        <v>4819.4739979948627</v>
      </c>
      <c r="AL10" s="49">
        <f t="shared" ref="AL10:AL14" si="16">SUM(AH10:AK10)</f>
        <v>18360.981583359062</v>
      </c>
      <c r="AM10" s="48">
        <f>+AM62+AM95</f>
        <v>5015.9853796321413</v>
      </c>
      <c r="AN10" s="48">
        <f>+AN62+AN95</f>
        <v>4800.943043211957</v>
      </c>
      <c r="AO10" s="48">
        <f>+AO62+AO95</f>
        <v>5042.110056853493</v>
      </c>
      <c r="AP10" s="48">
        <f>+AP62+AP95</f>
        <v>5260.711730717212</v>
      </c>
      <c r="AQ10" s="49">
        <f t="shared" ref="AQ10:AQ14" si="17">SUM(AM10:AP10)</f>
        <v>20119.750210414804</v>
      </c>
      <c r="AR10" s="48">
        <f>+AR62+AR95</f>
        <v>5360.5936623820489</v>
      </c>
      <c r="AS10" s="48">
        <f>+AS62+AS95</f>
        <v>5127.6553297194241</v>
      </c>
      <c r="AT10" s="48">
        <f>+AT62+AT95</f>
        <v>5384.989355641309</v>
      </c>
      <c r="AU10" s="48">
        <f>+AU62+AU95</f>
        <v>5617.5289751728369</v>
      </c>
      <c r="AV10" s="49">
        <f t="shared" ref="AV10:AV14" si="18">SUM(AR10:AU10)</f>
        <v>21490.767322915621</v>
      </c>
    </row>
    <row r="11" spans="1:48" outlineLevel="1" x14ac:dyDescent="0.3">
      <c r="B11" s="38" t="s">
        <v>33</v>
      </c>
      <c r="C11" s="18"/>
      <c r="D11" s="105">
        <v>97.6</v>
      </c>
      <c r="E11" s="105">
        <v>87.1</v>
      </c>
      <c r="F11" s="105">
        <v>94.4</v>
      </c>
      <c r="G11" s="105">
        <f t="shared" si="0"/>
        <v>91.900000000000034</v>
      </c>
      <c r="H11" s="170">
        <v>371</v>
      </c>
      <c r="I11" s="105">
        <v>101.8</v>
      </c>
      <c r="J11" s="105">
        <v>95</v>
      </c>
      <c r="K11" s="105">
        <v>133.6</v>
      </c>
      <c r="L11" s="48">
        <v>99.9</v>
      </c>
      <c r="M11" s="49">
        <f t="shared" si="11"/>
        <v>430.29999999999995</v>
      </c>
      <c r="N11" s="48">
        <v>91.8</v>
      </c>
      <c r="O11" s="105">
        <v>87.7</v>
      </c>
      <c r="P11" s="105">
        <v>71.400000000000006</v>
      </c>
      <c r="Q11" s="105">
        <v>108.6</v>
      </c>
      <c r="R11" s="170">
        <f t="shared" si="12"/>
        <v>359.5</v>
      </c>
      <c r="S11" s="48">
        <v>101.7</v>
      </c>
      <c r="T11" s="48">
        <v>101.7</v>
      </c>
      <c r="U11" s="48">
        <v>135.1</v>
      </c>
      <c r="V11" s="48">
        <f>+V64+V97+V112+V126</f>
        <v>135.32630991142233</v>
      </c>
      <c r="W11" s="170">
        <f t="shared" si="13"/>
        <v>473.8263099114223</v>
      </c>
      <c r="X11" s="48">
        <f>+X64+X97+X112+X126</f>
        <v>119.63392249164208</v>
      </c>
      <c r="Y11" s="48">
        <f>+Y64+Y97+Y112+Y126</f>
        <v>112.38120296136272</v>
      </c>
      <c r="Z11" s="48">
        <f>+Z64+Z97+Z112+Z126</f>
        <v>147.10195665905303</v>
      </c>
      <c r="AA11" s="48">
        <f>+AA64+AA97+AA112+AA126</f>
        <v>138.97111750822123</v>
      </c>
      <c r="AB11" s="49">
        <f t="shared" si="14"/>
        <v>518.08819962027906</v>
      </c>
      <c r="AC11" s="48">
        <f>+AC64+AC97+AC112+AC126</f>
        <v>126.75537967623542</v>
      </c>
      <c r="AD11" s="48">
        <f>+AD64+AD97+AD112+AD126</f>
        <v>124.31897310126313</v>
      </c>
      <c r="AE11" s="48">
        <f>+AE64+AE97+AE112+AE126</f>
        <v>151.73192302219883</v>
      </c>
      <c r="AF11" s="48">
        <f>+AF64+AF97+AF112+AF126</f>
        <v>142.70666780703053</v>
      </c>
      <c r="AG11" s="49">
        <f t="shared" si="15"/>
        <v>545.51294360672784</v>
      </c>
      <c r="AH11" s="48">
        <f>+AH64+AH97+AH112+AH126</f>
        <v>134.43580305267341</v>
      </c>
      <c r="AI11" s="48">
        <f>+AI64+AI97+AI112+AI126</f>
        <v>133.81658504870623</v>
      </c>
      <c r="AJ11" s="48">
        <f>+AJ64+AJ97+AJ112+AJ126</f>
        <v>152.91518920045755</v>
      </c>
      <c r="AK11" s="48">
        <f>+AK64+AK97+AK112+AK126</f>
        <v>150.6224716147363</v>
      </c>
      <c r="AL11" s="49">
        <f t="shared" si="16"/>
        <v>571.7900489165736</v>
      </c>
      <c r="AM11" s="48">
        <f>+AM64+AM97+AM112+AM126</f>
        <v>148.2925012715591</v>
      </c>
      <c r="AN11" s="48">
        <f>+AN64+AN97+AN112+AN126</f>
        <v>146.69043608734765</v>
      </c>
      <c r="AO11" s="48">
        <f>+AO64+AO97+AO112+AO126</f>
        <v>166.74520966001205</v>
      </c>
      <c r="AP11" s="48">
        <f>+AP64+AP97+AP112+AP126</f>
        <v>163.27997382605707</v>
      </c>
      <c r="AQ11" s="49">
        <f t="shared" si="17"/>
        <v>625.00812084497579</v>
      </c>
      <c r="AR11" s="48">
        <f>+AR64+AR97+AR112+AR126</f>
        <v>157.57489229158986</v>
      </c>
      <c r="AS11" s="48">
        <f>+AS64+AS97+AS112+AS126</f>
        <v>155.77830829345254</v>
      </c>
      <c r="AT11" s="48">
        <f>+AT64+AT97+AT112+AT126</f>
        <v>177.09212998252491</v>
      </c>
      <c r="AU11" s="48">
        <f>+AU64+AU97+AU112+AU126</f>
        <v>173.40265830281751</v>
      </c>
      <c r="AV11" s="49">
        <f t="shared" si="18"/>
        <v>663.84798887038482</v>
      </c>
    </row>
    <row r="12" spans="1:48" outlineLevel="1" x14ac:dyDescent="0.3">
      <c r="B12" s="38" t="s">
        <v>34</v>
      </c>
      <c r="C12" s="18"/>
      <c r="D12" s="105">
        <v>333.4</v>
      </c>
      <c r="E12" s="105">
        <v>356.2</v>
      </c>
      <c r="F12" s="105">
        <v>343.1</v>
      </c>
      <c r="G12" s="105">
        <f t="shared" si="0"/>
        <v>344.5999999999998</v>
      </c>
      <c r="H12" s="170">
        <v>1377.3</v>
      </c>
      <c r="I12" s="105">
        <v>351</v>
      </c>
      <c r="J12" s="105">
        <v>356.3</v>
      </c>
      <c r="K12" s="105">
        <v>361</v>
      </c>
      <c r="L12" s="48">
        <v>362.9</v>
      </c>
      <c r="M12" s="49">
        <f t="shared" ref="M12" si="19">SUM(I12:L12)</f>
        <v>1431.1999999999998</v>
      </c>
      <c r="N12" s="48">
        <v>366.1</v>
      </c>
      <c r="O12" s="105">
        <v>366.7</v>
      </c>
      <c r="P12" s="105">
        <v>354.3</v>
      </c>
      <c r="Q12" s="105">
        <v>354.7</v>
      </c>
      <c r="R12" s="170">
        <f t="shared" ref="R12" si="20">SUM(N12:Q12)</f>
        <v>1441.8</v>
      </c>
      <c r="S12" s="48">
        <v>366</v>
      </c>
      <c r="T12" s="48">
        <v>367.7</v>
      </c>
      <c r="U12" s="48">
        <v>356.8</v>
      </c>
      <c r="V12" s="48">
        <f>+V66+V99+V114+V127</f>
        <v>369.17212312193374</v>
      </c>
      <c r="W12" s="170">
        <f t="shared" ref="W12" si="21">SUM(S12:V12)</f>
        <v>1459.6721231219337</v>
      </c>
      <c r="X12" s="48">
        <f t="shared" ref="X12:AA13" si="22">+X66+X99+X114+X127</f>
        <v>375.30210196547938</v>
      </c>
      <c r="Y12" s="48">
        <f t="shared" si="22"/>
        <v>391.37490633538391</v>
      </c>
      <c r="Z12" s="48">
        <f t="shared" si="22"/>
        <v>404.78952170607175</v>
      </c>
      <c r="AA12" s="48">
        <f t="shared" si="22"/>
        <v>420.9655435828563</v>
      </c>
      <c r="AB12" s="49">
        <f t="shared" ref="AB12" si="23">SUM(X12:AA12)</f>
        <v>1592.4320735897913</v>
      </c>
      <c r="AC12" s="48">
        <f t="shared" ref="AC12:AF13" si="24">+AC66+AC99+AC114+AC127</f>
        <v>437.34646088019144</v>
      </c>
      <c r="AD12" s="48">
        <f t="shared" si="24"/>
        <v>450.04201051763891</v>
      </c>
      <c r="AE12" s="48">
        <f t="shared" si="24"/>
        <v>459.74983134804819</v>
      </c>
      <c r="AF12" s="48">
        <f t="shared" si="24"/>
        <v>472.46435477520987</v>
      </c>
      <c r="AG12" s="49">
        <f t="shared" si="15"/>
        <v>1819.6026575210883</v>
      </c>
      <c r="AH12" s="48">
        <f t="shared" ref="AH12:AK13" si="25">+AH66+AH99+AH114+AH127</f>
        <v>485.4921110494052</v>
      </c>
      <c r="AI12" s="48">
        <f t="shared" si="25"/>
        <v>495.22083113045761</v>
      </c>
      <c r="AJ12" s="48">
        <f t="shared" si="25"/>
        <v>502.1832554973912</v>
      </c>
      <c r="AK12" s="48">
        <f t="shared" si="25"/>
        <v>512.3158603861765</v>
      </c>
      <c r="AL12" s="49">
        <f t="shared" si="16"/>
        <v>1995.2120580634305</v>
      </c>
      <c r="AM12" s="48">
        <f t="shared" ref="AM12:AP13" si="26">+AM66+AM99+AM114+AM127</f>
        <v>522.97205188188184</v>
      </c>
      <c r="AN12" s="48">
        <f t="shared" si="26"/>
        <v>534.34978961287891</v>
      </c>
      <c r="AO12" s="48">
        <f t="shared" si="26"/>
        <v>542.44625512752634</v>
      </c>
      <c r="AP12" s="48">
        <f t="shared" si="26"/>
        <v>553.81189912716638</v>
      </c>
      <c r="AQ12" s="49">
        <f t="shared" si="17"/>
        <v>2153.5799957494532</v>
      </c>
      <c r="AR12" s="48">
        <f t="shared" ref="AR12:AU13" si="27">+AR66+AR99+AR114+AR127</f>
        <v>565.58895381794139</v>
      </c>
      <c r="AS12" s="48">
        <f t="shared" si="27"/>
        <v>577.18545176484758</v>
      </c>
      <c r="AT12" s="48">
        <f t="shared" si="27"/>
        <v>585.28811585448</v>
      </c>
      <c r="AU12" s="48">
        <f t="shared" si="27"/>
        <v>596.88948817681307</v>
      </c>
      <c r="AV12" s="49">
        <f t="shared" si="18"/>
        <v>2324.9520096140823</v>
      </c>
    </row>
    <row r="13" spans="1:48" ht="17.25" customHeight="1" outlineLevel="1" x14ac:dyDescent="0.3">
      <c r="B13" s="38" t="s">
        <v>83</v>
      </c>
      <c r="C13" s="18"/>
      <c r="D13" s="105">
        <v>448</v>
      </c>
      <c r="E13" s="105">
        <v>458.1</v>
      </c>
      <c r="F13" s="105">
        <v>459.7</v>
      </c>
      <c r="G13" s="105">
        <f t="shared" si="0"/>
        <v>458.29999999999984</v>
      </c>
      <c r="H13" s="170">
        <v>1824.1</v>
      </c>
      <c r="I13" s="105">
        <v>434.2</v>
      </c>
      <c r="J13" s="105">
        <v>406.5</v>
      </c>
      <c r="K13" s="105">
        <v>399.9</v>
      </c>
      <c r="L13" s="48">
        <v>439</v>
      </c>
      <c r="M13" s="170">
        <f t="shared" si="11"/>
        <v>1679.6</v>
      </c>
      <c r="N13" s="48">
        <v>472.1</v>
      </c>
      <c r="O13" s="105">
        <v>464.4</v>
      </c>
      <c r="P13" s="105">
        <v>494.9</v>
      </c>
      <c r="Q13" s="105">
        <v>501.2</v>
      </c>
      <c r="R13" s="170">
        <f t="shared" si="12"/>
        <v>1932.6000000000001</v>
      </c>
      <c r="S13" s="48">
        <v>525.79999999999995</v>
      </c>
      <c r="T13" s="48">
        <v>481.5</v>
      </c>
      <c r="U13" s="48">
        <v>486.7</v>
      </c>
      <c r="V13" s="48">
        <f>+V67+V100+V115+V128</f>
        <v>585.15732864887252</v>
      </c>
      <c r="W13" s="170">
        <f t="shared" si="13"/>
        <v>2079.1573286488724</v>
      </c>
      <c r="X13" s="48">
        <f t="shared" si="22"/>
        <v>542.76112092038784</v>
      </c>
      <c r="Y13" s="48">
        <f t="shared" si="22"/>
        <v>516.12701489731307</v>
      </c>
      <c r="Z13" s="48">
        <f t="shared" si="22"/>
        <v>532.33892503138804</v>
      </c>
      <c r="AA13" s="48">
        <f t="shared" si="22"/>
        <v>553.177839499024</v>
      </c>
      <c r="AB13" s="49">
        <f t="shared" si="14"/>
        <v>2144.4049003481132</v>
      </c>
      <c r="AC13" s="48">
        <f t="shared" si="24"/>
        <v>551.42441050601303</v>
      </c>
      <c r="AD13" s="48">
        <f t="shared" si="24"/>
        <v>551.50437387975376</v>
      </c>
      <c r="AE13" s="48">
        <f t="shared" si="24"/>
        <v>549.83180838207022</v>
      </c>
      <c r="AF13" s="48">
        <f t="shared" si="24"/>
        <v>573.78728606917855</v>
      </c>
      <c r="AG13" s="49">
        <f t="shared" si="15"/>
        <v>2226.5478788370156</v>
      </c>
      <c r="AH13" s="48">
        <f t="shared" si="25"/>
        <v>567.57976542236452</v>
      </c>
      <c r="AI13" s="48">
        <f t="shared" si="25"/>
        <v>567.93530050096217</v>
      </c>
      <c r="AJ13" s="48">
        <f t="shared" si="25"/>
        <v>565.37791475381823</v>
      </c>
      <c r="AK13" s="48">
        <f t="shared" si="25"/>
        <v>591.99041389706031</v>
      </c>
      <c r="AL13" s="49">
        <f t="shared" si="16"/>
        <v>2292.8833945742053</v>
      </c>
      <c r="AM13" s="48">
        <f t="shared" si="26"/>
        <v>595.40250702208357</v>
      </c>
      <c r="AN13" s="48">
        <f t="shared" si="26"/>
        <v>593.19195021888891</v>
      </c>
      <c r="AO13" s="48">
        <f t="shared" si="26"/>
        <v>588.92307284471519</v>
      </c>
      <c r="AP13" s="48">
        <f t="shared" si="26"/>
        <v>616.15102587948604</v>
      </c>
      <c r="AQ13" s="49">
        <f t="shared" si="17"/>
        <v>2393.6685559651737</v>
      </c>
      <c r="AR13" s="48">
        <f t="shared" si="27"/>
        <v>613.23542475422789</v>
      </c>
      <c r="AS13" s="48">
        <f t="shared" si="27"/>
        <v>610.61667774298451</v>
      </c>
      <c r="AT13" s="48">
        <f t="shared" si="27"/>
        <v>606.05730142078437</v>
      </c>
      <c r="AU13" s="48">
        <f t="shared" si="27"/>
        <v>635.17649235891781</v>
      </c>
      <c r="AV13" s="49">
        <f t="shared" si="18"/>
        <v>2465.0858962769144</v>
      </c>
    </row>
    <row r="14" spans="1:48" ht="17.25" customHeight="1" outlineLevel="1" x14ac:dyDescent="0.45">
      <c r="B14" s="38" t="s">
        <v>42</v>
      </c>
      <c r="C14" s="18"/>
      <c r="D14" s="104">
        <v>43.2</v>
      </c>
      <c r="E14" s="104">
        <v>43</v>
      </c>
      <c r="F14" s="104">
        <v>37.700000000000003</v>
      </c>
      <c r="G14" s="104">
        <f t="shared" si="0"/>
        <v>11.900000000000006</v>
      </c>
      <c r="H14" s="173">
        <v>135.80000000000001</v>
      </c>
      <c r="I14" s="104">
        <v>6.3</v>
      </c>
      <c r="J14" s="104">
        <v>-0.7</v>
      </c>
      <c r="K14" s="104">
        <v>78.099999999999994</v>
      </c>
      <c r="L14" s="104">
        <v>195</v>
      </c>
      <c r="M14" s="53">
        <f t="shared" ref="M14" si="28">SUM(I14:L14)</f>
        <v>278.7</v>
      </c>
      <c r="N14" s="52">
        <v>72.2</v>
      </c>
      <c r="O14" s="104">
        <v>23</v>
      </c>
      <c r="P14" s="104">
        <v>19.8</v>
      </c>
      <c r="Q14" s="104">
        <v>55.5</v>
      </c>
      <c r="R14" s="173">
        <f t="shared" ref="R14" si="29">SUM(N14:Q14)</f>
        <v>170.5</v>
      </c>
      <c r="S14" s="52">
        <v>-7.5</v>
      </c>
      <c r="T14" s="52">
        <v>4.4000000000000004</v>
      </c>
      <c r="U14" s="52">
        <v>14</v>
      </c>
      <c r="V14" s="52">
        <f>+V69+V102+V117+V129</f>
        <v>50</v>
      </c>
      <c r="W14" s="173">
        <f t="shared" ref="W14" si="30">SUM(S14:V14)</f>
        <v>60.9</v>
      </c>
      <c r="X14" s="52">
        <f>+X69+X102+X117+X129</f>
        <v>50</v>
      </c>
      <c r="Y14" s="52">
        <f>+Y69+Y102+Y117+Y129</f>
        <v>0</v>
      </c>
      <c r="Z14" s="52">
        <f>+Z69+Z102+Z117+Z129</f>
        <v>0</v>
      </c>
      <c r="AA14" s="52">
        <f>+AA69+AA102+AA117+AA129</f>
        <v>0</v>
      </c>
      <c r="AB14" s="53">
        <f t="shared" ref="AB14" si="31">SUM(X14:AA14)</f>
        <v>50</v>
      </c>
      <c r="AC14" s="52">
        <f>+AC69+AC102+AC117+AC129</f>
        <v>0</v>
      </c>
      <c r="AD14" s="52">
        <f>+AD69+AD102+AD117+AD129</f>
        <v>0</v>
      </c>
      <c r="AE14" s="52">
        <f>+AE69+AE102+AE117+AE129</f>
        <v>0</v>
      </c>
      <c r="AF14" s="52">
        <f>+AF69+AF102+AF117+AF129</f>
        <v>0</v>
      </c>
      <c r="AG14" s="53">
        <f t="shared" si="15"/>
        <v>0</v>
      </c>
      <c r="AH14" s="52">
        <f>+AH69+AH102+AH117+AH129</f>
        <v>0</v>
      </c>
      <c r="AI14" s="52">
        <f>+AI69+AI102+AI117+AI129</f>
        <v>0</v>
      </c>
      <c r="AJ14" s="52">
        <f>+AJ69+AJ102+AJ117+AJ129</f>
        <v>0</v>
      </c>
      <c r="AK14" s="52">
        <f>+AK69+AK102+AK117+AK129</f>
        <v>0</v>
      </c>
      <c r="AL14" s="53">
        <f t="shared" si="16"/>
        <v>0</v>
      </c>
      <c r="AM14" s="52">
        <f>+AM69+AM102+AM117+AM129</f>
        <v>0</v>
      </c>
      <c r="AN14" s="52">
        <f>+AN69+AN102+AN117+AN129</f>
        <v>0</v>
      </c>
      <c r="AO14" s="52">
        <f>+AO69+AO102+AO117+AO129</f>
        <v>0</v>
      </c>
      <c r="AP14" s="52">
        <f>+AP69+AP102+AP117+AP129</f>
        <v>0</v>
      </c>
      <c r="AQ14" s="53">
        <f t="shared" si="17"/>
        <v>0</v>
      </c>
      <c r="AR14" s="52">
        <f>+AR69+AR102+AR117+AR129</f>
        <v>0</v>
      </c>
      <c r="AS14" s="52">
        <f>+AS69+AS102+AS117+AS129</f>
        <v>0</v>
      </c>
      <c r="AT14" s="52">
        <f>+AT69+AT102+AT117+AT129</f>
        <v>0</v>
      </c>
      <c r="AU14" s="52">
        <f>+AU69+AU102+AU117+AU129</f>
        <v>0</v>
      </c>
      <c r="AV14" s="53">
        <f t="shared" si="18"/>
        <v>0</v>
      </c>
    </row>
    <row r="15" spans="1:48" s="20" customFormat="1" ht="17.25" customHeight="1" x14ac:dyDescent="0.45">
      <c r="B15" s="46" t="s">
        <v>8</v>
      </c>
      <c r="C15" s="19"/>
      <c r="D15" s="106">
        <f t="shared" ref="D15:AL15" si="32">SUM(D10:D14)+D9</f>
        <v>5684.8</v>
      </c>
      <c r="E15" s="106">
        <f t="shared" si="32"/>
        <v>5510.5</v>
      </c>
      <c r="F15" s="106">
        <f t="shared" si="32"/>
        <v>5777.6999999999989</v>
      </c>
      <c r="G15" s="106">
        <f t="shared" si="32"/>
        <v>5755.7</v>
      </c>
      <c r="H15" s="175">
        <f t="shared" si="32"/>
        <v>22728.699999999997</v>
      </c>
      <c r="I15" s="106">
        <f t="shared" si="32"/>
        <v>5951.2000000000007</v>
      </c>
      <c r="J15" s="106">
        <f t="shared" si="32"/>
        <v>5576.2000000000007</v>
      </c>
      <c r="K15" s="106">
        <f t="shared" si="32"/>
        <v>4994.3999999999996</v>
      </c>
      <c r="L15" s="54">
        <f t="shared" si="32"/>
        <v>5757</v>
      </c>
      <c r="M15" s="55">
        <f t="shared" si="32"/>
        <v>22278.799999999999</v>
      </c>
      <c r="N15" s="54">
        <f t="shared" si="32"/>
        <v>5918.6</v>
      </c>
      <c r="O15" s="106">
        <f t="shared" si="32"/>
        <v>5757.5</v>
      </c>
      <c r="P15" s="106">
        <f>SUM(P10:P14)+P9</f>
        <v>6113.3000000000011</v>
      </c>
      <c r="Q15" s="106">
        <f>SUM(Q10:Q14)+Q9</f>
        <v>6784.5</v>
      </c>
      <c r="R15" s="175">
        <f t="shared" si="32"/>
        <v>24573.9</v>
      </c>
      <c r="S15" s="54">
        <f t="shared" si="32"/>
        <v>6912.9</v>
      </c>
      <c r="T15" s="54">
        <f t="shared" si="32"/>
        <v>6735.7999999999993</v>
      </c>
      <c r="U15" s="54">
        <f t="shared" si="32"/>
        <v>6908.7000000000007</v>
      </c>
      <c r="V15" s="54">
        <f t="shared" si="32"/>
        <v>7234.9448779717168</v>
      </c>
      <c r="W15" s="175">
        <f t="shared" si="32"/>
        <v>27792.344877971722</v>
      </c>
      <c r="X15" s="54">
        <f t="shared" si="32"/>
        <v>7565.381935048521</v>
      </c>
      <c r="Y15" s="54">
        <f t="shared" si="32"/>
        <v>7339.7580802999237</v>
      </c>
      <c r="Z15" s="54">
        <f t="shared" si="32"/>
        <v>7827.7350752801012</v>
      </c>
      <c r="AA15" s="54">
        <f t="shared" si="32"/>
        <v>7924.2019745583893</v>
      </c>
      <c r="AB15" s="55">
        <f t="shared" si="32"/>
        <v>30657.077065186935</v>
      </c>
      <c r="AC15" s="54">
        <f t="shared" si="32"/>
        <v>8228.6473555143093</v>
      </c>
      <c r="AD15" s="54">
        <f t="shared" si="32"/>
        <v>7962.1579098505699</v>
      </c>
      <c r="AE15" s="54">
        <f t="shared" si="32"/>
        <v>8543.2379664785039</v>
      </c>
      <c r="AF15" s="54">
        <f t="shared" si="32"/>
        <v>8820.7433408108463</v>
      </c>
      <c r="AG15" s="55">
        <f t="shared" si="32"/>
        <v>33554.78657265423</v>
      </c>
      <c r="AH15" s="54">
        <f t="shared" si="32"/>
        <v>9092.4287083282034</v>
      </c>
      <c r="AI15" s="54">
        <f t="shared" si="32"/>
        <v>8784.3631930197425</v>
      </c>
      <c r="AJ15" s="54">
        <f t="shared" si="32"/>
        <v>9363.416823493164</v>
      </c>
      <c r="AK15" s="54">
        <f t="shared" si="32"/>
        <v>9755.405557532762</v>
      </c>
      <c r="AL15" s="55">
        <f t="shared" si="32"/>
        <v>36995.61428237387</v>
      </c>
      <c r="AM15" s="54">
        <f t="shared" ref="AM15:AQ15" si="33">SUM(AM10:AM14)+AM9</f>
        <v>9960.6936134413954</v>
      </c>
      <c r="AN15" s="54">
        <f t="shared" si="33"/>
        <v>9576.4592935510864</v>
      </c>
      <c r="AO15" s="54">
        <f t="shared" si="33"/>
        <v>10187.756519452056</v>
      </c>
      <c r="AP15" s="54">
        <f t="shared" si="33"/>
        <v>10587.3915894858</v>
      </c>
      <c r="AQ15" s="55">
        <f t="shared" si="33"/>
        <v>40312.301015930338</v>
      </c>
      <c r="AR15" s="54">
        <f t="shared" ref="AR15:AV15" si="34">SUM(AR10:AR14)+AR9</f>
        <v>10608.79442365015</v>
      </c>
      <c r="AS15" s="54">
        <f t="shared" si="34"/>
        <v>10191.286880337879</v>
      </c>
      <c r="AT15" s="54">
        <f t="shared" si="34"/>
        <v>10841.516638209338</v>
      </c>
      <c r="AU15" s="54">
        <f t="shared" si="34"/>
        <v>11267.816963351979</v>
      </c>
      <c r="AV15" s="55">
        <f t="shared" si="34"/>
        <v>42909.41490554934</v>
      </c>
    </row>
    <row r="16" spans="1:48" s="23" customFormat="1" ht="17.25" customHeight="1" x14ac:dyDescent="0.45">
      <c r="B16" s="516" t="s">
        <v>36</v>
      </c>
      <c r="C16" s="517"/>
      <c r="D16" s="104">
        <v>67.8</v>
      </c>
      <c r="E16" s="104">
        <v>62.3</v>
      </c>
      <c r="F16" s="104">
        <v>76</v>
      </c>
      <c r="G16" s="104">
        <f t="shared" si="0"/>
        <v>91.899999999999991</v>
      </c>
      <c r="H16" s="173">
        <v>298</v>
      </c>
      <c r="I16" s="104">
        <v>73.900000000000006</v>
      </c>
      <c r="J16" s="104">
        <v>67.900000000000006</v>
      </c>
      <c r="K16" s="104">
        <v>68.400000000000006</v>
      </c>
      <c r="L16" s="52">
        <v>112.2</v>
      </c>
      <c r="M16" s="53">
        <f t="shared" ref="M16" si="35">SUM(I16:L16)</f>
        <v>322.40000000000003</v>
      </c>
      <c r="N16" s="52">
        <v>82.7</v>
      </c>
      <c r="O16" s="104">
        <v>77.099999999999994</v>
      </c>
      <c r="P16" s="104">
        <v>105.5</v>
      </c>
      <c r="Q16" s="104">
        <v>120</v>
      </c>
      <c r="R16" s="173">
        <f t="shared" ref="R16" si="36">SUM(N16:Q16)</f>
        <v>385.3</v>
      </c>
      <c r="S16" s="52">
        <v>40.299999999999997</v>
      </c>
      <c r="T16" s="52">
        <v>49.1</v>
      </c>
      <c r="U16" s="52">
        <v>54.1</v>
      </c>
      <c r="V16" s="52">
        <f>+V104+V119</f>
        <v>54.1</v>
      </c>
      <c r="W16" s="173">
        <f t="shared" ref="W16" si="37">SUM(S16:V16)</f>
        <v>197.6</v>
      </c>
      <c r="X16" s="52">
        <f>+X104+X119</f>
        <v>54.1</v>
      </c>
      <c r="Y16" s="52">
        <f>+Y104+Y119</f>
        <v>54.2</v>
      </c>
      <c r="Z16" s="52">
        <f>+Z104+Z119</f>
        <v>54.300000000000004</v>
      </c>
      <c r="AA16" s="52">
        <f>+AA104+AA119</f>
        <v>54.400000000000006</v>
      </c>
      <c r="AB16" s="53">
        <f t="shared" ref="AB16" si="38">SUM(X16:AA16)</f>
        <v>217.00000000000003</v>
      </c>
      <c r="AC16" s="52">
        <f>+AC104+AC119</f>
        <v>54.7</v>
      </c>
      <c r="AD16" s="52">
        <f>+AD104+AD119</f>
        <v>54.7</v>
      </c>
      <c r="AE16" s="52">
        <f>+AE104+AE119</f>
        <v>54.7</v>
      </c>
      <c r="AF16" s="52">
        <f>+AF104+AF119</f>
        <v>54.7</v>
      </c>
      <c r="AG16" s="53">
        <f t="shared" ref="AG16" si="39">SUM(AC16:AF16)</f>
        <v>218.8</v>
      </c>
      <c r="AH16" s="52">
        <f>+AH104+AH119</f>
        <v>54.7</v>
      </c>
      <c r="AI16" s="52">
        <f>+AI104+AI119</f>
        <v>54.7</v>
      </c>
      <c r="AJ16" s="52">
        <f>+AJ104+AJ119</f>
        <v>54.7</v>
      </c>
      <c r="AK16" s="52">
        <f>+AK104+AK119</f>
        <v>54.7</v>
      </c>
      <c r="AL16" s="53">
        <f t="shared" ref="AL16" si="40">SUM(AH16:AK16)</f>
        <v>218.8</v>
      </c>
      <c r="AM16" s="52">
        <f>+AM104+AM119</f>
        <v>54.7</v>
      </c>
      <c r="AN16" s="52">
        <f>+AN104+AN119</f>
        <v>54.7</v>
      </c>
      <c r="AO16" s="52">
        <f>+AO104+AO119</f>
        <v>54.7</v>
      </c>
      <c r="AP16" s="52">
        <f>+AP104+AP119</f>
        <v>54.7</v>
      </c>
      <c r="AQ16" s="53">
        <f t="shared" ref="AQ16" si="41">SUM(AM16:AP16)</f>
        <v>218.8</v>
      </c>
      <c r="AR16" s="52">
        <f>+AR104+AR119</f>
        <v>54.7</v>
      </c>
      <c r="AS16" s="52">
        <f>+AS104+AS119</f>
        <v>54.7</v>
      </c>
      <c r="AT16" s="52">
        <f>+AT104+AT119</f>
        <v>54.7</v>
      </c>
      <c r="AU16" s="52">
        <f>+AU104+AU119</f>
        <v>54.7</v>
      </c>
      <c r="AV16" s="53">
        <f t="shared" ref="AV16" si="42">SUM(AR16:AU16)</f>
        <v>218.8</v>
      </c>
    </row>
    <row r="17" spans="1:48" x14ac:dyDescent="0.3">
      <c r="B17" s="135" t="s">
        <v>10</v>
      </c>
      <c r="C17" s="136"/>
      <c r="D17" s="103">
        <f t="shared" ref="D17:AQ17" si="43">D8-D15+D16</f>
        <v>1015.7000000000005</v>
      </c>
      <c r="E17" s="103">
        <f t="shared" si="43"/>
        <v>857.69999999999959</v>
      </c>
      <c r="F17" s="103">
        <f t="shared" si="43"/>
        <v>1121.3000000000011</v>
      </c>
      <c r="G17" s="103">
        <f t="shared" si="43"/>
        <v>1083.2000000000012</v>
      </c>
      <c r="H17" s="171">
        <f t="shared" si="43"/>
        <v>4077.9000000000051</v>
      </c>
      <c r="I17" s="103">
        <f t="shared" si="43"/>
        <v>1219.7999999999988</v>
      </c>
      <c r="J17" s="103">
        <f t="shared" si="43"/>
        <v>487.39999999999907</v>
      </c>
      <c r="K17" s="103">
        <f t="shared" si="43"/>
        <v>-703.8999999999993</v>
      </c>
      <c r="L17" s="50">
        <f t="shared" si="43"/>
        <v>558.30000000000041</v>
      </c>
      <c r="M17" s="51">
        <f t="shared" si="43"/>
        <v>1561.6000000000045</v>
      </c>
      <c r="N17" s="50">
        <f t="shared" si="43"/>
        <v>913.50000000000023</v>
      </c>
      <c r="O17" s="103">
        <f t="shared" si="43"/>
        <v>987.6</v>
      </c>
      <c r="P17" s="103">
        <f>P8-P15+P16</f>
        <v>1488.6999999999989</v>
      </c>
      <c r="Q17" s="103">
        <f>Q8-Q15+Q16</f>
        <v>1482.1999999999998</v>
      </c>
      <c r="R17" s="171">
        <f t="shared" si="43"/>
        <v>4871.9999999999973</v>
      </c>
      <c r="S17" s="50">
        <f t="shared" si="43"/>
        <v>1177.8</v>
      </c>
      <c r="T17" s="50">
        <f t="shared" si="43"/>
        <v>948.9000000000002</v>
      </c>
      <c r="U17" s="50">
        <f t="shared" si="43"/>
        <v>1295.4999999999995</v>
      </c>
      <c r="V17" s="50">
        <f t="shared" si="43"/>
        <v>1106.8835609451121</v>
      </c>
      <c r="W17" s="171">
        <f t="shared" si="43"/>
        <v>4529.0835609451042</v>
      </c>
      <c r="X17" s="50">
        <f t="shared" si="43"/>
        <v>1157.0200909464743</v>
      </c>
      <c r="Y17" s="50">
        <f t="shared" si="43"/>
        <v>1107.4156341339633</v>
      </c>
      <c r="Z17" s="50">
        <f t="shared" si="43"/>
        <v>1417.3730833855104</v>
      </c>
      <c r="AA17" s="50">
        <f t="shared" si="43"/>
        <v>1529.2551664165953</v>
      </c>
      <c r="AB17" s="51">
        <f t="shared" si="43"/>
        <v>5211.0639748825452</v>
      </c>
      <c r="AC17" s="50">
        <f t="shared" si="43"/>
        <v>1562.3186303071755</v>
      </c>
      <c r="AD17" s="50">
        <f t="shared" si="43"/>
        <v>1297.7843273790525</v>
      </c>
      <c r="AE17" s="50">
        <f t="shared" si="43"/>
        <v>1600.4493556014743</v>
      </c>
      <c r="AF17" s="50">
        <f t="shared" si="43"/>
        <v>1583.020447229733</v>
      </c>
      <c r="AG17" s="51">
        <f t="shared" si="43"/>
        <v>6043.572760517437</v>
      </c>
      <c r="AH17" s="50">
        <f t="shared" si="43"/>
        <v>1820.4732418221386</v>
      </c>
      <c r="AI17" s="50">
        <f t="shared" si="43"/>
        <v>1528.4975455599499</v>
      </c>
      <c r="AJ17" s="50">
        <f t="shared" si="43"/>
        <v>1941.4353282223904</v>
      </c>
      <c r="AK17" s="50">
        <f t="shared" si="43"/>
        <v>1863.8561066296727</v>
      </c>
      <c r="AL17" s="51">
        <f t="shared" si="43"/>
        <v>7154.2622222341497</v>
      </c>
      <c r="AM17" s="50">
        <f t="shared" si="43"/>
        <v>2039.2045585748976</v>
      </c>
      <c r="AN17" s="50">
        <f t="shared" si="43"/>
        <v>1706.1639819015629</v>
      </c>
      <c r="AO17" s="50">
        <f t="shared" si="43"/>
        <v>2135.6768576086351</v>
      </c>
      <c r="AP17" s="50">
        <f t="shared" si="43"/>
        <v>2041.1115527760642</v>
      </c>
      <c r="AQ17" s="51">
        <f t="shared" si="43"/>
        <v>7922.1569508611619</v>
      </c>
      <c r="AR17" s="50">
        <f t="shared" ref="AR17:AV17" si="44">AR8-AR15+AR16</f>
        <v>2168.045897422634</v>
      </c>
      <c r="AS17" s="50">
        <f t="shared" si="44"/>
        <v>1812.9913620688305</v>
      </c>
      <c r="AT17" s="50">
        <f t="shared" si="44"/>
        <v>2267.7516158585468</v>
      </c>
      <c r="AU17" s="50">
        <f t="shared" si="44"/>
        <v>2169.8217984513785</v>
      </c>
      <c r="AV17" s="51">
        <f t="shared" si="44"/>
        <v>8418.6106738014023</v>
      </c>
    </row>
    <row r="18" spans="1:48" ht="16.2" x14ac:dyDescent="0.45">
      <c r="B18" s="123" t="s">
        <v>70</v>
      </c>
      <c r="C18" s="88"/>
      <c r="D18" s="107">
        <f>+D170</f>
        <v>138</v>
      </c>
      <c r="E18" s="107">
        <f>+E170</f>
        <v>141.4</v>
      </c>
      <c r="F18" s="107">
        <f>+F170</f>
        <v>125.30000000000001</v>
      </c>
      <c r="G18" s="107">
        <f>+G170</f>
        <v>77.399999999999991</v>
      </c>
      <c r="H18" s="176">
        <f>SUM(D18:G18)</f>
        <v>482.09999999999997</v>
      </c>
      <c r="I18" s="107">
        <f>+I170</f>
        <v>71.599999999999994</v>
      </c>
      <c r="J18" s="107">
        <f>+J170</f>
        <v>66.8</v>
      </c>
      <c r="K18" s="107">
        <f>+K170</f>
        <v>173.67999999999998</v>
      </c>
      <c r="L18" s="89">
        <f>+L170</f>
        <v>259.5</v>
      </c>
      <c r="M18" s="90">
        <f>SUM(I18:L18)</f>
        <v>571.57999999999993</v>
      </c>
      <c r="N18" s="107">
        <f>+N170</f>
        <v>134.9</v>
      </c>
      <c r="O18" s="107">
        <f>+O170</f>
        <v>88.2</v>
      </c>
      <c r="P18" s="107">
        <f>+P170</f>
        <v>51.7</v>
      </c>
      <c r="Q18" s="107">
        <f>+Q170</f>
        <v>115.2</v>
      </c>
      <c r="R18" s="176">
        <f>SUM(N18:Q18)</f>
        <v>390</v>
      </c>
      <c r="S18" s="89">
        <f>+S170</f>
        <v>35.199999999999996</v>
      </c>
      <c r="T18" s="89">
        <f>+T170</f>
        <v>47.5</v>
      </c>
      <c r="U18" s="89">
        <f>+U170</f>
        <v>77.5</v>
      </c>
      <c r="V18" s="89">
        <f>+V170</f>
        <v>114</v>
      </c>
      <c r="W18" s="176">
        <f>SUM(S18:V18)</f>
        <v>274.2</v>
      </c>
      <c r="X18" s="89">
        <f>+X170</f>
        <v>114</v>
      </c>
      <c r="Y18" s="89">
        <f>+Y170</f>
        <v>64</v>
      </c>
      <c r="Z18" s="89">
        <f>+Z170</f>
        <v>64</v>
      </c>
      <c r="AA18" s="89">
        <f>+AA170</f>
        <v>64</v>
      </c>
      <c r="AB18" s="90">
        <f>SUM(X18:AA18)</f>
        <v>306</v>
      </c>
      <c r="AC18" s="89">
        <f t="shared" ref="AC18:AF18" si="45">+AC170</f>
        <v>64</v>
      </c>
      <c r="AD18" s="89">
        <f t="shared" si="45"/>
        <v>64</v>
      </c>
      <c r="AE18" s="89">
        <f t="shared" si="45"/>
        <v>64</v>
      </c>
      <c r="AF18" s="89">
        <f t="shared" si="45"/>
        <v>64</v>
      </c>
      <c r="AG18" s="90">
        <f>SUM(AC18:AF18)</f>
        <v>256</v>
      </c>
      <c r="AH18" s="89">
        <f t="shared" ref="AH18:AK18" si="46">+AH170</f>
        <v>64</v>
      </c>
      <c r="AI18" s="89">
        <f t="shared" si="46"/>
        <v>64</v>
      </c>
      <c r="AJ18" s="89">
        <f t="shared" si="46"/>
        <v>64</v>
      </c>
      <c r="AK18" s="89">
        <f t="shared" si="46"/>
        <v>64</v>
      </c>
      <c r="AL18" s="90">
        <f>SUM(AH18:AK18)</f>
        <v>256</v>
      </c>
      <c r="AM18" s="89">
        <f t="shared" ref="AM18:AP18" si="47">+AM170</f>
        <v>64</v>
      </c>
      <c r="AN18" s="89">
        <f t="shared" si="47"/>
        <v>64</v>
      </c>
      <c r="AO18" s="89">
        <f t="shared" si="47"/>
        <v>64</v>
      </c>
      <c r="AP18" s="89">
        <f t="shared" si="47"/>
        <v>64</v>
      </c>
      <c r="AQ18" s="90">
        <f>SUM(AM18:AP18)</f>
        <v>256</v>
      </c>
      <c r="AR18" s="89">
        <f t="shared" ref="AR18:AU18" si="48">+AR170</f>
        <v>64</v>
      </c>
      <c r="AS18" s="89">
        <f t="shared" si="48"/>
        <v>64</v>
      </c>
      <c r="AT18" s="89">
        <f t="shared" si="48"/>
        <v>64</v>
      </c>
      <c r="AU18" s="89">
        <f t="shared" si="48"/>
        <v>64</v>
      </c>
      <c r="AV18" s="90">
        <f>SUM(AR18:AU18)</f>
        <v>256</v>
      </c>
    </row>
    <row r="19" spans="1:48" x14ac:dyDescent="0.3">
      <c r="B19" s="124" t="s">
        <v>71</v>
      </c>
      <c r="C19" s="79"/>
      <c r="D19" s="108">
        <f t="shared" ref="D19:AQ19" si="49">+D17+D18</f>
        <v>1153.7000000000005</v>
      </c>
      <c r="E19" s="108">
        <f t="shared" si="49"/>
        <v>999.09999999999957</v>
      </c>
      <c r="F19" s="108">
        <f t="shared" si="49"/>
        <v>1246.600000000001</v>
      </c>
      <c r="G19" s="108">
        <f t="shared" si="49"/>
        <v>1160.6000000000013</v>
      </c>
      <c r="H19" s="177">
        <f t="shared" si="49"/>
        <v>4560.0000000000055</v>
      </c>
      <c r="I19" s="108">
        <f t="shared" si="49"/>
        <v>1291.3999999999987</v>
      </c>
      <c r="J19" s="108">
        <f t="shared" si="49"/>
        <v>554.19999999999902</v>
      </c>
      <c r="K19" s="108">
        <f t="shared" si="49"/>
        <v>-530.21999999999935</v>
      </c>
      <c r="L19" s="80">
        <f t="shared" si="49"/>
        <v>817.80000000000041</v>
      </c>
      <c r="M19" s="81">
        <f t="shared" si="49"/>
        <v>2133.1800000000044</v>
      </c>
      <c r="N19" s="108">
        <f t="shared" si="49"/>
        <v>1048.4000000000003</v>
      </c>
      <c r="O19" s="108">
        <f t="shared" si="49"/>
        <v>1075.8</v>
      </c>
      <c r="P19" s="108">
        <f t="shared" si="49"/>
        <v>1540.399999999999</v>
      </c>
      <c r="Q19" s="108">
        <f t="shared" si="49"/>
        <v>1597.3999999999999</v>
      </c>
      <c r="R19" s="177">
        <f t="shared" si="49"/>
        <v>5261.9999999999973</v>
      </c>
      <c r="S19" s="80">
        <f t="shared" si="49"/>
        <v>1213</v>
      </c>
      <c r="T19" s="80">
        <f t="shared" si="49"/>
        <v>996.4000000000002</v>
      </c>
      <c r="U19" s="80">
        <f t="shared" si="49"/>
        <v>1372.9999999999995</v>
      </c>
      <c r="V19" s="80">
        <f t="shared" si="49"/>
        <v>1220.8835609451121</v>
      </c>
      <c r="W19" s="177">
        <f t="shared" si="49"/>
        <v>4803.283560945104</v>
      </c>
      <c r="X19" s="80">
        <f t="shared" si="49"/>
        <v>1271.0200909464743</v>
      </c>
      <c r="Y19" s="80">
        <f t="shared" si="49"/>
        <v>1171.4156341339633</v>
      </c>
      <c r="Z19" s="80">
        <f t="shared" si="49"/>
        <v>1481.3730833855104</v>
      </c>
      <c r="AA19" s="80">
        <f t="shared" si="49"/>
        <v>1593.2551664165953</v>
      </c>
      <c r="AB19" s="81">
        <f t="shared" si="49"/>
        <v>5517.0639748825452</v>
      </c>
      <c r="AC19" s="80">
        <f t="shared" si="49"/>
        <v>1626.3186303071755</v>
      </c>
      <c r="AD19" s="80">
        <f t="shared" si="49"/>
        <v>1361.7843273790525</v>
      </c>
      <c r="AE19" s="80">
        <f t="shared" si="49"/>
        <v>1664.4493556014743</v>
      </c>
      <c r="AF19" s="80">
        <f t="shared" si="49"/>
        <v>1647.020447229733</v>
      </c>
      <c r="AG19" s="81">
        <f t="shared" si="49"/>
        <v>6299.572760517437</v>
      </c>
      <c r="AH19" s="80">
        <f t="shared" si="49"/>
        <v>1884.4732418221386</v>
      </c>
      <c r="AI19" s="80">
        <f t="shared" si="49"/>
        <v>1592.4975455599499</v>
      </c>
      <c r="AJ19" s="80">
        <f t="shared" si="49"/>
        <v>2005.4353282223904</v>
      </c>
      <c r="AK19" s="80">
        <f t="shared" si="49"/>
        <v>1927.8561066296727</v>
      </c>
      <c r="AL19" s="81">
        <f t="shared" si="49"/>
        <v>7410.2622222341497</v>
      </c>
      <c r="AM19" s="80">
        <f t="shared" si="49"/>
        <v>2103.2045585748974</v>
      </c>
      <c r="AN19" s="80">
        <f t="shared" si="49"/>
        <v>1770.1639819015629</v>
      </c>
      <c r="AO19" s="80">
        <f t="shared" si="49"/>
        <v>2199.6768576086351</v>
      </c>
      <c r="AP19" s="80">
        <f t="shared" si="49"/>
        <v>2105.1115527760639</v>
      </c>
      <c r="AQ19" s="81">
        <f t="shared" si="49"/>
        <v>8178.1569508611619</v>
      </c>
      <c r="AR19" s="80">
        <f t="shared" ref="AR19:AV19" si="50">+AR17+AR18</f>
        <v>2232.045897422634</v>
      </c>
      <c r="AS19" s="80">
        <f t="shared" si="50"/>
        <v>1876.9913620688305</v>
      </c>
      <c r="AT19" s="80">
        <f t="shared" si="50"/>
        <v>2331.7516158585468</v>
      </c>
      <c r="AU19" s="80">
        <f t="shared" si="50"/>
        <v>2233.8217984513785</v>
      </c>
      <c r="AV19" s="81">
        <f t="shared" si="50"/>
        <v>8674.6106738014023</v>
      </c>
    </row>
    <row r="20" spans="1:48" x14ac:dyDescent="0.3">
      <c r="B20" s="38" t="s">
        <v>63</v>
      </c>
      <c r="C20" s="18"/>
      <c r="D20" s="105">
        <v>0</v>
      </c>
      <c r="E20" s="105">
        <v>21</v>
      </c>
      <c r="F20" s="105">
        <v>601.79999999999995</v>
      </c>
      <c r="G20" s="105">
        <f t="shared" ref="G20:G22" si="51">H20-F20-E20-D20</f>
        <v>0</v>
      </c>
      <c r="H20" s="170">
        <v>622.79999999999995</v>
      </c>
      <c r="I20" s="105">
        <v>0</v>
      </c>
      <c r="J20" s="105">
        <v>0</v>
      </c>
      <c r="K20" s="105">
        <v>0</v>
      </c>
      <c r="L20" s="105">
        <v>0</v>
      </c>
      <c r="M20" s="170">
        <f>SUM(I20:L20)</f>
        <v>0</v>
      </c>
      <c r="N20" s="105">
        <v>0</v>
      </c>
      <c r="O20" s="105">
        <v>0</v>
      </c>
      <c r="P20" s="105">
        <v>0</v>
      </c>
      <c r="Q20" s="105">
        <v>864.5</v>
      </c>
      <c r="R20" s="170">
        <f>SUM(N20:Q20)</f>
        <v>864.5</v>
      </c>
      <c r="S20" s="105">
        <v>0</v>
      </c>
      <c r="T20" s="105">
        <v>0</v>
      </c>
      <c r="U20" s="105">
        <v>0</v>
      </c>
      <c r="V20" s="105">
        <v>0</v>
      </c>
      <c r="W20" s="170">
        <f>SUM(S20:V20)</f>
        <v>0</v>
      </c>
      <c r="X20" s="105">
        <v>0</v>
      </c>
      <c r="Y20" s="105">
        <v>0</v>
      </c>
      <c r="Z20" s="105">
        <v>0</v>
      </c>
      <c r="AA20" s="105">
        <v>0</v>
      </c>
      <c r="AB20" s="170">
        <f>SUM(X20:AA20)</f>
        <v>0</v>
      </c>
      <c r="AC20" s="105">
        <v>0</v>
      </c>
      <c r="AD20" s="105">
        <v>0</v>
      </c>
      <c r="AE20" s="105">
        <v>0</v>
      </c>
      <c r="AF20" s="105">
        <v>0</v>
      </c>
      <c r="AG20" s="170">
        <f>SUM(AC20:AF20)</f>
        <v>0</v>
      </c>
      <c r="AH20" s="105">
        <v>0</v>
      </c>
      <c r="AI20" s="105">
        <v>0</v>
      </c>
      <c r="AJ20" s="105">
        <v>0</v>
      </c>
      <c r="AK20" s="105">
        <v>0</v>
      </c>
      <c r="AL20" s="170">
        <f>SUM(AH20:AK20)</f>
        <v>0</v>
      </c>
      <c r="AM20" s="105">
        <v>0</v>
      </c>
      <c r="AN20" s="105">
        <v>0</v>
      </c>
      <c r="AO20" s="105">
        <v>0</v>
      </c>
      <c r="AP20" s="105">
        <v>0</v>
      </c>
      <c r="AQ20" s="170">
        <f>SUM(AM20:AP20)</f>
        <v>0</v>
      </c>
      <c r="AR20" s="105">
        <v>0</v>
      </c>
      <c r="AS20" s="105">
        <v>0</v>
      </c>
      <c r="AT20" s="105">
        <v>0</v>
      </c>
      <c r="AU20" s="105">
        <v>0</v>
      </c>
      <c r="AV20" s="170">
        <f>SUM(AR20:AU20)</f>
        <v>0</v>
      </c>
    </row>
    <row r="21" spans="1:48" x14ac:dyDescent="0.3">
      <c r="B21" s="38" t="s">
        <v>37</v>
      </c>
      <c r="C21" s="18"/>
      <c r="D21" s="105">
        <v>24.8</v>
      </c>
      <c r="E21" s="105">
        <v>15.2</v>
      </c>
      <c r="F21" s="102">
        <v>40.200000000000003</v>
      </c>
      <c r="G21" s="105">
        <f t="shared" si="51"/>
        <v>16.299999999999994</v>
      </c>
      <c r="H21" s="170">
        <v>96.5</v>
      </c>
      <c r="I21" s="105">
        <v>15.9</v>
      </c>
      <c r="J21" s="105">
        <v>2</v>
      </c>
      <c r="K21" s="105">
        <v>12.7</v>
      </c>
      <c r="L21" s="105">
        <v>9.1</v>
      </c>
      <c r="M21" s="170">
        <f t="shared" ref="M21:M22" si="52">SUM(I21:L21)</f>
        <v>39.699999999999996</v>
      </c>
      <c r="N21" s="105">
        <v>15.5</v>
      </c>
      <c r="O21" s="105">
        <v>17.3</v>
      </c>
      <c r="P21" s="105">
        <v>36</v>
      </c>
      <c r="Q21" s="105">
        <v>21.5</v>
      </c>
      <c r="R21" s="170">
        <f t="shared" ref="R21" si="53">SUM(N21:Q21)</f>
        <v>90.3</v>
      </c>
      <c r="S21" s="105">
        <v>-0.1</v>
      </c>
      <c r="T21" s="105">
        <v>46.3</v>
      </c>
      <c r="U21" s="105">
        <v>19.8</v>
      </c>
      <c r="V21" s="105">
        <f>('BS 3Q2022'!U6+'BS 3Q2022'!U7+'BS 3Q2022'!U12)*'IS 3Q2022'!V144</f>
        <v>21.215247784595928</v>
      </c>
      <c r="W21" s="170">
        <f t="shared" ref="W21" si="54">SUM(S21:V21)</f>
        <v>87.215247784595931</v>
      </c>
      <c r="X21" s="105">
        <f>('BS 3Q2022'!V6+'BS 3Q2022'!V7+'BS 3Q2022'!V12)*'IS 3Q2022'!X144</f>
        <v>30.755283736014132</v>
      </c>
      <c r="Y21" s="105">
        <f>('BS 3Q2022'!X6+'BS 3Q2022'!X7+'BS 3Q2022'!X12)*'IS 3Q2022'!Y144</f>
        <v>54.517429100407341</v>
      </c>
      <c r="Z21" s="105">
        <f>('BS 3Q2022'!Y6+'BS 3Q2022'!Y7+'BS 3Q2022'!Y12)*'IS 3Q2022'!Z144</f>
        <v>47.668463360912277</v>
      </c>
      <c r="AA21" s="105">
        <f>('BS 3Q2022'!Z6+'BS 3Q2022'!Z7+'BS 3Q2022'!Z12)*'IS 3Q2022'!AA144</f>
        <v>28.034316718811734</v>
      </c>
      <c r="AB21" s="170">
        <f t="shared" ref="AB21" si="55">SUM(X21:AA21)</f>
        <v>160.9754929161455</v>
      </c>
      <c r="AC21" s="105">
        <f>('BS 3Q2022'!AA6+'BS 3Q2022'!AA7+'BS 3Q2022'!AA12)*'IS 3Q2022'!AC144</f>
        <v>33.124893625949944</v>
      </c>
      <c r="AD21" s="105">
        <f>('BS 3Q2022'!AC6+'BS 3Q2022'!AC7+'BS 3Q2022'!AC12)*'IS 3Q2022'!AD144</f>
        <v>39.980882250174879</v>
      </c>
      <c r="AE21" s="105">
        <f>('BS 3Q2022'!AD6+'BS 3Q2022'!AD7+'BS 3Q2022'!AD12)*'IS 3Q2022'!AE144</f>
        <v>37.931444644824879</v>
      </c>
      <c r="AF21" s="105">
        <f>('BS 3Q2022'!AE6+'BS 3Q2022'!AE7+'BS 3Q2022'!AE12)*'IS 3Q2022'!AF144</f>
        <v>38.2840264704503</v>
      </c>
      <c r="AG21" s="170">
        <f t="shared" ref="AG21:AG22" si="56">SUM(AC21:AF21)</f>
        <v>149.32124699140002</v>
      </c>
      <c r="AH21" s="105">
        <f>('BS 3Q2022'!AF6+'BS 3Q2022'!AF7+'BS 3Q2022'!AF12)*'IS 3Q2022'!AH144</f>
        <v>42.934701355133072</v>
      </c>
      <c r="AI21" s="105">
        <f>('BS 3Q2022'!AH6+'BS 3Q2022'!AH7+'BS 3Q2022'!AH12)*'IS 3Q2022'!AI144</f>
        <v>50.462326735658735</v>
      </c>
      <c r="AJ21" s="105">
        <f>('BS 3Q2022'!AI6+'BS 3Q2022'!AI7+'BS 3Q2022'!AI12)*'IS 3Q2022'!AJ144</f>
        <v>48.431659720053787</v>
      </c>
      <c r="AK21" s="105">
        <f>('BS 3Q2022'!AJ6+'BS 3Q2022'!AJ7+'BS 3Q2022'!AJ12)*'IS 3Q2022'!AK144</f>
        <v>51.566724219566701</v>
      </c>
      <c r="AL21" s="170">
        <f t="shared" ref="AL21:AL22" si="57">SUM(AH21:AK21)</f>
        <v>193.3954120304123</v>
      </c>
      <c r="AM21" s="105">
        <f>('BS 3Q2022'!AK6+'BS 3Q2022'!AK7+'BS 3Q2022'!AK12)*'IS 3Q2022'!AM144</f>
        <v>15.403022109276007</v>
      </c>
      <c r="AN21" s="105">
        <f>('BS 3Q2022'!AM6+'BS 3Q2022'!AM7+'BS 3Q2022'!AM12)*'IS 3Q2022'!AN144</f>
        <v>23.030870052901193</v>
      </c>
      <c r="AO21" s="105">
        <f>('BS 3Q2022'!AN6+'BS 3Q2022'!AN7+'BS 3Q2022'!AN12)*'IS 3Q2022'!AO144</f>
        <v>19.782203920447088</v>
      </c>
      <c r="AP21" s="105">
        <f>('BS 3Q2022'!AO6+'BS 3Q2022'!AO7+'BS 3Q2022'!AO12)*'IS 3Q2022'!AP144</f>
        <v>20.308443193308538</v>
      </c>
      <c r="AQ21" s="170">
        <f t="shared" ref="AQ21:AQ22" si="58">SUM(AM21:AP21)</f>
        <v>78.524539275932824</v>
      </c>
      <c r="AR21" s="105">
        <f>('BS 3Q2022'!AP6+'BS 3Q2022'!AP7+'BS 3Q2022'!AP12)*'IS 3Q2022'!AR144</f>
        <v>26.514755980221455</v>
      </c>
      <c r="AS21" s="105">
        <f>('BS 3Q2022'!AR6+'BS 3Q2022'!AR7+'BS 3Q2022'!AR12)*'IS 3Q2022'!AS144</f>
        <v>35.883987086734386</v>
      </c>
      <c r="AT21" s="105">
        <f>('BS 3Q2022'!AS6+'BS 3Q2022'!AS7+'BS 3Q2022'!AS12)*'IS 3Q2022'!AT144</f>
        <v>33.356540119039202</v>
      </c>
      <c r="AU21" s="105">
        <f>('BS 3Q2022'!AT6+'BS 3Q2022'!AT7+'BS 3Q2022'!AT12)*'IS 3Q2022'!AU144</f>
        <v>34.947476462292514</v>
      </c>
      <c r="AV21" s="170">
        <f t="shared" ref="AV21:AV22" si="59">SUM(AR21:AU21)</f>
        <v>130.70275964828755</v>
      </c>
    </row>
    <row r="22" spans="1:48" ht="16.2" x14ac:dyDescent="0.45">
      <c r="B22" s="38" t="s">
        <v>38</v>
      </c>
      <c r="C22" s="356"/>
      <c r="D22" s="104">
        <v>-75</v>
      </c>
      <c r="E22" s="104">
        <v>-73.900000000000006</v>
      </c>
      <c r="F22" s="104">
        <v>-86.4</v>
      </c>
      <c r="G22" s="104">
        <f t="shared" si="51"/>
        <v>-95.699999999999989</v>
      </c>
      <c r="H22" s="173">
        <v>-331</v>
      </c>
      <c r="I22" s="104">
        <v>-91.9</v>
      </c>
      <c r="J22" s="104">
        <v>-99.2</v>
      </c>
      <c r="K22" s="104">
        <v>-120.8</v>
      </c>
      <c r="L22" s="104">
        <v>-125</v>
      </c>
      <c r="M22" s="173">
        <f t="shared" si="52"/>
        <v>-436.90000000000003</v>
      </c>
      <c r="N22" s="104">
        <v>-120.7</v>
      </c>
      <c r="O22" s="104">
        <v>-115</v>
      </c>
      <c r="P22" s="104">
        <v>-113.4</v>
      </c>
      <c r="Q22" s="104">
        <v>-120.6</v>
      </c>
      <c r="R22" s="173">
        <f t="shared" ref="R22" si="60">SUM(N22:Q22)</f>
        <v>-469.70000000000005</v>
      </c>
      <c r="S22" s="104">
        <v>-115.3</v>
      </c>
      <c r="T22" s="104">
        <v>-119.1</v>
      </c>
      <c r="U22" s="104">
        <v>-123.1</v>
      </c>
      <c r="V22" s="104">
        <f>-('BS 3Q2022'!U28+'BS 3Q2022'!U31)*V145</f>
        <v>-119.60932925321661</v>
      </c>
      <c r="W22" s="173">
        <f t="shared" ref="W22" si="61">SUM(S22:V22)</f>
        <v>-477.10932925321663</v>
      </c>
      <c r="X22" s="104">
        <f>-('BS 3Q2022'!V28+'BS 3Q2022'!V31)*X145</f>
        <v>-119.52922600531741</v>
      </c>
      <c r="Y22" s="104">
        <f>-('BS 3Q2022'!X28+'BS 3Q2022'!X31)*Y145</f>
        <v>-121.02231600531739</v>
      </c>
      <c r="Z22" s="104">
        <f>-('BS 3Q2022'!Y28+'BS 3Q2022'!Y31)*Z145</f>
        <v>-122.51540600531739</v>
      </c>
      <c r="AA22" s="104">
        <f>-('BS 3Q2022'!Z28+'BS 3Q2022'!Z31)*AA145</f>
        <v>-124.00849600531738</v>
      </c>
      <c r="AB22" s="173">
        <f t="shared" ref="AB22" si="62">SUM(X22:AA22)</f>
        <v>-487.07544402126962</v>
      </c>
      <c r="AC22" s="104">
        <f>-('BS 3Q2022'!AA28+'BS 3Q2022'!AA31)*AC145</f>
        <v>-125.50158600531738</v>
      </c>
      <c r="AD22" s="104">
        <f>-('BS 3Q2022'!AC28+'BS 3Q2022'!AC31)*AD145</f>
        <v>-126.99467600531736</v>
      </c>
      <c r="AE22" s="104">
        <f>-('BS 3Q2022'!AD28+'BS 3Q2022'!AD31)*AE145</f>
        <v>-128.48518435720496</v>
      </c>
      <c r="AF22" s="104">
        <f>-('BS 3Q2022'!AE28+'BS 3Q2022'!AE31)*AF145</f>
        <v>-129.97824435720494</v>
      </c>
      <c r="AG22" s="173">
        <f t="shared" si="56"/>
        <v>-510.95969072504465</v>
      </c>
      <c r="AH22" s="104">
        <f>-('BS 3Q2022'!AF28+'BS 3Q2022'!AF31)*AH145</f>
        <v>-132.35185372800854</v>
      </c>
      <c r="AI22" s="104">
        <f>-('BS 3Q2022'!AH28+'BS 3Q2022'!AH31)*AI145</f>
        <v>-133.85491372800854</v>
      </c>
      <c r="AJ22" s="104">
        <f>-('BS 3Q2022'!AI28+'BS 3Q2022'!AI31)*AJ145</f>
        <v>-135.35797372800852</v>
      </c>
      <c r="AK22" s="104">
        <f>-('BS 3Q2022'!AJ28+'BS 3Q2022'!AJ31)*AK145</f>
        <v>-185.03454401480536</v>
      </c>
      <c r="AL22" s="173">
        <f t="shared" si="57"/>
        <v>-586.59928519883101</v>
      </c>
      <c r="AM22" s="104">
        <f>-('BS 3Q2022'!AK28+'BS 3Q2022'!AK31)*AM145</f>
        <v>-185.03454401480536</v>
      </c>
      <c r="AN22" s="104">
        <f>-('BS 3Q2022'!AM28+'BS 3Q2022'!AM31)*AN145</f>
        <v>-185.03454401480536</v>
      </c>
      <c r="AO22" s="104">
        <f>-('BS 3Q2022'!AN28+'BS 3Q2022'!AN31)*AO145</f>
        <v>-185.03454401480536</v>
      </c>
      <c r="AP22" s="104">
        <f>-('BS 3Q2022'!AO28+'BS 3Q2022'!AO31)*AP145</f>
        <v>-185.03454401480536</v>
      </c>
      <c r="AQ22" s="173">
        <f t="shared" si="58"/>
        <v>-740.13817605922145</v>
      </c>
      <c r="AR22" s="104">
        <f>-('BS 3Q2022'!AP28+'BS 3Q2022'!AP31)*AR145</f>
        <v>-185.03454401480536</v>
      </c>
      <c r="AS22" s="104">
        <f>-('BS 3Q2022'!AR28+'BS 3Q2022'!AR31)*AS145</f>
        <v>-185.03454401480536</v>
      </c>
      <c r="AT22" s="104">
        <f>-('BS 3Q2022'!AS28+'BS 3Q2022'!AS31)*AT145</f>
        <v>-185.03454401480536</v>
      </c>
      <c r="AU22" s="104">
        <f>-('BS 3Q2022'!AT28+'BS 3Q2022'!AT31)*AU145</f>
        <v>-185.03454401480536</v>
      </c>
      <c r="AV22" s="173">
        <f t="shared" si="59"/>
        <v>-740.13817605922145</v>
      </c>
    </row>
    <row r="23" spans="1:48" x14ac:dyDescent="0.3">
      <c r="B23" s="518" t="s">
        <v>11</v>
      </c>
      <c r="C23" s="519"/>
      <c r="D23" s="103">
        <f t="shared" ref="D23:AQ23" si="63">D17+D21+D22+D20</f>
        <v>965.50000000000045</v>
      </c>
      <c r="E23" s="103">
        <f t="shared" si="63"/>
        <v>819.99999999999966</v>
      </c>
      <c r="F23" s="103">
        <f t="shared" si="63"/>
        <v>1676.900000000001</v>
      </c>
      <c r="G23" s="103">
        <f t="shared" si="63"/>
        <v>1003.8000000000011</v>
      </c>
      <c r="H23" s="171">
        <f t="shared" si="63"/>
        <v>4466.2000000000053</v>
      </c>
      <c r="I23" s="103">
        <f t="shared" si="63"/>
        <v>1143.7999999999988</v>
      </c>
      <c r="J23" s="103">
        <f t="shared" si="63"/>
        <v>390.19999999999908</v>
      </c>
      <c r="K23" s="103">
        <f t="shared" si="63"/>
        <v>-811.9999999999992</v>
      </c>
      <c r="L23" s="50">
        <f t="shared" si="63"/>
        <v>442.40000000000043</v>
      </c>
      <c r="M23" s="51">
        <f t="shared" si="63"/>
        <v>1164.4000000000044</v>
      </c>
      <c r="N23" s="50">
        <f t="shared" si="63"/>
        <v>808.30000000000018</v>
      </c>
      <c r="O23" s="103">
        <f t="shared" si="63"/>
        <v>889.9</v>
      </c>
      <c r="P23" s="103">
        <f t="shared" si="63"/>
        <v>1411.2999999999988</v>
      </c>
      <c r="Q23" s="103">
        <f>Q17+Q21+Q22+Q20</f>
        <v>2247.6</v>
      </c>
      <c r="R23" s="171">
        <f t="shared" si="63"/>
        <v>5357.0999999999976</v>
      </c>
      <c r="S23" s="50">
        <f t="shared" si="63"/>
        <v>1062.4000000000001</v>
      </c>
      <c r="T23" s="50">
        <f t="shared" si="63"/>
        <v>876.10000000000014</v>
      </c>
      <c r="U23" s="50">
        <f t="shared" si="63"/>
        <v>1192.1999999999996</v>
      </c>
      <c r="V23" s="50">
        <f t="shared" si="63"/>
        <v>1008.4894794764914</v>
      </c>
      <c r="W23" s="171">
        <f t="shared" si="63"/>
        <v>4139.189479476483</v>
      </c>
      <c r="X23" s="50">
        <f t="shared" si="63"/>
        <v>1068.246148677171</v>
      </c>
      <c r="Y23" s="50">
        <f t="shared" si="63"/>
        <v>1040.9107472290532</v>
      </c>
      <c r="Z23" s="50">
        <f t="shared" si="63"/>
        <v>1342.5261407411053</v>
      </c>
      <c r="AA23" s="50">
        <f t="shared" si="63"/>
        <v>1433.2809871300897</v>
      </c>
      <c r="AB23" s="51">
        <f t="shared" si="63"/>
        <v>4884.9640237774211</v>
      </c>
      <c r="AC23" s="50">
        <f t="shared" si="63"/>
        <v>1469.9419379278079</v>
      </c>
      <c r="AD23" s="50">
        <f t="shared" si="63"/>
        <v>1210.7705336239098</v>
      </c>
      <c r="AE23" s="50">
        <f t="shared" si="63"/>
        <v>1509.8956158890942</v>
      </c>
      <c r="AF23" s="50">
        <f t="shared" si="63"/>
        <v>1491.3262293429784</v>
      </c>
      <c r="AG23" s="51">
        <f t="shared" si="63"/>
        <v>5681.9343167837924</v>
      </c>
      <c r="AH23" s="50">
        <f t="shared" si="63"/>
        <v>1731.056089449263</v>
      </c>
      <c r="AI23" s="50">
        <f t="shared" si="63"/>
        <v>1445.1049585676001</v>
      </c>
      <c r="AJ23" s="50">
        <f t="shared" si="63"/>
        <v>1854.5090142144356</v>
      </c>
      <c r="AK23" s="50">
        <f t="shared" si="63"/>
        <v>1730.388286834434</v>
      </c>
      <c r="AL23" s="51">
        <f t="shared" si="63"/>
        <v>6761.0583490657309</v>
      </c>
      <c r="AM23" s="50">
        <f t="shared" si="63"/>
        <v>1869.5730366693683</v>
      </c>
      <c r="AN23" s="50">
        <f t="shared" si="63"/>
        <v>1544.1603079396589</v>
      </c>
      <c r="AO23" s="50">
        <f t="shared" si="63"/>
        <v>1970.4245175142769</v>
      </c>
      <c r="AP23" s="50">
        <f t="shared" si="63"/>
        <v>1876.3854519545675</v>
      </c>
      <c r="AQ23" s="51">
        <f t="shared" si="63"/>
        <v>7260.5433140778732</v>
      </c>
      <c r="AR23" s="50">
        <f t="shared" ref="AR23:AV23" si="64">AR17+AR21+AR22+AR20</f>
        <v>2009.5261093880499</v>
      </c>
      <c r="AS23" s="50">
        <f t="shared" si="64"/>
        <v>1663.8408051407596</v>
      </c>
      <c r="AT23" s="50">
        <f t="shared" si="64"/>
        <v>2116.0736119627804</v>
      </c>
      <c r="AU23" s="50">
        <f t="shared" si="64"/>
        <v>2019.7347308988656</v>
      </c>
      <c r="AV23" s="51">
        <f t="shared" si="64"/>
        <v>7809.1752573904687</v>
      </c>
    </row>
    <row r="24" spans="1:48" ht="16.2" x14ac:dyDescent="0.45">
      <c r="B24" s="520" t="s">
        <v>5</v>
      </c>
      <c r="C24" s="521"/>
      <c r="D24" s="104">
        <v>205.1</v>
      </c>
      <c r="E24" s="104">
        <v>161.19999999999999</v>
      </c>
      <c r="F24" s="104">
        <v>303.7</v>
      </c>
      <c r="G24" s="104">
        <f t="shared" ref="G24" si="65">H24-F24-E24-D24</f>
        <v>201.60000000000011</v>
      </c>
      <c r="H24" s="173">
        <v>871.6</v>
      </c>
      <c r="I24" s="104">
        <v>258.5</v>
      </c>
      <c r="J24" s="104">
        <v>65.400000000000006</v>
      </c>
      <c r="K24" s="104">
        <v>-133.9</v>
      </c>
      <c r="L24" s="52">
        <v>49.7</v>
      </c>
      <c r="M24" s="53">
        <f>SUM(I24:L24)</f>
        <v>239.7</v>
      </c>
      <c r="N24" s="52">
        <v>186.1</v>
      </c>
      <c r="O24" s="104">
        <v>230.5</v>
      </c>
      <c r="P24" s="104">
        <v>257.10000000000002</v>
      </c>
      <c r="Q24" s="104">
        <v>483</v>
      </c>
      <c r="R24" s="173">
        <f>SUM(N24:Q24)</f>
        <v>1156.7</v>
      </c>
      <c r="S24" s="52">
        <v>246.3</v>
      </c>
      <c r="T24" s="52">
        <v>201.1</v>
      </c>
      <c r="U24" s="52">
        <v>278.5</v>
      </c>
      <c r="V24" s="52">
        <f>+V23*V143</f>
        <v>242.03747507435793</v>
      </c>
      <c r="W24" s="173">
        <f>SUM(S24:V24)</f>
        <v>967.93747507435796</v>
      </c>
      <c r="X24" s="52">
        <f>+X23*X143</f>
        <v>261.72030642590693</v>
      </c>
      <c r="Y24" s="52">
        <f>+Y23*Y143</f>
        <v>255.02313307111802</v>
      </c>
      <c r="Z24" s="52">
        <f>+Z23*Z143</f>
        <v>328.91890448157079</v>
      </c>
      <c r="AA24" s="52">
        <f>+AA23*AA143</f>
        <v>351.15384184687196</v>
      </c>
      <c r="AB24" s="53">
        <f>SUM(X24:AA24)</f>
        <v>1196.8161858254678</v>
      </c>
      <c r="AC24" s="52">
        <f>+AC23*AC143</f>
        <v>360.13577479231293</v>
      </c>
      <c r="AD24" s="52">
        <f>+AD23*AD143</f>
        <v>296.63878073785793</v>
      </c>
      <c r="AE24" s="52">
        <f>+AE23*AE143</f>
        <v>369.92442589282808</v>
      </c>
      <c r="AF24" s="52">
        <f>+AF23*AF143</f>
        <v>365.37492618902968</v>
      </c>
      <c r="AG24" s="53">
        <f>SUM(AC24:AF24)</f>
        <v>1392.0739076120285</v>
      </c>
      <c r="AH24" s="52">
        <f>+AH23*AH143</f>
        <v>424.10874191506946</v>
      </c>
      <c r="AI24" s="52">
        <f>+AI23*AI143</f>
        <v>354.05071484906199</v>
      </c>
      <c r="AJ24" s="52">
        <f>+AJ23*AJ143</f>
        <v>454.35470848253675</v>
      </c>
      <c r="AK24" s="52">
        <f>+AK23*AK143</f>
        <v>423.94513027443634</v>
      </c>
      <c r="AL24" s="53">
        <f>SUM(AH24:AK24)</f>
        <v>1656.4592955211047</v>
      </c>
      <c r="AM24" s="52">
        <f>+AM23*AM143</f>
        <v>458.04539398399521</v>
      </c>
      <c r="AN24" s="52">
        <f>+AN23*AN143</f>
        <v>378.31927544521642</v>
      </c>
      <c r="AO24" s="52">
        <f>+AO23*AO143</f>
        <v>482.75400679099783</v>
      </c>
      <c r="AP24" s="52">
        <f>+AP23*AP143</f>
        <v>459.71443572886903</v>
      </c>
      <c r="AQ24" s="53">
        <f>SUM(AM24:AP24)</f>
        <v>1778.8331119490786</v>
      </c>
      <c r="AR24" s="52">
        <f>+AR23*AR143</f>
        <v>492.33389680007224</v>
      </c>
      <c r="AS24" s="52">
        <f>+AS23*AS143</f>
        <v>407.64099725948608</v>
      </c>
      <c r="AT24" s="52">
        <f>+AT23*AT143</f>
        <v>518.43803493088114</v>
      </c>
      <c r="AU24" s="52">
        <f>+AU23*AU143</f>
        <v>494.83500907022204</v>
      </c>
      <c r="AV24" s="53">
        <f>SUM(AR24:AU24)</f>
        <v>1913.2479380606615</v>
      </c>
    </row>
    <row r="25" spans="1:48" x14ac:dyDescent="0.3">
      <c r="A25" s="23"/>
      <c r="B25" s="518" t="s">
        <v>39</v>
      </c>
      <c r="C25" s="519"/>
      <c r="D25" s="103">
        <f t="shared" ref="D25:AQ25" si="66">+D23-D24</f>
        <v>760.40000000000043</v>
      </c>
      <c r="E25" s="103">
        <f t="shared" si="66"/>
        <v>658.79999999999973</v>
      </c>
      <c r="F25" s="103">
        <f t="shared" si="66"/>
        <v>1373.200000000001</v>
      </c>
      <c r="G25" s="103">
        <f t="shared" si="66"/>
        <v>802.20000000000095</v>
      </c>
      <c r="H25" s="171">
        <f t="shared" si="66"/>
        <v>3594.6000000000054</v>
      </c>
      <c r="I25" s="103">
        <f t="shared" si="66"/>
        <v>885.29999999999882</v>
      </c>
      <c r="J25" s="103">
        <f t="shared" si="66"/>
        <v>324.79999999999905</v>
      </c>
      <c r="K25" s="103">
        <f t="shared" si="66"/>
        <v>-678.09999999999923</v>
      </c>
      <c r="L25" s="50">
        <f t="shared" si="66"/>
        <v>392.70000000000044</v>
      </c>
      <c r="M25" s="51">
        <f t="shared" si="66"/>
        <v>924.70000000000437</v>
      </c>
      <c r="N25" s="50">
        <f t="shared" si="66"/>
        <v>622.20000000000016</v>
      </c>
      <c r="O25" s="103">
        <f t="shared" si="66"/>
        <v>659.4</v>
      </c>
      <c r="P25" s="103">
        <f t="shared" si="66"/>
        <v>1154.1999999999989</v>
      </c>
      <c r="Q25" s="103">
        <f>+Q23-Q24</f>
        <v>1764.6</v>
      </c>
      <c r="R25" s="171">
        <f t="shared" si="66"/>
        <v>4200.3999999999978</v>
      </c>
      <c r="S25" s="50">
        <f t="shared" si="66"/>
        <v>816.10000000000014</v>
      </c>
      <c r="T25" s="50">
        <f t="shared" si="66"/>
        <v>675.00000000000011</v>
      </c>
      <c r="U25" s="50">
        <f t="shared" si="66"/>
        <v>913.69999999999959</v>
      </c>
      <c r="V25" s="50">
        <f t="shared" si="66"/>
        <v>766.45200440213353</v>
      </c>
      <c r="W25" s="171">
        <f t="shared" si="66"/>
        <v>3171.2520044021248</v>
      </c>
      <c r="X25" s="50">
        <f t="shared" si="66"/>
        <v>806.52584225126407</v>
      </c>
      <c r="Y25" s="50">
        <f t="shared" si="66"/>
        <v>785.8876141579351</v>
      </c>
      <c r="Z25" s="50">
        <f t="shared" si="66"/>
        <v>1013.6072362595346</v>
      </c>
      <c r="AA25" s="50">
        <f t="shared" si="66"/>
        <v>1082.1271452832177</v>
      </c>
      <c r="AB25" s="51">
        <f t="shared" si="66"/>
        <v>3688.1478379519531</v>
      </c>
      <c r="AC25" s="50">
        <f t="shared" si="66"/>
        <v>1109.8061631354949</v>
      </c>
      <c r="AD25" s="50">
        <f t="shared" si="66"/>
        <v>914.13175288605191</v>
      </c>
      <c r="AE25" s="50">
        <f t="shared" si="66"/>
        <v>1139.971189996266</v>
      </c>
      <c r="AF25" s="103">
        <f t="shared" si="66"/>
        <v>1125.9513031539486</v>
      </c>
      <c r="AG25" s="171">
        <f t="shared" si="66"/>
        <v>4289.8604091717643</v>
      </c>
      <c r="AH25" s="103">
        <f t="shared" si="66"/>
        <v>1306.9473475341936</v>
      </c>
      <c r="AI25" s="103">
        <f t="shared" si="66"/>
        <v>1091.0542437185381</v>
      </c>
      <c r="AJ25" s="103">
        <f t="shared" si="66"/>
        <v>1400.1543057318988</v>
      </c>
      <c r="AK25" s="103">
        <f t="shared" si="66"/>
        <v>1306.4431565599975</v>
      </c>
      <c r="AL25" s="51">
        <f t="shared" si="66"/>
        <v>5104.5990535446263</v>
      </c>
      <c r="AM25" s="103">
        <f t="shared" si="66"/>
        <v>1411.5276426853732</v>
      </c>
      <c r="AN25" s="103">
        <f t="shared" si="66"/>
        <v>1165.8410324944425</v>
      </c>
      <c r="AO25" s="103">
        <f t="shared" si="66"/>
        <v>1487.670510723279</v>
      </c>
      <c r="AP25" s="103">
        <f t="shared" si="66"/>
        <v>1416.6710162256986</v>
      </c>
      <c r="AQ25" s="51">
        <f t="shared" si="66"/>
        <v>5481.7102021287947</v>
      </c>
      <c r="AR25" s="103">
        <f t="shared" ref="AR25:AV25" si="67">+AR23-AR24</f>
        <v>1517.1922125879778</v>
      </c>
      <c r="AS25" s="103">
        <f t="shared" si="67"/>
        <v>1256.1998078812735</v>
      </c>
      <c r="AT25" s="103">
        <f t="shared" si="67"/>
        <v>1597.6355770318992</v>
      </c>
      <c r="AU25" s="103">
        <f t="shared" si="67"/>
        <v>1524.8997218286436</v>
      </c>
      <c r="AV25" s="51">
        <f t="shared" si="67"/>
        <v>5895.9273193298068</v>
      </c>
    </row>
    <row r="26" spans="1:48" ht="16.2" x14ac:dyDescent="0.45">
      <c r="A26" s="23"/>
      <c r="B26" s="210" t="s">
        <v>40</v>
      </c>
      <c r="C26" s="201"/>
      <c r="D26" s="104">
        <v>-0.2</v>
      </c>
      <c r="E26" s="104">
        <v>-4.4000000000000004</v>
      </c>
      <c r="F26" s="104">
        <v>0.4</v>
      </c>
      <c r="G26" s="104">
        <f t="shared" ref="G26" si="68">H26-F26-E26-D26</f>
        <v>-0.39999999999999963</v>
      </c>
      <c r="H26" s="173">
        <v>-4.5999999999999996</v>
      </c>
      <c r="I26" s="104">
        <v>-0.4</v>
      </c>
      <c r="J26" s="104">
        <v>-3.6</v>
      </c>
      <c r="K26" s="104">
        <v>0.3</v>
      </c>
      <c r="L26" s="104">
        <v>0.1</v>
      </c>
      <c r="M26" s="173">
        <f>SUM(I26:L26)</f>
        <v>-3.6</v>
      </c>
      <c r="N26" s="104">
        <v>0</v>
      </c>
      <c r="O26" s="104">
        <v>0</v>
      </c>
      <c r="P26" s="104">
        <v>0.8</v>
      </c>
      <c r="Q26" s="104">
        <v>0.2</v>
      </c>
      <c r="R26" s="173">
        <f>SUM(N26:Q26)</f>
        <v>1</v>
      </c>
      <c r="S26" s="104">
        <v>0.2</v>
      </c>
      <c r="T26" s="104">
        <f>AVERAGE(S26,Q26,P26,O26)</f>
        <v>0.30000000000000004</v>
      </c>
      <c r="U26" s="104">
        <v>0.8</v>
      </c>
      <c r="V26" s="104">
        <f>AVERAGE(U26,T26,S26,Q26)</f>
        <v>0.375</v>
      </c>
      <c r="W26" s="173">
        <f>SUM(S26:V26)</f>
        <v>1.675</v>
      </c>
      <c r="X26" s="104">
        <f>AVERAGE(V26,U26,T26,S26)</f>
        <v>0.41875000000000001</v>
      </c>
      <c r="Y26" s="104">
        <f>AVERAGE(X26,V26,U26,T26)</f>
        <v>0.47343750000000001</v>
      </c>
      <c r="Z26" s="104">
        <f>AVERAGE(Y26,X26,V26,U26)</f>
        <v>0.51679687500000004</v>
      </c>
      <c r="AA26" s="104">
        <f>AVERAGE(Z26,Y26,X26,V26)</f>
        <v>0.44599609374999999</v>
      </c>
      <c r="AB26" s="173">
        <f>SUM(X26:AA26)</f>
        <v>1.8549804687500002</v>
      </c>
      <c r="AC26" s="104">
        <f>AVERAGE(AA26,Z26,Y26,X26)</f>
        <v>0.4637451171875</v>
      </c>
      <c r="AD26" s="104">
        <f>AVERAGE(AC26,AA26,Z26,Y26)</f>
        <v>0.47499389648437501</v>
      </c>
      <c r="AE26" s="104">
        <f>AVERAGE(AD26,AC26,AA26,Z26)</f>
        <v>0.47538299560546876</v>
      </c>
      <c r="AF26" s="104">
        <f>AVERAGE(AE26,AD26,AC26,AA26)</f>
        <v>0.46502952575683593</v>
      </c>
      <c r="AG26" s="173">
        <f>SUM(AC26:AF26)</f>
        <v>1.8791515350341796</v>
      </c>
      <c r="AH26" s="104">
        <f>AVERAGE(AF26,AE26,AD26,AC26)</f>
        <v>0.46978788375854491</v>
      </c>
      <c r="AI26" s="104">
        <f>AVERAGE(AH26,AF26,AE26,AD26)</f>
        <v>0.47129857540130615</v>
      </c>
      <c r="AJ26" s="104">
        <f>AVERAGE(AI26,AH26,AF26,AE26)</f>
        <v>0.47037474513053895</v>
      </c>
      <c r="AK26" s="104">
        <f>AVERAGE(AJ26,AI26,AH26,AF26)</f>
        <v>0.4691226825118065</v>
      </c>
      <c r="AL26" s="53">
        <f>SUM(AH26:AK26)</f>
        <v>1.8805838868021965</v>
      </c>
      <c r="AM26" s="104">
        <f>AVERAGE(AK26,AJ26,AI26,AH26)</f>
        <v>0.47014597170054911</v>
      </c>
      <c r="AN26" s="104">
        <f>AVERAGE(AM26,AK26,AJ26,AI26)</f>
        <v>0.47023549368605017</v>
      </c>
      <c r="AO26" s="104">
        <f>AVERAGE(AN26,AM26,AK26,AJ26)</f>
        <v>0.46996972325723618</v>
      </c>
      <c r="AP26" s="104">
        <f>AVERAGE(AO26,AN26,AM26,AK26)</f>
        <v>0.4698684677889105</v>
      </c>
      <c r="AQ26" s="53">
        <f>SUM(AM26:AP26)</f>
        <v>1.880219656432746</v>
      </c>
      <c r="AR26" s="104">
        <f>AVERAGE(AP26,AO26,AN26,AM26)</f>
        <v>0.47005491410818651</v>
      </c>
      <c r="AS26" s="104">
        <f>AVERAGE(AR26,AP26,AO26,AN26)</f>
        <v>0.47003214971009583</v>
      </c>
      <c r="AT26" s="104">
        <f>AVERAGE(AS26,AR26,AP26,AO26)</f>
        <v>0.46998131371610724</v>
      </c>
      <c r="AU26" s="104">
        <f>AVERAGE(AT26,AS26,AR26,AP26)</f>
        <v>0.46998421133082502</v>
      </c>
      <c r="AV26" s="53">
        <f>SUM(AR26:AU26)</f>
        <v>1.8800525888652146</v>
      </c>
    </row>
    <row r="27" spans="1:48" s="8" customFormat="1" x14ac:dyDescent="0.3">
      <c r="A27" s="20"/>
      <c r="B27" s="209" t="s">
        <v>16</v>
      </c>
      <c r="C27" s="202"/>
      <c r="D27" s="103">
        <f t="shared" ref="D27:AQ27" si="69">+D25-D26</f>
        <v>760.60000000000048</v>
      </c>
      <c r="E27" s="103">
        <f t="shared" si="69"/>
        <v>663.1999999999997</v>
      </c>
      <c r="F27" s="103">
        <f t="shared" si="69"/>
        <v>1372.8000000000009</v>
      </c>
      <c r="G27" s="103">
        <f t="shared" si="69"/>
        <v>802.60000000000093</v>
      </c>
      <c r="H27" s="171">
        <f t="shared" si="69"/>
        <v>3599.2000000000053</v>
      </c>
      <c r="I27" s="103">
        <f t="shared" si="69"/>
        <v>885.69999999999879</v>
      </c>
      <c r="J27" s="103">
        <f t="shared" si="69"/>
        <v>328.39999999999907</v>
      </c>
      <c r="K27" s="103">
        <f t="shared" si="69"/>
        <v>-678.39999999999918</v>
      </c>
      <c r="L27" s="50">
        <f t="shared" si="69"/>
        <v>392.60000000000042</v>
      </c>
      <c r="M27" s="51">
        <f t="shared" si="69"/>
        <v>928.30000000000439</v>
      </c>
      <c r="N27" s="50">
        <f t="shared" si="69"/>
        <v>622.20000000000016</v>
      </c>
      <c r="O27" s="103">
        <f t="shared" si="69"/>
        <v>659.4</v>
      </c>
      <c r="P27" s="103">
        <f t="shared" si="69"/>
        <v>1153.399999999999</v>
      </c>
      <c r="Q27" s="103">
        <f t="shared" si="69"/>
        <v>1764.3999999999999</v>
      </c>
      <c r="R27" s="171">
        <f t="shared" si="69"/>
        <v>4199.3999999999978</v>
      </c>
      <c r="S27" s="50">
        <f t="shared" si="69"/>
        <v>815.90000000000009</v>
      </c>
      <c r="T27" s="50">
        <f t="shared" si="69"/>
        <v>674.70000000000016</v>
      </c>
      <c r="U27" s="50">
        <f t="shared" si="69"/>
        <v>912.89999999999964</v>
      </c>
      <c r="V27" s="50">
        <f t="shared" si="69"/>
        <v>766.07700440213353</v>
      </c>
      <c r="W27" s="171">
        <f t="shared" si="69"/>
        <v>3169.5770044021247</v>
      </c>
      <c r="X27" s="50">
        <f t="shared" si="69"/>
        <v>806.10709225126402</v>
      </c>
      <c r="Y27" s="50">
        <f t="shared" si="69"/>
        <v>785.41417665793506</v>
      </c>
      <c r="Z27" s="50">
        <f t="shared" si="69"/>
        <v>1013.0904393845346</v>
      </c>
      <c r="AA27" s="50">
        <f t="shared" si="69"/>
        <v>1081.6811491894678</v>
      </c>
      <c r="AB27" s="51">
        <f t="shared" si="69"/>
        <v>3686.2928574832031</v>
      </c>
      <c r="AC27" s="50">
        <f t="shared" si="69"/>
        <v>1109.3424180183074</v>
      </c>
      <c r="AD27" s="50">
        <f t="shared" si="69"/>
        <v>913.65675898956749</v>
      </c>
      <c r="AE27" s="50">
        <f t="shared" si="69"/>
        <v>1139.4958070006605</v>
      </c>
      <c r="AF27" s="50">
        <f t="shared" si="69"/>
        <v>1125.4862736281918</v>
      </c>
      <c r="AG27" s="51">
        <f t="shared" si="69"/>
        <v>4287.9812576367303</v>
      </c>
      <c r="AH27" s="50">
        <f t="shared" si="69"/>
        <v>1306.4775596504351</v>
      </c>
      <c r="AI27" s="50">
        <f t="shared" si="69"/>
        <v>1090.5829451431368</v>
      </c>
      <c r="AJ27" s="50">
        <f t="shared" si="69"/>
        <v>1399.6839309867682</v>
      </c>
      <c r="AK27" s="50">
        <f t="shared" si="69"/>
        <v>1305.9740338774857</v>
      </c>
      <c r="AL27" s="51">
        <f t="shared" si="69"/>
        <v>5102.7184696578242</v>
      </c>
      <c r="AM27" s="50">
        <f t="shared" si="69"/>
        <v>1411.0574967136727</v>
      </c>
      <c r="AN27" s="50">
        <f t="shared" si="69"/>
        <v>1165.3707970007565</v>
      </c>
      <c r="AO27" s="50">
        <f t="shared" si="69"/>
        <v>1487.2005410000218</v>
      </c>
      <c r="AP27" s="50">
        <f t="shared" si="69"/>
        <v>1416.2011477579097</v>
      </c>
      <c r="AQ27" s="51">
        <f t="shared" si="69"/>
        <v>5479.8299824723617</v>
      </c>
      <c r="AR27" s="50">
        <f t="shared" ref="AR27:AV27" si="70">+AR25-AR26</f>
        <v>1516.7221576738696</v>
      </c>
      <c r="AS27" s="50">
        <f t="shared" si="70"/>
        <v>1255.7297757315634</v>
      </c>
      <c r="AT27" s="50">
        <f t="shared" si="70"/>
        <v>1597.1655957181831</v>
      </c>
      <c r="AU27" s="50">
        <f t="shared" si="70"/>
        <v>1524.4297376173126</v>
      </c>
      <c r="AV27" s="51">
        <f t="shared" si="70"/>
        <v>5894.0472667409413</v>
      </c>
    </row>
    <row r="28" spans="1:48" s="8" customFormat="1" ht="16.2" x14ac:dyDescent="0.45">
      <c r="A28" s="20"/>
      <c r="B28" s="87" t="s">
        <v>72</v>
      </c>
      <c r="C28" s="84"/>
      <c r="D28" s="109">
        <f t="shared" ref="D28:AA28" si="71">-D171-D172</f>
        <v>41.449999999998646</v>
      </c>
      <c r="E28" s="109">
        <f t="shared" si="71"/>
        <v>-54.179999999999545</v>
      </c>
      <c r="F28" s="109">
        <f t="shared" si="71"/>
        <v>-544.16000000000076</v>
      </c>
      <c r="G28" s="109">
        <f t="shared" si="71"/>
        <v>-30</v>
      </c>
      <c r="H28" s="178">
        <f>SUM(D28:G28)</f>
        <v>-586.89000000000169</v>
      </c>
      <c r="I28" s="109">
        <f t="shared" si="71"/>
        <v>-11</v>
      </c>
      <c r="J28" s="109">
        <f t="shared" si="71"/>
        <v>-23</v>
      </c>
      <c r="K28" s="109">
        <f t="shared" si="71"/>
        <v>-35.055</v>
      </c>
      <c r="L28" s="91">
        <f>-L171-L172</f>
        <v>-50.810000000000372</v>
      </c>
      <c r="M28" s="92">
        <f>SUM(I28:L28)</f>
        <v>-119.86500000000038</v>
      </c>
      <c r="N28" s="109">
        <f t="shared" si="71"/>
        <v>-35.49</v>
      </c>
      <c r="O28" s="109">
        <f t="shared" si="71"/>
        <v>-11.847999999999999</v>
      </c>
      <c r="P28" s="109">
        <f t="shared" si="71"/>
        <v>-11.862</v>
      </c>
      <c r="Q28" s="109">
        <f t="shared" si="71"/>
        <v>-696.10940000000005</v>
      </c>
      <c r="R28" s="178">
        <f>SUM(N28:Q28)</f>
        <v>-755.3094000000001</v>
      </c>
      <c r="S28" s="91">
        <f t="shared" si="71"/>
        <v>-3.9480000000003299</v>
      </c>
      <c r="T28" s="91">
        <f t="shared" si="71"/>
        <v>-46.156000000000006</v>
      </c>
      <c r="U28" s="91">
        <f t="shared" si="71"/>
        <v>-23.02</v>
      </c>
      <c r="V28" s="91">
        <f t="shared" si="71"/>
        <v>-33.861677419354834</v>
      </c>
      <c r="W28" s="178">
        <f>SUM(S28:V28)</f>
        <v>-106.98567741935517</v>
      </c>
      <c r="X28" s="91">
        <f t="shared" si="71"/>
        <v>-33.861677419354834</v>
      </c>
      <c r="Y28" s="91">
        <f t="shared" si="71"/>
        <v>-19.010064516129031</v>
      </c>
      <c r="Z28" s="91">
        <f t="shared" si="71"/>
        <v>-19.010064516129031</v>
      </c>
      <c r="AA28" s="91">
        <f t="shared" si="71"/>
        <v>-19.010064516129031</v>
      </c>
      <c r="AB28" s="92">
        <f>SUM(X28:AA28)</f>
        <v>-90.891870967741937</v>
      </c>
      <c r="AC28" s="91">
        <f t="shared" ref="AC28:AF28" si="72">-AC171-AC172</f>
        <v>-19.010064516129031</v>
      </c>
      <c r="AD28" s="91">
        <f t="shared" si="72"/>
        <v>-19.010064516129031</v>
      </c>
      <c r="AE28" s="91">
        <f t="shared" si="72"/>
        <v>-19.010064516129031</v>
      </c>
      <c r="AF28" s="91">
        <f t="shared" si="72"/>
        <v>-19.010064516129031</v>
      </c>
      <c r="AG28" s="92">
        <f>SUM(AC28:AF28)</f>
        <v>-76.040258064516124</v>
      </c>
      <c r="AH28" s="91">
        <f t="shared" ref="AH28:AK28" si="73">-AH171-AH172</f>
        <v>-19.010064516129031</v>
      </c>
      <c r="AI28" s="91">
        <f t="shared" si="73"/>
        <v>-19.010064516129031</v>
      </c>
      <c r="AJ28" s="91">
        <f t="shared" si="73"/>
        <v>-19.010064516129031</v>
      </c>
      <c r="AK28" s="91">
        <f t="shared" si="73"/>
        <v>-19.010064516129031</v>
      </c>
      <c r="AL28" s="92">
        <f>SUM(AH28:AK28)</f>
        <v>-76.040258064516124</v>
      </c>
      <c r="AM28" s="91">
        <f t="shared" ref="AM28:AP28" si="74">-AM171-AM172</f>
        <v>-19.010064516129031</v>
      </c>
      <c r="AN28" s="91">
        <f t="shared" si="74"/>
        <v>-19.010064516129031</v>
      </c>
      <c r="AO28" s="91">
        <f t="shared" si="74"/>
        <v>-19.010064516129031</v>
      </c>
      <c r="AP28" s="91">
        <f t="shared" si="74"/>
        <v>-19.010064516129031</v>
      </c>
      <c r="AQ28" s="92">
        <f>SUM(AM28:AP28)</f>
        <v>-76.040258064516124</v>
      </c>
      <c r="AR28" s="91">
        <f t="shared" ref="AR28:AU28" si="75">-AR171-AR172</f>
        <v>-19.010064516129031</v>
      </c>
      <c r="AS28" s="91">
        <f t="shared" si="75"/>
        <v>-19.010064516129031</v>
      </c>
      <c r="AT28" s="91">
        <f t="shared" si="75"/>
        <v>-19.010064516129031</v>
      </c>
      <c r="AU28" s="91">
        <f t="shared" si="75"/>
        <v>-19.010064516129031</v>
      </c>
      <c r="AV28" s="92">
        <f>SUM(AR28:AU28)</f>
        <v>-76.040258064516124</v>
      </c>
    </row>
    <row r="29" spans="1:48" s="8" customFormat="1" x14ac:dyDescent="0.3">
      <c r="A29" s="20"/>
      <c r="B29" s="85" t="s">
        <v>73</v>
      </c>
      <c r="C29" s="86"/>
      <c r="D29" s="108">
        <f t="shared" ref="D29:AQ29" si="76">+D19+D20+D21+D22-D24-D26+D28</f>
        <v>940.04999999999916</v>
      </c>
      <c r="E29" s="108">
        <f t="shared" si="76"/>
        <v>750.42000000000007</v>
      </c>
      <c r="F29" s="108">
        <f t="shared" si="76"/>
        <v>953.94</v>
      </c>
      <c r="G29" s="108">
        <f t="shared" si="76"/>
        <v>850.00000000000102</v>
      </c>
      <c r="H29" s="177">
        <f t="shared" si="76"/>
        <v>3494.4100000000039</v>
      </c>
      <c r="I29" s="108">
        <f t="shared" si="76"/>
        <v>946.2999999999987</v>
      </c>
      <c r="J29" s="108">
        <f t="shared" si="76"/>
        <v>372.19999999999902</v>
      </c>
      <c r="K29" s="108">
        <f t="shared" si="76"/>
        <v>-539.7749999999993</v>
      </c>
      <c r="L29" s="80">
        <f>+L19+L20+L21+L22-L24-L26+L28</f>
        <v>601.29</v>
      </c>
      <c r="M29" s="81">
        <f t="shared" si="76"/>
        <v>1380.0150000000035</v>
      </c>
      <c r="N29" s="108">
        <f t="shared" si="76"/>
        <v>721.61000000000024</v>
      </c>
      <c r="O29" s="108">
        <f t="shared" si="76"/>
        <v>735.75199999999995</v>
      </c>
      <c r="P29" s="108">
        <f t="shared" si="76"/>
        <v>1193.2379999999987</v>
      </c>
      <c r="Q29" s="108">
        <f t="shared" si="76"/>
        <v>1183.4905999999996</v>
      </c>
      <c r="R29" s="177">
        <f t="shared" si="76"/>
        <v>3834.0905999999977</v>
      </c>
      <c r="S29" s="80">
        <f t="shared" si="76"/>
        <v>847.15199999999982</v>
      </c>
      <c r="T29" s="80">
        <f t="shared" si="76"/>
        <v>676.04400000000032</v>
      </c>
      <c r="U29" s="80">
        <f t="shared" si="76"/>
        <v>967.37999999999965</v>
      </c>
      <c r="V29" s="80">
        <f t="shared" si="76"/>
        <v>846.21532698277872</v>
      </c>
      <c r="W29" s="177">
        <f t="shared" si="76"/>
        <v>3336.7913269827695</v>
      </c>
      <c r="X29" s="80">
        <f t="shared" si="76"/>
        <v>886.24541483190922</v>
      </c>
      <c r="Y29" s="80">
        <f t="shared" si="76"/>
        <v>830.40411214180608</v>
      </c>
      <c r="Z29" s="80">
        <f t="shared" si="76"/>
        <v>1058.0803748684057</v>
      </c>
      <c r="AA29" s="80">
        <f t="shared" si="76"/>
        <v>1126.6710846733388</v>
      </c>
      <c r="AB29" s="81">
        <f t="shared" si="76"/>
        <v>3901.4009865154612</v>
      </c>
      <c r="AC29" s="80">
        <f t="shared" si="76"/>
        <v>1154.3323535021784</v>
      </c>
      <c r="AD29" s="80">
        <f t="shared" si="76"/>
        <v>958.64669447343852</v>
      </c>
      <c r="AE29" s="80">
        <f t="shared" si="76"/>
        <v>1184.4857424845316</v>
      </c>
      <c r="AF29" s="80">
        <f t="shared" si="76"/>
        <v>1170.4762091120629</v>
      </c>
      <c r="AG29" s="81">
        <f t="shared" si="76"/>
        <v>4467.9409995722144</v>
      </c>
      <c r="AH29" s="80">
        <f t="shared" si="76"/>
        <v>1351.4674951343061</v>
      </c>
      <c r="AI29" s="80">
        <f t="shared" si="76"/>
        <v>1135.5728806270079</v>
      </c>
      <c r="AJ29" s="80">
        <f t="shared" si="76"/>
        <v>1444.6738664706393</v>
      </c>
      <c r="AK29" s="80">
        <f t="shared" si="76"/>
        <v>1350.9639693613567</v>
      </c>
      <c r="AL29" s="81">
        <f t="shared" si="76"/>
        <v>5282.6782115933083</v>
      </c>
      <c r="AM29" s="80">
        <f t="shared" si="76"/>
        <v>1456.0474321975437</v>
      </c>
      <c r="AN29" s="80">
        <f t="shared" si="76"/>
        <v>1210.3607324846275</v>
      </c>
      <c r="AO29" s="80">
        <f t="shared" si="76"/>
        <v>1532.1904764838928</v>
      </c>
      <c r="AP29" s="80">
        <f t="shared" si="76"/>
        <v>1461.1910832417802</v>
      </c>
      <c r="AQ29" s="81">
        <f t="shared" si="76"/>
        <v>5659.7897244078458</v>
      </c>
      <c r="AR29" s="80">
        <f t="shared" ref="AR29:AV29" si="77">+AR19+AR20+AR21+AR22-AR24-AR26+AR28</f>
        <v>1561.7120931577406</v>
      </c>
      <c r="AS29" s="80">
        <f t="shared" si="77"/>
        <v>1300.7197112154345</v>
      </c>
      <c r="AT29" s="80">
        <f t="shared" si="77"/>
        <v>1642.1555312020541</v>
      </c>
      <c r="AU29" s="80">
        <f t="shared" si="77"/>
        <v>1569.4196731011837</v>
      </c>
      <c r="AV29" s="81">
        <f t="shared" si="77"/>
        <v>6074.0070086764254</v>
      </c>
    </row>
    <row r="30" spans="1:48" x14ac:dyDescent="0.3">
      <c r="B30" s="486" t="s">
        <v>0</v>
      </c>
      <c r="C30" s="487"/>
      <c r="D30" s="101">
        <v>1242</v>
      </c>
      <c r="E30" s="101">
        <v>1239.2</v>
      </c>
      <c r="F30" s="101">
        <v>1211</v>
      </c>
      <c r="G30" s="101">
        <v>1210.7904210526317</v>
      </c>
      <c r="H30" s="169">
        <v>1221.2</v>
      </c>
      <c r="I30" s="101">
        <v>1180.4000000000001</v>
      </c>
      <c r="J30" s="101">
        <v>1171.8</v>
      </c>
      <c r="K30" s="101">
        <v>1168.5</v>
      </c>
      <c r="L30" s="101">
        <v>1167.3874645009873</v>
      </c>
      <c r="M30" s="17">
        <f>+(I27/M27*I30)+(J27/M27*J30)+(K27/M27*K30)+(L27/M27*L30)</f>
        <v>1180.550811766758</v>
      </c>
      <c r="N30" s="101">
        <v>1175</v>
      </c>
      <c r="O30" s="101">
        <v>1177.5</v>
      </c>
      <c r="P30" s="101">
        <v>1178.5</v>
      </c>
      <c r="Q30" s="101">
        <v>1179.5008492569002</v>
      </c>
      <c r="R30" s="169">
        <f>+(N27/R27*N30)+(O27/R27*O30)+(P27/R27*P30)+(Q27/R27*Q30)</f>
        <v>1178.2449155662418</v>
      </c>
      <c r="S30" s="16">
        <v>1169.5999999999999</v>
      </c>
      <c r="T30" s="16">
        <v>1149.2</v>
      </c>
      <c r="U30" s="16">
        <v>1147</v>
      </c>
      <c r="V30" s="16">
        <f>U30*(1+V151)-V155-V158-V161</f>
        <v>1149.2940000000001</v>
      </c>
      <c r="W30" s="169">
        <f>+(S27/W27*S30)+(T27/W27*T30)+(U27/W27*U30)+(V27/W27*V30)</f>
        <v>1153.840364066876</v>
      </c>
      <c r="X30" s="16">
        <f>V30*(1+X151)-X155-X158-X161</f>
        <v>1151.5925880000002</v>
      </c>
      <c r="Y30" s="16">
        <f>X30*(1+Y151)-Y155-Y158-Y161</f>
        <v>1153.8957731760001</v>
      </c>
      <c r="Z30" s="16">
        <f>Y30*(1+Z151)-Z155-Z158-Z161</f>
        <v>1156.2035647223522</v>
      </c>
      <c r="AA30" s="16">
        <f>Z30*(1+AA151)-AA155-AA158-AA161</f>
        <v>1158.5159718517968</v>
      </c>
      <c r="AB30" s="17">
        <f>+(X27/AB27*X30)+(Y27/AB27*Y30)+(Z27/AB27*Z30)+(AA27/AB27*AA30)</f>
        <v>1155.382081961412</v>
      </c>
      <c r="AC30" s="16">
        <f>AA30*(1+AC151)-AC155-AC158-AC161</f>
        <v>1160.8330037955004</v>
      </c>
      <c r="AD30" s="16">
        <f>AC30*(1+AD151)-AD155-AD158-AD161</f>
        <v>1163.1546698030913</v>
      </c>
      <c r="AE30" s="16">
        <f>AD30*(1+AE151)-AE155-AE158-AE161</f>
        <v>1164.5668652818176</v>
      </c>
      <c r="AF30" s="16">
        <f>AE30*(1+AF151)-AF155-AF158-AF161</f>
        <v>1165.9818851515013</v>
      </c>
      <c r="AG30" s="17">
        <f>+(AC27/AG27*AC30)+(AD27/AG27*AD30)+(AE27/AG27*AE30)+(AF27/AG27*AF30)</f>
        <v>1163.6713838878973</v>
      </c>
      <c r="AH30" s="16">
        <f>AF30*(1+AH151)-AH155-AH158-AH161</f>
        <v>1167.4432642923948</v>
      </c>
      <c r="AI30" s="16">
        <f>AH30*(1+AI151)-AI155-AI158-AI161</f>
        <v>1168.9075661915701</v>
      </c>
      <c r="AJ30" s="16">
        <f>AI30*(1+AJ151)-AJ155-AJ158-AJ161</f>
        <v>1126.0568296284789</v>
      </c>
      <c r="AK30" s="16">
        <f>AJ30*(1+AK151)-AK155-AK158-AK161</f>
        <v>1083.1203915922615</v>
      </c>
      <c r="AL30" s="17">
        <f>+(AH27/AL27*AH30)+(AI27/AL27*AI30)+(AJ27/AL27*AJ30)+(AK27/AL27*AK30)</f>
        <v>1134.8225214314575</v>
      </c>
      <c r="AM30" s="16">
        <f>AK30*(1+AM151)-AM155-AM158-AM161</f>
        <v>1083.198343019187</v>
      </c>
      <c r="AN30" s="16">
        <f>AM30*(1+AN151)-AN155-AN158-AN161</f>
        <v>1083.2764503489661</v>
      </c>
      <c r="AO30" s="16">
        <f>AN30*(1+AO151)-AO155-AO158-AO161</f>
        <v>1083.354713893405</v>
      </c>
      <c r="AP30" s="16">
        <f>AO30*(1+AP151)-AP155-AP158-AP161</f>
        <v>1083.4331339649327</v>
      </c>
      <c r="AQ30" s="17">
        <f>+(AM27/AQ27*AM30)+(AN27/AQ27*AN30)+(AO27/AQ27*AO30)+(AP27/AQ27*AP30)</f>
        <v>1083.3180711966736</v>
      </c>
      <c r="AR30" s="16">
        <f>AP30*(1+AR151)-AR155-AR158-AR161</f>
        <v>1083.552657726726</v>
      </c>
      <c r="AS30" s="16">
        <f>AR30*(1+AS151)-AS155-AS158-AS161</f>
        <v>1083.6724205360429</v>
      </c>
      <c r="AT30" s="16">
        <f>AS30*(1+AT151)-AT155-AT158-AT161</f>
        <v>1083.7924228709783</v>
      </c>
      <c r="AU30" s="16">
        <f>AT30*(1+AU151)-AU155-AU158-AU161</f>
        <v>1083.9126652105836</v>
      </c>
      <c r="AV30" s="17">
        <f>+(AR27/AV27*AR30)+(AS27/AV27*AS30)+(AT27/AV27*AT30)+(AU27/AV27*AU30)</f>
        <v>1083.7362566071399</v>
      </c>
    </row>
    <row r="31" spans="1:48" ht="15.75" customHeight="1" x14ac:dyDescent="0.3">
      <c r="B31" s="486" t="s">
        <v>1</v>
      </c>
      <c r="C31" s="487"/>
      <c r="D31" s="101">
        <v>1253.4000000000001</v>
      </c>
      <c r="E31" s="101">
        <v>1250.7</v>
      </c>
      <c r="F31" s="101">
        <v>1223</v>
      </c>
      <c r="G31" s="101">
        <v>1222.8144210526316</v>
      </c>
      <c r="H31" s="169">
        <v>1233.2</v>
      </c>
      <c r="I31" s="101">
        <v>1191</v>
      </c>
      <c r="J31" s="101">
        <v>1180.7</v>
      </c>
      <c r="K31" s="101">
        <v>1168.5</v>
      </c>
      <c r="L31" s="101">
        <v>1179</v>
      </c>
      <c r="M31" s="17">
        <f>+(I27/M27*I31)+(J27/M27*J31)+(K27/M27*K31)+(L27/M27*L31)</f>
        <v>1198.7240978132002</v>
      </c>
      <c r="N31" s="101">
        <v>1183</v>
      </c>
      <c r="O31" s="101">
        <v>1184.8</v>
      </c>
      <c r="P31" s="101">
        <v>1186.2</v>
      </c>
      <c r="Q31" s="101">
        <v>1187.9000000000001</v>
      </c>
      <c r="R31" s="169">
        <f>+(N27/R27*N31)+(O27/R27*O31)+(P27/R27*P31)+(Q27/R27*Q31)</f>
        <v>1186.2203076629999</v>
      </c>
      <c r="S31" s="16">
        <v>1176.5999999999999</v>
      </c>
      <c r="T31" s="16">
        <v>1153.9000000000001</v>
      </c>
      <c r="U31" s="16">
        <v>1151</v>
      </c>
      <c r="V31" s="16">
        <f>U31*(1+V152)-V155-V158-V161</f>
        <v>1152.1509999999998</v>
      </c>
      <c r="W31" s="169">
        <f>+(S27/W27*S31)+(T27/W27*T31)+(U27/W27*U31)+(V27/W27*V31)</f>
        <v>1158.4853599073713</v>
      </c>
      <c r="X31" s="16">
        <f>V31*(1+X152)-X155-X158-X161</f>
        <v>1153.3031509999996</v>
      </c>
      <c r="Y31" s="16">
        <f>X31*(1+Y152)-Y155-Y158-Y161</f>
        <v>1154.4564541509994</v>
      </c>
      <c r="Z31" s="16">
        <f>Y31*(1+Z152)-Z155-Z158-Z161</f>
        <v>1155.6109106051504</v>
      </c>
      <c r="AA31" s="16">
        <f>Z31*(1+AA152)-AA155-AA158-AA161</f>
        <v>1156.7665215157554</v>
      </c>
      <c r="AB31" s="17">
        <f>+(X27/AB27*X31)+(Y27/AB27*Y31)+(Z27/AB27*Z31)+(AA27/AB27*AA31)</f>
        <v>1155.1993791910168</v>
      </c>
      <c r="AC31" s="16">
        <f>AA31*(1+AC152)-AC155-AC158-AC161</f>
        <v>1157.923288037271</v>
      </c>
      <c r="AD31" s="16">
        <f>AC31*(1+AD152)-AD155-AD158-AD161</f>
        <v>1159.0812113253082</v>
      </c>
      <c r="AE31" s="16">
        <f>AD31*(1+AE152)-AE155-AE158-AE161</f>
        <v>1159.3261786757535</v>
      </c>
      <c r="AF31" s="16">
        <f>AE31*(1+AF152)-AF155-AF158-AF161</f>
        <v>1159.5713909935491</v>
      </c>
      <c r="AG31" s="17">
        <f>+(AC27/AG27*AC31)+(AD27/AG27*AD31)+(AE27/AG27*AE31)+(AF27/AG27*AF31)</f>
        <v>1158.9754031055252</v>
      </c>
      <c r="AH31" s="16">
        <f>AF31*(1+AH152)-AH155-AH158-AH161</f>
        <v>1159.8603777551332</v>
      </c>
      <c r="AI31" s="16">
        <f>AH31*(1+AI152)-AI155-AI158-AI161</f>
        <v>1160.1496535034787</v>
      </c>
      <c r="AJ31" s="16">
        <f>AI31*(1+AJ152)-AJ155-AJ158-AJ161</f>
        <v>1116.1212514615077</v>
      </c>
      <c r="AK31" s="16">
        <f>AJ31*(1+AK152)-AK155-AK158-AK161</f>
        <v>1072.0488210174947</v>
      </c>
      <c r="AL31" s="17">
        <f>+(AH27/AL27*AH31)+(AI27/AL27*AI31)+(AJ27/AL27*AJ31)+(AK27/AL27*AK31)</f>
        <v>1125.4502712503768</v>
      </c>
      <c r="AM31" s="16">
        <f>AK31*(1+AM152)-AM155-AM158-AM161</f>
        <v>1071.032580482253</v>
      </c>
      <c r="AN31" s="16">
        <f>AM31*(1+AN152)-AN155-AN158-AN161</f>
        <v>1070.015323706476</v>
      </c>
      <c r="AO31" s="16">
        <f>AN31*(1+AO152)-AO155-AO158-AO161</f>
        <v>1068.9970496739234</v>
      </c>
      <c r="AP31" s="16">
        <f>AO31*(1+AP152)-AP155-AP158-AP161</f>
        <v>1067.977757367338</v>
      </c>
      <c r="AQ31" s="17">
        <f>+(AM27/AQ27*AM31)+(AN27/AQ27*AN31)+(AO27/AQ27*AO31)+(AP27/AQ27*AP31)</f>
        <v>1069.4743263233165</v>
      </c>
      <c r="AR31" s="16">
        <f>AP31*(1+AR152)-AR155-AR158-AR161</f>
        <v>1066.9983926185687</v>
      </c>
      <c r="AS31" s="16">
        <f>AR31*(1+AS152)-AS155-AS158-AS161</f>
        <v>1066.0180485050505</v>
      </c>
      <c r="AT31" s="16">
        <f>AS31*(1+AT152)-AT155-AT158-AT161</f>
        <v>1065.0367240474188</v>
      </c>
      <c r="AU31" s="16">
        <f>AT31*(1+AU152)-AU155-AU158-AU161</f>
        <v>1064.0544182653296</v>
      </c>
      <c r="AV31" s="17">
        <f>+(AR27/AV27*AR31)+(AS27/AV27*AS31)+(AT27/AV27*AT31)+(AU27/AV27*AU31)</f>
        <v>1065.4965317586</v>
      </c>
    </row>
    <row r="32" spans="1:48" ht="15.75" customHeight="1" x14ac:dyDescent="0.3">
      <c r="B32" s="500" t="s">
        <v>6</v>
      </c>
      <c r="C32" s="501"/>
      <c r="D32" s="110">
        <f t="shared" ref="D32:AQ32" si="78">D27/D30</f>
        <v>0.61239935587761718</v>
      </c>
      <c r="E32" s="110">
        <f t="shared" si="78"/>
        <v>0.53518398967075509</v>
      </c>
      <c r="F32" s="110">
        <f t="shared" si="78"/>
        <v>1.1336085879438487</v>
      </c>
      <c r="G32" s="110">
        <f t="shared" si="78"/>
        <v>0.66287276975832043</v>
      </c>
      <c r="H32" s="174">
        <f t="shared" si="78"/>
        <v>2.947264985260404</v>
      </c>
      <c r="I32" s="110">
        <f t="shared" si="78"/>
        <v>0.75033886818027684</v>
      </c>
      <c r="J32" s="110">
        <f t="shared" si="78"/>
        <v>0.28025260283324721</v>
      </c>
      <c r="K32" s="110">
        <f t="shared" si="78"/>
        <v>-0.58057338468121455</v>
      </c>
      <c r="L32" s="110">
        <f t="shared" si="78"/>
        <v>0.3363065065700544</v>
      </c>
      <c r="M32" s="25">
        <f t="shared" si="78"/>
        <v>0.78632786555858059</v>
      </c>
      <c r="N32" s="110">
        <f t="shared" si="78"/>
        <v>0.52953191489361717</v>
      </c>
      <c r="O32" s="110">
        <f t="shared" si="78"/>
        <v>0.55999999999999994</v>
      </c>
      <c r="P32" s="110">
        <f t="shared" si="78"/>
        <v>0.97870173949936268</v>
      </c>
      <c r="Q32" s="110">
        <f t="shared" si="78"/>
        <v>1.495887011112873</v>
      </c>
      <c r="R32" s="174">
        <f t="shared" si="78"/>
        <v>3.5641146798260079</v>
      </c>
      <c r="S32" s="24">
        <f t="shared" si="78"/>
        <v>0.69758891928864586</v>
      </c>
      <c r="T32" s="24">
        <f t="shared" si="78"/>
        <v>0.58710407239819018</v>
      </c>
      <c r="U32" s="24">
        <f t="shared" si="78"/>
        <v>0.79590235396686981</v>
      </c>
      <c r="V32" s="24">
        <f t="shared" si="78"/>
        <v>0.6665631286704129</v>
      </c>
      <c r="W32" s="174">
        <f t="shared" si="78"/>
        <v>2.7469805209712854</v>
      </c>
      <c r="X32" s="24">
        <f t="shared" si="78"/>
        <v>0.69999329680581779</v>
      </c>
      <c r="Y32" s="24">
        <f t="shared" si="78"/>
        <v>0.68066301559988318</v>
      </c>
      <c r="Z32" s="24">
        <f t="shared" si="78"/>
        <v>0.87622151522064851</v>
      </c>
      <c r="AA32" s="24">
        <f t="shared" si="78"/>
        <v>0.93367823618390455</v>
      </c>
      <c r="AB32" s="25">
        <f t="shared" si="78"/>
        <v>3.190540094948711</v>
      </c>
      <c r="AC32" s="24">
        <f t="shared" si="78"/>
        <v>0.95564341674570108</v>
      </c>
      <c r="AD32" s="24">
        <f t="shared" si="78"/>
        <v>0.78549893897106482</v>
      </c>
      <c r="AE32" s="24">
        <f t="shared" si="78"/>
        <v>0.97847177433209032</v>
      </c>
      <c r="AF32" s="24">
        <f t="shared" si="78"/>
        <v>0.96526909033578367</v>
      </c>
      <c r="AG32" s="25">
        <f t="shared" si="78"/>
        <v>3.6848729950807271</v>
      </c>
      <c r="AH32" s="24">
        <f t="shared" si="78"/>
        <v>1.1190929783147201</v>
      </c>
      <c r="AI32" s="24">
        <f t="shared" si="78"/>
        <v>0.9329933150286438</v>
      </c>
      <c r="AJ32" s="24">
        <f t="shared" si="78"/>
        <v>1.2429958188243193</v>
      </c>
      <c r="AK32" s="24">
        <f t="shared" si="78"/>
        <v>1.205751497262104</v>
      </c>
      <c r="AL32" s="25">
        <f t="shared" si="78"/>
        <v>4.496490308653101</v>
      </c>
      <c r="AM32" s="24">
        <f t="shared" si="78"/>
        <v>1.3026769342913205</v>
      </c>
      <c r="AN32" s="24">
        <f t="shared" si="78"/>
        <v>1.0757833760951274</v>
      </c>
      <c r="AO32" s="24">
        <f t="shared" si="78"/>
        <v>1.37277340646376</v>
      </c>
      <c r="AP32" s="24">
        <f t="shared" si="78"/>
        <v>1.3071421792087703</v>
      </c>
      <c r="AQ32" s="25">
        <f t="shared" si="78"/>
        <v>5.0583758622425057</v>
      </c>
      <c r="AR32" s="24">
        <f t="shared" ref="AR32:AV32" si="79">AR27/AR30</f>
        <v>1.3997678348700886</v>
      </c>
      <c r="AS32" s="24">
        <f t="shared" si="79"/>
        <v>1.1587724776740298</v>
      </c>
      <c r="AT32" s="24">
        <f t="shared" si="79"/>
        <v>1.4736821941301947</v>
      </c>
      <c r="AU32" s="24">
        <f t="shared" si="79"/>
        <v>1.406413806707522</v>
      </c>
      <c r="AV32" s="25">
        <f t="shared" si="79"/>
        <v>5.4386362279633174</v>
      </c>
    </row>
    <row r="33" spans="2:48" x14ac:dyDescent="0.3">
      <c r="B33" s="500" t="s">
        <v>7</v>
      </c>
      <c r="C33" s="501"/>
      <c r="D33" s="110">
        <f t="shared" ref="D33:AQ33" si="80">D27/D31</f>
        <v>0.60682942396681061</v>
      </c>
      <c r="E33" s="110">
        <f t="shared" si="80"/>
        <v>0.53026305269049312</v>
      </c>
      <c r="F33" s="110">
        <f t="shared" si="80"/>
        <v>1.1224856909239582</v>
      </c>
      <c r="G33" s="110">
        <f t="shared" si="80"/>
        <v>0.65635470614510849</v>
      </c>
      <c r="H33" s="174">
        <f t="shared" si="80"/>
        <v>2.9185857930587131</v>
      </c>
      <c r="I33" s="110">
        <f t="shared" si="80"/>
        <v>0.74366078925272783</v>
      </c>
      <c r="J33" s="110">
        <f t="shared" si="80"/>
        <v>0.27814008638942922</v>
      </c>
      <c r="K33" s="110">
        <f t="shared" si="80"/>
        <v>-0.58057338468121455</v>
      </c>
      <c r="L33" s="110">
        <f t="shared" si="80"/>
        <v>0.3329940627650555</v>
      </c>
      <c r="M33" s="174">
        <f t="shared" si="80"/>
        <v>0.7744067226924668</v>
      </c>
      <c r="N33" s="110">
        <f t="shared" si="80"/>
        <v>0.52595097210481845</v>
      </c>
      <c r="O33" s="110">
        <f t="shared" si="80"/>
        <v>0.55654962862930457</v>
      </c>
      <c r="P33" s="110">
        <f t="shared" si="80"/>
        <v>0.97234867644579237</v>
      </c>
      <c r="Q33" s="110">
        <f t="shared" si="80"/>
        <v>1.4853102112972469</v>
      </c>
      <c r="R33" s="174">
        <f t="shared" si="80"/>
        <v>3.5401518359379072</v>
      </c>
      <c r="S33" s="24">
        <f t="shared" si="80"/>
        <v>0.69343872174060861</v>
      </c>
      <c r="T33" s="24">
        <f t="shared" si="80"/>
        <v>0.58471271340670783</v>
      </c>
      <c r="U33" s="24">
        <f t="shared" si="80"/>
        <v>0.79313640312771472</v>
      </c>
      <c r="V33" s="24">
        <f t="shared" si="80"/>
        <v>0.66491024562069867</v>
      </c>
      <c r="W33" s="174">
        <f t="shared" si="80"/>
        <v>2.7359663868825703</v>
      </c>
      <c r="X33" s="24">
        <f t="shared" si="80"/>
        <v>0.69895507660089995</v>
      </c>
      <c r="Y33" s="24">
        <f t="shared" si="80"/>
        <v>0.68033244028726725</v>
      </c>
      <c r="Z33" s="24">
        <f t="shared" si="80"/>
        <v>0.87667088471327859</v>
      </c>
      <c r="AA33" s="24">
        <f t="shared" si="80"/>
        <v>0.93509029615768935</v>
      </c>
      <c r="AB33" s="25">
        <f t="shared" si="80"/>
        <v>3.1910447009283409</v>
      </c>
      <c r="AC33" s="24">
        <f t="shared" si="80"/>
        <v>0.95804482859887008</v>
      </c>
      <c r="AD33" s="24">
        <f t="shared" si="80"/>
        <v>0.78825948523907197</v>
      </c>
      <c r="AE33" s="24">
        <f t="shared" si="80"/>
        <v>0.98289491599530321</v>
      </c>
      <c r="AF33" s="24">
        <f t="shared" si="80"/>
        <v>0.97060541711351445</v>
      </c>
      <c r="AG33" s="25">
        <f t="shared" si="80"/>
        <v>3.6998035041528037</v>
      </c>
      <c r="AH33" s="24">
        <f t="shared" si="80"/>
        <v>1.1264093374575601</v>
      </c>
      <c r="AI33" s="24">
        <f t="shared" si="80"/>
        <v>0.94003643568718842</v>
      </c>
      <c r="AJ33" s="24">
        <f t="shared" si="80"/>
        <v>1.2540608192469669</v>
      </c>
      <c r="AK33" s="24">
        <f t="shared" si="80"/>
        <v>1.2182038805266067</v>
      </c>
      <c r="AL33" s="25">
        <f t="shared" si="80"/>
        <v>4.5339350835898751</v>
      </c>
      <c r="AM33" s="24">
        <f t="shared" si="80"/>
        <v>1.3174739241623414</v>
      </c>
      <c r="AN33" s="24">
        <f t="shared" si="80"/>
        <v>1.0891159885112431</v>
      </c>
      <c r="AO33" s="24">
        <f t="shared" si="80"/>
        <v>1.3912110809413958</v>
      </c>
      <c r="AP33" s="24">
        <f t="shared" si="80"/>
        <v>1.3260586543009789</v>
      </c>
      <c r="AQ33" s="25">
        <f t="shared" si="80"/>
        <v>5.1238536985840044</v>
      </c>
      <c r="AR33" s="24">
        <f t="shared" ref="AR33:AV33" si="81">AR27/AR31</f>
        <v>1.421484950836349</v>
      </c>
      <c r="AS33" s="24">
        <f t="shared" si="81"/>
        <v>1.1779629599072536</v>
      </c>
      <c r="AT33" s="24">
        <f t="shared" si="81"/>
        <v>1.4996342939692586</v>
      </c>
      <c r="AU33" s="24">
        <f t="shared" si="81"/>
        <v>1.4326614423560291</v>
      </c>
      <c r="AV33" s="25">
        <f t="shared" si="81"/>
        <v>5.5317376369239115</v>
      </c>
    </row>
    <row r="34" spans="2:48" x14ac:dyDescent="0.3">
      <c r="B34" s="93" t="s">
        <v>74</v>
      </c>
      <c r="C34" s="100"/>
      <c r="D34" s="111">
        <f t="shared" ref="D34:AQ34" si="82">+D29/D31</f>
        <v>0.74999999999999922</v>
      </c>
      <c r="E34" s="111">
        <f t="shared" si="82"/>
        <v>0.60000000000000009</v>
      </c>
      <c r="F34" s="111">
        <f t="shared" si="82"/>
        <v>0.78</v>
      </c>
      <c r="G34" s="111">
        <f t="shared" si="82"/>
        <v>0.69511774261567683</v>
      </c>
      <c r="H34" s="172">
        <f t="shared" si="82"/>
        <v>2.8336117418099285</v>
      </c>
      <c r="I34" s="111">
        <f t="shared" si="82"/>
        <v>0.79454240134340781</v>
      </c>
      <c r="J34" s="111">
        <f t="shared" si="82"/>
        <v>0.31523672397730074</v>
      </c>
      <c r="K34" s="111">
        <f t="shared" si="82"/>
        <v>-0.46193838254171954</v>
      </c>
      <c r="L34" s="111">
        <f t="shared" si="82"/>
        <v>0.51</v>
      </c>
      <c r="M34" s="172">
        <f t="shared" si="82"/>
        <v>1.1512365543643674</v>
      </c>
      <c r="N34" s="111">
        <f t="shared" si="82"/>
        <v>0.60998309382924787</v>
      </c>
      <c r="O34" s="111">
        <f t="shared" si="82"/>
        <v>0.62099257258609042</v>
      </c>
      <c r="P34" s="111">
        <f t="shared" si="82"/>
        <v>1.0059332321699532</v>
      </c>
      <c r="Q34" s="111">
        <f t="shared" si="82"/>
        <v>0.99628807138648001</v>
      </c>
      <c r="R34" s="172">
        <f>+R29/R31+0.01</f>
        <v>3.2421909979383412</v>
      </c>
      <c r="S34" s="111">
        <f t="shared" si="82"/>
        <v>0.71999999999999986</v>
      </c>
      <c r="T34" s="111">
        <f t="shared" si="82"/>
        <v>0.58587745905191113</v>
      </c>
      <c r="U34" s="111">
        <f t="shared" si="82"/>
        <v>0.84046915725456095</v>
      </c>
      <c r="V34" s="419">
        <f t="shared" si="82"/>
        <v>0.73446564467919473</v>
      </c>
      <c r="W34" s="172">
        <f t="shared" si="82"/>
        <v>2.8803051315638277</v>
      </c>
      <c r="X34" s="82">
        <f t="shared" si="82"/>
        <v>0.76844098974625064</v>
      </c>
      <c r="Y34" s="82">
        <f t="shared" si="82"/>
        <v>0.71930310507250339</v>
      </c>
      <c r="Z34" s="82">
        <f t="shared" si="82"/>
        <v>0.91560261776546259</v>
      </c>
      <c r="AA34" s="82">
        <f t="shared" si="82"/>
        <v>0.97398313636966138</v>
      </c>
      <c r="AB34" s="83">
        <f t="shared" si="82"/>
        <v>3.3772533614479627</v>
      </c>
      <c r="AC34" s="82">
        <f t="shared" si="82"/>
        <v>0.9968988148246164</v>
      </c>
      <c r="AD34" s="82">
        <f t="shared" si="82"/>
        <v>0.82707465629376364</v>
      </c>
      <c r="AE34" s="82">
        <f t="shared" si="82"/>
        <v>1.0217018853464663</v>
      </c>
      <c r="AF34" s="82">
        <f t="shared" si="82"/>
        <v>1.0094041800299767</v>
      </c>
      <c r="AG34" s="83">
        <f t="shared" si="82"/>
        <v>3.8550783628368399</v>
      </c>
      <c r="AH34" s="82">
        <f t="shared" si="82"/>
        <v>1.1651984334097363</v>
      </c>
      <c r="AI34" s="82">
        <f t="shared" si="82"/>
        <v>0.97881585983131347</v>
      </c>
      <c r="AJ34" s="82">
        <f t="shared" si="82"/>
        <v>1.2943700019858126</v>
      </c>
      <c r="AK34" s="82">
        <f t="shared" si="82"/>
        <v>1.2601701926962059</v>
      </c>
      <c r="AL34" s="415">
        <f t="shared" si="82"/>
        <v>4.6938353000033004</v>
      </c>
      <c r="AM34" s="82">
        <f t="shared" si="82"/>
        <v>1.3594800557252238</v>
      </c>
      <c r="AN34" s="82">
        <f t="shared" si="82"/>
        <v>1.1311620550367472</v>
      </c>
      <c r="AO34" s="82">
        <f t="shared" si="82"/>
        <v>1.4332971984826877</v>
      </c>
      <c r="AP34" s="82">
        <f t="shared" si="82"/>
        <v>1.3681849393977537</v>
      </c>
      <c r="AQ34" s="83">
        <f t="shared" si="82"/>
        <v>5.2921230412938547</v>
      </c>
      <c r="AR34" s="82">
        <f t="shared" ref="AR34:AV34" si="83">+AR29/AR31</f>
        <v>1.4636499023443446</v>
      </c>
      <c r="AS34" s="82">
        <f t="shared" si="83"/>
        <v>1.2201666876461632</v>
      </c>
      <c r="AT34" s="82">
        <f t="shared" si="83"/>
        <v>1.5418769082078527</v>
      </c>
      <c r="AU34" s="82">
        <f t="shared" si="83"/>
        <v>1.4749430538146007</v>
      </c>
      <c r="AV34" s="83">
        <f t="shared" si="83"/>
        <v>5.7006351758379621</v>
      </c>
    </row>
    <row r="35" spans="2:48" x14ac:dyDescent="0.3">
      <c r="B35" s="38" t="s">
        <v>41</v>
      </c>
      <c r="C35" s="207"/>
      <c r="D35" s="239">
        <v>0.36</v>
      </c>
      <c r="E35" s="239">
        <v>0.36</v>
      </c>
      <c r="F35" s="239">
        <v>0.36</v>
      </c>
      <c r="G35" s="239">
        <v>0.41</v>
      </c>
      <c r="H35" s="174">
        <f>+SUM(D35:G35)</f>
        <v>1.49</v>
      </c>
      <c r="I35" s="239">
        <v>0.41</v>
      </c>
      <c r="J35" s="239">
        <v>0.41</v>
      </c>
      <c r="K35" s="239">
        <v>0.41</v>
      </c>
      <c r="L35" s="239">
        <f>K35*1.1</f>
        <v>0.45100000000000001</v>
      </c>
      <c r="M35" s="25">
        <f>+SUM(I35:L35)</f>
        <v>1.681</v>
      </c>
      <c r="N35" s="239">
        <f>+L35</f>
        <v>0.45100000000000001</v>
      </c>
      <c r="O35" s="239">
        <v>0.45</v>
      </c>
      <c r="P35" s="239">
        <v>0.45</v>
      </c>
      <c r="Q35" s="239">
        <v>0.49</v>
      </c>
      <c r="R35" s="25">
        <f>+SUM(N35:Q35)</f>
        <v>1.841</v>
      </c>
      <c r="S35" s="239">
        <v>0.49</v>
      </c>
      <c r="T35" s="239">
        <v>0.49</v>
      </c>
      <c r="U35" s="239">
        <v>0.49</v>
      </c>
      <c r="V35" s="240">
        <f>1.05*U35</f>
        <v>0.51449999999999996</v>
      </c>
      <c r="W35" s="25">
        <f>+SUM(S35:V35)</f>
        <v>1.9844999999999999</v>
      </c>
      <c r="X35" s="240">
        <f>+V35</f>
        <v>0.51449999999999996</v>
      </c>
      <c r="Y35" s="240">
        <f>+X35</f>
        <v>0.51449999999999996</v>
      </c>
      <c r="Z35" s="240">
        <f>+Y35</f>
        <v>0.51449999999999996</v>
      </c>
      <c r="AA35" s="240">
        <f>1.05*Z35</f>
        <v>0.54022499999999996</v>
      </c>
      <c r="AB35" s="25">
        <f>+SUM(X35:AA35)</f>
        <v>2.0837249999999998</v>
      </c>
      <c r="AC35" s="240">
        <f>+AA35</f>
        <v>0.54022499999999996</v>
      </c>
      <c r="AD35" s="240">
        <f>+AC35</f>
        <v>0.54022499999999996</v>
      </c>
      <c r="AE35" s="240">
        <f>+AD35</f>
        <v>0.54022499999999996</v>
      </c>
      <c r="AF35" s="240">
        <f>1.05*AE35</f>
        <v>0.56723625</v>
      </c>
      <c r="AG35" s="25">
        <f>+SUM(AC35:AF35)</f>
        <v>2.18791125</v>
      </c>
      <c r="AH35" s="240">
        <f>+AF35</f>
        <v>0.56723625</v>
      </c>
      <c r="AI35" s="240">
        <f>+AH35</f>
        <v>0.56723625</v>
      </c>
      <c r="AJ35" s="240">
        <f>+AI35</f>
        <v>0.56723625</v>
      </c>
      <c r="AK35" s="240">
        <f>1.05*AJ35</f>
        <v>0.59559806250000003</v>
      </c>
      <c r="AL35" s="25">
        <f>+SUM(AH35:AK35)</f>
        <v>2.2973068125</v>
      </c>
      <c r="AM35" s="240">
        <f>+AK35</f>
        <v>0.59559806250000003</v>
      </c>
      <c r="AN35" s="240">
        <f>+AM35</f>
        <v>0.59559806250000003</v>
      </c>
      <c r="AO35" s="240">
        <f>+AN35</f>
        <v>0.59559806250000003</v>
      </c>
      <c r="AP35" s="240">
        <f>1.02*AO35</f>
        <v>0.60751002375000007</v>
      </c>
      <c r="AQ35" s="25">
        <f>+SUM(AM35:AP35)</f>
        <v>2.3943042112500001</v>
      </c>
      <c r="AR35" s="240">
        <f>+AP35</f>
        <v>0.60751002375000007</v>
      </c>
      <c r="AS35" s="240">
        <f>+AR35</f>
        <v>0.60751002375000007</v>
      </c>
      <c r="AT35" s="240">
        <f>+AS35</f>
        <v>0.60751002375000007</v>
      </c>
      <c r="AU35" s="240">
        <f>1.02*AT35</f>
        <v>0.61966022422500011</v>
      </c>
      <c r="AV35" s="25">
        <f>+SUM(AR35:AU35)</f>
        <v>2.4421902954750001</v>
      </c>
    </row>
    <row r="36" spans="2:48" s="241" customFormat="1" x14ac:dyDescent="0.3">
      <c r="B36" s="242" t="s">
        <v>170</v>
      </c>
      <c r="C36" s="243"/>
      <c r="D36" s="211"/>
      <c r="E36" s="211"/>
      <c r="F36" s="211"/>
      <c r="G36" s="211"/>
      <c r="H36" s="244">
        <f>H35/H33</f>
        <v>0.51052122693931912</v>
      </c>
      <c r="I36" s="211"/>
      <c r="J36" s="211"/>
      <c r="K36" s="211"/>
      <c r="L36" s="211"/>
      <c r="M36" s="244">
        <f>M35/M33</f>
        <v>2.1706939657696651</v>
      </c>
      <c r="N36" s="211"/>
      <c r="O36" s="211"/>
      <c r="P36" s="211"/>
      <c r="Q36" s="211"/>
      <c r="R36" s="244">
        <f>R35/R33</f>
        <v>0.52003419212449009</v>
      </c>
      <c r="S36" s="211"/>
      <c r="T36" s="211"/>
      <c r="U36" s="211"/>
      <c r="V36" s="211"/>
      <c r="W36" s="244">
        <f>W35/W33</f>
        <v>0.72533785850387944</v>
      </c>
      <c r="X36" s="211"/>
      <c r="Y36" s="211"/>
      <c r="Z36" s="211"/>
      <c r="AA36" s="211"/>
      <c r="AB36" s="244">
        <f>AB35/AB33</f>
        <v>0.65299147937156787</v>
      </c>
      <c r="AC36" s="211"/>
      <c r="AD36" s="211"/>
      <c r="AE36" s="211"/>
      <c r="AF36" s="211"/>
      <c r="AG36" s="244">
        <f>AG35/AG33</f>
        <v>0.59135877014663163</v>
      </c>
      <c r="AH36" s="211"/>
      <c r="AI36" s="211"/>
      <c r="AJ36" s="211"/>
      <c r="AK36" s="211"/>
      <c r="AL36" s="428">
        <f>AL35/AL33</f>
        <v>0.5066915979487383</v>
      </c>
      <c r="AM36" s="211"/>
      <c r="AN36" s="211"/>
      <c r="AO36" s="211"/>
      <c r="AP36" s="211"/>
      <c r="AQ36" s="244">
        <f>AQ35/AQ33</f>
        <v>0.46728582666434737</v>
      </c>
      <c r="AR36" s="211"/>
      <c r="AS36" s="211"/>
      <c r="AT36" s="211"/>
      <c r="AU36" s="211"/>
      <c r="AV36" s="244">
        <f>AV35/AV33</f>
        <v>0.44148700747728398</v>
      </c>
    </row>
    <row r="37" spans="2:48" s="63" customFormat="1" x14ac:dyDescent="0.3">
      <c r="B37" s="198"/>
      <c r="C37" s="371"/>
      <c r="D37" s="372"/>
      <c r="E37" s="196"/>
      <c r="F37" s="196"/>
      <c r="G37" s="196">
        <f>G35/F35-1</f>
        <v>0.13888888888888884</v>
      </c>
      <c r="H37" s="196"/>
      <c r="I37" s="196"/>
      <c r="J37" s="196"/>
      <c r="K37" s="196"/>
      <c r="L37" s="196">
        <f>L35/K35-1</f>
        <v>0.10000000000000009</v>
      </c>
      <c r="M37" s="196"/>
      <c r="N37" s="196"/>
      <c r="O37" s="196"/>
      <c r="P37" s="196"/>
      <c r="Q37" s="196">
        <f>Q35/P35-1</f>
        <v>8.8888888888888795E-2</v>
      </c>
      <c r="R37" s="196"/>
      <c r="S37" s="196"/>
      <c r="T37" s="196"/>
      <c r="U37" s="196"/>
      <c r="V37" s="196"/>
      <c r="W37" s="392"/>
      <c r="X37" s="196"/>
      <c r="Y37" s="196"/>
      <c r="Z37" s="196"/>
      <c r="AA37" s="196"/>
      <c r="AB37" s="392"/>
      <c r="AC37" s="196"/>
      <c r="AD37" s="196"/>
      <c r="AE37" s="196"/>
      <c r="AF37" s="392"/>
      <c r="AG37" s="392"/>
      <c r="AH37" s="196"/>
      <c r="AI37" s="196"/>
      <c r="AJ37" s="196"/>
      <c r="AK37" s="196"/>
      <c r="AL37" s="372"/>
      <c r="AM37" s="196"/>
      <c r="AN37" s="196"/>
      <c r="AO37" s="196"/>
      <c r="AP37" s="196"/>
      <c r="AQ37" s="196"/>
      <c r="AR37" s="196"/>
      <c r="AS37" s="196"/>
      <c r="AT37" s="196"/>
      <c r="AU37" s="196"/>
      <c r="AV37" s="196"/>
    </row>
    <row r="38" spans="2:48" ht="15.6" x14ac:dyDescent="0.3">
      <c r="B38" s="494" t="s">
        <v>13</v>
      </c>
      <c r="C38" s="495"/>
      <c r="D38" s="13" t="s">
        <v>15</v>
      </c>
      <c r="E38" s="13" t="s">
        <v>82</v>
      </c>
      <c r="F38" s="13" t="s">
        <v>84</v>
      </c>
      <c r="G38" s="13" t="s">
        <v>147</v>
      </c>
      <c r="H38" s="39" t="s">
        <v>147</v>
      </c>
      <c r="I38" s="13" t="s">
        <v>146</v>
      </c>
      <c r="J38" s="13" t="s">
        <v>145</v>
      </c>
      <c r="K38" s="13" t="s">
        <v>144</v>
      </c>
      <c r="L38" s="13" t="s">
        <v>141</v>
      </c>
      <c r="M38" s="39" t="s">
        <v>141</v>
      </c>
      <c r="N38" s="13" t="s">
        <v>148</v>
      </c>
      <c r="O38" s="13" t="s">
        <v>156</v>
      </c>
      <c r="P38" s="13" t="s">
        <v>158</v>
      </c>
      <c r="Q38" s="13" t="s">
        <v>171</v>
      </c>
      <c r="R38" s="39" t="s">
        <v>171</v>
      </c>
      <c r="S38" s="13" t="s">
        <v>187</v>
      </c>
      <c r="T38" s="13" t="s">
        <v>190</v>
      </c>
      <c r="U38" s="13" t="s">
        <v>203</v>
      </c>
      <c r="V38" s="15" t="s">
        <v>20</v>
      </c>
      <c r="W38" s="41" t="s">
        <v>20</v>
      </c>
      <c r="X38" s="15" t="s">
        <v>21</v>
      </c>
      <c r="Y38" s="15" t="s">
        <v>22</v>
      </c>
      <c r="Z38" s="15" t="s">
        <v>23</v>
      </c>
      <c r="AA38" s="15" t="s">
        <v>24</v>
      </c>
      <c r="AB38" s="41" t="s">
        <v>24</v>
      </c>
      <c r="AC38" s="15" t="s">
        <v>86</v>
      </c>
      <c r="AD38" s="15" t="s">
        <v>87</v>
      </c>
      <c r="AE38" s="15" t="s">
        <v>88</v>
      </c>
      <c r="AF38" s="15" t="s">
        <v>89</v>
      </c>
      <c r="AG38" s="41" t="s">
        <v>89</v>
      </c>
      <c r="AH38" s="15" t="s">
        <v>105</v>
      </c>
      <c r="AI38" s="15" t="s">
        <v>106</v>
      </c>
      <c r="AJ38" s="15" t="s">
        <v>107</v>
      </c>
      <c r="AK38" s="15" t="s">
        <v>108</v>
      </c>
      <c r="AL38" s="41" t="s">
        <v>108</v>
      </c>
      <c r="AM38" s="15" t="s">
        <v>160</v>
      </c>
      <c r="AN38" s="15" t="s">
        <v>161</v>
      </c>
      <c r="AO38" s="15" t="s">
        <v>162</v>
      </c>
      <c r="AP38" s="15" t="s">
        <v>163</v>
      </c>
      <c r="AQ38" s="41" t="s">
        <v>163</v>
      </c>
      <c r="AR38" s="15" t="s">
        <v>191</v>
      </c>
      <c r="AS38" s="15" t="s">
        <v>192</v>
      </c>
      <c r="AT38" s="15" t="s">
        <v>193</v>
      </c>
      <c r="AU38" s="15" t="s">
        <v>194</v>
      </c>
      <c r="AV38" s="41" t="s">
        <v>194</v>
      </c>
    </row>
    <row r="39" spans="2:48" ht="16.2" x14ac:dyDescent="0.45">
      <c r="B39" s="512"/>
      <c r="C39" s="513"/>
      <c r="D39" s="14" t="s">
        <v>19</v>
      </c>
      <c r="E39" s="14" t="s">
        <v>81</v>
      </c>
      <c r="F39" s="14" t="s">
        <v>85</v>
      </c>
      <c r="G39" s="14" t="s">
        <v>95</v>
      </c>
      <c r="H39" s="40" t="s">
        <v>96</v>
      </c>
      <c r="I39" s="14" t="s">
        <v>97</v>
      </c>
      <c r="J39" s="14" t="s">
        <v>98</v>
      </c>
      <c r="K39" s="14" t="s">
        <v>99</v>
      </c>
      <c r="L39" s="14" t="s">
        <v>142</v>
      </c>
      <c r="M39" s="40" t="s">
        <v>143</v>
      </c>
      <c r="N39" s="14" t="s">
        <v>149</v>
      </c>
      <c r="O39" s="14" t="s">
        <v>157</v>
      </c>
      <c r="P39" s="14" t="s">
        <v>159</v>
      </c>
      <c r="Q39" s="14" t="s">
        <v>172</v>
      </c>
      <c r="R39" s="40" t="s">
        <v>173</v>
      </c>
      <c r="S39" s="14" t="s">
        <v>188</v>
      </c>
      <c r="T39" s="14" t="s">
        <v>189</v>
      </c>
      <c r="U39" s="14" t="s">
        <v>204</v>
      </c>
      <c r="V39" s="12" t="s">
        <v>25</v>
      </c>
      <c r="W39" s="42" t="s">
        <v>26</v>
      </c>
      <c r="X39" s="12" t="s">
        <v>27</v>
      </c>
      <c r="Y39" s="12" t="s">
        <v>28</v>
      </c>
      <c r="Z39" s="12" t="s">
        <v>29</v>
      </c>
      <c r="AA39" s="12" t="s">
        <v>30</v>
      </c>
      <c r="AB39" s="42" t="s">
        <v>31</v>
      </c>
      <c r="AC39" s="12" t="s">
        <v>90</v>
      </c>
      <c r="AD39" s="12" t="s">
        <v>91</v>
      </c>
      <c r="AE39" s="12" t="s">
        <v>92</v>
      </c>
      <c r="AF39" s="12" t="s">
        <v>93</v>
      </c>
      <c r="AG39" s="42" t="s">
        <v>94</v>
      </c>
      <c r="AH39" s="12" t="s">
        <v>109</v>
      </c>
      <c r="AI39" s="12" t="s">
        <v>110</v>
      </c>
      <c r="AJ39" s="12" t="s">
        <v>111</v>
      </c>
      <c r="AK39" s="12" t="s">
        <v>112</v>
      </c>
      <c r="AL39" s="42" t="s">
        <v>113</v>
      </c>
      <c r="AM39" s="12" t="s">
        <v>164</v>
      </c>
      <c r="AN39" s="12" t="s">
        <v>165</v>
      </c>
      <c r="AO39" s="12" t="s">
        <v>166</v>
      </c>
      <c r="AP39" s="12" t="s">
        <v>167</v>
      </c>
      <c r="AQ39" s="42" t="s">
        <v>168</v>
      </c>
      <c r="AR39" s="12" t="s">
        <v>195</v>
      </c>
      <c r="AS39" s="12" t="s">
        <v>196</v>
      </c>
      <c r="AT39" s="12" t="s">
        <v>197</v>
      </c>
      <c r="AU39" s="12" t="s">
        <v>198</v>
      </c>
      <c r="AV39" s="42" t="s">
        <v>199</v>
      </c>
    </row>
    <row r="40" spans="2:48" ht="17.399999999999999" x14ac:dyDescent="0.45">
      <c r="B40" s="508" t="s">
        <v>174</v>
      </c>
      <c r="C40" s="509"/>
      <c r="D40" s="14"/>
      <c r="E40" s="14"/>
      <c r="F40" s="14"/>
      <c r="G40" s="14"/>
      <c r="H40" s="40"/>
      <c r="I40" s="14"/>
      <c r="J40" s="14"/>
      <c r="K40" s="14"/>
      <c r="L40" s="14"/>
      <c r="M40" s="40"/>
      <c r="N40" s="14"/>
      <c r="O40" s="14"/>
      <c r="P40" s="14"/>
      <c r="Q40" s="14"/>
      <c r="R40" s="40"/>
      <c r="S40" s="14"/>
      <c r="T40" s="14"/>
      <c r="U40" s="14"/>
      <c r="V40" s="12"/>
      <c r="W40" s="42"/>
      <c r="X40" s="12"/>
      <c r="Y40" s="12"/>
      <c r="Z40" s="12"/>
      <c r="AA40" s="12"/>
      <c r="AB40" s="42"/>
      <c r="AC40" s="12"/>
      <c r="AD40" s="12"/>
      <c r="AE40" s="12"/>
      <c r="AF40" s="12"/>
      <c r="AG40" s="42"/>
      <c r="AH40" s="12"/>
      <c r="AI40" s="12"/>
      <c r="AJ40" s="12"/>
      <c r="AK40" s="12"/>
      <c r="AL40" s="42"/>
      <c r="AM40" s="12"/>
      <c r="AN40" s="12"/>
      <c r="AO40" s="12"/>
      <c r="AP40" s="12"/>
      <c r="AQ40" s="42"/>
      <c r="AR40" s="12"/>
      <c r="AS40" s="12"/>
      <c r="AT40" s="12"/>
      <c r="AU40" s="12"/>
      <c r="AV40" s="42"/>
    </row>
    <row r="41" spans="2:48" s="8" customFormat="1" outlineLevel="1" x14ac:dyDescent="0.3">
      <c r="B41" s="510" t="s">
        <v>175</v>
      </c>
      <c r="C41" s="511"/>
      <c r="D41" s="21">
        <v>9777</v>
      </c>
      <c r="E41" s="21">
        <v>9776</v>
      </c>
      <c r="F41" s="116">
        <v>9857</v>
      </c>
      <c r="G41" s="21">
        <v>9974</v>
      </c>
      <c r="H41" s="57"/>
      <c r="I41" s="21">
        <v>10020</v>
      </c>
      <c r="J41" s="21">
        <v>10051</v>
      </c>
      <c r="K41" s="21">
        <v>10017</v>
      </c>
      <c r="L41" s="21">
        <v>10109</v>
      </c>
      <c r="M41" s="57"/>
      <c r="N41" s="21">
        <v>10029</v>
      </c>
      <c r="O41" s="21">
        <f>+N41+O42</f>
        <v>9820</v>
      </c>
      <c r="P41" s="21">
        <f>+O41+P42</f>
        <v>9860</v>
      </c>
      <c r="Q41" s="21">
        <f>+P41+Q42</f>
        <v>9861</v>
      </c>
      <c r="R41" s="191"/>
      <c r="S41" s="21">
        <f>+Q41+S42</f>
        <v>9900</v>
      </c>
      <c r="T41" s="21">
        <f>+S41+T42</f>
        <v>9954</v>
      </c>
      <c r="U41" s="21">
        <f>+T41+U42</f>
        <v>10050</v>
      </c>
      <c r="V41" s="21">
        <f>+U41+V42</f>
        <v>10146</v>
      </c>
      <c r="W41" s="191">
        <f>V41</f>
        <v>10146</v>
      </c>
      <c r="X41" s="21">
        <f>+V41+X42</f>
        <v>10206.5</v>
      </c>
      <c r="Y41" s="21">
        <f>+X41+Y42</f>
        <v>10267</v>
      </c>
      <c r="Z41" s="21">
        <f>+Y41+Z42</f>
        <v>10327.5</v>
      </c>
      <c r="AA41" s="21">
        <f>+Z41+AA42</f>
        <v>10388</v>
      </c>
      <c r="AB41" s="191">
        <f>AA41</f>
        <v>10388</v>
      </c>
      <c r="AC41" s="21">
        <f>+AA41+AC42</f>
        <v>10460</v>
      </c>
      <c r="AD41" s="21">
        <f>+AC41+AD42</f>
        <v>10532</v>
      </c>
      <c r="AE41" s="21">
        <f>+AD41+AE42</f>
        <v>10605</v>
      </c>
      <c r="AF41" s="21">
        <f>+AE41+AF42</f>
        <v>10678</v>
      </c>
      <c r="AG41" s="191">
        <f>AF41</f>
        <v>10678</v>
      </c>
      <c r="AH41" s="21">
        <f>+AF41+AH42</f>
        <v>10764</v>
      </c>
      <c r="AI41" s="21">
        <f>+AH41+AI42</f>
        <v>10850</v>
      </c>
      <c r="AJ41" s="21">
        <f>+AI41+AJ42</f>
        <v>10936</v>
      </c>
      <c r="AK41" s="21">
        <f>+AJ41+AK42</f>
        <v>11022</v>
      </c>
      <c r="AL41" s="191">
        <f>AK41</f>
        <v>11022</v>
      </c>
      <c r="AM41" s="21">
        <f>+AK41+AM42</f>
        <v>11118</v>
      </c>
      <c r="AN41" s="21">
        <f>+AM41+AN42</f>
        <v>11214</v>
      </c>
      <c r="AO41" s="21">
        <f>+AN41+AO42</f>
        <v>11310</v>
      </c>
      <c r="AP41" s="21">
        <f>+AO41+AP42</f>
        <v>11406</v>
      </c>
      <c r="AQ41" s="191">
        <f>AP41</f>
        <v>11406</v>
      </c>
      <c r="AR41" s="21">
        <f>+AP41+AR42</f>
        <v>11502</v>
      </c>
      <c r="AS41" s="21">
        <f>+AR41+AS42</f>
        <v>11598</v>
      </c>
      <c r="AT41" s="21">
        <f>+AS41+AT42</f>
        <v>11694</v>
      </c>
      <c r="AU41" s="21">
        <f>+AT41+AU42</f>
        <v>11790</v>
      </c>
      <c r="AV41" s="191">
        <f>AU41</f>
        <v>11790</v>
      </c>
    </row>
    <row r="42" spans="2:48" outlineLevel="1" x14ac:dyDescent="0.3">
      <c r="B42" s="180" t="s">
        <v>46</v>
      </c>
      <c r="C42" s="201"/>
      <c r="D42" s="101">
        <f>+D41-9690</f>
        <v>87</v>
      </c>
      <c r="E42" s="101">
        <f>E41-D41</f>
        <v>-1</v>
      </c>
      <c r="F42" s="101">
        <f>F41-E41</f>
        <v>81</v>
      </c>
      <c r="G42" s="101">
        <f>G41-F41</f>
        <v>117</v>
      </c>
      <c r="H42" s="122">
        <f>+SUM(D42:G42)</f>
        <v>284</v>
      </c>
      <c r="I42" s="101">
        <f>I41-G41</f>
        <v>46</v>
      </c>
      <c r="J42" s="101">
        <f>J41-I41</f>
        <v>31</v>
      </c>
      <c r="K42" s="101">
        <f>K41-J41</f>
        <v>-34</v>
      </c>
      <c r="L42" s="101">
        <f>L41-K41</f>
        <v>92</v>
      </c>
      <c r="M42" s="122"/>
      <c r="N42" s="101">
        <v>-80</v>
      </c>
      <c r="O42" s="101">
        <v>-209</v>
      </c>
      <c r="P42" s="101">
        <v>40</v>
      </c>
      <c r="Q42" s="101">
        <v>1</v>
      </c>
      <c r="R42" s="26"/>
      <c r="S42" s="101">
        <v>39</v>
      </c>
      <c r="T42" s="101">
        <v>54</v>
      </c>
      <c r="U42" s="101">
        <v>96</v>
      </c>
      <c r="V42" s="33">
        <v>96</v>
      </c>
      <c r="W42" s="122">
        <f>+SUM(S42:V42)</f>
        <v>285</v>
      </c>
      <c r="X42" s="33">
        <v>60.5</v>
      </c>
      <c r="Y42" s="33">
        <v>60.5</v>
      </c>
      <c r="Z42" s="33">
        <v>60.5</v>
      </c>
      <c r="AA42" s="33">
        <v>60.5</v>
      </c>
      <c r="AB42" s="26">
        <f>+SUM(X42:AA42)</f>
        <v>242</v>
      </c>
      <c r="AC42" s="33">
        <v>72</v>
      </c>
      <c r="AD42" s="33">
        <v>72</v>
      </c>
      <c r="AE42" s="33">
        <v>73</v>
      </c>
      <c r="AF42" s="33">
        <v>73</v>
      </c>
      <c r="AG42" s="26">
        <f>+SUM(AC42:AF42)</f>
        <v>290</v>
      </c>
      <c r="AH42" s="33">
        <v>86</v>
      </c>
      <c r="AI42" s="33">
        <v>86</v>
      </c>
      <c r="AJ42" s="33">
        <v>86</v>
      </c>
      <c r="AK42" s="33">
        <v>86</v>
      </c>
      <c r="AL42" s="26">
        <f>+SUM(AH42:AK42)</f>
        <v>344</v>
      </c>
      <c r="AM42" s="33">
        <v>96</v>
      </c>
      <c r="AN42" s="33">
        <v>96</v>
      </c>
      <c r="AO42" s="33">
        <v>96</v>
      </c>
      <c r="AP42" s="33">
        <v>96</v>
      </c>
      <c r="AQ42" s="26">
        <f>+SUM(AM42:AP42)</f>
        <v>384</v>
      </c>
      <c r="AR42" s="33">
        <v>96</v>
      </c>
      <c r="AS42" s="33">
        <v>96</v>
      </c>
      <c r="AT42" s="33">
        <v>96</v>
      </c>
      <c r="AU42" s="33">
        <v>96</v>
      </c>
      <c r="AV42" s="26">
        <f>+SUM(AR42:AU42)</f>
        <v>384</v>
      </c>
    </row>
    <row r="43" spans="2:48" outlineLevel="1" x14ac:dyDescent="0.3">
      <c r="B43" s="180" t="s">
        <v>201</v>
      </c>
      <c r="C43" s="201"/>
      <c r="D43" s="101"/>
      <c r="E43" s="101">
        <f>AVERAGE(D41,E41)</f>
        <v>9776.5</v>
      </c>
      <c r="F43" s="101">
        <f t="shared" ref="F43:G43" si="84">AVERAGE(E41,F41)</f>
        <v>9816.5</v>
      </c>
      <c r="G43" s="101">
        <f t="shared" si="84"/>
        <v>9915.5</v>
      </c>
      <c r="H43" s="122"/>
      <c r="I43" s="101">
        <f>AVERAGE(G41,I41)</f>
        <v>9997</v>
      </c>
      <c r="J43" s="101">
        <f>AVERAGE(I41,J41)</f>
        <v>10035.5</v>
      </c>
      <c r="K43" s="101">
        <f t="shared" ref="K43:L43" si="85">AVERAGE(J41,K41)</f>
        <v>10034</v>
      </c>
      <c r="L43" s="101">
        <f t="shared" si="85"/>
        <v>10063</v>
      </c>
      <c r="M43" s="122"/>
      <c r="N43" s="101">
        <f>AVERAGE(L41,N41)</f>
        <v>10069</v>
      </c>
      <c r="O43" s="101">
        <f>AVERAGE(N41,O41)</f>
        <v>9924.5</v>
      </c>
      <c r="P43" s="101">
        <f t="shared" ref="P43:Q43" si="86">AVERAGE(O41,P41)</f>
        <v>9840</v>
      </c>
      <c r="Q43" s="101">
        <f t="shared" si="86"/>
        <v>9860.5</v>
      </c>
      <c r="R43" s="122"/>
      <c r="S43" s="101">
        <f>AVERAGE(Q41,S41)</f>
        <v>9880.5</v>
      </c>
      <c r="T43" s="101">
        <f>AVERAGE(S41,T41)</f>
        <v>9927</v>
      </c>
      <c r="U43" s="101">
        <f t="shared" ref="U43:V43" si="87">AVERAGE(T41,U41)</f>
        <v>10002</v>
      </c>
      <c r="V43" s="101">
        <f t="shared" si="87"/>
        <v>10098</v>
      </c>
      <c r="W43" s="122"/>
      <c r="X43" s="101">
        <f>AVERAGE(V41,X41)</f>
        <v>10176.25</v>
      </c>
      <c r="Y43" s="101">
        <f>AVERAGE(X41,Y41)</f>
        <v>10236.75</v>
      </c>
      <c r="Z43" s="101">
        <f t="shared" ref="Z43:AA43" si="88">AVERAGE(Y41,Z41)</f>
        <v>10297.25</v>
      </c>
      <c r="AA43" s="101">
        <f t="shared" si="88"/>
        <v>10357.75</v>
      </c>
      <c r="AB43" s="122"/>
      <c r="AC43" s="101">
        <f>AVERAGE(AA41,AC41)</f>
        <v>10424</v>
      </c>
      <c r="AD43" s="101">
        <f>AVERAGE(AC41,AD41)</f>
        <v>10496</v>
      </c>
      <c r="AE43" s="101">
        <f t="shared" ref="AE43" si="89">AVERAGE(AD41,AE41)</f>
        <v>10568.5</v>
      </c>
      <c r="AF43" s="101">
        <f t="shared" ref="AF43" si="90">AVERAGE(AE41,AF41)</f>
        <v>10641.5</v>
      </c>
      <c r="AG43" s="122"/>
      <c r="AH43" s="101">
        <f>AVERAGE(AF41,AH41)</f>
        <v>10721</v>
      </c>
      <c r="AI43" s="101">
        <f>AVERAGE(AH41,AI41)</f>
        <v>10807</v>
      </c>
      <c r="AJ43" s="101">
        <f t="shared" ref="AJ43" si="91">AVERAGE(AI41,AJ41)</f>
        <v>10893</v>
      </c>
      <c r="AK43" s="101">
        <f t="shared" ref="AK43" si="92">AVERAGE(AJ41,AK41)</f>
        <v>10979</v>
      </c>
      <c r="AL43" s="122"/>
      <c r="AM43" s="101">
        <f>AVERAGE(AK41,AM41)</f>
        <v>11070</v>
      </c>
      <c r="AN43" s="101">
        <f>AVERAGE(AM41,AN41)</f>
        <v>11166</v>
      </c>
      <c r="AO43" s="101">
        <f t="shared" ref="AO43" si="93">AVERAGE(AN41,AO41)</f>
        <v>11262</v>
      </c>
      <c r="AP43" s="101">
        <f t="shared" ref="AP43" si="94">AVERAGE(AO41,AP41)</f>
        <v>11358</v>
      </c>
      <c r="AQ43" s="122"/>
      <c r="AR43" s="101">
        <f>AVERAGE(AP41,AR41)</f>
        <v>11454</v>
      </c>
      <c r="AS43" s="101">
        <f>AVERAGE(AR41,AS41)</f>
        <v>11550</v>
      </c>
      <c r="AT43" s="101">
        <f t="shared" ref="AT43" si="95">AVERAGE(AS41,AT41)</f>
        <v>11646</v>
      </c>
      <c r="AU43" s="101">
        <f t="shared" ref="AU43" si="96">AVERAGE(AT41,AU41)</f>
        <v>11742</v>
      </c>
      <c r="AV43" s="122"/>
    </row>
    <row r="44" spans="2:48" s="8" customFormat="1" outlineLevel="1" x14ac:dyDescent="0.3">
      <c r="B44" s="180" t="s">
        <v>205</v>
      </c>
      <c r="C44" s="206"/>
      <c r="D44" s="43"/>
      <c r="E44" s="43">
        <f>+E45/E43</f>
        <v>0.39376054825346496</v>
      </c>
      <c r="F44" s="43">
        <f>+F45/F43</f>
        <v>0.42603779351092547</v>
      </c>
      <c r="G44" s="43">
        <f>+G45/G43</f>
        <v>0.4199687358176592</v>
      </c>
      <c r="H44" s="97"/>
      <c r="I44" s="43">
        <f>+I45/I43</f>
        <v>0.44723417025107531</v>
      </c>
      <c r="J44" s="43">
        <f>+J45/J43</f>
        <v>0.38499327387773402</v>
      </c>
      <c r="K44" s="43">
        <f>+K45/K43</f>
        <v>0.25601953358580826</v>
      </c>
      <c r="L44" s="43">
        <f>+L45/L43</f>
        <v>0.3851038457716387</v>
      </c>
      <c r="M44" s="97"/>
      <c r="N44" s="43">
        <f>+N45/N43</f>
        <v>0.42554374813784884</v>
      </c>
      <c r="O44" s="43">
        <f>+O45/O43</f>
        <v>0.43008715804322634</v>
      </c>
      <c r="P44" s="43">
        <f>+P45/P43</f>
        <v>0.50099593495934958</v>
      </c>
      <c r="Q44" s="43">
        <f>+Q45/Q43</f>
        <v>0.53286344505856698</v>
      </c>
      <c r="R44" s="97"/>
      <c r="S44" s="43">
        <f>+S45/S43</f>
        <v>0.52771620869389202</v>
      </c>
      <c r="T44" s="43">
        <f>+T45/T43</f>
        <v>0.49725999798529263</v>
      </c>
      <c r="U44" s="43">
        <f>+U45/U43</f>
        <v>0.55120975804839034</v>
      </c>
      <c r="V44" s="219">
        <f>Q44*1.01</f>
        <v>0.5381920795091526</v>
      </c>
      <c r="W44" s="132"/>
      <c r="X44" s="219">
        <f>S44*1.07</f>
        <v>0.5646563433024645</v>
      </c>
      <c r="Y44" s="219">
        <f>T44*1.07</f>
        <v>0.53206819784426318</v>
      </c>
      <c r="Z44" s="219">
        <f>U44*1.05</f>
        <v>0.57877024595080984</v>
      </c>
      <c r="AA44" s="219">
        <f>V44*1.05</f>
        <v>0.56510168348461021</v>
      </c>
      <c r="AB44" s="97"/>
      <c r="AC44" s="219">
        <f>X44*1.05</f>
        <v>0.59288916046758777</v>
      </c>
      <c r="AD44" s="219">
        <f>Y44*1.05</f>
        <v>0.55867160773647639</v>
      </c>
      <c r="AE44" s="219">
        <f>Z44*1.05</f>
        <v>0.60770875824835036</v>
      </c>
      <c r="AF44" s="219">
        <f>AA44*1.05</f>
        <v>0.59335676765884071</v>
      </c>
      <c r="AG44" s="97"/>
      <c r="AH44" s="219">
        <f>AC44*1.07</f>
        <v>0.63439140170031894</v>
      </c>
      <c r="AI44" s="219">
        <f>AD44*1.07</f>
        <v>0.59777862027802975</v>
      </c>
      <c r="AJ44" s="219">
        <f>AE44*1.07</f>
        <v>0.65024837132573488</v>
      </c>
      <c r="AK44" s="219">
        <f>AF44*1.07</f>
        <v>0.63489174139495963</v>
      </c>
      <c r="AL44" s="97"/>
      <c r="AM44" s="219">
        <f>AH44*1.05</f>
        <v>0.66611097178533496</v>
      </c>
      <c r="AN44" s="219">
        <f>AI44*1.05</f>
        <v>0.6276675512919313</v>
      </c>
      <c r="AO44" s="219">
        <f>AJ44*1.05</f>
        <v>0.6827607898920216</v>
      </c>
      <c r="AP44" s="219">
        <f>AK44*1.05</f>
        <v>0.66663632846470766</v>
      </c>
      <c r="AQ44" s="97"/>
      <c r="AR44" s="219">
        <f>AM44*1.03</f>
        <v>0.68609430093889501</v>
      </c>
      <c r="AS44" s="219">
        <f>AN44*1.03</f>
        <v>0.64649757783068929</v>
      </c>
      <c r="AT44" s="219">
        <f>AO44*1.03</f>
        <v>0.70324361358878229</v>
      </c>
      <c r="AU44" s="219">
        <f>AP44*1.03</f>
        <v>0.68663541831864894</v>
      </c>
      <c r="AV44" s="97"/>
    </row>
    <row r="45" spans="2:48" s="8" customFormat="1" outlineLevel="1" x14ac:dyDescent="0.3">
      <c r="B45" s="500" t="s">
        <v>176</v>
      </c>
      <c r="C45" s="501"/>
      <c r="D45" s="50">
        <v>4092.2</v>
      </c>
      <c r="E45" s="50">
        <v>3849.6</v>
      </c>
      <c r="F45" s="50">
        <v>4182.2</v>
      </c>
      <c r="G45" s="50">
        <v>4164.2</v>
      </c>
      <c r="H45" s="97">
        <f>SUM(D45:G45)</f>
        <v>16288.2</v>
      </c>
      <c r="I45" s="50">
        <v>4471</v>
      </c>
      <c r="J45" s="50">
        <v>3863.6</v>
      </c>
      <c r="K45" s="103">
        <v>2568.9</v>
      </c>
      <c r="L45" s="50">
        <v>3875.3</v>
      </c>
      <c r="M45" s="97"/>
      <c r="N45" s="50">
        <v>4284.8</v>
      </c>
      <c r="O45" s="50">
        <v>4268.3999999999996</v>
      </c>
      <c r="P45" s="50">
        <v>4929.8</v>
      </c>
      <c r="Q45" s="103">
        <v>5254.3</v>
      </c>
      <c r="R45" s="132">
        <f>SUM(N45:Q45)</f>
        <v>18737.3</v>
      </c>
      <c r="S45" s="50">
        <v>5214.1000000000004</v>
      </c>
      <c r="T45" s="50">
        <v>4936.3</v>
      </c>
      <c r="U45" s="50">
        <v>5513.2</v>
      </c>
      <c r="V45" s="50">
        <f>V44*V43</f>
        <v>5434.6636188834227</v>
      </c>
      <c r="W45" s="132">
        <f>SUM(S45:V45)</f>
        <v>21098.263618883426</v>
      </c>
      <c r="X45" s="50">
        <f>X44*X43</f>
        <v>5746.0841135317041</v>
      </c>
      <c r="Y45" s="50">
        <f>Y44*Y43</f>
        <v>5446.6491242822613</v>
      </c>
      <c r="Z45" s="50">
        <f>Z44*Z43</f>
        <v>5959.741915116977</v>
      </c>
      <c r="AA45" s="50">
        <f>AA44*AA43</f>
        <v>5853.1819621127215</v>
      </c>
      <c r="AB45" s="97">
        <f>SUM(X45:AA45)</f>
        <v>23005.657115043665</v>
      </c>
      <c r="AC45" s="50">
        <f>AC44*AC43</f>
        <v>6180.2766087141354</v>
      </c>
      <c r="AD45" s="50">
        <f>AD44*AD43</f>
        <v>5863.8171948020563</v>
      </c>
      <c r="AE45" s="50">
        <f>AE44*AE43</f>
        <v>6422.5700115476911</v>
      </c>
      <c r="AF45" s="50">
        <f>AF44*AF43</f>
        <v>6314.2060430415531</v>
      </c>
      <c r="AG45" s="97">
        <f>SUM(AC45:AF45)</f>
        <v>24780.869858105434</v>
      </c>
      <c r="AH45" s="50">
        <f>AH44*AH43</f>
        <v>6801.3102176291195</v>
      </c>
      <c r="AI45" s="50">
        <f>AI44*AI43</f>
        <v>6460.1935493446672</v>
      </c>
      <c r="AJ45" s="50">
        <f>AJ44*AJ43</f>
        <v>7083.1555088512296</v>
      </c>
      <c r="AK45" s="50">
        <f>AK44*AK43</f>
        <v>6970.4764287752614</v>
      </c>
      <c r="AL45" s="97">
        <f>SUM(AH45:AK45)</f>
        <v>27315.135704600278</v>
      </c>
      <c r="AM45" s="50">
        <f>AM44*AM43</f>
        <v>7373.8484576636583</v>
      </c>
      <c r="AN45" s="50">
        <f>AN44*AN43</f>
        <v>7008.5358777257052</v>
      </c>
      <c r="AO45" s="50">
        <f>AO44*AO43</f>
        <v>7689.2520157639474</v>
      </c>
      <c r="AP45" s="50">
        <f>AP44*AP43</f>
        <v>7571.6554187021493</v>
      </c>
      <c r="AQ45" s="97">
        <f>SUM(AM45:AP45)</f>
        <v>29643.291769855463</v>
      </c>
      <c r="AR45" s="50">
        <f>AR44*AR43</f>
        <v>7858.5241229541034</v>
      </c>
      <c r="AS45" s="50">
        <f>AS44*AS43</f>
        <v>7467.0470239444612</v>
      </c>
      <c r="AT45" s="50">
        <f>AT44*AT43</f>
        <v>8189.9751238549588</v>
      </c>
      <c r="AU45" s="50">
        <f>AU44*AU43</f>
        <v>8062.4730818975759</v>
      </c>
      <c r="AV45" s="97">
        <f>SUM(AR45:AU45)</f>
        <v>31578.019352651099</v>
      </c>
    </row>
    <row r="46" spans="2:48" s="8" customFormat="1" outlineLevel="1" x14ac:dyDescent="0.3">
      <c r="B46" s="38" t="s">
        <v>200</v>
      </c>
      <c r="C46" s="206"/>
      <c r="D46" s="43"/>
      <c r="E46" s="43"/>
      <c r="F46" s="43"/>
      <c r="G46" s="43"/>
      <c r="H46" s="97"/>
      <c r="I46" s="27">
        <f>I45/D45-1</f>
        <v>9.2566345730902722E-2</v>
      </c>
      <c r="J46" s="27">
        <f>J45/E45-1</f>
        <v>3.6367414796343311E-3</v>
      </c>
      <c r="K46" s="27">
        <f>K45/F45-1</f>
        <v>-0.38575390942566112</v>
      </c>
      <c r="L46" s="27">
        <f>L45/G45-1</f>
        <v>-6.9377071226165765E-2</v>
      </c>
      <c r="M46" s="97"/>
      <c r="N46" s="27">
        <f>N45/I45-1</f>
        <v>-4.1646164169089617E-2</v>
      </c>
      <c r="O46" s="27">
        <f>O45/J45-1</f>
        <v>0.10477275080236037</v>
      </c>
      <c r="P46" s="27">
        <f>P45/K45-1</f>
        <v>0.91903149207832135</v>
      </c>
      <c r="Q46" s="27">
        <f>Q45/L45-1</f>
        <v>0.35584341857404578</v>
      </c>
      <c r="R46" s="97"/>
      <c r="S46" s="27">
        <f>S45/N45-1</f>
        <v>0.21688293502613898</v>
      </c>
      <c r="T46" s="27">
        <f>T45/O45-1</f>
        <v>0.15647549433042851</v>
      </c>
      <c r="U46" s="27">
        <f>U45/P45-1</f>
        <v>0.11834151486875721</v>
      </c>
      <c r="V46" s="27">
        <f>V45/Q45-1</f>
        <v>3.4326859692713096E-2</v>
      </c>
      <c r="W46" s="98">
        <f>W45/R45-1</f>
        <v>0.12600340598076709</v>
      </c>
      <c r="X46" s="27">
        <f t="shared" ref="X46:AV46" si="97">X45/S45-1</f>
        <v>0.10202798441374417</v>
      </c>
      <c r="Y46" s="27">
        <f t="shared" si="97"/>
        <v>0.10338697491689341</v>
      </c>
      <c r="Z46" s="27">
        <f t="shared" si="97"/>
        <v>8.0995050989802087E-2</v>
      </c>
      <c r="AA46" s="27">
        <f t="shared" si="97"/>
        <v>7.700906120023765E-2</v>
      </c>
      <c r="AB46" s="98">
        <f t="shared" si="97"/>
        <v>9.0405235739545731E-2</v>
      </c>
      <c r="AC46" s="27">
        <f t="shared" si="97"/>
        <v>7.5563198624247763E-2</v>
      </c>
      <c r="AD46" s="27">
        <f t="shared" si="97"/>
        <v>7.6591691699025688E-2</v>
      </c>
      <c r="AE46" s="27">
        <f t="shared" si="97"/>
        <v>7.7659083735948986E-2</v>
      </c>
      <c r="AF46" s="27">
        <f t="shared" si="97"/>
        <v>7.8764693104197203E-2</v>
      </c>
      <c r="AG46" s="98">
        <f t="shared" si="97"/>
        <v>7.716418332171604E-2</v>
      </c>
      <c r="AH46" s="27">
        <f t="shared" si="97"/>
        <v>0.10048637759017653</v>
      </c>
      <c r="AI46" s="27">
        <f t="shared" si="97"/>
        <v>0.10170445884146329</v>
      </c>
      <c r="AJ46" s="27">
        <f t="shared" si="97"/>
        <v>0.10285376354260278</v>
      </c>
      <c r="AK46" s="27">
        <f t="shared" si="97"/>
        <v>0.10393553540384359</v>
      </c>
      <c r="AL46" s="98">
        <f t="shared" si="97"/>
        <v>0.10226702537102117</v>
      </c>
      <c r="AM46" s="27">
        <f t="shared" si="97"/>
        <v>8.4180580169760377E-2</v>
      </c>
      <c r="AN46" s="27">
        <f t="shared" si="97"/>
        <v>8.4880170260016818E-2</v>
      </c>
      <c r="AO46" s="27">
        <f t="shared" si="97"/>
        <v>8.5568713852933076E-2</v>
      </c>
      <c r="AP46" s="27">
        <f t="shared" si="97"/>
        <v>8.624647053465706E-2</v>
      </c>
      <c r="AQ46" s="98">
        <f t="shared" si="97"/>
        <v>8.5233186846774167E-2</v>
      </c>
      <c r="AR46" s="27">
        <f t="shared" si="97"/>
        <v>6.5728997289972835E-2</v>
      </c>
      <c r="AS46" s="27">
        <f t="shared" si="97"/>
        <v>6.5421816227834606E-2</v>
      </c>
      <c r="AT46" s="27">
        <f t="shared" si="97"/>
        <v>6.5119872136387924E-2</v>
      </c>
      <c r="AU46" s="27">
        <f t="shared" si="97"/>
        <v>6.4823032223983112E-2</v>
      </c>
      <c r="AV46" s="98">
        <f t="shared" si="97"/>
        <v>6.5266961504021559E-2</v>
      </c>
    </row>
    <row r="47" spans="2:48" outlineLevel="1" x14ac:dyDescent="0.3">
      <c r="B47" s="220" t="s">
        <v>44</v>
      </c>
      <c r="C47" s="221"/>
      <c r="D47" s="222">
        <v>0.04</v>
      </c>
      <c r="E47" s="222">
        <v>0</v>
      </c>
      <c r="F47" s="222">
        <v>0.03</v>
      </c>
      <c r="G47" s="222">
        <v>0.03</v>
      </c>
      <c r="H47" s="223"/>
      <c r="I47" s="222">
        <v>0.02</v>
      </c>
      <c r="J47" s="222">
        <v>-7.0000000000000007E-2</v>
      </c>
      <c r="K47" s="222">
        <v>-0.53</v>
      </c>
      <c r="L47" s="224">
        <v>-0.25</v>
      </c>
      <c r="M47" s="223"/>
      <c r="N47" s="222">
        <v>-0.21</v>
      </c>
      <c r="O47" s="222">
        <v>-0.1</v>
      </c>
      <c r="P47" s="222">
        <v>0.82</v>
      </c>
      <c r="Q47" s="222">
        <v>0.18</v>
      </c>
      <c r="R47" s="225"/>
      <c r="S47" s="224">
        <v>0.12</v>
      </c>
      <c r="T47" s="224">
        <v>0.05</v>
      </c>
      <c r="U47" s="224">
        <v>0.01</v>
      </c>
      <c r="V47" s="224"/>
      <c r="W47" s="223"/>
      <c r="X47" s="224"/>
      <c r="Y47" s="224"/>
      <c r="Z47" s="224"/>
      <c r="AA47" s="224"/>
      <c r="AB47" s="376">
        <f>AB59/W59-1</f>
        <v>9.1365004210739231E-2</v>
      </c>
      <c r="AC47" s="224"/>
      <c r="AD47" s="224"/>
      <c r="AE47" s="224"/>
      <c r="AF47" s="224"/>
      <c r="AG47" s="225"/>
      <c r="AH47" s="224"/>
      <c r="AI47" s="224"/>
      <c r="AJ47" s="224"/>
      <c r="AK47" s="224"/>
      <c r="AL47" s="225"/>
      <c r="AM47" s="224"/>
      <c r="AN47" s="224"/>
      <c r="AO47" s="224"/>
      <c r="AP47" s="224"/>
      <c r="AQ47" s="225"/>
      <c r="AR47" s="224"/>
      <c r="AS47" s="224"/>
      <c r="AT47" s="224"/>
      <c r="AU47" s="224"/>
      <c r="AV47" s="225"/>
    </row>
    <row r="48" spans="2:48" outlineLevel="1" x14ac:dyDescent="0.3">
      <c r="B48" s="38" t="s">
        <v>43</v>
      </c>
      <c r="C48" s="207"/>
      <c r="D48" s="226">
        <v>0</v>
      </c>
      <c r="E48" s="226">
        <v>0.04</v>
      </c>
      <c r="F48" s="226">
        <v>0.04</v>
      </c>
      <c r="G48" s="226">
        <v>0.03</v>
      </c>
      <c r="H48" s="217"/>
      <c r="I48" s="226">
        <v>0.03</v>
      </c>
      <c r="J48" s="226">
        <v>0.05</v>
      </c>
      <c r="K48" s="226">
        <v>0.27</v>
      </c>
      <c r="L48" s="227">
        <v>0.21</v>
      </c>
      <c r="M48" s="217"/>
      <c r="N48" s="226">
        <v>0.2</v>
      </c>
      <c r="O48" s="226">
        <v>0.22</v>
      </c>
      <c r="P48" s="226">
        <v>0.01</v>
      </c>
      <c r="Q48" s="226">
        <v>0.03</v>
      </c>
      <c r="R48" s="218"/>
      <c r="S48" s="227">
        <v>0.06</v>
      </c>
      <c r="T48" s="227">
        <v>7.0000000000000007E-2</v>
      </c>
      <c r="U48" s="228">
        <v>0.08</v>
      </c>
      <c r="V48" s="228"/>
      <c r="W48" s="148"/>
      <c r="X48" s="228"/>
      <c r="Y48" s="228"/>
      <c r="Z48" s="228"/>
      <c r="AA48" s="228"/>
      <c r="AB48" s="362"/>
      <c r="AC48" s="228"/>
      <c r="AD48" s="228"/>
      <c r="AE48" s="228"/>
      <c r="AF48" s="228"/>
      <c r="AG48" s="60"/>
      <c r="AH48" s="228"/>
      <c r="AI48" s="228"/>
      <c r="AJ48" s="228"/>
      <c r="AK48" s="228"/>
      <c r="AL48" s="60"/>
      <c r="AM48" s="228"/>
      <c r="AN48" s="228"/>
      <c r="AO48" s="228"/>
      <c r="AP48" s="228"/>
      <c r="AQ48" s="60"/>
      <c r="AR48" s="228"/>
      <c r="AS48" s="228"/>
      <c r="AT48" s="228"/>
      <c r="AU48" s="228"/>
      <c r="AV48" s="60"/>
    </row>
    <row r="49" spans="2:48" s="8" customFormat="1" outlineLevel="1" x14ac:dyDescent="0.3">
      <c r="B49" s="229" t="s">
        <v>45</v>
      </c>
      <c r="C49" s="230"/>
      <c r="D49" s="231">
        <v>0.04</v>
      </c>
      <c r="E49" s="231">
        <v>4.2999999999999997E-2</v>
      </c>
      <c r="F49" s="231">
        <v>7.0000000000000007E-2</v>
      </c>
      <c r="G49" s="231">
        <v>0.06</v>
      </c>
      <c r="H49" s="232"/>
      <c r="I49" s="231">
        <v>0.06</v>
      </c>
      <c r="J49" s="231">
        <v>-0.03</v>
      </c>
      <c r="K49" s="231">
        <v>-0.41</v>
      </c>
      <c r="L49" s="233">
        <v>-0.09</v>
      </c>
      <c r="M49" s="234"/>
      <c r="N49" s="233">
        <v>-0.06</v>
      </c>
      <c r="O49" s="233">
        <v>0.09</v>
      </c>
      <c r="P49" s="231">
        <v>0.84</v>
      </c>
      <c r="Q49" s="231">
        <v>0.22</v>
      </c>
      <c r="R49" s="235"/>
      <c r="S49" s="233">
        <v>0.18</v>
      </c>
      <c r="T49" s="233">
        <v>0.12</v>
      </c>
      <c r="U49" s="231">
        <v>0.09</v>
      </c>
      <c r="V49" s="231"/>
      <c r="W49" s="232"/>
      <c r="X49" s="233"/>
      <c r="Y49" s="233"/>
      <c r="Z49" s="233"/>
      <c r="AA49" s="233"/>
      <c r="AB49" s="361"/>
      <c r="AC49" s="233"/>
      <c r="AD49" s="233"/>
      <c r="AE49" s="233"/>
      <c r="AF49" s="233"/>
      <c r="AG49" s="232"/>
      <c r="AH49" s="233"/>
      <c r="AI49" s="233"/>
      <c r="AJ49" s="233"/>
      <c r="AK49" s="233"/>
      <c r="AL49" s="232"/>
      <c r="AM49" s="233"/>
      <c r="AN49" s="233"/>
      <c r="AO49" s="233"/>
      <c r="AP49" s="233"/>
      <c r="AQ49" s="232"/>
      <c r="AR49" s="233"/>
      <c r="AS49" s="233"/>
      <c r="AT49" s="233"/>
      <c r="AU49" s="233"/>
      <c r="AV49" s="232"/>
    </row>
    <row r="50" spans="2:48" s="8" customFormat="1" outlineLevel="1" x14ac:dyDescent="0.3">
      <c r="B50" s="506" t="s">
        <v>177</v>
      </c>
      <c r="C50" s="507"/>
      <c r="D50" s="67">
        <v>7876</v>
      </c>
      <c r="E50" s="67">
        <v>7943</v>
      </c>
      <c r="F50" s="117">
        <v>7996</v>
      </c>
      <c r="G50" s="67">
        <v>8093</v>
      </c>
      <c r="H50" s="68"/>
      <c r="I50" s="67">
        <v>8183</v>
      </c>
      <c r="J50" s="67">
        <v>8220</v>
      </c>
      <c r="K50" s="67">
        <v>8218</v>
      </c>
      <c r="L50" s="67">
        <v>6831</v>
      </c>
      <c r="M50" s="68"/>
      <c r="N50" s="67">
        <v>8279</v>
      </c>
      <c r="O50" s="67">
        <f>+N50+O51</f>
        <v>8300</v>
      </c>
      <c r="P50" s="67">
        <f t="shared" ref="P50" si="98">+O50+P51</f>
        <v>8315</v>
      </c>
      <c r="Q50" s="67">
        <v>6965</v>
      </c>
      <c r="R50" s="192"/>
      <c r="S50" s="67">
        <f>+Q50+S51</f>
        <v>6988</v>
      </c>
      <c r="T50" s="67">
        <f>+S50+T51</f>
        <v>6972</v>
      </c>
      <c r="U50" s="67">
        <f t="shared" ref="U50:V50" si="99">+T50+U51</f>
        <v>7000</v>
      </c>
      <c r="V50" s="67">
        <f t="shared" si="99"/>
        <v>7028</v>
      </c>
      <c r="W50" s="253">
        <f>V50</f>
        <v>7028</v>
      </c>
      <c r="X50" s="67">
        <f>+V50+X51</f>
        <v>7096</v>
      </c>
      <c r="Y50" s="67">
        <f>+X50+Y51</f>
        <v>7164</v>
      </c>
      <c r="Z50" s="67">
        <f t="shared" ref="Z50:AA50" si="100">+Y50+Z51</f>
        <v>7232</v>
      </c>
      <c r="AA50" s="67">
        <f t="shared" si="100"/>
        <v>7301</v>
      </c>
      <c r="AB50" s="192">
        <f>AA50</f>
        <v>7301</v>
      </c>
      <c r="AC50" s="67">
        <f>+AA50+AC51</f>
        <v>7383</v>
      </c>
      <c r="AD50" s="67">
        <f>+AC50+AD51</f>
        <v>7465</v>
      </c>
      <c r="AE50" s="67">
        <f t="shared" ref="AE50" si="101">+AD50+AE51</f>
        <v>7547</v>
      </c>
      <c r="AF50" s="67">
        <f t="shared" ref="AF50" si="102">+AE50+AF51</f>
        <v>7630</v>
      </c>
      <c r="AG50" s="192">
        <f>AF50</f>
        <v>7630</v>
      </c>
      <c r="AH50" s="67">
        <f>+AF50+AH51</f>
        <v>7727</v>
      </c>
      <c r="AI50" s="67">
        <f>+AH50+AI51</f>
        <v>7824</v>
      </c>
      <c r="AJ50" s="67">
        <f t="shared" ref="AJ50" si="103">+AI50+AJ51</f>
        <v>7921</v>
      </c>
      <c r="AK50" s="67">
        <f t="shared" ref="AK50" si="104">+AJ50+AK51</f>
        <v>8018</v>
      </c>
      <c r="AL50" s="192">
        <f>AK50</f>
        <v>8018</v>
      </c>
      <c r="AM50" s="67">
        <f>+AK50+AM51</f>
        <v>8046</v>
      </c>
      <c r="AN50" s="67">
        <f>+AM50+AN51</f>
        <v>8074</v>
      </c>
      <c r="AO50" s="67">
        <f t="shared" ref="AO50" si="105">+AN50+AO51</f>
        <v>8102</v>
      </c>
      <c r="AP50" s="67">
        <f t="shared" ref="AP50" si="106">+AO50+AP51</f>
        <v>8130</v>
      </c>
      <c r="AQ50" s="192">
        <f>AP50</f>
        <v>8130</v>
      </c>
      <c r="AR50" s="67">
        <f>+AP50+AR51</f>
        <v>8158</v>
      </c>
      <c r="AS50" s="67">
        <f>+AR50+AS51</f>
        <v>8186</v>
      </c>
      <c r="AT50" s="67">
        <f t="shared" ref="AT50" si="107">+AS50+AT51</f>
        <v>8214</v>
      </c>
      <c r="AU50" s="67">
        <f t="shared" ref="AU50" si="108">+AT50+AU51</f>
        <v>8242</v>
      </c>
      <c r="AV50" s="192">
        <f>AU50</f>
        <v>8242</v>
      </c>
    </row>
    <row r="51" spans="2:48" outlineLevel="1" x14ac:dyDescent="0.3">
      <c r="B51" s="180" t="s">
        <v>47</v>
      </c>
      <c r="C51" s="201"/>
      <c r="D51" s="101">
        <f>+D50-7770</f>
        <v>106</v>
      </c>
      <c r="E51" s="101">
        <f>E50-D50</f>
        <v>67</v>
      </c>
      <c r="F51" s="101">
        <f t="shared" ref="F51:G51" si="109">F50-E50</f>
        <v>53</v>
      </c>
      <c r="G51" s="101">
        <f t="shared" si="109"/>
        <v>97</v>
      </c>
      <c r="H51" s="122">
        <f>+SUM(D51:G51)</f>
        <v>323</v>
      </c>
      <c r="I51" s="101">
        <f>I50-G50</f>
        <v>90</v>
      </c>
      <c r="J51" s="101">
        <f t="shared" ref="J51:K51" si="110">J50-I50</f>
        <v>37</v>
      </c>
      <c r="K51" s="101">
        <f t="shared" si="110"/>
        <v>-2</v>
      </c>
      <c r="L51" s="101">
        <v>32</v>
      </c>
      <c r="M51" s="122"/>
      <c r="N51" s="101">
        <v>34</v>
      </c>
      <c r="O51" s="101">
        <v>21</v>
      </c>
      <c r="P51" s="101">
        <v>15</v>
      </c>
      <c r="Q51" s="101">
        <v>73</v>
      </c>
      <c r="R51" s="26"/>
      <c r="S51" s="101">
        <v>23</v>
      </c>
      <c r="T51" s="101">
        <v>-16</v>
      </c>
      <c r="U51" s="101">
        <v>28</v>
      </c>
      <c r="V51" s="33">
        <v>28</v>
      </c>
      <c r="W51" s="122">
        <f>+SUM(S51:V51)</f>
        <v>63</v>
      </c>
      <c r="X51" s="33">
        <v>68</v>
      </c>
      <c r="Y51" s="33">
        <v>68</v>
      </c>
      <c r="Z51" s="33">
        <v>68</v>
      </c>
      <c r="AA51" s="33">
        <v>69</v>
      </c>
      <c r="AB51" s="26">
        <f>+SUM(X51:AA51)</f>
        <v>273</v>
      </c>
      <c r="AC51" s="33">
        <v>82</v>
      </c>
      <c r="AD51" s="33">
        <v>82</v>
      </c>
      <c r="AE51" s="33">
        <v>82</v>
      </c>
      <c r="AF51" s="33">
        <v>83</v>
      </c>
      <c r="AG51" s="26">
        <f>+SUM(AC51:AF51)</f>
        <v>329</v>
      </c>
      <c r="AH51" s="33">
        <v>97</v>
      </c>
      <c r="AI51" s="33">
        <v>97</v>
      </c>
      <c r="AJ51" s="33">
        <v>97</v>
      </c>
      <c r="AK51" s="33">
        <v>97</v>
      </c>
      <c r="AL51" s="26">
        <f>+SUM(AH51:AK51)</f>
        <v>388</v>
      </c>
      <c r="AM51" s="33">
        <v>28</v>
      </c>
      <c r="AN51" s="33">
        <v>28</v>
      </c>
      <c r="AO51" s="33">
        <v>28</v>
      </c>
      <c r="AP51" s="33">
        <v>28</v>
      </c>
      <c r="AQ51" s="26">
        <f>+SUM(AM51:AP51)</f>
        <v>112</v>
      </c>
      <c r="AR51" s="33">
        <v>28</v>
      </c>
      <c r="AS51" s="33">
        <v>28</v>
      </c>
      <c r="AT51" s="33">
        <v>28</v>
      </c>
      <c r="AU51" s="33">
        <v>28</v>
      </c>
      <c r="AV51" s="26">
        <f>+SUM(AR51:AU51)</f>
        <v>112</v>
      </c>
    </row>
    <row r="52" spans="2:48" outlineLevel="1" x14ac:dyDescent="0.3">
      <c r="B52" s="180" t="s">
        <v>49</v>
      </c>
      <c r="C52" s="201"/>
      <c r="D52" s="16">
        <f>AVERAGE(D50,7770)</f>
        <v>7823</v>
      </c>
      <c r="E52" s="16">
        <f>AVERAGE(E50,D50)</f>
        <v>7909.5</v>
      </c>
      <c r="F52" s="16">
        <f t="shared" ref="F52:G52" si="111">AVERAGE(F50,E50)</f>
        <v>7969.5</v>
      </c>
      <c r="G52" s="16">
        <f t="shared" si="111"/>
        <v>8044.5</v>
      </c>
      <c r="H52" s="26"/>
      <c r="I52" s="16">
        <f>AVERAGE(I50,G50)</f>
        <v>8138</v>
      </c>
      <c r="J52" s="16">
        <f>AVERAGE(J50,I50)</f>
        <v>8201.5</v>
      </c>
      <c r="K52" s="16">
        <f t="shared" ref="K52:L52" si="112">AVERAGE(K50,J50)</f>
        <v>8219</v>
      </c>
      <c r="L52" s="16">
        <f t="shared" si="112"/>
        <v>7524.5</v>
      </c>
      <c r="M52" s="6"/>
      <c r="N52" s="16">
        <f>AVERAGE(N50,L50)</f>
        <v>7555</v>
      </c>
      <c r="O52" s="16">
        <f>AVERAGE(O50,N50)</f>
        <v>8289.5</v>
      </c>
      <c r="P52" s="16">
        <f t="shared" ref="P52:Q52" si="113">AVERAGE(P50,O50)</f>
        <v>8307.5</v>
      </c>
      <c r="Q52" s="16">
        <f t="shared" si="113"/>
        <v>7640</v>
      </c>
      <c r="R52" s="6"/>
      <c r="S52" s="16">
        <f>AVERAGE(S50,Q50)</f>
        <v>6976.5</v>
      </c>
      <c r="T52" s="16">
        <f>AVERAGE(T50,S50)</f>
        <v>6980</v>
      </c>
      <c r="U52" s="16">
        <f t="shared" ref="U52:V52" si="114">AVERAGE(U50,T50)</f>
        <v>6986</v>
      </c>
      <c r="V52" s="16">
        <f t="shared" si="114"/>
        <v>7014</v>
      </c>
      <c r="W52" s="130"/>
      <c r="X52" s="16">
        <f>AVERAGE(X50,V50)</f>
        <v>7062</v>
      </c>
      <c r="Y52" s="16">
        <f>AVERAGE(Y50,X50)</f>
        <v>7130</v>
      </c>
      <c r="Z52" s="16">
        <f t="shared" ref="Z52:AA52" si="115">AVERAGE(Z50,Y50)</f>
        <v>7198</v>
      </c>
      <c r="AA52" s="16">
        <f t="shared" si="115"/>
        <v>7266.5</v>
      </c>
      <c r="AB52" s="6"/>
      <c r="AC52" s="16">
        <f>AVERAGE(AC50,AA50)</f>
        <v>7342</v>
      </c>
      <c r="AD52" s="16">
        <f>AVERAGE(AD50,AC50)</f>
        <v>7424</v>
      </c>
      <c r="AE52" s="16">
        <f t="shared" ref="AE52" si="116">AVERAGE(AE50,AD50)</f>
        <v>7506</v>
      </c>
      <c r="AF52" s="16">
        <f t="shared" ref="AF52" si="117">AVERAGE(AF50,AE50)</f>
        <v>7588.5</v>
      </c>
      <c r="AG52" s="6"/>
      <c r="AH52" s="16">
        <f>AVERAGE(AH50,AF50)</f>
        <v>7678.5</v>
      </c>
      <c r="AI52" s="16">
        <f>AVERAGE(AI50,AH50)</f>
        <v>7775.5</v>
      </c>
      <c r="AJ52" s="16">
        <f t="shared" ref="AJ52" si="118">AVERAGE(AJ50,AI50)</f>
        <v>7872.5</v>
      </c>
      <c r="AK52" s="16">
        <f t="shared" ref="AK52" si="119">AVERAGE(AK50,AJ50)</f>
        <v>7969.5</v>
      </c>
      <c r="AL52" s="6"/>
      <c r="AM52" s="16">
        <f>AVERAGE(AM50,AK50)</f>
        <v>8032</v>
      </c>
      <c r="AN52" s="16">
        <f>AVERAGE(AN50,AM50)</f>
        <v>8060</v>
      </c>
      <c r="AO52" s="16">
        <f t="shared" ref="AO52" si="120">AVERAGE(AO50,AN50)</f>
        <v>8088</v>
      </c>
      <c r="AP52" s="16">
        <f t="shared" ref="AP52" si="121">AVERAGE(AP50,AO50)</f>
        <v>8116</v>
      </c>
      <c r="AQ52" s="6"/>
      <c r="AR52" s="16">
        <f>AVERAGE(AR50,AP50)</f>
        <v>8144</v>
      </c>
      <c r="AS52" s="16">
        <f>AVERAGE(AS50,AR50)</f>
        <v>8172</v>
      </c>
      <c r="AT52" s="16">
        <f t="shared" ref="AT52" si="122">AVERAGE(AT50,AS50)</f>
        <v>8200</v>
      </c>
      <c r="AU52" s="16">
        <f t="shared" ref="AU52" si="123">AVERAGE(AU50,AT50)</f>
        <v>8228</v>
      </c>
      <c r="AV52" s="6"/>
    </row>
    <row r="53" spans="2:48" outlineLevel="1" x14ac:dyDescent="0.3">
      <c r="B53" s="180" t="s">
        <v>202</v>
      </c>
      <c r="C53" s="201"/>
      <c r="D53" s="43">
        <f>+D54/D52</f>
        <v>6.5780391154288645E-2</v>
      </c>
      <c r="E53" s="43">
        <f>+E54/E52</f>
        <v>5.8549845122953414E-2</v>
      </c>
      <c r="F53" s="43">
        <f>+F54/F52</f>
        <v>6.2274923144488362E-2</v>
      </c>
      <c r="G53" s="114">
        <f t="shared" ref="G53:S53" si="124">+G54/G52</f>
        <v>6.016533034992852E-2</v>
      </c>
      <c r="H53" s="127"/>
      <c r="I53" s="114">
        <f t="shared" si="124"/>
        <v>6.6023593020398133E-2</v>
      </c>
      <c r="J53" s="114">
        <f t="shared" si="124"/>
        <v>5.6599402548314331E-2</v>
      </c>
      <c r="K53" s="114">
        <f t="shared" si="124"/>
        <v>2.8653120817617714E-2</v>
      </c>
      <c r="L53" s="114">
        <f t="shared" si="124"/>
        <v>4.4773739118878331E-2</v>
      </c>
      <c r="M53" s="6"/>
      <c r="N53" s="114">
        <f t="shared" si="124"/>
        <v>5.5089344804765052E-2</v>
      </c>
      <c r="O53" s="114">
        <f t="shared" si="124"/>
        <v>4.7554134748778572E-2</v>
      </c>
      <c r="P53" s="114">
        <f t="shared" si="124"/>
        <v>5.6394823954258204E-2</v>
      </c>
      <c r="Q53" s="114">
        <f t="shared" si="124"/>
        <v>6.6295811518324602E-2</v>
      </c>
      <c r="R53" s="6"/>
      <c r="S53" s="114">
        <f t="shared" si="124"/>
        <v>7.3948254855586606E-2</v>
      </c>
      <c r="T53" s="114">
        <f>+T54/T52</f>
        <v>7.2636103151862461E-2</v>
      </c>
      <c r="U53" s="114">
        <f>+U54/U52</f>
        <v>7.7898654451760668E-2</v>
      </c>
      <c r="V53" s="62">
        <f>Q53*1.1</f>
        <v>7.2925392670157074E-2</v>
      </c>
      <c r="W53" s="130"/>
      <c r="X53" s="62">
        <f>S53*1.1</f>
        <v>8.1343080341145277E-2</v>
      </c>
      <c r="Y53" s="62">
        <f>T53*1.1</f>
        <v>7.9899713467048716E-2</v>
      </c>
      <c r="Z53" s="62">
        <f>U53*1.05</f>
        <v>8.1793587174348703E-2</v>
      </c>
      <c r="AA53" s="62">
        <f>V53*1.05</f>
        <v>7.6571662303664925E-2</v>
      </c>
      <c r="AB53" s="378"/>
      <c r="AC53" s="62">
        <f>X53*1.05</f>
        <v>8.5410234358202539E-2</v>
      </c>
      <c r="AD53" s="62">
        <f>Y53*1.05</f>
        <v>8.3894699140401152E-2</v>
      </c>
      <c r="AE53" s="62">
        <f>Z53*1.05</f>
        <v>8.5883266533066147E-2</v>
      </c>
      <c r="AF53" s="62">
        <f>AA53*1.05</f>
        <v>8.0400245418848174E-2</v>
      </c>
      <c r="AG53" s="378"/>
      <c r="AH53" s="62">
        <f>AC53*1.07</f>
        <v>9.1388950763276716E-2</v>
      </c>
      <c r="AI53" s="62">
        <f>AD53*1.07</f>
        <v>8.9767328080229233E-2</v>
      </c>
      <c r="AJ53" s="62">
        <f>AE53*1.07</f>
        <v>9.1895095190380777E-2</v>
      </c>
      <c r="AK53" s="62">
        <f>AF53*1.07</f>
        <v>8.6028262598167551E-2</v>
      </c>
      <c r="AL53" s="379"/>
      <c r="AM53" s="219">
        <f>AH53*1.05</f>
        <v>9.5958398301440553E-2</v>
      </c>
      <c r="AN53" s="219">
        <f>AI53*1.05</f>
        <v>9.4255694484240704E-2</v>
      </c>
      <c r="AO53" s="219">
        <f>AJ53*1.05</f>
        <v>9.6489849949899814E-2</v>
      </c>
      <c r="AP53" s="219">
        <f>AK53*1.05</f>
        <v>9.0329675728075931E-2</v>
      </c>
      <c r="AQ53" s="97"/>
      <c r="AR53" s="219">
        <f>AM53*1.03</f>
        <v>9.8837150250483771E-2</v>
      </c>
      <c r="AS53" s="219">
        <f>AN53*1.03</f>
        <v>9.7083365318767934E-2</v>
      </c>
      <c r="AT53" s="219">
        <f>AO53*1.03</f>
        <v>9.938454544839681E-2</v>
      </c>
      <c r="AU53" s="219">
        <f>AP53*1.03</f>
        <v>9.3039565999918208E-2</v>
      </c>
      <c r="AV53" s="6"/>
    </row>
    <row r="54" spans="2:48" s="8" customFormat="1" outlineLevel="1" x14ac:dyDescent="0.3">
      <c r="B54" s="498" t="s">
        <v>178</v>
      </c>
      <c r="C54" s="499"/>
      <c r="D54" s="115">
        <v>514.6</v>
      </c>
      <c r="E54" s="115">
        <v>463.1</v>
      </c>
      <c r="F54" s="115">
        <v>496.3</v>
      </c>
      <c r="G54" s="115">
        <v>484</v>
      </c>
      <c r="H54" s="153"/>
      <c r="I54" s="115">
        <v>537.29999999999995</v>
      </c>
      <c r="J54" s="115">
        <v>464.2</v>
      </c>
      <c r="K54" s="115">
        <v>235.5</v>
      </c>
      <c r="L54" s="72">
        <v>336.9</v>
      </c>
      <c r="M54" s="73"/>
      <c r="N54" s="72">
        <v>416.2</v>
      </c>
      <c r="O54" s="72">
        <v>394.2</v>
      </c>
      <c r="P54" s="72">
        <v>468.5</v>
      </c>
      <c r="Q54" s="115">
        <v>506.5</v>
      </c>
      <c r="R54" s="73"/>
      <c r="S54" s="72">
        <v>515.9</v>
      </c>
      <c r="T54" s="72">
        <v>507</v>
      </c>
      <c r="U54" s="72">
        <v>544.20000000000005</v>
      </c>
      <c r="V54" s="72">
        <f t="shared" ref="V54" si="125">+V52*V53</f>
        <v>511.49870418848172</v>
      </c>
      <c r="W54" s="213">
        <f>SUM(S54:V54)</f>
        <v>2078.5987041884819</v>
      </c>
      <c r="X54" s="72">
        <f>+X52*X53</f>
        <v>574.4448333691679</v>
      </c>
      <c r="Y54" s="72">
        <f>+Y52*Y53</f>
        <v>569.68495702005737</v>
      </c>
      <c r="Z54" s="72">
        <f t="shared" ref="Z54:AA54" si="126">+Z52*Z53</f>
        <v>588.75024048096202</v>
      </c>
      <c r="AA54" s="72">
        <f t="shared" si="126"/>
        <v>556.40798412958122</v>
      </c>
      <c r="AB54" s="73">
        <f>SUM(X54:AA54)</f>
        <v>2289.2880149997686</v>
      </c>
      <c r="AC54" s="72">
        <f>+AC52*AC53</f>
        <v>627.08194065792304</v>
      </c>
      <c r="AD54" s="72">
        <f>+AD52*AD53</f>
        <v>622.83424641833813</v>
      </c>
      <c r="AE54" s="72">
        <f t="shared" ref="AE54:AF54" si="127">+AE52*AE53</f>
        <v>644.6397985971945</v>
      </c>
      <c r="AF54" s="72">
        <f t="shared" si="127"/>
        <v>610.11726236092932</v>
      </c>
      <c r="AG54" s="73">
        <f>SUM(AC54:AF54)</f>
        <v>2504.6732480343853</v>
      </c>
      <c r="AH54" s="72">
        <f>+AH52*AH53</f>
        <v>701.7300584358203</v>
      </c>
      <c r="AI54" s="72">
        <f>+AI52*AI53</f>
        <v>697.98585948782238</v>
      </c>
      <c r="AJ54" s="72">
        <f t="shared" ref="AJ54:AK54" si="128">+AJ52*AJ53</f>
        <v>723.44413688627264</v>
      </c>
      <c r="AK54" s="72">
        <f t="shared" si="128"/>
        <v>685.60223877609633</v>
      </c>
      <c r="AL54" s="73">
        <f>SUM(AH54:AK54)</f>
        <v>2808.7622935860118</v>
      </c>
      <c r="AM54" s="72">
        <f>+AM52*AM53</f>
        <v>770.73785515717054</v>
      </c>
      <c r="AN54" s="72">
        <f>+AN52*AN53</f>
        <v>759.7008975429801</v>
      </c>
      <c r="AO54" s="72">
        <f t="shared" ref="AO54:AP54" si="129">+AO52*AO53</f>
        <v>780.40990639478969</v>
      </c>
      <c r="AP54" s="72">
        <f t="shared" si="129"/>
        <v>733.11564820906426</v>
      </c>
      <c r="AQ54" s="73">
        <f>SUM(AM54:AP54)</f>
        <v>3043.9643073040047</v>
      </c>
      <c r="AR54" s="72">
        <f>+AR52*AR53</f>
        <v>804.92975163993981</v>
      </c>
      <c r="AS54" s="72">
        <f>+AS52*AS53</f>
        <v>793.36526138497152</v>
      </c>
      <c r="AT54" s="72">
        <f t="shared" ref="AT54:AU54" si="130">+AT52*AT53</f>
        <v>814.95327267685389</v>
      </c>
      <c r="AU54" s="72">
        <f t="shared" si="130"/>
        <v>765.52954904732701</v>
      </c>
      <c r="AV54" s="73">
        <f>SUM(AR54:AU54)</f>
        <v>3178.7778347490921</v>
      </c>
    </row>
    <row r="55" spans="2:48" s="8" customFormat="1" outlineLevel="1" x14ac:dyDescent="0.3">
      <c r="B55" s="500" t="s">
        <v>179</v>
      </c>
      <c r="C55" s="501"/>
      <c r="D55" s="103">
        <v>5.7</v>
      </c>
      <c r="E55" s="103">
        <v>1.4</v>
      </c>
      <c r="F55" s="103">
        <v>2.6</v>
      </c>
      <c r="G55" s="103">
        <v>3.2</v>
      </c>
      <c r="H55" s="154"/>
      <c r="I55" s="103">
        <v>2.6</v>
      </c>
      <c r="J55" s="103">
        <v>2.2000000000000002</v>
      </c>
      <c r="K55" s="103">
        <v>1.1000000000000001</v>
      </c>
      <c r="L55" s="50">
        <v>1.7</v>
      </c>
      <c r="M55" s="97"/>
      <c r="N55" s="50">
        <v>2.2000000000000002</v>
      </c>
      <c r="O55" s="50">
        <v>2</v>
      </c>
      <c r="P55" s="50">
        <v>2</v>
      </c>
      <c r="Q55" s="103">
        <v>2.2000000000000002</v>
      </c>
      <c r="R55" s="191"/>
      <c r="S55" s="50">
        <v>2.2999999999999998</v>
      </c>
      <c r="T55" s="50">
        <v>2.4</v>
      </c>
      <c r="U55" s="50">
        <v>1</v>
      </c>
      <c r="V55" s="50">
        <f t="shared" ref="V55" si="131">+Q55*(1+V56)</f>
        <v>1.9800000000000002</v>
      </c>
      <c r="W55" s="166">
        <f>SUM(S55:V55)</f>
        <v>7.68</v>
      </c>
      <c r="X55" s="50">
        <f>+S55*(1+X56)</f>
        <v>1.9549999999999998</v>
      </c>
      <c r="Y55" s="50">
        <f>+T55*(1+Y56)</f>
        <v>1.968</v>
      </c>
      <c r="Z55" s="50">
        <f>+U55*(1+Z56)</f>
        <v>1.95</v>
      </c>
      <c r="AA55" s="50">
        <f t="shared" ref="AA55" si="132">+V55*(1+AA56)</f>
        <v>1.9800000000000002</v>
      </c>
      <c r="AB55" s="191">
        <f>SUM(X55:AA55)</f>
        <v>7.8530000000000006</v>
      </c>
      <c r="AC55" s="50">
        <f>+X55*(1+AC56)</f>
        <v>1.9549999999999998</v>
      </c>
      <c r="AD55" s="50">
        <f>+Y55*(1+AD56)</f>
        <v>1.968</v>
      </c>
      <c r="AE55" s="50">
        <f>+Z55*(1+AE56)</f>
        <v>1.95</v>
      </c>
      <c r="AF55" s="50">
        <f t="shared" ref="AF55" si="133">+AA55*(1+AF56)</f>
        <v>1.9800000000000002</v>
      </c>
      <c r="AG55" s="191">
        <f>SUM(AC55:AF55)</f>
        <v>7.8530000000000006</v>
      </c>
      <c r="AH55" s="50">
        <f>+AC55*(1+AH56)</f>
        <v>1.9549999999999998</v>
      </c>
      <c r="AI55" s="50">
        <f>+AD55*(1+AI56)</f>
        <v>1.968</v>
      </c>
      <c r="AJ55" s="50">
        <f>+AE55*(1+AJ56)</f>
        <v>1.95</v>
      </c>
      <c r="AK55" s="50">
        <f t="shared" ref="AK55" si="134">+AF55*(1+AK56)</f>
        <v>1.9800000000000002</v>
      </c>
      <c r="AL55" s="191">
        <f>SUM(AH55:AK55)</f>
        <v>7.8530000000000006</v>
      </c>
      <c r="AM55" s="50">
        <f>+AH55*(1+AM56)</f>
        <v>1.9549999999999998</v>
      </c>
      <c r="AN55" s="50">
        <f>+AI55*(1+AN56)</f>
        <v>1.968</v>
      </c>
      <c r="AO55" s="50">
        <f>+AJ55*(1+AO56)</f>
        <v>1.95</v>
      </c>
      <c r="AP55" s="50">
        <f t="shared" ref="AP55" si="135">+AK55*(1+AP56)</f>
        <v>1.9800000000000002</v>
      </c>
      <c r="AQ55" s="191">
        <f>SUM(AM55:AP55)</f>
        <v>7.8530000000000006</v>
      </c>
      <c r="AR55" s="50">
        <f>+AM55*(1+AR56)</f>
        <v>1.9549999999999998</v>
      </c>
      <c r="AS55" s="50">
        <f>+AN55*(1+AS56)</f>
        <v>1.968</v>
      </c>
      <c r="AT55" s="50">
        <f>+AO55*(1+AT56)</f>
        <v>1.95</v>
      </c>
      <c r="AU55" s="50">
        <f t="shared" ref="AU55" si="136">+AP55*(1+AU56)</f>
        <v>1.9800000000000002</v>
      </c>
      <c r="AV55" s="191">
        <f>SUM(AR55:AU55)</f>
        <v>7.8530000000000006</v>
      </c>
    </row>
    <row r="56" spans="2:48" outlineLevel="1" x14ac:dyDescent="0.3">
      <c r="B56" s="69" t="s">
        <v>50</v>
      </c>
      <c r="C56" s="70"/>
      <c r="D56" s="120"/>
      <c r="E56" s="120"/>
      <c r="F56" s="120"/>
      <c r="G56" s="120"/>
      <c r="H56" s="155"/>
      <c r="I56" s="120">
        <f>I55/D55-1</f>
        <v>-0.54385964912280704</v>
      </c>
      <c r="J56" s="120">
        <f t="shared" ref="J56" si="137">J55/E55-1</f>
        <v>0.57142857142857162</v>
      </c>
      <c r="K56" s="120">
        <f>K55/F55-1</f>
        <v>-0.57692307692307687</v>
      </c>
      <c r="L56" s="120">
        <f>L55/G55-1</f>
        <v>-0.46875</v>
      </c>
      <c r="M56" s="58"/>
      <c r="N56" s="120">
        <f>N55/I55-1</f>
        <v>-0.15384615384615385</v>
      </c>
      <c r="O56" s="120">
        <f t="shared" ref="O56" si="138">O55/J55-1</f>
        <v>-9.0909090909090939E-2</v>
      </c>
      <c r="P56" s="120">
        <f>P55/K55-1</f>
        <v>0.81818181818181812</v>
      </c>
      <c r="Q56" s="120">
        <f>Q55/L55-1</f>
        <v>0.29411764705882359</v>
      </c>
      <c r="R56" s="58"/>
      <c r="S56" s="120">
        <f>S55/N55-1</f>
        <v>4.5454545454545192E-2</v>
      </c>
      <c r="T56" s="120">
        <f t="shared" ref="T56:U56" si="139">T55/O55-1</f>
        <v>0.19999999999999996</v>
      </c>
      <c r="U56" s="120">
        <f t="shared" si="139"/>
        <v>-0.5</v>
      </c>
      <c r="V56" s="71">
        <v>-0.1</v>
      </c>
      <c r="W56" s="155"/>
      <c r="X56" s="71">
        <v>-0.15</v>
      </c>
      <c r="Y56" s="71">
        <v>-0.18</v>
      </c>
      <c r="Z56" s="71">
        <v>0.95</v>
      </c>
      <c r="AA56" s="71">
        <v>0</v>
      </c>
      <c r="AB56" s="374"/>
      <c r="AC56" s="71">
        <v>0</v>
      </c>
      <c r="AD56" s="71">
        <v>0</v>
      </c>
      <c r="AE56" s="71">
        <v>0</v>
      </c>
      <c r="AF56" s="71">
        <v>0</v>
      </c>
      <c r="AG56" s="58"/>
      <c r="AH56" s="71">
        <v>0</v>
      </c>
      <c r="AI56" s="71">
        <v>0</v>
      </c>
      <c r="AJ56" s="71">
        <v>0</v>
      </c>
      <c r="AK56" s="71">
        <v>0</v>
      </c>
      <c r="AL56" s="58"/>
      <c r="AM56" s="71">
        <v>0</v>
      </c>
      <c r="AN56" s="71">
        <v>0</v>
      </c>
      <c r="AO56" s="71">
        <v>0</v>
      </c>
      <c r="AP56" s="71">
        <v>0</v>
      </c>
      <c r="AQ56" s="58"/>
      <c r="AR56" s="71">
        <v>0</v>
      </c>
      <c r="AS56" s="71">
        <v>0</v>
      </c>
      <c r="AT56" s="71">
        <v>0</v>
      </c>
      <c r="AU56" s="71">
        <v>0</v>
      </c>
      <c r="AV56" s="58"/>
    </row>
    <row r="57" spans="2:48" outlineLevel="1" x14ac:dyDescent="0.3">
      <c r="B57" s="180" t="s">
        <v>180</v>
      </c>
      <c r="C57" s="207"/>
      <c r="D57" s="101">
        <f t="shared" ref="D57:G58" si="140">+D50+D41</f>
        <v>17653</v>
      </c>
      <c r="E57" s="101">
        <f t="shared" si="140"/>
        <v>17719</v>
      </c>
      <c r="F57" s="101">
        <f t="shared" si="140"/>
        <v>17853</v>
      </c>
      <c r="G57" s="101">
        <f t="shared" si="140"/>
        <v>18067</v>
      </c>
      <c r="H57" s="122"/>
      <c r="I57" s="101">
        <f t="shared" ref="I57:L58" si="141">+I50+I41</f>
        <v>18203</v>
      </c>
      <c r="J57" s="101">
        <f t="shared" si="141"/>
        <v>18271</v>
      </c>
      <c r="K57" s="101">
        <f t="shared" si="141"/>
        <v>18235</v>
      </c>
      <c r="L57" s="16">
        <f t="shared" si="141"/>
        <v>16940</v>
      </c>
      <c r="M57" s="6"/>
      <c r="N57" s="16">
        <f t="shared" ref="N57:Q58" si="142">+N50+N41</f>
        <v>18308</v>
      </c>
      <c r="O57" s="16">
        <f t="shared" si="142"/>
        <v>18120</v>
      </c>
      <c r="P57" s="16">
        <f t="shared" si="142"/>
        <v>18175</v>
      </c>
      <c r="Q57" s="101">
        <f t="shared" si="142"/>
        <v>16826</v>
      </c>
      <c r="R57" s="6"/>
      <c r="S57" s="16">
        <f t="shared" ref="S57:V58" si="143">+S50+S41</f>
        <v>16888</v>
      </c>
      <c r="T57" s="16">
        <f t="shared" si="143"/>
        <v>16926</v>
      </c>
      <c r="U57" s="16">
        <f t="shared" si="143"/>
        <v>17050</v>
      </c>
      <c r="V57" s="16">
        <f t="shared" si="143"/>
        <v>17174</v>
      </c>
      <c r="W57" s="254">
        <f>W58/Q57</f>
        <v>2.0682277427790323E-2</v>
      </c>
      <c r="X57" s="16">
        <f t="shared" ref="X57:AA58" si="144">+X50+X41</f>
        <v>17302.5</v>
      </c>
      <c r="Y57" s="16">
        <f t="shared" si="144"/>
        <v>17431</v>
      </c>
      <c r="Z57" s="16">
        <f t="shared" si="144"/>
        <v>17559.5</v>
      </c>
      <c r="AA57" s="16">
        <f t="shared" si="144"/>
        <v>17689</v>
      </c>
      <c r="AB57" s="254">
        <f>AB58/V57</f>
        <v>2.9987189938278792E-2</v>
      </c>
      <c r="AC57" s="16">
        <f t="shared" ref="AC57:AF57" si="145">+AC50+AC41</f>
        <v>17843</v>
      </c>
      <c r="AD57" s="16">
        <f t="shared" si="145"/>
        <v>17997</v>
      </c>
      <c r="AE57" s="16">
        <f t="shared" si="145"/>
        <v>18152</v>
      </c>
      <c r="AF57" s="16">
        <f t="shared" si="145"/>
        <v>18308</v>
      </c>
      <c r="AG57" s="254">
        <f>AG58/AA57</f>
        <v>3.499349878455537E-2</v>
      </c>
      <c r="AH57" s="16">
        <f t="shared" ref="AH57:AK57" si="146">+AH50+AH41</f>
        <v>18491</v>
      </c>
      <c r="AI57" s="16">
        <f t="shared" si="146"/>
        <v>18674</v>
      </c>
      <c r="AJ57" s="16">
        <f t="shared" si="146"/>
        <v>18857</v>
      </c>
      <c r="AK57" s="16">
        <f t="shared" si="146"/>
        <v>19040</v>
      </c>
      <c r="AL57" s="254">
        <f>AL58/AF57</f>
        <v>3.9982521302162989E-2</v>
      </c>
      <c r="AM57" s="16">
        <f t="shared" ref="AM57:AP57" si="147">+AM50+AM41</f>
        <v>19164</v>
      </c>
      <c r="AN57" s="16">
        <f t="shared" si="147"/>
        <v>19288</v>
      </c>
      <c r="AO57" s="16">
        <f t="shared" si="147"/>
        <v>19412</v>
      </c>
      <c r="AP57" s="16">
        <f t="shared" si="147"/>
        <v>19536</v>
      </c>
      <c r="AQ57" s="254">
        <f>AQ58/AK57</f>
        <v>2.6050420168067228E-2</v>
      </c>
      <c r="AR57" s="16">
        <f t="shared" ref="AR57:AU57" si="148">+AR50+AR41</f>
        <v>19660</v>
      </c>
      <c r="AS57" s="16">
        <f t="shared" si="148"/>
        <v>19784</v>
      </c>
      <c r="AT57" s="16">
        <f t="shared" si="148"/>
        <v>19908</v>
      </c>
      <c r="AU57" s="16">
        <f t="shared" si="148"/>
        <v>20032</v>
      </c>
      <c r="AV57" s="254">
        <f>AV58/AP57</f>
        <v>2.5389025389025387E-2</v>
      </c>
    </row>
    <row r="58" spans="2:48" outlineLevel="1" x14ac:dyDescent="0.3">
      <c r="B58" s="180" t="s">
        <v>181</v>
      </c>
      <c r="C58" s="207"/>
      <c r="D58" s="101">
        <f t="shared" si="140"/>
        <v>193</v>
      </c>
      <c r="E58" s="101">
        <f t="shared" si="140"/>
        <v>66</v>
      </c>
      <c r="F58" s="101">
        <f t="shared" si="140"/>
        <v>134</v>
      </c>
      <c r="G58" s="101">
        <f t="shared" si="140"/>
        <v>214</v>
      </c>
      <c r="H58" s="122">
        <f>+H51+H42</f>
        <v>607</v>
      </c>
      <c r="I58" s="101">
        <f t="shared" si="141"/>
        <v>136</v>
      </c>
      <c r="J58" s="101">
        <f t="shared" si="141"/>
        <v>68</v>
      </c>
      <c r="K58" s="101">
        <f t="shared" si="141"/>
        <v>-36</v>
      </c>
      <c r="L58" s="16">
        <f t="shared" si="141"/>
        <v>124</v>
      </c>
      <c r="M58" s="122"/>
      <c r="N58" s="16">
        <f t="shared" si="142"/>
        <v>-46</v>
      </c>
      <c r="O58" s="16">
        <f t="shared" si="142"/>
        <v>-188</v>
      </c>
      <c r="P58" s="16">
        <f t="shared" si="142"/>
        <v>55</v>
      </c>
      <c r="Q58" s="101">
        <f t="shared" si="142"/>
        <v>74</v>
      </c>
      <c r="R58" s="122"/>
      <c r="S58" s="16">
        <f t="shared" si="143"/>
        <v>62</v>
      </c>
      <c r="T58" s="16">
        <f t="shared" si="143"/>
        <v>38</v>
      </c>
      <c r="U58" s="16">
        <f t="shared" si="143"/>
        <v>124</v>
      </c>
      <c r="V58" s="16">
        <f t="shared" si="143"/>
        <v>124</v>
      </c>
      <c r="W58" s="122">
        <f>+W51+W42</f>
        <v>348</v>
      </c>
      <c r="X58" s="16">
        <f t="shared" si="144"/>
        <v>128.5</v>
      </c>
      <c r="Y58" s="16">
        <f t="shared" si="144"/>
        <v>128.5</v>
      </c>
      <c r="Z58" s="16">
        <f t="shared" si="144"/>
        <v>128.5</v>
      </c>
      <c r="AA58" s="16">
        <f t="shared" si="144"/>
        <v>129.5</v>
      </c>
      <c r="AB58" s="122">
        <f>+AB51+AB42</f>
        <v>515</v>
      </c>
      <c r="AC58" s="16">
        <f t="shared" ref="AC58:AF58" si="149">+AC51+AC42</f>
        <v>154</v>
      </c>
      <c r="AD58" s="16">
        <f t="shared" si="149"/>
        <v>154</v>
      </c>
      <c r="AE58" s="16">
        <f t="shared" si="149"/>
        <v>155</v>
      </c>
      <c r="AF58" s="16">
        <f t="shared" si="149"/>
        <v>156</v>
      </c>
      <c r="AG58" s="122">
        <f>+AG51+AG42</f>
        <v>619</v>
      </c>
      <c r="AH58" s="16">
        <f t="shared" ref="AH58:AK58" si="150">+AH51+AH42</f>
        <v>183</v>
      </c>
      <c r="AI58" s="16">
        <f t="shared" si="150"/>
        <v>183</v>
      </c>
      <c r="AJ58" s="16">
        <f t="shared" si="150"/>
        <v>183</v>
      </c>
      <c r="AK58" s="16">
        <f t="shared" si="150"/>
        <v>183</v>
      </c>
      <c r="AL58" s="122">
        <f>+AL51+AL42</f>
        <v>732</v>
      </c>
      <c r="AM58" s="16">
        <f t="shared" ref="AM58:AP58" si="151">+AM51+AM42</f>
        <v>124</v>
      </c>
      <c r="AN58" s="16">
        <f t="shared" si="151"/>
        <v>124</v>
      </c>
      <c r="AO58" s="16">
        <f t="shared" si="151"/>
        <v>124</v>
      </c>
      <c r="AP58" s="16">
        <f t="shared" si="151"/>
        <v>124</v>
      </c>
      <c r="AQ58" s="122">
        <f>+AQ51+AQ42</f>
        <v>496</v>
      </c>
      <c r="AR58" s="16">
        <f t="shared" ref="AR58:AU58" si="152">+AR51+AR42</f>
        <v>124</v>
      </c>
      <c r="AS58" s="16">
        <f t="shared" si="152"/>
        <v>124</v>
      </c>
      <c r="AT58" s="16">
        <f t="shared" si="152"/>
        <v>124</v>
      </c>
      <c r="AU58" s="16">
        <f t="shared" si="152"/>
        <v>124</v>
      </c>
      <c r="AV58" s="122">
        <f>+AV51+AV42</f>
        <v>496</v>
      </c>
    </row>
    <row r="59" spans="2:48" outlineLevel="1" x14ac:dyDescent="0.3">
      <c r="B59" s="502" t="s">
        <v>182</v>
      </c>
      <c r="C59" s="503"/>
      <c r="D59" s="115">
        <f>+D55+D54+D45</f>
        <v>4612.5</v>
      </c>
      <c r="E59" s="115">
        <f>+E55+E54+E45</f>
        <v>4314.1000000000004</v>
      </c>
      <c r="F59" s="115">
        <f>+F55+F54+F45</f>
        <v>4681.0999999999995</v>
      </c>
      <c r="G59" s="115">
        <f>+G55+G54+G45</f>
        <v>4651.3999999999996</v>
      </c>
      <c r="H59" s="132">
        <f>SUM(D59:G59)</f>
        <v>18259.099999999999</v>
      </c>
      <c r="I59" s="115">
        <f>+I55+I54+I45</f>
        <v>5010.8999999999996</v>
      </c>
      <c r="J59" s="115">
        <f>+J55+J54+J45</f>
        <v>4330</v>
      </c>
      <c r="K59" s="115">
        <f>+K55+K54+K45</f>
        <v>2805.5</v>
      </c>
      <c r="L59" s="72">
        <f>+L55+L54+L45</f>
        <v>4213.9000000000005</v>
      </c>
      <c r="M59" s="97"/>
      <c r="N59" s="72">
        <f>+N55+N54+N45</f>
        <v>4703.2</v>
      </c>
      <c r="O59" s="72">
        <f>+O55+O54+O45</f>
        <v>4664.5999999999995</v>
      </c>
      <c r="P59" s="72">
        <f>+P55+P54+P45</f>
        <v>5400.3</v>
      </c>
      <c r="Q59" s="115">
        <f>+Q55+Q54+Q45</f>
        <v>5763</v>
      </c>
      <c r="R59" s="97"/>
      <c r="S59" s="72">
        <f>+S55+S54+S45</f>
        <v>5732.3</v>
      </c>
      <c r="T59" s="72">
        <f>+T55+T54+T45</f>
        <v>5445.7</v>
      </c>
      <c r="U59" s="72">
        <f>+U55+U54+U45</f>
        <v>6058.4</v>
      </c>
      <c r="V59" s="72">
        <f>+V55+V54+V45</f>
        <v>5948.1423230719047</v>
      </c>
      <c r="W59" s="97">
        <f>SUM(S59:V59)</f>
        <v>23184.542323071906</v>
      </c>
      <c r="X59" s="72">
        <f>+X55+X54+X45</f>
        <v>6322.4839469008721</v>
      </c>
      <c r="Y59" s="72">
        <f>+Y55+Y54+Y45</f>
        <v>6018.3020813023186</v>
      </c>
      <c r="Z59" s="72">
        <f>+Z55+Z54+Z45</f>
        <v>6550.4421555979388</v>
      </c>
      <c r="AA59" s="72">
        <f>+AA55+AA54+AA45</f>
        <v>6411.5699462423026</v>
      </c>
      <c r="AB59" s="97">
        <f>SUM(X59:AA59)</f>
        <v>25302.798130043433</v>
      </c>
      <c r="AC59" s="72">
        <f>+AC55+AC54+AC45</f>
        <v>6809.3135493720583</v>
      </c>
      <c r="AD59" s="72">
        <f>+AD55+AD54+AD45</f>
        <v>6488.619441220394</v>
      </c>
      <c r="AE59" s="72">
        <f>+AE55+AE54+AE45</f>
        <v>7069.1598101448853</v>
      </c>
      <c r="AF59" s="72">
        <f>+AF55+AF54+AF45</f>
        <v>6926.3033054024827</v>
      </c>
      <c r="AG59" s="97">
        <f>SUM(AC59:AF59)</f>
        <v>27293.396106139819</v>
      </c>
      <c r="AH59" s="72">
        <f>+AH55+AH54+AH45</f>
        <v>7504.9952760649394</v>
      </c>
      <c r="AI59" s="72">
        <f>+AI55+AI54+AI45</f>
        <v>7160.1474088324894</v>
      </c>
      <c r="AJ59" s="72">
        <f>+AJ55+AJ54+AJ45</f>
        <v>7808.549645737502</v>
      </c>
      <c r="AK59" s="72">
        <f>+AK55+AK54+AK45</f>
        <v>7658.0586675513578</v>
      </c>
      <c r="AL59" s="97">
        <f>SUM(AH59:AK59)</f>
        <v>30131.75099818629</v>
      </c>
      <c r="AM59" s="72">
        <f>+AM55+AM54+AM45</f>
        <v>8146.5413128208293</v>
      </c>
      <c r="AN59" s="72">
        <f>+AN55+AN54+AN45</f>
        <v>7770.2047752686849</v>
      </c>
      <c r="AO59" s="72">
        <f>+AO55+AO54+AO45</f>
        <v>8471.6119221587378</v>
      </c>
      <c r="AP59" s="72">
        <f>+AP55+AP54+AP45</f>
        <v>8306.7510669112144</v>
      </c>
      <c r="AQ59" s="97">
        <f>SUM(AM59:AP59)</f>
        <v>32695.109077159468</v>
      </c>
      <c r="AR59" s="72">
        <f>+AR55+AR54+AR45</f>
        <v>8665.4088745940426</v>
      </c>
      <c r="AS59" s="72">
        <f>+AS55+AS54+AS45</f>
        <v>8262.3802853294328</v>
      </c>
      <c r="AT59" s="72">
        <f>+AT55+AT54+AT45</f>
        <v>9006.8783965318125</v>
      </c>
      <c r="AU59" s="72">
        <f>+AU55+AU54+AU45</f>
        <v>8829.9826309449036</v>
      </c>
      <c r="AV59" s="97">
        <f>SUM(AR59:AU59)</f>
        <v>34764.650187400191</v>
      </c>
    </row>
    <row r="60" spans="2:48" outlineLevel="1" x14ac:dyDescent="0.3">
      <c r="B60" s="504" t="s">
        <v>100</v>
      </c>
      <c r="C60" s="505"/>
      <c r="D60" s="105">
        <v>1351.3</v>
      </c>
      <c r="E60" s="105">
        <v>1220.5</v>
      </c>
      <c r="F60" s="105">
        <v>1324</v>
      </c>
      <c r="G60" s="105">
        <v>1278.9000000000001</v>
      </c>
      <c r="H60" s="129"/>
      <c r="I60" s="105">
        <v>1388.4</v>
      </c>
      <c r="J60" s="105">
        <v>1248.2</v>
      </c>
      <c r="K60" s="105">
        <v>805.6</v>
      </c>
      <c r="L60" s="48">
        <v>1158.3</v>
      </c>
      <c r="M60" s="76"/>
      <c r="N60" s="48">
        <v>1276.2</v>
      </c>
      <c r="O60" s="48">
        <v>1227.5999999999999</v>
      </c>
      <c r="P60" s="48">
        <v>1416.2</v>
      </c>
      <c r="Q60" s="105">
        <v>1580.3</v>
      </c>
      <c r="R60" s="76"/>
      <c r="S60" s="48">
        <v>1629.4</v>
      </c>
      <c r="T60" s="48">
        <v>1564</v>
      </c>
      <c r="U60" s="48">
        <v>1713.2</v>
      </c>
      <c r="V60" s="48">
        <f t="shared" ref="V60:AA60" si="153">V61*V59</f>
        <v>1705.4205475878575</v>
      </c>
      <c r="W60" s="76">
        <f>SUM(S60:V60)</f>
        <v>6612.0205475878574</v>
      </c>
      <c r="X60" s="48">
        <f t="shared" si="153"/>
        <v>1828.7715605820317</v>
      </c>
      <c r="Y60" s="48">
        <f t="shared" si="153"/>
        <v>1743.4965430095665</v>
      </c>
      <c r="Z60" s="48">
        <f t="shared" si="153"/>
        <v>1868.7162448598765</v>
      </c>
      <c r="AA60" s="48">
        <f t="shared" si="153"/>
        <v>1774.1764150697893</v>
      </c>
      <c r="AB60" s="76">
        <f>SUM(X60:AA60)</f>
        <v>7215.160763521264</v>
      </c>
      <c r="AC60" s="48">
        <f t="shared" ref="AC60:AF60" si="154">AC61*AC59</f>
        <v>1901.493354683374</v>
      </c>
      <c r="AD60" s="48">
        <f t="shared" si="154"/>
        <v>1873.2584274574945</v>
      </c>
      <c r="AE60" s="48">
        <f t="shared" si="154"/>
        <v>2009.627341118264</v>
      </c>
      <c r="AF60" s="48">
        <f t="shared" si="154"/>
        <v>1985.8737962676512</v>
      </c>
      <c r="AG60" s="76">
        <f>SUM(AC60:AF60)</f>
        <v>7770.2529195267834</v>
      </c>
      <c r="AH60" s="48">
        <f t="shared" ref="AH60:AK60" si="155">AH61*AH59</f>
        <v>2088.2567200415697</v>
      </c>
      <c r="AI60" s="48">
        <f t="shared" si="155"/>
        <v>2059.9677827985665</v>
      </c>
      <c r="AJ60" s="48">
        <f t="shared" si="155"/>
        <v>2212.0132232378774</v>
      </c>
      <c r="AK60" s="48">
        <f t="shared" si="155"/>
        <v>2188.0208435700229</v>
      </c>
      <c r="AL60" s="76">
        <f>SUM(AH60:AK60)</f>
        <v>8548.2585696480364</v>
      </c>
      <c r="AM60" s="48">
        <f t="shared" ref="AM60:AP60" si="156">AM61*AM59</f>
        <v>2266.7662024851043</v>
      </c>
      <c r="AN60" s="48">
        <f t="shared" si="156"/>
        <v>2235.4807225136465</v>
      </c>
      <c r="AO60" s="48">
        <f t="shared" si="156"/>
        <v>2399.8461230484872</v>
      </c>
      <c r="AP60" s="48">
        <f t="shared" si="156"/>
        <v>2373.3618748262707</v>
      </c>
      <c r="AQ60" s="76">
        <f>SUM(AM60:AP60)</f>
        <v>9275.4549228735086</v>
      </c>
      <c r="AR60" s="48">
        <f t="shared" ref="AR60:AU60" si="157">AR61*AR59</f>
        <v>2411.1405335576505</v>
      </c>
      <c r="AS60" s="48">
        <f t="shared" si="157"/>
        <v>2377.0791612492685</v>
      </c>
      <c r="AT60" s="48">
        <f t="shared" si="157"/>
        <v>2551.4769089160632</v>
      </c>
      <c r="AU60" s="48">
        <f t="shared" si="157"/>
        <v>2522.8568862670118</v>
      </c>
      <c r="AV60" s="76">
        <f>SUM(AR60:AU60)</f>
        <v>9862.553489989994</v>
      </c>
    </row>
    <row r="61" spans="2:48" s="184" customFormat="1" outlineLevel="1" x14ac:dyDescent="0.3">
      <c r="B61" s="181" t="s">
        <v>151</v>
      </c>
      <c r="C61" s="185"/>
      <c r="D61" s="167">
        <f>D60/D59</f>
        <v>0.29296476964769647</v>
      </c>
      <c r="E61" s="167">
        <f t="shared" ref="E61:U61" si="158">E60/E59</f>
        <v>0.28290952921814511</v>
      </c>
      <c r="F61" s="167">
        <f t="shared" si="158"/>
        <v>0.28283950353549381</v>
      </c>
      <c r="G61" s="167">
        <f t="shared" si="158"/>
        <v>0.27494947757664362</v>
      </c>
      <c r="H61" s="186"/>
      <c r="I61" s="167">
        <f t="shared" si="158"/>
        <v>0.27707597437586068</v>
      </c>
      <c r="J61" s="167">
        <f t="shared" si="158"/>
        <v>0.28826789838337186</v>
      </c>
      <c r="K61" s="167">
        <f t="shared" si="158"/>
        <v>0.28715024059882377</v>
      </c>
      <c r="L61" s="187">
        <f t="shared" si="158"/>
        <v>0.27487600560051256</v>
      </c>
      <c r="M61" s="188"/>
      <c r="N61" s="187">
        <f t="shared" si="158"/>
        <v>0.27134716788569485</v>
      </c>
      <c r="O61" s="167">
        <f t="shared" si="158"/>
        <v>0.26317369120610556</v>
      </c>
      <c r="P61" s="167">
        <f t="shared" si="158"/>
        <v>0.26224469010980872</v>
      </c>
      <c r="Q61" s="167">
        <f t="shared" si="158"/>
        <v>0.27421481867083114</v>
      </c>
      <c r="R61" s="188"/>
      <c r="S61" s="187">
        <f t="shared" si="158"/>
        <v>0.28424890532595992</v>
      </c>
      <c r="T61" s="167">
        <f t="shared" si="158"/>
        <v>0.28719907449914611</v>
      </c>
      <c r="U61" s="167">
        <f t="shared" si="158"/>
        <v>0.28278093225934242</v>
      </c>
      <c r="V61" s="189">
        <f>Q61+1.25%</f>
        <v>0.28671481867083115</v>
      </c>
      <c r="W61" s="188">
        <f t="shared" ref="W61" si="159">W60/W59</f>
        <v>0.2851909024319173</v>
      </c>
      <c r="X61" s="189">
        <f>S61+0.5%</f>
        <v>0.28924890532595993</v>
      </c>
      <c r="Y61" s="189">
        <f>T61+0.25%</f>
        <v>0.28969907449914611</v>
      </c>
      <c r="Z61" s="189">
        <f>U61+0.25%</f>
        <v>0.28528093225934242</v>
      </c>
      <c r="AA61" s="189">
        <f>V61-1%</f>
        <v>0.27671481867083114</v>
      </c>
      <c r="AB61" s="188">
        <f t="shared" ref="AB61" si="160">AB60/AB59</f>
        <v>0.28515268257838638</v>
      </c>
      <c r="AC61" s="189">
        <f>X61-1%</f>
        <v>0.27924890532595992</v>
      </c>
      <c r="AD61" s="189">
        <f>Y61-0.1%</f>
        <v>0.28869907449914611</v>
      </c>
      <c r="AE61" s="189">
        <f>Z61-0.1%</f>
        <v>0.28428093225934242</v>
      </c>
      <c r="AF61" s="189">
        <f>AA61+1%</f>
        <v>0.28671481867083115</v>
      </c>
      <c r="AG61" s="188">
        <f t="shared" ref="AG61" si="161">AG60/AG59</f>
        <v>0.28469351667742138</v>
      </c>
      <c r="AH61" s="189">
        <f t="shared" ref="AH61:AK61" si="162">AC61-0.1%</f>
        <v>0.27824890532595992</v>
      </c>
      <c r="AI61" s="189">
        <f t="shared" si="162"/>
        <v>0.28769907449914611</v>
      </c>
      <c r="AJ61" s="189">
        <f t="shared" si="162"/>
        <v>0.28328093225934242</v>
      </c>
      <c r="AK61" s="189">
        <f t="shared" si="162"/>
        <v>0.28571481867083115</v>
      </c>
      <c r="AL61" s="188">
        <f t="shared" ref="AL61" si="163">AL60/AL59</f>
        <v>0.28369604442047125</v>
      </c>
      <c r="AM61" s="189">
        <f>AH61</f>
        <v>0.27824890532595992</v>
      </c>
      <c r="AN61" s="189">
        <f t="shared" ref="AN61" si="164">AI61</f>
        <v>0.28769907449914611</v>
      </c>
      <c r="AO61" s="189">
        <f t="shared" ref="AO61" si="165">AJ61</f>
        <v>0.28328093225934242</v>
      </c>
      <c r="AP61" s="189">
        <f t="shared" ref="AP61" si="166">AK61</f>
        <v>0.28571481867083115</v>
      </c>
      <c r="AQ61" s="188">
        <f t="shared" ref="AQ61" si="167">AQ60/AQ59</f>
        <v>0.28369548793930355</v>
      </c>
      <c r="AR61" s="189">
        <f>AM61</f>
        <v>0.27824890532595992</v>
      </c>
      <c r="AS61" s="189">
        <f t="shared" ref="AS61" si="168">AN61</f>
        <v>0.28769907449914611</v>
      </c>
      <c r="AT61" s="189">
        <f t="shared" ref="AT61" si="169">AO61</f>
        <v>0.28328093225934242</v>
      </c>
      <c r="AU61" s="189">
        <f t="shared" ref="AU61" si="170">AP61</f>
        <v>0.28571481867083115</v>
      </c>
      <c r="AV61" s="188">
        <f t="shared" ref="AV61" si="171">AV60/AV59</f>
        <v>0.28369488652483249</v>
      </c>
    </row>
    <row r="62" spans="2:48" outlineLevel="1" x14ac:dyDescent="0.3">
      <c r="B62" s="180" t="s">
        <v>32</v>
      </c>
      <c r="C62" s="18"/>
      <c r="D62" s="48">
        <v>1983.1</v>
      </c>
      <c r="E62" s="48">
        <v>1935.7</v>
      </c>
      <c r="F62" s="48">
        <v>2034</v>
      </c>
      <c r="G62" s="48">
        <v>2112.1</v>
      </c>
      <c r="H62" s="49"/>
      <c r="I62" s="48">
        <v>2214.4</v>
      </c>
      <c r="J62" s="48">
        <v>2158.6</v>
      </c>
      <c r="K62" s="48">
        <v>2054.4</v>
      </c>
      <c r="L62" s="48">
        <v>2060.6999999999998</v>
      </c>
      <c r="M62" s="165"/>
      <c r="N62" s="48">
        <v>2238.8000000000002</v>
      </c>
      <c r="O62" s="48">
        <v>2203.1</v>
      </c>
      <c r="P62" s="48">
        <v>2346.8000000000002</v>
      </c>
      <c r="Q62" s="105">
        <v>2570.8000000000002</v>
      </c>
      <c r="R62" s="49"/>
      <c r="S62" s="48">
        <v>2702.4</v>
      </c>
      <c r="T62" s="48">
        <v>2625.4</v>
      </c>
      <c r="U62" s="48">
        <v>2670</v>
      </c>
      <c r="V62" s="48">
        <f>V63*V45</f>
        <v>2726.9807861340696</v>
      </c>
      <c r="W62" s="49">
        <f>SUM(S62:V62)</f>
        <v>10724.78078613407</v>
      </c>
      <c r="X62" s="48">
        <f>X63*X45</f>
        <v>3006.850845647361</v>
      </c>
      <c r="Y62" s="48">
        <f>Y63*Y45</f>
        <v>2910.4487867575176</v>
      </c>
      <c r="Z62" s="48">
        <f>Z63*Z45</f>
        <v>2945.8542052939415</v>
      </c>
      <c r="AA62" s="48">
        <f>AA63*AA45</f>
        <v>2936.9830163853408</v>
      </c>
      <c r="AB62" s="49">
        <f>SUM(X62:AA62)</f>
        <v>11800.136854084159</v>
      </c>
      <c r="AC62" s="48">
        <f>AC63*AC45</f>
        <v>3172.2553472433583</v>
      </c>
      <c r="AD62" s="48">
        <f>AD63*AD45</f>
        <v>3127.5011657438504</v>
      </c>
      <c r="AE62" s="48">
        <f>AE63*AE45</f>
        <v>3168.2039736852134</v>
      </c>
      <c r="AF62" s="48">
        <f>AF63*AF45</f>
        <v>3231.4556427535872</v>
      </c>
      <c r="AG62" s="49">
        <f>SUM(AC62:AF62)</f>
        <v>12699.416129426008</v>
      </c>
      <c r="AH62" s="48">
        <f>AH63*AH45</f>
        <v>3484.222485661282</v>
      </c>
      <c r="AI62" s="48">
        <f>AI63*AI45</f>
        <v>3439.12178578253</v>
      </c>
      <c r="AJ62" s="48">
        <f>AJ63*AJ45</f>
        <v>3486.9825205405159</v>
      </c>
      <c r="AK62" s="48">
        <f>AK63*AK45</f>
        <v>3560.3482386881774</v>
      </c>
      <c r="AL62" s="49">
        <f>SUM(AH62:AK62)</f>
        <v>13970.675030672504</v>
      </c>
      <c r="AM62" s="48">
        <f>AM63*AM45</f>
        <v>3777.5263559447735</v>
      </c>
      <c r="AN62" s="48">
        <f>AN63*AN45</f>
        <v>3731.0350285046843</v>
      </c>
      <c r="AO62" s="48">
        <f>AO63*AO45</f>
        <v>3785.3591300508269</v>
      </c>
      <c r="AP62" s="48">
        <f>AP63*AP45</f>
        <v>3867.4157081493158</v>
      </c>
      <c r="AQ62" s="49">
        <f>SUM(AM62:AP62)</f>
        <v>15161.336222649601</v>
      </c>
      <c r="AR62" s="48">
        <f>AR63*AR45</f>
        <v>4025.8193755574684</v>
      </c>
      <c r="AS62" s="48">
        <f>AS63*AS45</f>
        <v>3975.1261164791313</v>
      </c>
      <c r="AT62" s="48">
        <f>AT63*AT45</f>
        <v>4031.8612325900453</v>
      </c>
      <c r="AU62" s="48">
        <f>AU63*AU45</f>
        <v>4118.1133212222176</v>
      </c>
      <c r="AV62" s="49">
        <f>SUM(AR62:AU62)</f>
        <v>16150.920045848863</v>
      </c>
    </row>
    <row r="63" spans="2:48" s="184" customFormat="1" outlineLevel="1" x14ac:dyDescent="0.3">
      <c r="B63" s="181" t="s">
        <v>150</v>
      </c>
      <c r="C63" s="190"/>
      <c r="D63" s="187">
        <f>D62/D45</f>
        <v>0.48460485802257952</v>
      </c>
      <c r="E63" s="187">
        <f>E62/E45</f>
        <v>0.50283146300914383</v>
      </c>
      <c r="F63" s="187">
        <f>F62/F45</f>
        <v>0.48634689876141746</v>
      </c>
      <c r="G63" s="187">
        <f>G62/G45</f>
        <v>0.5072042649248355</v>
      </c>
      <c r="H63" s="188"/>
      <c r="I63" s="187">
        <f>I62/I45</f>
        <v>0.49528069783046302</v>
      </c>
      <c r="J63" s="187">
        <f>J62/J45</f>
        <v>0.55870172895744896</v>
      </c>
      <c r="K63" s="187">
        <f>K62/K45</f>
        <v>0.79971972439565575</v>
      </c>
      <c r="L63" s="187">
        <f>L62/L45</f>
        <v>0.53175238046086748</v>
      </c>
      <c r="M63" s="188"/>
      <c r="N63" s="187">
        <f>N62/N45</f>
        <v>0.52249813293502612</v>
      </c>
      <c r="O63" s="187">
        <f>O62/O45</f>
        <v>0.51614187986130633</v>
      </c>
      <c r="P63" s="187">
        <f>P62/P45</f>
        <v>0.47604365288652684</v>
      </c>
      <c r="Q63" s="167">
        <f>Q62/Q45</f>
        <v>0.48927545058333177</v>
      </c>
      <c r="R63" s="188"/>
      <c r="S63" s="187">
        <f>S62/S45</f>
        <v>0.51828695268598601</v>
      </c>
      <c r="T63" s="187">
        <f>T62/T45</f>
        <v>0.53185584344549564</v>
      </c>
      <c r="U63" s="187">
        <f>U62/U45</f>
        <v>0.48429224406878041</v>
      </c>
      <c r="V63" s="189">
        <f>Q63+1.25%</f>
        <v>0.50177545058333173</v>
      </c>
      <c r="W63" s="188">
        <f>W62/W45</f>
        <v>0.50832528116366638</v>
      </c>
      <c r="X63" s="189">
        <f>S63+0.5%</f>
        <v>0.52328695268598602</v>
      </c>
      <c r="Y63" s="189">
        <f>T63+0.25%</f>
        <v>0.53435584344549558</v>
      </c>
      <c r="Z63" s="189">
        <f>U63+1%</f>
        <v>0.49429224406878042</v>
      </c>
      <c r="AA63" s="189">
        <f>V63</f>
        <v>0.50177545058333173</v>
      </c>
      <c r="AB63" s="188">
        <f>AB62/AB45</f>
        <v>0.51292326904967711</v>
      </c>
      <c r="AC63" s="189">
        <f>X63-1%</f>
        <v>0.51328695268598601</v>
      </c>
      <c r="AD63" s="189">
        <f>Y63-0.1%</f>
        <v>0.53335584344549558</v>
      </c>
      <c r="AE63" s="189">
        <f>Z63-0.1%</f>
        <v>0.49329224406878042</v>
      </c>
      <c r="AF63" s="189">
        <f>AA63+1%</f>
        <v>0.51177545058333174</v>
      </c>
      <c r="AG63" s="188">
        <f>AG62/AG45</f>
        <v>0.5124685373089205</v>
      </c>
      <c r="AH63" s="189">
        <f t="shared" ref="AH63" si="172">AC63-0.1%</f>
        <v>0.51228695268598601</v>
      </c>
      <c r="AI63" s="189">
        <f t="shared" ref="AI63" si="173">AD63-0.1%</f>
        <v>0.53235584344549558</v>
      </c>
      <c r="AJ63" s="189">
        <f t="shared" ref="AJ63" si="174">AE63-0.1%</f>
        <v>0.49229224406878042</v>
      </c>
      <c r="AK63" s="189">
        <f t="shared" ref="AK63" si="175">AF63-0.1%</f>
        <v>0.51077545058333174</v>
      </c>
      <c r="AL63" s="188">
        <f>AL62/AL45</f>
        <v>0.51146277220653291</v>
      </c>
      <c r="AM63" s="189">
        <f>AH63</f>
        <v>0.51228695268598601</v>
      </c>
      <c r="AN63" s="189">
        <f t="shared" ref="AN63" si="176">AI63</f>
        <v>0.53235584344549558</v>
      </c>
      <c r="AO63" s="189">
        <f t="shared" ref="AO63" si="177">AJ63</f>
        <v>0.49229224406878042</v>
      </c>
      <c r="AP63" s="189">
        <f t="shared" ref="AP63" si="178">AK63</f>
        <v>0.51077545058333174</v>
      </c>
      <c r="AQ63" s="188">
        <f>AQ62/AQ45</f>
        <v>0.51145926506270478</v>
      </c>
      <c r="AR63" s="189">
        <f>AM63</f>
        <v>0.51228695268598601</v>
      </c>
      <c r="AS63" s="189">
        <f t="shared" ref="AS63" si="179">AN63</f>
        <v>0.53235584344549558</v>
      </c>
      <c r="AT63" s="189">
        <f t="shared" ref="AT63" si="180">AO63</f>
        <v>0.49229224406878042</v>
      </c>
      <c r="AU63" s="189">
        <f t="shared" ref="AU63" si="181">AP63</f>
        <v>0.51077545058333174</v>
      </c>
      <c r="AV63" s="188">
        <f>AV62/AV45</f>
        <v>0.51146083183627311</v>
      </c>
    </row>
    <row r="64" spans="2:48" outlineLevel="1" x14ac:dyDescent="0.3">
      <c r="B64" s="180" t="s">
        <v>33</v>
      </c>
      <c r="C64" s="18"/>
      <c r="D64" s="48">
        <v>44.5</v>
      </c>
      <c r="E64" s="48">
        <v>39.4</v>
      </c>
      <c r="F64" s="48">
        <v>41.7</v>
      </c>
      <c r="G64" s="48">
        <v>34.200000000000003</v>
      </c>
      <c r="H64" s="49"/>
      <c r="I64" s="48">
        <v>42.5</v>
      </c>
      <c r="J64" s="48">
        <v>41.8</v>
      </c>
      <c r="K64" s="48">
        <v>40.700000000000003</v>
      </c>
      <c r="L64" s="48">
        <v>38</v>
      </c>
      <c r="M64" s="49"/>
      <c r="N64" s="48">
        <v>42.8</v>
      </c>
      <c r="O64" s="48">
        <v>41.9</v>
      </c>
      <c r="P64" s="48">
        <v>39.700000000000003</v>
      </c>
      <c r="Q64" s="105">
        <v>47.3</v>
      </c>
      <c r="R64" s="49"/>
      <c r="S64" s="48">
        <v>48.2</v>
      </c>
      <c r="T64" s="48">
        <v>47.1</v>
      </c>
      <c r="U64" s="48">
        <v>55.4</v>
      </c>
      <c r="V64" s="48">
        <f t="shared" ref="V64" si="182">V59*V65</f>
        <v>53.533280907647139</v>
      </c>
      <c r="W64" s="49">
        <f>SUM(S64:V64)</f>
        <v>204.23328090764716</v>
      </c>
      <c r="X64" s="48">
        <f>X59*X65</f>
        <v>53.162557130754159</v>
      </c>
      <c r="Y64" s="48">
        <f>Y59*Y65</f>
        <v>52.0524501954458</v>
      </c>
      <c r="Z64" s="48">
        <f t="shared" ref="Z64:AA64" si="183">Z59*Z65</f>
        <v>59.899395124145947</v>
      </c>
      <c r="AA64" s="48">
        <f t="shared" si="183"/>
        <v>57.704129516180721</v>
      </c>
      <c r="AB64" s="49">
        <f>SUM(X64:AA64)</f>
        <v>222.81853196652662</v>
      </c>
      <c r="AC64" s="48">
        <f>AC59*AC65</f>
        <v>57.256060059615379</v>
      </c>
      <c r="AD64" s="48">
        <f>AD59*AD65</f>
        <v>56.120237192919291</v>
      </c>
      <c r="AE64" s="48">
        <f t="shared" ref="AE64:AF64" si="184">AE59*AE65</f>
        <v>64.642719774532324</v>
      </c>
      <c r="AF64" s="48">
        <f t="shared" si="184"/>
        <v>62.336729748622339</v>
      </c>
      <c r="AG64" s="49">
        <f>SUM(AC64:AF64)</f>
        <v>240.35574677568931</v>
      </c>
      <c r="AH64" s="48">
        <f>AH59*AH65</f>
        <v>63.105694451848315</v>
      </c>
      <c r="AI64" s="48">
        <f>AI59*AI65</f>
        <v>61.928299934996467</v>
      </c>
      <c r="AJ64" s="48">
        <f t="shared" ref="AJ64:AK64" si="185">AJ59*AJ65</f>
        <v>71.403943347064839</v>
      </c>
      <c r="AK64" s="48">
        <f t="shared" si="185"/>
        <v>68.922528007962214</v>
      </c>
      <c r="AL64" s="49">
        <f>SUM(AH64:AK64)</f>
        <v>265.36046574187185</v>
      </c>
      <c r="AM64" s="48">
        <f>AM59*AM65</f>
        <v>68.500129315975087</v>
      </c>
      <c r="AN64" s="48">
        <f>AN59*AN65</f>
        <v>67.204701859293579</v>
      </c>
      <c r="AO64" s="48">
        <f t="shared" ref="AO64:AP64" si="186">AO59*AO65</f>
        <v>77.467202642214787</v>
      </c>
      <c r="AP64" s="48">
        <f t="shared" si="186"/>
        <v>74.76075960220092</v>
      </c>
      <c r="AQ64" s="49">
        <f>SUM(AM64:AP64)</f>
        <v>287.93279341968434</v>
      </c>
      <c r="AR64" s="48">
        <f>AR59*AR65</f>
        <v>72.863023176636403</v>
      </c>
      <c r="AS64" s="48">
        <f>AS59*AS65</f>
        <v>71.461540562097852</v>
      </c>
      <c r="AT64" s="48">
        <f t="shared" ref="AT64:AU64" si="187">AT59*AT65</f>
        <v>82.36185513796751</v>
      </c>
      <c r="AU64" s="48">
        <f t="shared" si="187"/>
        <v>79.46984367850412</v>
      </c>
      <c r="AV64" s="49">
        <f>SUM(AR64:AU64)</f>
        <v>306.15626255520584</v>
      </c>
    </row>
    <row r="65" spans="2:48" s="184" customFormat="1" outlineLevel="1" x14ac:dyDescent="0.3">
      <c r="B65" s="181" t="s">
        <v>152</v>
      </c>
      <c r="C65" s="190"/>
      <c r="D65" s="187">
        <f>D64/D59</f>
        <v>9.6476964769647705E-3</v>
      </c>
      <c r="E65" s="187">
        <f t="shared" ref="E65:U65" si="188">E64/E59</f>
        <v>9.1328434667717479E-3</v>
      </c>
      <c r="F65" s="187">
        <f t="shared" si="188"/>
        <v>8.908162611352034E-3</v>
      </c>
      <c r="G65" s="187">
        <f t="shared" si="188"/>
        <v>7.352625016124179E-3</v>
      </c>
      <c r="H65" s="188"/>
      <c r="I65" s="187">
        <f t="shared" si="188"/>
        <v>8.4815103075295863E-3</v>
      </c>
      <c r="J65" s="187">
        <f t="shared" si="188"/>
        <v>9.6535796766743648E-3</v>
      </c>
      <c r="K65" s="187">
        <f t="shared" si="188"/>
        <v>1.4507217964712174E-2</v>
      </c>
      <c r="L65" s="187">
        <f t="shared" si="188"/>
        <v>9.017774508175324E-3</v>
      </c>
      <c r="M65" s="188"/>
      <c r="N65" s="187">
        <f t="shared" si="188"/>
        <v>9.1001871066507915E-3</v>
      </c>
      <c r="O65" s="187">
        <f t="shared" si="188"/>
        <v>8.982549414740814E-3</v>
      </c>
      <c r="P65" s="187">
        <f t="shared" si="188"/>
        <v>7.3514434383275002E-3</v>
      </c>
      <c r="Q65" s="167">
        <f t="shared" si="188"/>
        <v>8.2075307999305916E-3</v>
      </c>
      <c r="R65" s="188"/>
      <c r="S65" s="187">
        <f t="shared" si="188"/>
        <v>8.4084922282504412E-3</v>
      </c>
      <c r="T65" s="187">
        <f t="shared" si="188"/>
        <v>8.6490258368988378E-3</v>
      </c>
      <c r="U65" s="187">
        <f t="shared" si="188"/>
        <v>9.1443285355869534E-3</v>
      </c>
      <c r="V65" s="189">
        <v>8.9999999999999993E-3</v>
      </c>
      <c r="W65" s="188">
        <f t="shared" ref="W65" si="189">W64/W59</f>
        <v>8.8090279317011178E-3</v>
      </c>
      <c r="X65" s="189">
        <f>S65</f>
        <v>8.4084922282504412E-3</v>
      </c>
      <c r="Y65" s="189">
        <f t="shared" ref="Y65" si="190">T65</f>
        <v>8.6490258368988378E-3</v>
      </c>
      <c r="Z65" s="189">
        <f t="shared" ref="Z65" si="191">U65</f>
        <v>9.1443285355869534E-3</v>
      </c>
      <c r="AA65" s="189">
        <f t="shared" ref="AA65" si="192">V65</f>
        <v>8.9999999999999993E-3</v>
      </c>
      <c r="AB65" s="188">
        <f t="shared" ref="AB65" si="193">AB64/AB59</f>
        <v>8.8060826641130126E-3</v>
      </c>
      <c r="AC65" s="189">
        <f>X65</f>
        <v>8.4084922282504412E-3</v>
      </c>
      <c r="AD65" s="189">
        <f t="shared" ref="AD65" si="194">Y65</f>
        <v>8.6490258368988378E-3</v>
      </c>
      <c r="AE65" s="189">
        <f t="shared" ref="AE65" si="195">Z65</f>
        <v>9.1443285355869534E-3</v>
      </c>
      <c r="AF65" s="189">
        <f t="shared" ref="AF65" si="196">AA65</f>
        <v>8.9999999999999993E-3</v>
      </c>
      <c r="AG65" s="188">
        <f t="shared" ref="AG65" si="197">AG64/AG59</f>
        <v>8.8063700772517562E-3</v>
      </c>
      <c r="AH65" s="189">
        <f>AC65</f>
        <v>8.4084922282504412E-3</v>
      </c>
      <c r="AI65" s="189">
        <f t="shared" ref="AI65" si="198">AD65</f>
        <v>8.6490258368988378E-3</v>
      </c>
      <c r="AJ65" s="189">
        <f t="shared" ref="AJ65" si="199">AE65</f>
        <v>9.1443285355869534E-3</v>
      </c>
      <c r="AK65" s="189">
        <f t="shared" ref="AK65" si="200">AF65</f>
        <v>8.9999999999999993E-3</v>
      </c>
      <c r="AL65" s="188">
        <f t="shared" ref="AL65" si="201">AL64/AL59</f>
        <v>8.8066725945612854E-3</v>
      </c>
      <c r="AM65" s="189">
        <f>AH65</f>
        <v>8.4084922282504412E-3</v>
      </c>
      <c r="AN65" s="189">
        <f t="shared" ref="AN65" si="202">AI65</f>
        <v>8.6490258368988378E-3</v>
      </c>
      <c r="AO65" s="189">
        <f t="shared" ref="AO65" si="203">AJ65</f>
        <v>9.1443285355869534E-3</v>
      </c>
      <c r="AP65" s="189">
        <f t="shared" ref="AP65" si="204">AK65</f>
        <v>8.9999999999999993E-3</v>
      </c>
      <c r="AQ65" s="188">
        <f t="shared" ref="AQ65" si="205">AQ64/AQ59</f>
        <v>8.8066014014564591E-3</v>
      </c>
      <c r="AR65" s="189">
        <f>AM65</f>
        <v>8.4084922282504412E-3</v>
      </c>
      <c r="AS65" s="189">
        <f t="shared" ref="AS65" si="206">AN65</f>
        <v>8.6490258368988378E-3</v>
      </c>
      <c r="AT65" s="189">
        <f t="shared" ref="AT65" si="207">AO65</f>
        <v>9.1443285355869534E-3</v>
      </c>
      <c r="AU65" s="189">
        <f t="shared" ref="AU65" si="208">AP65</f>
        <v>8.9999999999999993E-3</v>
      </c>
      <c r="AV65" s="188">
        <f t="shared" ref="AV65" si="209">AV64/AV59</f>
        <v>8.8065394274027976E-3</v>
      </c>
    </row>
    <row r="66" spans="2:48" outlineLevel="1" x14ac:dyDescent="0.3">
      <c r="B66" s="180" t="s">
        <v>34</v>
      </c>
      <c r="C66" s="18"/>
      <c r="D66" s="358">
        <v>166.9</v>
      </c>
      <c r="E66" s="358">
        <v>173</v>
      </c>
      <c r="F66" s="358">
        <v>175.6</v>
      </c>
      <c r="G66" s="358">
        <v>180.6</v>
      </c>
      <c r="H66" s="130"/>
      <c r="I66" s="358">
        <v>189.2</v>
      </c>
      <c r="J66" s="358">
        <v>191.5</v>
      </c>
      <c r="K66" s="358">
        <v>191.3</v>
      </c>
      <c r="L66" s="358">
        <v>190.1</v>
      </c>
      <c r="M66" s="359"/>
      <c r="N66" s="358">
        <v>188.9</v>
      </c>
      <c r="O66" s="358">
        <v>186</v>
      </c>
      <c r="P66" s="358">
        <v>188.9</v>
      </c>
      <c r="Q66" s="358">
        <v>189.9</v>
      </c>
      <c r="R66" s="170"/>
      <c r="S66" s="358">
        <v>200</v>
      </c>
      <c r="T66" s="358">
        <v>202</v>
      </c>
      <c r="U66" s="358">
        <v>201.2</v>
      </c>
      <c r="V66" s="358">
        <f>(U66/(U66+U99+U114+U127))*'CFS 3Q2022'!V7*0.95</f>
        <v>208.17665687257025</v>
      </c>
      <c r="W66" s="170">
        <f t="shared" ref="W66:W67" si="210">SUM(S66:V66)</f>
        <v>811.37665687257027</v>
      </c>
      <c r="X66" s="358">
        <f>(V66/(V66+V99+V114+V127))*'CFS 3Q2022'!X7*0.95</f>
        <v>211.63336018905395</v>
      </c>
      <c r="Y66" s="358">
        <f>(X66/(X66+X99+X114+X127))*'CFS 3Q2022'!Y7*0.95</f>
        <v>220.6968361958499</v>
      </c>
      <c r="Z66" s="358">
        <f>(Y66/(Y66+Y99+Y114+Y127))*'CFS 3Q2022'!Z7*0.95</f>
        <v>228.26135584994856</v>
      </c>
      <c r="AA66" s="358">
        <f>(Z66/(Z66+Z99+Z114+Z127))*'CFS 3Q2022'!AA7*0.95</f>
        <v>237.38303634773175</v>
      </c>
      <c r="AB66" s="170">
        <f t="shared" ref="AB66:AB67" si="211">SUM(X66:AA66)</f>
        <v>897.97458858258415</v>
      </c>
      <c r="AC66" s="358">
        <f>(AA66/(AA66+AA99+AA114+AA127))*'CFS 3Q2022'!AC7*0.95</f>
        <v>246.6202576488075</v>
      </c>
      <c r="AD66" s="358">
        <f>(AC66/(AC66+AC99+AC114+AC127))*'CFS 3Q2022'!AD7*0.95</f>
        <v>253.77929516857887</v>
      </c>
      <c r="AE66" s="358">
        <f>(AD66/(AD66+AD99+AD114+AD127))*'CFS 3Q2022'!AE7*0.95</f>
        <v>259.25354839469531</v>
      </c>
      <c r="AF66" s="358">
        <f>(AE66/(AE66+AE99+AE114+AE127))*'CFS 3Q2022'!AF7*0.95</f>
        <v>266.42328526001182</v>
      </c>
      <c r="AG66" s="170">
        <f t="shared" ref="AG66:AG67" si="212">SUM(AC66:AF66)</f>
        <v>1026.0763864720936</v>
      </c>
      <c r="AH66" s="358">
        <f>(AF66/(AF66+AF99+AF114+AF127))*'CFS 3Q2022'!AH7*0.95</f>
        <v>273.76965454916007</v>
      </c>
      <c r="AI66" s="358">
        <f>(AH66/(AH66+AH99+AH114+AH127))*'CFS 3Q2022'!AI7*0.95</f>
        <v>279.25569289082978</v>
      </c>
      <c r="AJ66" s="358">
        <f>(AI66/(AI66+AI99+AI114+AI127))*'CFS 3Q2022'!AJ7*0.95</f>
        <v>283.18181335783379</v>
      </c>
      <c r="AK66" s="358">
        <f>(AJ66/(AJ66+AJ99+AJ114+AJ127))*'CFS 3Q2022'!AK7*0.95</f>
        <v>288.89560288592685</v>
      </c>
      <c r="AL66" s="170">
        <f t="shared" ref="AL66:AL67" si="213">SUM(AH66:AK66)</f>
        <v>1125.1027636837505</v>
      </c>
      <c r="AM66" s="358">
        <f>(AK66/(AK66+AK99+AK114+AK127))*'CFS 3Q2022'!AM7*0.95</f>
        <v>294.90464360603869</v>
      </c>
      <c r="AN66" s="358">
        <f>(AM66/(AM66+AM99+AM114+AM127))*'CFS 3Q2022'!AN7*0.95</f>
        <v>301.32056521892156</v>
      </c>
      <c r="AO66" s="358">
        <f>(AN66/(AN66+AN99+AN114+AN127))*'CFS 3Q2022'!AO7*0.95</f>
        <v>305.88617301473738</v>
      </c>
      <c r="AP66" s="358">
        <f>(AO66/(AO66+AO99+AO114+AO127))*'CFS 3Q2022'!AP7*0.95</f>
        <v>312.29527495623836</v>
      </c>
      <c r="AQ66" s="170">
        <f t="shared" ref="AQ66:AQ67" si="214">SUM(AM66:AP66)</f>
        <v>1214.4066567959358</v>
      </c>
      <c r="AR66" s="358">
        <f>(AP66/(AP66+AP99+AP114+AP127))*'CFS 3Q2022'!AR7*0.95</f>
        <v>318.93637193993783</v>
      </c>
      <c r="AS66" s="358">
        <f>(AR66/(AR66+AR99+AR114+AR127))*'CFS 3Q2022'!AS7*0.95</f>
        <v>325.47565273286807</v>
      </c>
      <c r="AT66" s="358">
        <f>(AS66/(AS66+AS99+AS114+AS127))*'CFS 3Q2022'!AT7*0.95</f>
        <v>330.04475591345675</v>
      </c>
      <c r="AU66" s="358">
        <f>(AT66/(AT66+AT99+AT114+AT127))*'CFS 3Q2022'!AU7*0.95</f>
        <v>336.58678537324772</v>
      </c>
      <c r="AV66" s="170">
        <f t="shared" ref="AV66:AV67" si="215">SUM(AR66:AU66)</f>
        <v>1311.0435659595105</v>
      </c>
    </row>
    <row r="67" spans="2:48" outlineLevel="1" x14ac:dyDescent="0.3">
      <c r="B67" s="180" t="s">
        <v>35</v>
      </c>
      <c r="C67" s="18"/>
      <c r="D67" s="48">
        <v>75.099999999999994</v>
      </c>
      <c r="E67" s="48">
        <v>70.900000000000006</v>
      </c>
      <c r="F67" s="48">
        <v>72</v>
      </c>
      <c r="G67" s="48">
        <v>106</v>
      </c>
      <c r="H67" s="49"/>
      <c r="I67" s="48">
        <v>72.400000000000006</v>
      </c>
      <c r="J67" s="48">
        <v>68.2</v>
      </c>
      <c r="K67" s="48">
        <v>62.2</v>
      </c>
      <c r="L67" s="48">
        <v>65.2</v>
      </c>
      <c r="M67" s="165"/>
      <c r="N67" s="48">
        <v>70.8</v>
      </c>
      <c r="O67" s="48">
        <v>77.7</v>
      </c>
      <c r="P67" s="48">
        <v>73.2</v>
      </c>
      <c r="Q67" s="105">
        <v>78.400000000000006</v>
      </c>
      <c r="R67" s="49"/>
      <c r="S67" s="48">
        <v>76.7</v>
      </c>
      <c r="T67" s="48">
        <v>71.3</v>
      </c>
      <c r="U67" s="48">
        <v>76.5</v>
      </c>
      <c r="V67" s="48">
        <f t="shared" ref="V67" si="216">V68*V59</f>
        <v>155.27045995612178</v>
      </c>
      <c r="W67" s="49">
        <f t="shared" si="210"/>
        <v>379.77045995612178</v>
      </c>
      <c r="X67" s="48">
        <f>X68*X59</f>
        <v>116.20926894464634</v>
      </c>
      <c r="Y67" s="48">
        <f>Y68*Y59</f>
        <v>93.842776412072908</v>
      </c>
      <c r="Z67" s="48">
        <f t="shared" ref="Z67:AA67" si="217">Z68*Z59</f>
        <v>99.089169053203605</v>
      </c>
      <c r="AA67" s="48">
        <f t="shared" si="217"/>
        <v>103.25208707025553</v>
      </c>
      <c r="AB67" s="49">
        <f t="shared" si="211"/>
        <v>412.39330148017837</v>
      </c>
      <c r="AC67" s="48">
        <f>AC68*AC59</f>
        <v>104.72941146746817</v>
      </c>
      <c r="AD67" s="48">
        <f>AD68*AD59</f>
        <v>114.15362637838234</v>
      </c>
      <c r="AE67" s="48">
        <f t="shared" ref="AE67:AF67" si="218">AE68*AE59</f>
        <v>99.866701136728594</v>
      </c>
      <c r="AF67" s="48">
        <f t="shared" si="218"/>
        <v>104.61506299967142</v>
      </c>
      <c r="AG67" s="49">
        <f t="shared" si="212"/>
        <v>423.36480198225053</v>
      </c>
      <c r="AH67" s="48">
        <f>AH68*AH59</f>
        <v>107.92422275442107</v>
      </c>
      <c r="AI67" s="48">
        <f>AI68*AI59</f>
        <v>118.80760266902939</v>
      </c>
      <c r="AJ67" s="48">
        <f t="shared" ref="AJ67:AK67" si="219">AJ68*AJ59</f>
        <v>102.50358287432111</v>
      </c>
      <c r="AK67" s="48">
        <f t="shared" si="219"/>
        <v>108.00945611427655</v>
      </c>
      <c r="AL67" s="49">
        <f t="shared" si="213"/>
        <v>437.24486441204812</v>
      </c>
      <c r="AM67" s="48">
        <f>AM68*AM59</f>
        <v>117.14985912475628</v>
      </c>
      <c r="AN67" s="48">
        <f>AN68*AN59</f>
        <v>128.93022292506743</v>
      </c>
      <c r="AO67" s="48">
        <f t="shared" ref="AO67:AP67" si="220">AO68*AO59</f>
        <v>111.20766520529294</v>
      </c>
      <c r="AP67" s="48">
        <f t="shared" si="220"/>
        <v>117.15863037396215</v>
      </c>
      <c r="AQ67" s="49">
        <f t="shared" si="214"/>
        <v>474.44637762907882</v>
      </c>
      <c r="AR67" s="48">
        <f>AR68*AR59</f>
        <v>124.61133994612956</v>
      </c>
      <c r="AS67" s="48">
        <f>AS68*AS59</f>
        <v>137.09684144615997</v>
      </c>
      <c r="AT67" s="48">
        <f t="shared" ref="AT67:AU67" si="221">AT68*AT59</f>
        <v>118.23415974076619</v>
      </c>
      <c r="AU67" s="48">
        <f t="shared" si="221"/>
        <v>124.53830179023915</v>
      </c>
      <c r="AV67" s="49">
        <f t="shared" si="215"/>
        <v>504.48064292329485</v>
      </c>
    </row>
    <row r="68" spans="2:48" s="184" customFormat="1" outlineLevel="1" x14ac:dyDescent="0.3">
      <c r="B68" s="181" t="s">
        <v>153</v>
      </c>
      <c r="C68" s="190"/>
      <c r="D68" s="187">
        <f>D67/D59</f>
        <v>1.6281842818428184E-2</v>
      </c>
      <c r="E68" s="187">
        <f t="shared" ref="E68:Q68" si="222">E67/E59</f>
        <v>1.6434482279038501E-2</v>
      </c>
      <c r="F68" s="187">
        <f t="shared" si="222"/>
        <v>1.5381000192262503E-2</v>
      </c>
      <c r="G68" s="187">
        <f t="shared" si="222"/>
        <v>2.2788837769273769E-2</v>
      </c>
      <c r="H68" s="188"/>
      <c r="I68" s="187">
        <f t="shared" si="222"/>
        <v>1.4448502265062167E-2</v>
      </c>
      <c r="J68" s="187">
        <f t="shared" si="222"/>
        <v>1.5750577367205542E-2</v>
      </c>
      <c r="K68" s="187">
        <f t="shared" si="222"/>
        <v>2.2170736054179293E-2</v>
      </c>
      <c r="L68" s="187">
        <f t="shared" si="222"/>
        <v>1.5472602577185029E-2</v>
      </c>
      <c r="M68" s="188"/>
      <c r="N68" s="187">
        <f t="shared" si="222"/>
        <v>1.5053580540908319E-2</v>
      </c>
      <c r="O68" s="187">
        <f t="shared" si="222"/>
        <v>1.6657376838314114E-2</v>
      </c>
      <c r="P68" s="187">
        <f t="shared" si="222"/>
        <v>1.3554802510971613E-2</v>
      </c>
      <c r="Q68" s="167">
        <f t="shared" si="222"/>
        <v>1.3604025681068889E-2</v>
      </c>
      <c r="R68" s="188"/>
      <c r="S68" s="187">
        <f t="shared" ref="S68:U68" si="223">S67/S59</f>
        <v>1.3380318545784415E-2</v>
      </c>
      <c r="T68" s="187">
        <f t="shared" si="223"/>
        <v>1.3092898984519897E-2</v>
      </c>
      <c r="U68" s="187">
        <f t="shared" si="223"/>
        <v>1.2627096263039747E-2</v>
      </c>
      <c r="V68" s="189">
        <f>Q68+1.25%</f>
        <v>2.6104025681068892E-2</v>
      </c>
      <c r="W68" s="188">
        <f t="shared" ref="W68" si="224">W67/W59</f>
        <v>1.638033025039258E-2</v>
      </c>
      <c r="X68" s="189">
        <f>S68+0.5%</f>
        <v>1.8380318545784414E-2</v>
      </c>
      <c r="Y68" s="189">
        <f>T68+0.25%</f>
        <v>1.5592898984519897E-2</v>
      </c>
      <c r="Z68" s="189">
        <f>U68+0.25%</f>
        <v>1.5127096263039748E-2</v>
      </c>
      <c r="AA68" s="189">
        <f>V68-1%</f>
        <v>1.610402568106889E-2</v>
      </c>
      <c r="AB68" s="188">
        <f t="shared" ref="AB68" si="225">AB67/AB59</f>
        <v>1.6298327930400733E-2</v>
      </c>
      <c r="AC68" s="189">
        <f>X68-0.3%</f>
        <v>1.5380318545784415E-2</v>
      </c>
      <c r="AD68" s="189">
        <f>Y68+0.2%</f>
        <v>1.7592898984519899E-2</v>
      </c>
      <c r="AE68" s="189">
        <f>Z68-0.1%</f>
        <v>1.4127096263039748E-2</v>
      </c>
      <c r="AF68" s="189">
        <f>AA68-0.1%</f>
        <v>1.5104025681068889E-2</v>
      </c>
      <c r="AG68" s="188">
        <f t="shared" ref="AG68" si="226">AG67/AG59</f>
        <v>1.5511620479029065E-2</v>
      </c>
      <c r="AH68" s="189">
        <f t="shared" ref="AH68" si="227">AC68-0.1%</f>
        <v>1.4380318545784414E-2</v>
      </c>
      <c r="AI68" s="189">
        <f t="shared" ref="AI68" si="228">AD68-0.1%</f>
        <v>1.6592898984519898E-2</v>
      </c>
      <c r="AJ68" s="189">
        <f t="shared" ref="AJ68" si="229">AE68-0.1%</f>
        <v>1.3127096263039748E-2</v>
      </c>
      <c r="AK68" s="189">
        <f t="shared" ref="AK68" si="230">AF68-0.1%</f>
        <v>1.4104025681068888E-2</v>
      </c>
      <c r="AL68" s="188">
        <f t="shared" ref="AL68" si="231">AL67/AL59</f>
        <v>1.4511100414920031E-2</v>
      </c>
      <c r="AM68" s="189">
        <f>AH68</f>
        <v>1.4380318545784414E-2</v>
      </c>
      <c r="AN68" s="189">
        <f t="shared" ref="AN68" si="232">AI68</f>
        <v>1.6592898984519898E-2</v>
      </c>
      <c r="AO68" s="189">
        <f t="shared" ref="AO68" si="233">AJ68</f>
        <v>1.3127096263039748E-2</v>
      </c>
      <c r="AP68" s="189">
        <f t="shared" ref="AP68" si="234">AK68</f>
        <v>1.4104025681068888E-2</v>
      </c>
      <c r="AQ68" s="188">
        <f t="shared" ref="AQ68" si="235">AQ67/AQ59</f>
        <v>1.4511233974151905E-2</v>
      </c>
      <c r="AR68" s="189">
        <f>AM68</f>
        <v>1.4380318545784414E-2</v>
      </c>
      <c r="AS68" s="189">
        <f t="shared" ref="AS68" si="236">AN68</f>
        <v>1.6592898984519898E-2</v>
      </c>
      <c r="AT68" s="189">
        <f t="shared" ref="AT68" si="237">AO68</f>
        <v>1.3127096263039748E-2</v>
      </c>
      <c r="AU68" s="189">
        <f t="shared" ref="AU68" si="238">AP68</f>
        <v>1.4104025681068888E-2</v>
      </c>
      <c r="AV68" s="188">
        <f t="shared" ref="AV68" si="239">AV67/AV59</f>
        <v>1.4511310777006885E-2</v>
      </c>
    </row>
    <row r="69" spans="2:48" ht="16.2" outlineLevel="1" x14ac:dyDescent="0.45">
      <c r="B69" s="180" t="s">
        <v>42</v>
      </c>
      <c r="C69" s="18"/>
      <c r="D69" s="119">
        <v>22.9</v>
      </c>
      <c r="E69" s="119">
        <v>18.2</v>
      </c>
      <c r="F69" s="119">
        <v>15.1</v>
      </c>
      <c r="G69" s="119">
        <v>0.7</v>
      </c>
      <c r="H69" s="131"/>
      <c r="I69" s="119">
        <v>5.2</v>
      </c>
      <c r="J69" s="119">
        <v>0.5</v>
      </c>
      <c r="K69" s="119">
        <v>56.2</v>
      </c>
      <c r="L69" s="119">
        <v>195.6</v>
      </c>
      <c r="M69" s="357"/>
      <c r="N69" s="119">
        <v>72.2</v>
      </c>
      <c r="O69" s="119">
        <v>23</v>
      </c>
      <c r="P69" s="119">
        <v>19.8</v>
      </c>
      <c r="Q69" s="119">
        <v>40.5</v>
      </c>
      <c r="R69" s="173"/>
      <c r="S69" s="119">
        <v>-7.5</v>
      </c>
      <c r="T69" s="119">
        <v>4.4000000000000004</v>
      </c>
      <c r="U69" s="119">
        <v>12</v>
      </c>
      <c r="V69" s="119">
        <f>IFERROR((V163*(U69/U163)),0)</f>
        <v>42.857142857142854</v>
      </c>
      <c r="W69" s="173">
        <f>SUM(S69:V69)</f>
        <v>51.757142857142853</v>
      </c>
      <c r="X69" s="119">
        <f>IFERROR((X163*(V69/V163)),0)</f>
        <v>42.857142857142854</v>
      </c>
      <c r="Y69" s="119">
        <f t="shared" ref="Y69:AA69" si="240">IFERROR((Y163*(X69/X163)),0)</f>
        <v>0</v>
      </c>
      <c r="Z69" s="119">
        <f t="shared" si="240"/>
        <v>0</v>
      </c>
      <c r="AA69" s="119">
        <f t="shared" si="240"/>
        <v>0</v>
      </c>
      <c r="AB69" s="173">
        <f>SUM(X69:AA69)</f>
        <v>42.857142857142854</v>
      </c>
      <c r="AC69" s="119">
        <f>IFERROR((AC163*(AA69/AA163)),0)</f>
        <v>0</v>
      </c>
      <c r="AD69" s="119">
        <f t="shared" ref="AD69:AF69" si="241">IFERROR((AD163*(AC69/AC163)),0)</f>
        <v>0</v>
      </c>
      <c r="AE69" s="119">
        <f t="shared" si="241"/>
        <v>0</v>
      </c>
      <c r="AF69" s="119">
        <f t="shared" si="241"/>
        <v>0</v>
      </c>
      <c r="AG69" s="173">
        <f>SUM(AC69:AF69)</f>
        <v>0</v>
      </c>
      <c r="AH69" s="119">
        <f>IFERROR((AH163*(AF69/AF163)),0)</f>
        <v>0</v>
      </c>
      <c r="AI69" s="119">
        <f t="shared" ref="AI69:AK69" si="242">IFERROR((AI163*(AH69/AH163)),0)</f>
        <v>0</v>
      </c>
      <c r="AJ69" s="119">
        <f t="shared" si="242"/>
        <v>0</v>
      </c>
      <c r="AK69" s="119">
        <f t="shared" si="242"/>
        <v>0</v>
      </c>
      <c r="AL69" s="173">
        <f>SUM(AH69:AK69)</f>
        <v>0</v>
      </c>
      <c r="AM69" s="119">
        <f>IFERROR((AM163*(AK69/AK163)),0)</f>
        <v>0</v>
      </c>
      <c r="AN69" s="119">
        <f t="shared" ref="AN69:AP69" si="243">IFERROR((AN163*(AM69/AM163)),0)</f>
        <v>0</v>
      </c>
      <c r="AO69" s="119">
        <f t="shared" si="243"/>
        <v>0</v>
      </c>
      <c r="AP69" s="119">
        <f t="shared" si="243"/>
        <v>0</v>
      </c>
      <c r="AQ69" s="173">
        <f>SUM(AM69:AP69)</f>
        <v>0</v>
      </c>
      <c r="AR69" s="119">
        <f>IFERROR((AR163*(AP69/AP163)),0)</f>
        <v>0</v>
      </c>
      <c r="AS69" s="119">
        <f t="shared" ref="AS69:AU69" si="244">IFERROR((AS163*(AR69/AR163)),0)</f>
        <v>0</v>
      </c>
      <c r="AT69" s="119">
        <f t="shared" si="244"/>
        <v>0</v>
      </c>
      <c r="AU69" s="119">
        <f t="shared" si="244"/>
        <v>0</v>
      </c>
      <c r="AV69" s="173">
        <f>SUM(AR69:AU69)</f>
        <v>0</v>
      </c>
    </row>
    <row r="70" spans="2:48" outlineLevel="1" x14ac:dyDescent="0.3">
      <c r="B70" s="46" t="s">
        <v>183</v>
      </c>
      <c r="C70" s="19"/>
      <c r="D70" s="103">
        <f>+D60+D62+D64+D66+D67+D69</f>
        <v>3643.7999999999997</v>
      </c>
      <c r="E70" s="103">
        <f t="shared" ref="E70:G70" si="245">+E60+E62+E64+E66+E67+E69</f>
        <v>3457.7</v>
      </c>
      <c r="F70" s="103">
        <f t="shared" si="245"/>
        <v>3662.3999999999996</v>
      </c>
      <c r="G70" s="103">
        <f t="shared" si="245"/>
        <v>3712.4999999999995</v>
      </c>
      <c r="H70" s="166">
        <f>+H60+H62+H64+H66+H67+H69</f>
        <v>0</v>
      </c>
      <c r="I70" s="103">
        <f t="shared" ref="I70:L70" si="246">+I60+I62+I64+I66+I67+I69</f>
        <v>3912.1</v>
      </c>
      <c r="J70" s="103">
        <f t="shared" si="246"/>
        <v>3708.8</v>
      </c>
      <c r="K70" s="103">
        <f t="shared" si="246"/>
        <v>3210.3999999999996</v>
      </c>
      <c r="L70" s="50">
        <f t="shared" si="246"/>
        <v>3707.8999999999996</v>
      </c>
      <c r="M70" s="191"/>
      <c r="N70" s="50">
        <f t="shared" ref="N70:Q70" si="247">+N60+N62+N64+N66+N67+N69</f>
        <v>3889.7000000000003</v>
      </c>
      <c r="O70" s="50">
        <f t="shared" si="247"/>
        <v>3759.2999999999997</v>
      </c>
      <c r="P70" s="50">
        <f t="shared" si="247"/>
        <v>4084.6</v>
      </c>
      <c r="Q70" s="103">
        <f t="shared" si="247"/>
        <v>4507.2</v>
      </c>
      <c r="R70" s="191"/>
      <c r="S70" s="50">
        <f>+S60+S62+S64+S66+S67+S69</f>
        <v>4649.2</v>
      </c>
      <c r="T70" s="50">
        <f t="shared" ref="T70:AK70" si="248">+T60+T62+T64+T66+T67+T69</f>
        <v>4514.2</v>
      </c>
      <c r="U70" s="50">
        <f t="shared" si="248"/>
        <v>4728.2999999999993</v>
      </c>
      <c r="V70" s="50">
        <f>+V60+V62+V64+V66+V67+V69</f>
        <v>4892.2388743154106</v>
      </c>
      <c r="W70" s="191">
        <f>+W60+W62+W64+W66+W67+W69</f>
        <v>18783.938874315409</v>
      </c>
      <c r="X70" s="50">
        <f t="shared" si="248"/>
        <v>5259.4847353509904</v>
      </c>
      <c r="Y70" s="50">
        <f t="shared" si="248"/>
        <v>5020.5373925704534</v>
      </c>
      <c r="Z70" s="50">
        <f t="shared" si="248"/>
        <v>5201.8203701811171</v>
      </c>
      <c r="AA70" s="50">
        <f t="shared" si="248"/>
        <v>5109.4986843892984</v>
      </c>
      <c r="AB70" s="191">
        <f>+AB60+AB62+AB64+AB66+AB67+AB69</f>
        <v>20591.341182491851</v>
      </c>
      <c r="AC70" s="50">
        <f t="shared" si="248"/>
        <v>5482.3544311026226</v>
      </c>
      <c r="AD70" s="50">
        <f t="shared" si="248"/>
        <v>5424.8127519412246</v>
      </c>
      <c r="AE70" s="50">
        <f t="shared" si="248"/>
        <v>5601.5942841094338</v>
      </c>
      <c r="AF70" s="50">
        <f t="shared" si="248"/>
        <v>5650.7045170295441</v>
      </c>
      <c r="AG70" s="191">
        <f>+AG60+AG62+AG64+AG66+AG67+AG69</f>
        <v>22159.465984182825</v>
      </c>
      <c r="AH70" s="50">
        <f t="shared" si="248"/>
        <v>6017.2787774582812</v>
      </c>
      <c r="AI70" s="50">
        <f t="shared" si="248"/>
        <v>5959.0811640759521</v>
      </c>
      <c r="AJ70" s="50">
        <f t="shared" si="248"/>
        <v>6156.0850833576133</v>
      </c>
      <c r="AK70" s="50">
        <f t="shared" si="248"/>
        <v>6214.1966692663655</v>
      </c>
      <c r="AL70" s="191">
        <f>+AL60+AL62+AL64+AL66+AL67+AL69</f>
        <v>24346.64169415821</v>
      </c>
      <c r="AM70" s="50">
        <f t="shared" ref="AM70:AP70" si="249">+AM60+AM62+AM64+AM66+AM67+AM69</f>
        <v>6524.8471904766475</v>
      </c>
      <c r="AN70" s="50">
        <f t="shared" si="249"/>
        <v>6463.9712410216134</v>
      </c>
      <c r="AO70" s="50">
        <f t="shared" si="249"/>
        <v>6679.7662939615593</v>
      </c>
      <c r="AP70" s="50">
        <f t="shared" si="249"/>
        <v>6744.9922479079878</v>
      </c>
      <c r="AQ70" s="191">
        <f>+AQ60+AQ62+AQ64+AQ66+AQ67+AQ69</f>
        <v>26413.576973367806</v>
      </c>
      <c r="AR70" s="50">
        <f t="shared" ref="AR70:AU70" si="250">+AR60+AR62+AR64+AR66+AR67+AR69</f>
        <v>6953.3706441778231</v>
      </c>
      <c r="AS70" s="50">
        <f t="shared" si="250"/>
        <v>6886.2393124695263</v>
      </c>
      <c r="AT70" s="50">
        <f t="shared" si="250"/>
        <v>7113.9789122982984</v>
      </c>
      <c r="AU70" s="50">
        <f t="shared" si="250"/>
        <v>7181.5651383312206</v>
      </c>
      <c r="AV70" s="191">
        <f>+AV60+AV62+AV64+AV66+AV67+AV69</f>
        <v>28135.154007276869</v>
      </c>
    </row>
    <row r="71" spans="2:48" outlineLevel="1" x14ac:dyDescent="0.3">
      <c r="B71" s="46" t="s">
        <v>184</v>
      </c>
      <c r="C71" s="44"/>
      <c r="D71" s="156">
        <f t="shared" ref="D71:G71" si="251">+D59-D70</f>
        <v>968.70000000000027</v>
      </c>
      <c r="E71" s="156">
        <f t="shared" si="251"/>
        <v>856.40000000000055</v>
      </c>
      <c r="F71" s="156">
        <f t="shared" si="251"/>
        <v>1018.6999999999998</v>
      </c>
      <c r="G71" s="156">
        <f t="shared" si="251"/>
        <v>938.90000000000009</v>
      </c>
      <c r="H71" s="132">
        <f>SUM(D71:G71)</f>
        <v>3782.7000000000007</v>
      </c>
      <c r="I71" s="156">
        <f t="shared" ref="I71:L71" si="252">+I59-I70</f>
        <v>1098.7999999999997</v>
      </c>
      <c r="J71" s="156">
        <f t="shared" si="252"/>
        <v>621.19999999999982</v>
      </c>
      <c r="K71" s="156">
        <f t="shared" si="252"/>
        <v>-404.89999999999964</v>
      </c>
      <c r="L71" s="74">
        <f t="shared" si="252"/>
        <v>506.00000000000091</v>
      </c>
      <c r="M71" s="97"/>
      <c r="N71" s="74">
        <f>+N59-N70</f>
        <v>813.49999999999955</v>
      </c>
      <c r="O71" s="74">
        <f t="shared" ref="O71:Q71" si="253">+O59-O70</f>
        <v>905.29999999999973</v>
      </c>
      <c r="P71" s="74">
        <f t="shared" si="253"/>
        <v>1315.7000000000003</v>
      </c>
      <c r="Q71" s="74">
        <f t="shared" si="253"/>
        <v>1255.8000000000002</v>
      </c>
      <c r="R71" s="97"/>
      <c r="S71" s="74">
        <f t="shared" ref="S71:U71" si="254">+S59-S70</f>
        <v>1083.1000000000004</v>
      </c>
      <c r="T71" s="74">
        <f t="shared" si="254"/>
        <v>931.5</v>
      </c>
      <c r="U71" s="74">
        <f t="shared" si="254"/>
        <v>1330.1000000000004</v>
      </c>
      <c r="V71" s="156">
        <f>+V59-V70</f>
        <v>1055.9034487564941</v>
      </c>
      <c r="W71" s="97">
        <f>SUM(S71:V71)</f>
        <v>4400.6034487564948</v>
      </c>
      <c r="X71" s="74">
        <f t="shared" ref="X71:AA71" si="255">+X59-X70</f>
        <v>1062.9992115498817</v>
      </c>
      <c r="Y71" s="74">
        <f t="shared" si="255"/>
        <v>997.76468873186514</v>
      </c>
      <c r="Z71" s="74">
        <f t="shared" si="255"/>
        <v>1348.6217854168217</v>
      </c>
      <c r="AA71" s="74">
        <f t="shared" si="255"/>
        <v>1302.0712618530042</v>
      </c>
      <c r="AB71" s="97">
        <f>SUM(X71:AA71)</f>
        <v>4711.4569475515727</v>
      </c>
      <c r="AC71" s="74">
        <f t="shared" ref="AC71:AF71" si="256">+AC59-AC70</f>
        <v>1326.9591182694357</v>
      </c>
      <c r="AD71" s="74">
        <f t="shared" si="256"/>
        <v>1063.8066892791694</v>
      </c>
      <c r="AE71" s="74">
        <f t="shared" si="256"/>
        <v>1467.5655260354515</v>
      </c>
      <c r="AF71" s="74">
        <f t="shared" si="256"/>
        <v>1275.5987883729385</v>
      </c>
      <c r="AG71" s="97">
        <f>SUM(AC71:AF71)</f>
        <v>5133.9301219569952</v>
      </c>
      <c r="AH71" s="74">
        <f t="shared" ref="AH71:AK71" si="257">+AH59-AH70</f>
        <v>1487.7164986066582</v>
      </c>
      <c r="AI71" s="74">
        <f t="shared" si="257"/>
        <v>1201.0662447565373</v>
      </c>
      <c r="AJ71" s="74">
        <f t="shared" si="257"/>
        <v>1652.4645623798888</v>
      </c>
      <c r="AK71" s="74">
        <f t="shared" si="257"/>
        <v>1443.8619982849923</v>
      </c>
      <c r="AL71" s="97">
        <f>SUM(AH71:AK71)</f>
        <v>5785.1093040280766</v>
      </c>
      <c r="AM71" s="74">
        <f t="shared" ref="AM71:AP71" si="258">+AM59-AM70</f>
        <v>1621.6941223441818</v>
      </c>
      <c r="AN71" s="74">
        <f t="shared" si="258"/>
        <v>1306.2335342470715</v>
      </c>
      <c r="AO71" s="74">
        <f t="shared" si="258"/>
        <v>1791.8456281971785</v>
      </c>
      <c r="AP71" s="74">
        <f t="shared" si="258"/>
        <v>1561.7588190032266</v>
      </c>
      <c r="AQ71" s="97">
        <f>SUM(AM71:AP71)</f>
        <v>6281.5321037916583</v>
      </c>
      <c r="AR71" s="74">
        <f t="shared" ref="AR71:AU71" si="259">+AR59-AR70</f>
        <v>1712.0382304162194</v>
      </c>
      <c r="AS71" s="74">
        <f t="shared" si="259"/>
        <v>1376.1409728599065</v>
      </c>
      <c r="AT71" s="74">
        <f t="shared" si="259"/>
        <v>1892.8994842335142</v>
      </c>
      <c r="AU71" s="74">
        <f t="shared" si="259"/>
        <v>1648.417492613683</v>
      </c>
      <c r="AV71" s="97">
        <f>SUM(AR71:AU71)</f>
        <v>6629.496180123323</v>
      </c>
    </row>
    <row r="72" spans="2:48" outlineLevel="1" x14ac:dyDescent="0.3">
      <c r="B72" s="46" t="s">
        <v>185</v>
      </c>
      <c r="C72" s="44"/>
      <c r="D72" s="157">
        <f t="shared" ref="D72:G72" si="260">+D71/D59</f>
        <v>0.21001626016260169</v>
      </c>
      <c r="E72" s="157">
        <f t="shared" si="260"/>
        <v>0.19851185647064287</v>
      </c>
      <c r="F72" s="157">
        <f t="shared" si="260"/>
        <v>0.21761979022024736</v>
      </c>
      <c r="G72" s="157">
        <f t="shared" si="260"/>
        <v>0.20185320548652022</v>
      </c>
      <c r="H72" s="133">
        <f>H71/H59</f>
        <v>0.20716793270205</v>
      </c>
      <c r="I72" s="157">
        <f t="shared" ref="I72:L72" si="261">+I71/I59</f>
        <v>0.21928196531561192</v>
      </c>
      <c r="J72" s="157">
        <f t="shared" si="261"/>
        <v>0.14346420323325632</v>
      </c>
      <c r="K72" s="157">
        <f t="shared" si="261"/>
        <v>-0.14432364997326666</v>
      </c>
      <c r="L72" s="75">
        <f t="shared" si="261"/>
        <v>0.12007878687201899</v>
      </c>
      <c r="M72" s="98"/>
      <c r="N72" s="75">
        <f>+N71/N59</f>
        <v>0.17296734138458913</v>
      </c>
      <c r="O72" s="75">
        <f t="shared" ref="O72:Q72" si="262">+O71/O59</f>
        <v>0.19407880632851687</v>
      </c>
      <c r="P72" s="75">
        <f t="shared" si="262"/>
        <v>0.24363461289187641</v>
      </c>
      <c r="Q72" s="75">
        <f t="shared" si="262"/>
        <v>0.21790733992712133</v>
      </c>
      <c r="R72" s="98"/>
      <c r="S72" s="75">
        <f t="shared" ref="S72:V72" si="263">+S71/S59</f>
        <v>0.188946845070914</v>
      </c>
      <c r="T72" s="75">
        <f t="shared" si="263"/>
        <v>0.17105238995905026</v>
      </c>
      <c r="U72" s="75">
        <f t="shared" si="263"/>
        <v>0.21954641489502186</v>
      </c>
      <c r="V72" s="75">
        <f t="shared" si="263"/>
        <v>0.17751818826876609</v>
      </c>
      <c r="W72" s="98">
        <f>W71/W59</f>
        <v>0.1898076480197442</v>
      </c>
      <c r="X72" s="75">
        <f t="shared" ref="X72:AA72" si="264">+X71/X59</f>
        <v>0.16812999771568232</v>
      </c>
      <c r="Y72" s="75">
        <f t="shared" si="264"/>
        <v>0.16578840265126005</v>
      </c>
      <c r="Z72" s="75">
        <f t="shared" si="264"/>
        <v>0.20588255775441108</v>
      </c>
      <c r="AA72" s="75">
        <f t="shared" si="264"/>
        <v>0.2030815030905376</v>
      </c>
      <c r="AB72" s="98">
        <f>AB71/AB59</f>
        <v>0.18620300108063526</v>
      </c>
      <c r="AC72" s="75">
        <f t="shared" ref="AC72:AF72" si="265">+AC71/AC59</f>
        <v>0.19487413946326576</v>
      </c>
      <c r="AD72" s="75">
        <f t="shared" si="265"/>
        <v>0.16394961962495466</v>
      </c>
      <c r="AE72" s="75">
        <f t="shared" si="265"/>
        <v>0.20760112452534485</v>
      </c>
      <c r="AF72" s="75">
        <f t="shared" si="265"/>
        <v>0.18416733026663412</v>
      </c>
      <c r="AG72" s="98">
        <f>AG71/AG59</f>
        <v>0.18810155035276413</v>
      </c>
      <c r="AH72" s="75">
        <f t="shared" ref="AH72:AK72" si="266">+AH71/AH59</f>
        <v>0.19823017122359948</v>
      </c>
      <c r="AI72" s="75">
        <f t="shared" si="266"/>
        <v>0.16774322876019943</v>
      </c>
      <c r="AJ72" s="75">
        <f t="shared" si="266"/>
        <v>0.21162246990155581</v>
      </c>
      <c r="AK72" s="75">
        <f t="shared" si="266"/>
        <v>0.18854151697778296</v>
      </c>
      <c r="AL72" s="98">
        <f>AL71/AL59</f>
        <v>0.19199379765139762</v>
      </c>
      <c r="AM72" s="75">
        <f t="shared" ref="AM72:AP72" si="267">+AM71/AM59</f>
        <v>0.19906535302190131</v>
      </c>
      <c r="AN72" s="75">
        <f t="shared" si="267"/>
        <v>0.16810799355051789</v>
      </c>
      <c r="AO72" s="75">
        <f t="shared" si="267"/>
        <v>0.21151176950284334</v>
      </c>
      <c r="AP72" s="75">
        <f t="shared" si="267"/>
        <v>0.18801078862520332</v>
      </c>
      <c r="AQ72" s="98">
        <f>AQ71/AQ59</f>
        <v>0.1921245189599286</v>
      </c>
      <c r="AR72" s="75">
        <f t="shared" ref="AR72:AU72" si="268">+AR71/AR59</f>
        <v>0.19757154627010315</v>
      </c>
      <c r="AS72" s="75">
        <f t="shared" si="268"/>
        <v>0.16655502716370527</v>
      </c>
      <c r="AT72" s="75">
        <f t="shared" si="268"/>
        <v>0.21016154553195632</v>
      </c>
      <c r="AU72" s="75">
        <f t="shared" si="268"/>
        <v>0.18668411496493334</v>
      </c>
      <c r="AV72" s="98">
        <f>AV71/AV59</f>
        <v>0.19069647312389934</v>
      </c>
    </row>
    <row r="73" spans="2:48" ht="17.399999999999999" x14ac:dyDescent="0.45">
      <c r="B73" s="508" t="s">
        <v>114</v>
      </c>
      <c r="C73" s="509"/>
      <c r="D73" s="14" t="s">
        <v>19</v>
      </c>
      <c r="E73" s="14" t="s">
        <v>81</v>
      </c>
      <c r="F73" s="14" t="s">
        <v>85</v>
      </c>
      <c r="G73" s="14" t="s">
        <v>95</v>
      </c>
      <c r="H73" s="40" t="s">
        <v>96</v>
      </c>
      <c r="I73" s="14" t="s">
        <v>97</v>
      </c>
      <c r="J73" s="14" t="s">
        <v>98</v>
      </c>
      <c r="K73" s="14" t="s">
        <v>99</v>
      </c>
      <c r="L73" s="14" t="s">
        <v>142</v>
      </c>
      <c r="M73" s="40" t="s">
        <v>143</v>
      </c>
      <c r="N73" s="14" t="s">
        <v>149</v>
      </c>
      <c r="O73" s="14" t="s">
        <v>157</v>
      </c>
      <c r="P73" s="14" t="s">
        <v>159</v>
      </c>
      <c r="Q73" s="14" t="s">
        <v>172</v>
      </c>
      <c r="R73" s="40" t="s">
        <v>173</v>
      </c>
      <c r="S73" s="14" t="s">
        <v>188</v>
      </c>
      <c r="T73" s="14" t="s">
        <v>189</v>
      </c>
      <c r="U73" s="14" t="s">
        <v>204</v>
      </c>
      <c r="V73" s="12" t="s">
        <v>25</v>
      </c>
      <c r="W73" s="42" t="s">
        <v>26</v>
      </c>
      <c r="X73" s="12" t="s">
        <v>27</v>
      </c>
      <c r="Y73" s="12" t="s">
        <v>28</v>
      </c>
      <c r="Z73" s="12" t="s">
        <v>29</v>
      </c>
      <c r="AA73" s="12" t="s">
        <v>30</v>
      </c>
      <c r="AB73" s="42" t="s">
        <v>31</v>
      </c>
      <c r="AC73" s="12" t="s">
        <v>90</v>
      </c>
      <c r="AD73" s="12" t="s">
        <v>91</v>
      </c>
      <c r="AE73" s="12" t="s">
        <v>92</v>
      </c>
      <c r="AF73" s="12" t="s">
        <v>93</v>
      </c>
      <c r="AG73" s="42" t="s">
        <v>94</v>
      </c>
      <c r="AH73" s="12" t="s">
        <v>109</v>
      </c>
      <c r="AI73" s="12" t="s">
        <v>110</v>
      </c>
      <c r="AJ73" s="12" t="s">
        <v>111</v>
      </c>
      <c r="AK73" s="12" t="s">
        <v>112</v>
      </c>
      <c r="AL73" s="42" t="s">
        <v>113</v>
      </c>
      <c r="AM73" s="12" t="s">
        <v>164</v>
      </c>
      <c r="AN73" s="12" t="s">
        <v>165</v>
      </c>
      <c r="AO73" s="12" t="s">
        <v>166</v>
      </c>
      <c r="AP73" s="12" t="s">
        <v>167</v>
      </c>
      <c r="AQ73" s="42" t="s">
        <v>168</v>
      </c>
      <c r="AR73" s="12" t="s">
        <v>195</v>
      </c>
      <c r="AS73" s="12" t="s">
        <v>196</v>
      </c>
      <c r="AT73" s="12" t="s">
        <v>197</v>
      </c>
      <c r="AU73" s="12" t="s">
        <v>198</v>
      </c>
      <c r="AV73" s="42" t="s">
        <v>199</v>
      </c>
    </row>
    <row r="74" spans="2:48" s="8" customFormat="1" outlineLevel="1" x14ac:dyDescent="0.3">
      <c r="B74" s="510" t="s">
        <v>115</v>
      </c>
      <c r="C74" s="511"/>
      <c r="D74" s="21">
        <v>5839</v>
      </c>
      <c r="E74" s="21">
        <v>5879</v>
      </c>
      <c r="F74" s="116">
        <v>5646</v>
      </c>
      <c r="G74" s="21">
        <v>5860</v>
      </c>
      <c r="H74" s="191">
        <f>G74</f>
        <v>5860</v>
      </c>
      <c r="I74" s="21">
        <v>6059</v>
      </c>
      <c r="J74" s="21">
        <v>6137</v>
      </c>
      <c r="K74" s="21">
        <v>6254</v>
      </c>
      <c r="L74" s="21">
        <v>6528</v>
      </c>
      <c r="M74" s="191">
        <f>L74</f>
        <v>6528</v>
      </c>
      <c r="N74" s="21">
        <v>6713</v>
      </c>
      <c r="O74" s="21">
        <f>+N74+O75</f>
        <v>6836</v>
      </c>
      <c r="P74" s="21">
        <f t="shared" ref="P74:Q74" si="269">+O74+P75</f>
        <v>7013</v>
      </c>
      <c r="Q74" s="21">
        <f t="shared" si="269"/>
        <v>7272</v>
      </c>
      <c r="R74" s="191">
        <f>Q74</f>
        <v>7272</v>
      </c>
      <c r="S74" s="21">
        <f>+Q74+S75</f>
        <v>7485</v>
      </c>
      <c r="T74" s="21">
        <f>+S74+T75</f>
        <v>7587</v>
      </c>
      <c r="U74" s="21">
        <f t="shared" ref="U74:V74" si="270">+T74+U75</f>
        <v>7717</v>
      </c>
      <c r="V74" s="21">
        <f t="shared" si="270"/>
        <v>7967</v>
      </c>
      <c r="W74" s="191">
        <f>V74</f>
        <v>7967</v>
      </c>
      <c r="X74" s="21">
        <f>+V74+X75</f>
        <v>8222</v>
      </c>
      <c r="Y74" s="21">
        <f>+X74+Y75</f>
        <v>8477</v>
      </c>
      <c r="Z74" s="21">
        <f t="shared" ref="Z74:AA74" si="271">+Y74+Z75</f>
        <v>8732</v>
      </c>
      <c r="AA74" s="21">
        <f t="shared" si="271"/>
        <v>8989</v>
      </c>
      <c r="AB74" s="191">
        <f>AA74</f>
        <v>8989</v>
      </c>
      <c r="AC74" s="21">
        <f>+AA74+AC75</f>
        <v>9253</v>
      </c>
      <c r="AD74" s="21">
        <f>+AC74+AD75</f>
        <v>9517</v>
      </c>
      <c r="AE74" s="21">
        <f t="shared" ref="AE74" si="272">+AD74+AE75</f>
        <v>9781</v>
      </c>
      <c r="AF74" s="21">
        <f t="shared" ref="AF74" si="273">+AE74+AF75</f>
        <v>10049</v>
      </c>
      <c r="AG74" s="191">
        <f>AF74</f>
        <v>10049</v>
      </c>
      <c r="AH74" s="21">
        <f>+AF74+AH75</f>
        <v>10323</v>
      </c>
      <c r="AI74" s="21">
        <f>+AH74+AI75</f>
        <v>10597</v>
      </c>
      <c r="AJ74" s="21">
        <f t="shared" ref="AJ74" si="274">+AI74+AJ75</f>
        <v>10871</v>
      </c>
      <c r="AK74" s="21">
        <f t="shared" ref="AK74" si="275">+AJ74+AK75</f>
        <v>11147</v>
      </c>
      <c r="AL74" s="191">
        <f>AK74</f>
        <v>11147</v>
      </c>
      <c r="AM74" s="21">
        <f>+AK74+AM75</f>
        <v>11277</v>
      </c>
      <c r="AN74" s="21">
        <f>+AM74+AN75</f>
        <v>11407</v>
      </c>
      <c r="AO74" s="21">
        <f t="shared" ref="AO74" si="276">+AN74+AO75</f>
        <v>11537</v>
      </c>
      <c r="AP74" s="21">
        <f t="shared" ref="AP74" si="277">+AO74+AP75</f>
        <v>11667</v>
      </c>
      <c r="AQ74" s="191">
        <f>AP74</f>
        <v>11667</v>
      </c>
      <c r="AR74" s="21">
        <f>+AP74+AR75</f>
        <v>11797</v>
      </c>
      <c r="AS74" s="21">
        <f>+AR74+AS75</f>
        <v>11927</v>
      </c>
      <c r="AT74" s="21">
        <f t="shared" ref="AT74" si="278">+AS74+AT75</f>
        <v>12057</v>
      </c>
      <c r="AU74" s="21">
        <f t="shared" ref="AU74" si="279">+AT74+AU75</f>
        <v>12187</v>
      </c>
      <c r="AV74" s="191">
        <f>AU74</f>
        <v>12187</v>
      </c>
    </row>
    <row r="75" spans="2:48" outlineLevel="1" x14ac:dyDescent="0.3">
      <c r="B75" s="180" t="s">
        <v>46</v>
      </c>
      <c r="C75" s="201"/>
      <c r="D75" s="101">
        <f>+D74-5651</f>
        <v>188</v>
      </c>
      <c r="E75" s="101">
        <f>+E74-D74</f>
        <v>40</v>
      </c>
      <c r="F75" s="101">
        <f t="shared" ref="F75:G75" si="280">+F74-E74</f>
        <v>-233</v>
      </c>
      <c r="G75" s="101">
        <f t="shared" si="280"/>
        <v>214</v>
      </c>
      <c r="H75" s="26">
        <f>+SUM(D75:G75)</f>
        <v>209</v>
      </c>
      <c r="I75" s="101">
        <f>+I74-G74</f>
        <v>199</v>
      </c>
      <c r="J75" s="101">
        <f t="shared" ref="J75:L75" si="281">+J74-I74</f>
        <v>78</v>
      </c>
      <c r="K75" s="101">
        <f t="shared" si="281"/>
        <v>117</v>
      </c>
      <c r="L75" s="101">
        <f t="shared" si="281"/>
        <v>274</v>
      </c>
      <c r="M75" s="26">
        <f>+SUM(I75:L75)</f>
        <v>668</v>
      </c>
      <c r="N75" s="101">
        <v>185</v>
      </c>
      <c r="O75" s="101">
        <v>123</v>
      </c>
      <c r="P75" s="101">
        <v>177</v>
      </c>
      <c r="Q75" s="101">
        <v>259</v>
      </c>
      <c r="R75" s="26">
        <f>+SUM(N75:Q75)</f>
        <v>744</v>
      </c>
      <c r="S75" s="101">
        <v>213</v>
      </c>
      <c r="T75" s="101">
        <v>102</v>
      </c>
      <c r="U75" s="101">
        <v>130</v>
      </c>
      <c r="V75" s="33">
        <v>250</v>
      </c>
      <c r="W75" s="122">
        <f>+SUM(S75:V75)</f>
        <v>695</v>
      </c>
      <c r="X75" s="33">
        <v>255</v>
      </c>
      <c r="Y75" s="33">
        <v>255</v>
      </c>
      <c r="Z75" s="33">
        <v>255</v>
      </c>
      <c r="AA75" s="33">
        <v>257</v>
      </c>
      <c r="AB75" s="26">
        <f>+SUM(X75:AA75)</f>
        <v>1022</v>
      </c>
      <c r="AC75" s="33">
        <v>264</v>
      </c>
      <c r="AD75" s="33">
        <v>264</v>
      </c>
      <c r="AE75" s="33">
        <v>264</v>
      </c>
      <c r="AF75" s="33">
        <v>268</v>
      </c>
      <c r="AG75" s="26">
        <f>+SUM(AC75:AF75)</f>
        <v>1060</v>
      </c>
      <c r="AH75" s="95">
        <v>274</v>
      </c>
      <c r="AI75" s="33">
        <v>274</v>
      </c>
      <c r="AJ75" s="33">
        <v>274</v>
      </c>
      <c r="AK75" s="33">
        <v>276</v>
      </c>
      <c r="AL75" s="26">
        <f>+SUM(AH75:AK75)</f>
        <v>1098</v>
      </c>
      <c r="AM75" s="33">
        <v>130</v>
      </c>
      <c r="AN75" s="33">
        <v>130</v>
      </c>
      <c r="AO75" s="33">
        <v>130</v>
      </c>
      <c r="AP75" s="33">
        <v>130</v>
      </c>
      <c r="AQ75" s="26">
        <f>+SUM(AM75:AP75)</f>
        <v>520</v>
      </c>
      <c r="AR75" s="33">
        <v>130</v>
      </c>
      <c r="AS75" s="33">
        <v>130</v>
      </c>
      <c r="AT75" s="33">
        <v>130</v>
      </c>
      <c r="AU75" s="33">
        <v>130</v>
      </c>
      <c r="AV75" s="26">
        <f>+SUM(AR75:AU75)</f>
        <v>520</v>
      </c>
    </row>
    <row r="76" spans="2:48" outlineLevel="1" x14ac:dyDescent="0.3">
      <c r="B76" s="180" t="s">
        <v>201</v>
      </c>
      <c r="C76" s="201"/>
      <c r="D76" s="101"/>
      <c r="E76" s="101">
        <f>AVERAGE(D74,E74)</f>
        <v>5859</v>
      </c>
      <c r="F76" s="101">
        <f t="shared" ref="F76:G76" si="282">AVERAGE(E74,F74)</f>
        <v>5762.5</v>
      </c>
      <c r="G76" s="101">
        <f t="shared" si="282"/>
        <v>5753</v>
      </c>
      <c r="H76" s="26"/>
      <c r="I76" s="101">
        <f>AVERAGE(G74,I74)</f>
        <v>5959.5</v>
      </c>
      <c r="J76" s="101">
        <f t="shared" ref="J76:L76" si="283">AVERAGE(I74,J74)</f>
        <v>6098</v>
      </c>
      <c r="K76" s="101">
        <f t="shared" si="283"/>
        <v>6195.5</v>
      </c>
      <c r="L76" s="101">
        <f t="shared" si="283"/>
        <v>6391</v>
      </c>
      <c r="M76" s="26"/>
      <c r="N76" s="101">
        <f>AVERAGE(L74,N74)</f>
        <v>6620.5</v>
      </c>
      <c r="O76" s="101">
        <f t="shared" ref="O76:Q76" si="284">AVERAGE(N74,O74)</f>
        <v>6774.5</v>
      </c>
      <c r="P76" s="101">
        <f t="shared" si="284"/>
        <v>6924.5</v>
      </c>
      <c r="Q76" s="101">
        <f t="shared" si="284"/>
        <v>7142.5</v>
      </c>
      <c r="R76" s="26"/>
      <c r="S76" s="101">
        <f>AVERAGE(Q74,S74)</f>
        <v>7378.5</v>
      </c>
      <c r="T76" s="101">
        <f>AVERAGE(S74,T74)</f>
        <v>7536</v>
      </c>
      <c r="U76" s="101">
        <f t="shared" ref="U76:V76" si="285">AVERAGE(T74,U74)</f>
        <v>7652</v>
      </c>
      <c r="V76" s="101">
        <f t="shared" si="285"/>
        <v>7842</v>
      </c>
      <c r="W76" s="122"/>
      <c r="X76" s="101">
        <f>AVERAGE(V74,X74)</f>
        <v>8094.5</v>
      </c>
      <c r="Y76" s="101">
        <f t="shared" ref="Y76:AA76" si="286">AVERAGE(X74,Y74)</f>
        <v>8349.5</v>
      </c>
      <c r="Z76" s="101">
        <f t="shared" si="286"/>
        <v>8604.5</v>
      </c>
      <c r="AA76" s="101">
        <f t="shared" si="286"/>
        <v>8860.5</v>
      </c>
      <c r="AB76" s="26"/>
      <c r="AC76" s="101">
        <f>AVERAGE(AA74,AC74)</f>
        <v>9121</v>
      </c>
      <c r="AD76" s="101">
        <f t="shared" ref="AD76" si="287">AVERAGE(AC74,AD74)</f>
        <v>9385</v>
      </c>
      <c r="AE76" s="101">
        <f t="shared" ref="AE76" si="288">AVERAGE(AD74,AE74)</f>
        <v>9649</v>
      </c>
      <c r="AF76" s="101">
        <f t="shared" ref="AF76" si="289">AVERAGE(AE74,AF74)</f>
        <v>9915</v>
      </c>
      <c r="AG76" s="26"/>
      <c r="AH76" s="101">
        <f>AVERAGE(AF74,AH74)</f>
        <v>10186</v>
      </c>
      <c r="AI76" s="101">
        <f t="shared" ref="AI76" si="290">AVERAGE(AH74,AI74)</f>
        <v>10460</v>
      </c>
      <c r="AJ76" s="101">
        <f t="shared" ref="AJ76" si="291">AVERAGE(AI74,AJ74)</f>
        <v>10734</v>
      </c>
      <c r="AK76" s="101">
        <f t="shared" ref="AK76" si="292">AVERAGE(AJ74,AK74)</f>
        <v>11009</v>
      </c>
      <c r="AL76" s="26"/>
      <c r="AM76" s="101">
        <f>AVERAGE(AK74,AM74)</f>
        <v>11212</v>
      </c>
      <c r="AN76" s="101">
        <f t="shared" ref="AN76" si="293">AVERAGE(AM74,AN74)</f>
        <v>11342</v>
      </c>
      <c r="AO76" s="101">
        <f t="shared" ref="AO76" si="294">AVERAGE(AN74,AO74)</f>
        <v>11472</v>
      </c>
      <c r="AP76" s="101">
        <f t="shared" ref="AP76" si="295">AVERAGE(AO74,AP74)</f>
        <v>11602</v>
      </c>
      <c r="AQ76" s="26"/>
      <c r="AR76" s="101">
        <f>AVERAGE(AP74,AR74)</f>
        <v>11732</v>
      </c>
      <c r="AS76" s="101">
        <f t="shared" ref="AS76" si="296">AVERAGE(AR74,AS74)</f>
        <v>11862</v>
      </c>
      <c r="AT76" s="101">
        <f t="shared" ref="AT76" si="297">AVERAGE(AS74,AT74)</f>
        <v>11992</v>
      </c>
      <c r="AU76" s="101">
        <f t="shared" ref="AU76" si="298">AVERAGE(AT74,AU74)</f>
        <v>12122</v>
      </c>
      <c r="AV76" s="26"/>
    </row>
    <row r="77" spans="2:48" s="20" customFormat="1" outlineLevel="1" x14ac:dyDescent="0.3">
      <c r="B77" s="180" t="s">
        <v>206</v>
      </c>
      <c r="C77" s="206"/>
      <c r="D77" s="43"/>
      <c r="E77" s="43">
        <f>+E78/E76</f>
        <v>0.22348523638846221</v>
      </c>
      <c r="F77" s="114">
        <f>+F78/F76</f>
        <v>0.2347592190889371</v>
      </c>
      <c r="G77" s="43">
        <f>+G78/G76</f>
        <v>0.22873283504258649</v>
      </c>
      <c r="H77" s="97"/>
      <c r="I77" s="43">
        <f>+I78/I76</f>
        <v>0.21976675895628828</v>
      </c>
      <c r="J77" s="43">
        <f>+J78/J76</f>
        <v>0.14798294522794359</v>
      </c>
      <c r="K77" s="43">
        <f>+K78/K76</f>
        <v>0.14131224275683965</v>
      </c>
      <c r="L77" s="43">
        <f>+L78/L76</f>
        <v>0.20314504772336098</v>
      </c>
      <c r="M77" s="97"/>
      <c r="N77" s="43">
        <f>+N78/N76</f>
        <v>0.21776300883619062</v>
      </c>
      <c r="O77" s="43">
        <f>+O78/O76</f>
        <v>0.20439884862351465</v>
      </c>
      <c r="P77" s="43">
        <f>+P78/P76</f>
        <v>0.20698967434471802</v>
      </c>
      <c r="Q77" s="43">
        <f>+Q78/Q76</f>
        <v>0.22541127056352817</v>
      </c>
      <c r="R77" s="97"/>
      <c r="S77" s="43">
        <f>+S78/S76</f>
        <v>0.20441824219014704</v>
      </c>
      <c r="T77" s="43">
        <f>+T78/T76</f>
        <v>0.17786624203821658</v>
      </c>
      <c r="U77" s="43">
        <f>+U78/U76</f>
        <v>0.15189492943021432</v>
      </c>
      <c r="V77" s="62">
        <f>Q77*0.8</f>
        <v>0.18032901645082255</v>
      </c>
      <c r="W77" s="132"/>
      <c r="X77" s="62">
        <f>S77*0.85</f>
        <v>0.17375550586162497</v>
      </c>
      <c r="Y77" s="62">
        <f>T77*0.95</f>
        <v>0.16897292993630575</v>
      </c>
      <c r="Z77" s="62">
        <f>U77*1.2</f>
        <v>0.18227391531625717</v>
      </c>
      <c r="AA77" s="62">
        <f>V77*1.2</f>
        <v>0.21639481974098707</v>
      </c>
      <c r="AB77" s="97"/>
      <c r="AC77" s="62">
        <f>X77*1.2</f>
        <v>0.20850660703394996</v>
      </c>
      <c r="AD77" s="62">
        <f>Y77*1.05</f>
        <v>0.17742157643312104</v>
      </c>
      <c r="AE77" s="62">
        <f>Z77*1.05</f>
        <v>0.19138761108207003</v>
      </c>
      <c r="AF77" s="62">
        <f>AA77*1.05</f>
        <v>0.22721456072803642</v>
      </c>
      <c r="AG77" s="97"/>
      <c r="AH77" s="62">
        <f>AC77*1.05</f>
        <v>0.21893193738564748</v>
      </c>
      <c r="AI77" s="62">
        <f t="shared" ref="AI77" si="299">AD77*1.05</f>
        <v>0.18629265525477709</v>
      </c>
      <c r="AJ77" s="62">
        <f t="shared" ref="AJ77" si="300">AE77*1.05</f>
        <v>0.20095699163617353</v>
      </c>
      <c r="AK77" s="62">
        <f t="shared" ref="AK77" si="301">AF77*1.05</f>
        <v>0.23857528876443826</v>
      </c>
      <c r="AL77" s="97"/>
      <c r="AM77" s="62">
        <f>AH77*1.05</f>
        <v>0.22987853425492985</v>
      </c>
      <c r="AN77" s="62">
        <f>AI77*1.05</f>
        <v>0.19560728801751595</v>
      </c>
      <c r="AO77" s="62">
        <f>AJ77*1.05</f>
        <v>0.21100484121798221</v>
      </c>
      <c r="AP77" s="62">
        <f>AK77*1.05</f>
        <v>0.25050405320266017</v>
      </c>
      <c r="AQ77" s="97"/>
      <c r="AR77" s="62">
        <f>AM77*1.03</f>
        <v>0.23677489028257775</v>
      </c>
      <c r="AS77" s="62">
        <f>AN77*1.03</f>
        <v>0.20147550665804143</v>
      </c>
      <c r="AT77" s="62">
        <f>AO77*1.03</f>
        <v>0.21733498645452168</v>
      </c>
      <c r="AU77" s="62">
        <f>AP77*1.03</f>
        <v>0.25801917479873998</v>
      </c>
      <c r="AV77" s="97"/>
    </row>
    <row r="78" spans="2:48" s="8" customFormat="1" outlineLevel="1" x14ac:dyDescent="0.3">
      <c r="B78" s="500" t="s">
        <v>116</v>
      </c>
      <c r="C78" s="501"/>
      <c r="D78" s="50">
        <v>1278.0999999999999</v>
      </c>
      <c r="E78" s="50">
        <v>1309.4000000000001</v>
      </c>
      <c r="F78" s="103">
        <v>1352.8</v>
      </c>
      <c r="G78" s="50">
        <v>1315.9</v>
      </c>
      <c r="H78" s="97">
        <f>SUM(D78:G78)</f>
        <v>5256.2000000000007</v>
      </c>
      <c r="I78" s="50">
        <v>1309.7</v>
      </c>
      <c r="J78" s="50">
        <v>902.4</v>
      </c>
      <c r="K78" s="103">
        <v>875.5</v>
      </c>
      <c r="L78" s="50">
        <v>1298.3</v>
      </c>
      <c r="M78" s="97">
        <f>SUM(I78:L78)</f>
        <v>4385.8999999999996</v>
      </c>
      <c r="N78" s="50">
        <v>1441.7</v>
      </c>
      <c r="O78" s="50">
        <v>1384.7</v>
      </c>
      <c r="P78" s="50">
        <v>1433.3</v>
      </c>
      <c r="Q78" s="103">
        <v>1610</v>
      </c>
      <c r="R78" s="97">
        <f>SUM(N78:Q78)</f>
        <v>5869.7</v>
      </c>
      <c r="S78" s="50">
        <v>1508.3</v>
      </c>
      <c r="T78" s="50">
        <v>1340.4</v>
      </c>
      <c r="U78" s="50">
        <v>1162.3</v>
      </c>
      <c r="V78" s="50">
        <f>V77*V76</f>
        <v>1414.1401470073504</v>
      </c>
      <c r="W78" s="132">
        <f>SUM(S78:V78)</f>
        <v>5425.1401470073506</v>
      </c>
      <c r="X78" s="50">
        <f>X77*X76</f>
        <v>1406.4639421969234</v>
      </c>
      <c r="Y78" s="50">
        <f>Y77*Y76</f>
        <v>1410.8394785031849</v>
      </c>
      <c r="Z78" s="50">
        <f>Z77*Z76</f>
        <v>1568.3759043387347</v>
      </c>
      <c r="AA78" s="50">
        <f>AA77*AA76</f>
        <v>1917.3663003150159</v>
      </c>
      <c r="AB78" s="97">
        <f>SUM(X78:AA78)</f>
        <v>6303.0456253538587</v>
      </c>
      <c r="AC78" s="50">
        <f>AC77*AC76</f>
        <v>1901.7887627566577</v>
      </c>
      <c r="AD78" s="50">
        <f>AD77*AD76</f>
        <v>1665.101494824841</v>
      </c>
      <c r="AE78" s="50">
        <f>AE77*AE76</f>
        <v>1846.6990593308938</v>
      </c>
      <c r="AF78" s="50">
        <f>AF77*AF76</f>
        <v>2252.8323696184812</v>
      </c>
      <c r="AG78" s="97">
        <f>SUM(AC78:AF78)</f>
        <v>7666.4216865308736</v>
      </c>
      <c r="AH78" s="50">
        <f>AH77*AH76</f>
        <v>2230.0407142102054</v>
      </c>
      <c r="AI78" s="50">
        <f>AI77*AI76</f>
        <v>1948.6211739649684</v>
      </c>
      <c r="AJ78" s="50">
        <f>AJ77*AJ76</f>
        <v>2157.0723482226867</v>
      </c>
      <c r="AK78" s="50">
        <f>AK77*AK76</f>
        <v>2626.4753540077008</v>
      </c>
      <c r="AL78" s="97">
        <f>SUM(AH78:AK78)</f>
        <v>8962.2095904055604</v>
      </c>
      <c r="AM78" s="50">
        <f>AM77*AM76</f>
        <v>2577.3981260662736</v>
      </c>
      <c r="AN78" s="50">
        <f>AN77*AN76</f>
        <v>2218.577860694666</v>
      </c>
      <c r="AO78" s="50">
        <f>AO77*AO76</f>
        <v>2420.6475384526921</v>
      </c>
      <c r="AP78" s="50">
        <f>AP77*AP76</f>
        <v>2906.3480252572631</v>
      </c>
      <c r="AQ78" s="97">
        <f>SUM(AM78:AP78)</f>
        <v>10122.971550470895</v>
      </c>
      <c r="AR78" s="50">
        <f>AR77*AR76</f>
        <v>2777.8430127952024</v>
      </c>
      <c r="AS78" s="50">
        <f>AS77*AS76</f>
        <v>2389.9024599776876</v>
      </c>
      <c r="AT78" s="50">
        <f>AT77*AT76</f>
        <v>2606.2811575626238</v>
      </c>
      <c r="AU78" s="50">
        <f>AU77*AU76</f>
        <v>3127.7084369103259</v>
      </c>
      <c r="AV78" s="97">
        <f>SUM(AR78:AU78)</f>
        <v>10901.73506724584</v>
      </c>
    </row>
    <row r="79" spans="2:48" s="8" customFormat="1" outlineLevel="1" x14ac:dyDescent="0.3">
      <c r="B79" s="38" t="s">
        <v>200</v>
      </c>
      <c r="C79" s="206"/>
      <c r="D79" s="43"/>
      <c r="E79" s="43"/>
      <c r="F79" s="43"/>
      <c r="G79" s="43"/>
      <c r="H79" s="97"/>
      <c r="I79" s="27">
        <f>I78/D78-1</f>
        <v>2.4724199984351936E-2</v>
      </c>
      <c r="J79" s="27">
        <f>J78/E78-1</f>
        <v>-0.31082938750572786</v>
      </c>
      <c r="K79" s="27">
        <f>K78/F78-1</f>
        <v>-0.35282377291543465</v>
      </c>
      <c r="L79" s="27">
        <f>L78/G78-1</f>
        <v>-1.3374876510373279E-2</v>
      </c>
      <c r="M79" s="97"/>
      <c r="N79" s="27">
        <f>N78/I78-1</f>
        <v>0.10078643964266631</v>
      </c>
      <c r="O79" s="27">
        <f>O78/J78-1</f>
        <v>0.53446365248226968</v>
      </c>
      <c r="P79" s="27">
        <f>P78/K78-1</f>
        <v>0.63712164477441457</v>
      </c>
      <c r="Q79" s="27">
        <f>Q78/L78-1</f>
        <v>0.24008318570438281</v>
      </c>
      <c r="R79" s="97"/>
      <c r="S79" s="27">
        <f t="shared" ref="S79:AP79" si="302">S78/N78-1</f>
        <v>4.6195463688700755E-2</v>
      </c>
      <c r="T79" s="27">
        <f t="shared" si="302"/>
        <v>-3.1992489347873132E-2</v>
      </c>
      <c r="U79" s="27">
        <f t="shared" si="302"/>
        <v>-0.18907416451545389</v>
      </c>
      <c r="V79" s="27">
        <f t="shared" si="302"/>
        <v>-0.12165208260413019</v>
      </c>
      <c r="W79" s="375">
        <f t="shared" si="302"/>
        <v>-7.5738087635253803E-2</v>
      </c>
      <c r="X79" s="27">
        <f t="shared" si="302"/>
        <v>-6.7517110523819257E-2</v>
      </c>
      <c r="Y79" s="27">
        <f t="shared" si="302"/>
        <v>5.2551088110403432E-2</v>
      </c>
      <c r="Z79" s="27">
        <f t="shared" si="302"/>
        <v>0.34937271301620476</v>
      </c>
      <c r="AA79" s="27">
        <f t="shared" si="302"/>
        <v>0.35585309869931159</v>
      </c>
      <c r="AB79" s="375">
        <f t="shared" si="302"/>
        <v>0.16182171419678149</v>
      </c>
      <c r="AC79" s="27">
        <f t="shared" si="302"/>
        <v>0.35217740441040202</v>
      </c>
      <c r="AD79" s="27">
        <f t="shared" si="302"/>
        <v>0.18022037247739386</v>
      </c>
      <c r="AE79" s="27">
        <f t="shared" si="302"/>
        <v>0.17745946888256148</v>
      </c>
      <c r="AF79" s="27">
        <f t="shared" si="302"/>
        <v>0.17496190959878111</v>
      </c>
      <c r="AG79" s="375">
        <f t="shared" si="302"/>
        <v>0.21630433003576321</v>
      </c>
      <c r="AH79" s="27">
        <f t="shared" si="302"/>
        <v>0.17260168841135859</v>
      </c>
      <c r="AI79" s="27">
        <f t="shared" si="302"/>
        <v>0.17027171017581244</v>
      </c>
      <c r="AJ79" s="27">
        <f t="shared" si="302"/>
        <v>0.1680692299720179</v>
      </c>
      <c r="AK79" s="27">
        <f t="shared" si="302"/>
        <v>0.16585476550680789</v>
      </c>
      <c r="AL79" s="375">
        <f t="shared" si="302"/>
        <v>0.16902121444105478</v>
      </c>
      <c r="AM79" s="27">
        <f t="shared" si="302"/>
        <v>0.15576281170233641</v>
      </c>
      <c r="AN79" s="27">
        <f t="shared" si="302"/>
        <v>0.13853728489483763</v>
      </c>
      <c r="AO79" s="27">
        <f t="shared" si="302"/>
        <v>0.12219116825041931</v>
      </c>
      <c r="AP79" s="27">
        <f t="shared" si="302"/>
        <v>0.10655827050594957</v>
      </c>
      <c r="AQ79" s="97"/>
      <c r="AR79" s="27">
        <f>AR78/AM78-1</f>
        <v>7.7770246164823531E-2</v>
      </c>
      <c r="AS79" s="27">
        <f>AS78/AN78-1</f>
        <v>7.7222712043731212E-2</v>
      </c>
      <c r="AT79" s="27">
        <f>AT78/AO78-1</f>
        <v>7.6687587168758675E-2</v>
      </c>
      <c r="AU79" s="27">
        <f>AU78/AP78-1</f>
        <v>7.6164454404413107E-2</v>
      </c>
      <c r="AV79" s="97"/>
    </row>
    <row r="80" spans="2:48" outlineLevel="1" x14ac:dyDescent="0.3">
      <c r="B80" s="236" t="s">
        <v>44</v>
      </c>
      <c r="C80" s="221"/>
      <c r="D80" s="222">
        <v>0.01</v>
      </c>
      <c r="E80" s="222">
        <v>0</v>
      </c>
      <c r="F80" s="222">
        <v>0.01</v>
      </c>
      <c r="G80" s="222">
        <v>0.01</v>
      </c>
      <c r="H80" s="223"/>
      <c r="I80" s="222">
        <v>-0.01</v>
      </c>
      <c r="J80" s="222">
        <v>-0.32</v>
      </c>
      <c r="K80" s="222">
        <v>-0.44</v>
      </c>
      <c r="L80" s="224">
        <v>-0.15</v>
      </c>
      <c r="M80" s="223"/>
      <c r="N80" s="222">
        <v>-0.03</v>
      </c>
      <c r="O80" s="222">
        <v>0.26</v>
      </c>
      <c r="P80" s="222">
        <v>0.55000000000000004</v>
      </c>
      <c r="Q80" s="222">
        <v>0.06</v>
      </c>
      <c r="R80" s="225"/>
      <c r="S80" s="224">
        <v>0.02</v>
      </c>
      <c r="T80" s="224">
        <v>-0.03</v>
      </c>
      <c r="U80" s="224">
        <v>-0.18</v>
      </c>
      <c r="V80" s="224"/>
      <c r="W80" s="223"/>
      <c r="X80" s="224"/>
      <c r="Y80" s="224"/>
      <c r="Z80" s="224"/>
      <c r="AA80" s="224"/>
      <c r="AB80" s="225"/>
      <c r="AC80" s="224"/>
      <c r="AD80" s="224"/>
      <c r="AE80" s="224"/>
      <c r="AF80" s="224"/>
      <c r="AG80" s="225"/>
      <c r="AH80" s="224"/>
      <c r="AI80" s="224"/>
      <c r="AJ80" s="224"/>
      <c r="AK80" s="224"/>
      <c r="AL80" s="225"/>
      <c r="AM80" s="224"/>
      <c r="AN80" s="224"/>
      <c r="AO80" s="224"/>
      <c r="AP80" s="224"/>
      <c r="AQ80" s="225"/>
      <c r="AR80" s="224"/>
      <c r="AS80" s="224"/>
      <c r="AT80" s="224"/>
      <c r="AU80" s="224"/>
      <c r="AV80" s="225"/>
    </row>
    <row r="81" spans="1:48" outlineLevel="1" x14ac:dyDescent="0.3">
      <c r="B81" s="180" t="s">
        <v>43</v>
      </c>
      <c r="C81" s="207"/>
      <c r="D81" s="151">
        <v>0.01</v>
      </c>
      <c r="E81" s="151">
        <v>0.02</v>
      </c>
      <c r="F81" s="151">
        <v>0.03</v>
      </c>
      <c r="G81" s="151">
        <v>0.03</v>
      </c>
      <c r="H81" s="60"/>
      <c r="I81" s="151">
        <v>0.02</v>
      </c>
      <c r="J81" s="151">
        <v>0.01</v>
      </c>
      <c r="K81" s="151">
        <v>0.13</v>
      </c>
      <c r="L81" s="59">
        <v>7.0000000000000007E-2</v>
      </c>
      <c r="M81" s="60"/>
      <c r="N81" s="151">
        <v>-0.1</v>
      </c>
      <c r="O81" s="59">
        <v>7.0000000000000007E-2</v>
      </c>
      <c r="P81" s="59">
        <v>-0.09</v>
      </c>
      <c r="Q81" s="151">
        <v>-0.02</v>
      </c>
      <c r="R81" s="60"/>
      <c r="S81" s="59">
        <v>-0.05</v>
      </c>
      <c r="T81" s="59">
        <v>-0.05</v>
      </c>
      <c r="U81" s="59">
        <v>-0.15</v>
      </c>
      <c r="V81" s="59"/>
      <c r="W81" s="148"/>
      <c r="X81" s="59"/>
      <c r="Y81" s="59"/>
      <c r="Z81" s="59"/>
      <c r="AA81" s="59"/>
      <c r="AB81" s="60"/>
      <c r="AC81" s="59"/>
      <c r="AD81" s="59"/>
      <c r="AE81" s="59"/>
      <c r="AF81" s="59"/>
      <c r="AG81" s="60"/>
      <c r="AH81" s="59"/>
      <c r="AI81" s="59"/>
      <c r="AJ81" s="59"/>
      <c r="AK81" s="59"/>
      <c r="AL81" s="60"/>
      <c r="AM81" s="59"/>
      <c r="AN81" s="59"/>
      <c r="AO81" s="59"/>
      <c r="AP81" s="59"/>
      <c r="AQ81" s="60"/>
      <c r="AR81" s="59"/>
      <c r="AS81" s="59"/>
      <c r="AT81" s="59"/>
      <c r="AU81" s="59"/>
      <c r="AV81" s="60"/>
    </row>
    <row r="82" spans="1:48" s="8" customFormat="1" outlineLevel="1" x14ac:dyDescent="0.3">
      <c r="B82" s="208" t="s">
        <v>45</v>
      </c>
      <c r="C82" s="206"/>
      <c r="D82" s="152">
        <v>0.02</v>
      </c>
      <c r="E82" s="152">
        <v>0.02</v>
      </c>
      <c r="F82" s="152">
        <v>0.05</v>
      </c>
      <c r="G82" s="152">
        <v>0.03</v>
      </c>
      <c r="H82" s="61"/>
      <c r="I82" s="152">
        <v>0.01</v>
      </c>
      <c r="J82" s="152">
        <v>-0.31</v>
      </c>
      <c r="K82" s="152">
        <v>-0.37</v>
      </c>
      <c r="L82" s="157">
        <v>-0.1</v>
      </c>
      <c r="M82" s="61"/>
      <c r="N82" s="152">
        <v>0.08</v>
      </c>
      <c r="O82" s="152">
        <v>0.35</v>
      </c>
      <c r="P82" s="152">
        <v>0.41</v>
      </c>
      <c r="Q82" s="152">
        <v>0.03</v>
      </c>
      <c r="R82" s="377">
        <f>R92/M92-1</f>
        <v>0.32353965857623956</v>
      </c>
      <c r="S82" s="152">
        <v>-0.03</v>
      </c>
      <c r="T82" s="152">
        <v>-0.08</v>
      </c>
      <c r="U82" s="152">
        <v>-0.04</v>
      </c>
      <c r="V82" s="152"/>
      <c r="W82" s="377">
        <f>W92/R92-1</f>
        <v>2.1698124630008753E-2</v>
      </c>
      <c r="X82" s="157"/>
      <c r="Y82" s="157"/>
      <c r="Z82" s="157"/>
      <c r="AA82" s="157"/>
      <c r="AB82" s="377">
        <f>AB92/W92-1</f>
        <v>0.18596828727514603</v>
      </c>
      <c r="AC82" s="157"/>
      <c r="AD82" s="157"/>
      <c r="AE82" s="157"/>
      <c r="AF82" s="157"/>
      <c r="AG82" s="377">
        <f>AG92/AB92-1</f>
        <v>0.19889504341978603</v>
      </c>
      <c r="AH82" s="157"/>
      <c r="AI82" s="157"/>
      <c r="AJ82" s="157"/>
      <c r="AK82" s="157"/>
      <c r="AL82" s="377">
        <f>AL92/AG92-1</f>
        <v>0.16298126736888419</v>
      </c>
      <c r="AM82" s="157"/>
      <c r="AN82" s="157"/>
      <c r="AO82" s="157"/>
      <c r="AP82" s="157">
        <v>0.04</v>
      </c>
      <c r="AQ82" s="134"/>
      <c r="AR82" s="157"/>
      <c r="AS82" s="157"/>
      <c r="AT82" s="157"/>
      <c r="AU82" s="157">
        <v>0.04</v>
      </c>
      <c r="AV82" s="61"/>
    </row>
    <row r="83" spans="1:48" s="8" customFormat="1" outlineLevel="1" x14ac:dyDescent="0.3">
      <c r="B83" s="506" t="s">
        <v>117</v>
      </c>
      <c r="C83" s="507"/>
      <c r="D83" s="117">
        <v>6373</v>
      </c>
      <c r="E83" s="117">
        <v>6586</v>
      </c>
      <c r="F83" s="117">
        <v>7127</v>
      </c>
      <c r="G83" s="117">
        <v>7329</v>
      </c>
      <c r="H83" s="192">
        <f>G83</f>
        <v>7329</v>
      </c>
      <c r="I83" s="117">
        <v>7533</v>
      </c>
      <c r="J83" s="117">
        <v>7642</v>
      </c>
      <c r="K83" s="117">
        <v>7691</v>
      </c>
      <c r="L83" s="117">
        <v>9735</v>
      </c>
      <c r="M83" s="192">
        <f>L83</f>
        <v>9735</v>
      </c>
      <c r="N83" s="117">
        <v>7917</v>
      </c>
      <c r="O83" s="67">
        <f>+N83+O84</f>
        <v>7987</v>
      </c>
      <c r="P83" s="67">
        <f t="shared" ref="P83" si="303">+O83+P84</f>
        <v>8107</v>
      </c>
      <c r="Q83" s="67">
        <v>9735</v>
      </c>
      <c r="R83" s="192">
        <f>Q83</f>
        <v>9735</v>
      </c>
      <c r="S83" s="67">
        <f>+Q83+S84</f>
        <v>9944</v>
      </c>
      <c r="T83" s="67">
        <f>+S83+T84</f>
        <v>10117</v>
      </c>
      <c r="U83" s="67">
        <f t="shared" ref="U83:V83" si="304">+T83+U84</f>
        <v>10181</v>
      </c>
      <c r="V83" s="67">
        <f t="shared" si="304"/>
        <v>10331</v>
      </c>
      <c r="W83" s="253">
        <f>V83</f>
        <v>10331</v>
      </c>
      <c r="X83" s="67">
        <f>+V83+X84</f>
        <v>10567</v>
      </c>
      <c r="Y83" s="67">
        <f>+X83+Y84</f>
        <v>10803</v>
      </c>
      <c r="Z83" s="67">
        <f t="shared" ref="Z83:AA83" si="305">+Y83+Z84</f>
        <v>11039</v>
      </c>
      <c r="AA83" s="67">
        <f t="shared" si="305"/>
        <v>11277</v>
      </c>
      <c r="AB83" s="192">
        <f>AA83</f>
        <v>11277</v>
      </c>
      <c r="AC83" s="67">
        <f>+AA83+AC84</f>
        <v>11521</v>
      </c>
      <c r="AD83" s="67">
        <f>+AC83+AD84</f>
        <v>11765</v>
      </c>
      <c r="AE83" s="67">
        <f t="shared" ref="AE83" si="306">+AD83+AE84</f>
        <v>12009</v>
      </c>
      <c r="AF83" s="67">
        <f t="shared" ref="AF83" si="307">+AE83+AF84</f>
        <v>12255</v>
      </c>
      <c r="AG83" s="192">
        <f>AF83</f>
        <v>12255</v>
      </c>
      <c r="AH83" s="67">
        <f>+AF83+AH84</f>
        <v>12508</v>
      </c>
      <c r="AI83" s="67">
        <f>+AH83+AI84</f>
        <v>12761</v>
      </c>
      <c r="AJ83" s="67">
        <f t="shared" ref="AJ83" si="308">+AI83+AJ84</f>
        <v>13014</v>
      </c>
      <c r="AK83" s="67">
        <f t="shared" ref="AK83" si="309">+AJ83+AK84</f>
        <v>13268</v>
      </c>
      <c r="AL83" s="192">
        <f>AK83</f>
        <v>13268</v>
      </c>
      <c r="AM83" s="67">
        <f>+AK83+AM84</f>
        <v>13332</v>
      </c>
      <c r="AN83" s="67">
        <f>+AM83+AN84</f>
        <v>13396</v>
      </c>
      <c r="AO83" s="67">
        <f t="shared" ref="AO83" si="310">+AN83+AO84</f>
        <v>13460</v>
      </c>
      <c r="AP83" s="67">
        <f t="shared" ref="AP83" si="311">+AO83+AP84</f>
        <v>13524</v>
      </c>
      <c r="AQ83" s="192">
        <f>AP83</f>
        <v>13524</v>
      </c>
      <c r="AR83" s="67">
        <f>+AP83+AR84</f>
        <v>13588</v>
      </c>
      <c r="AS83" s="67">
        <f>+AR83+AS84</f>
        <v>13652</v>
      </c>
      <c r="AT83" s="67">
        <f t="shared" ref="AT83" si="312">+AS83+AT84</f>
        <v>13716</v>
      </c>
      <c r="AU83" s="67">
        <f t="shared" ref="AU83" si="313">+AT83+AU84</f>
        <v>13780</v>
      </c>
      <c r="AV83" s="192">
        <f>AU83</f>
        <v>13780</v>
      </c>
    </row>
    <row r="84" spans="1:48" outlineLevel="1" x14ac:dyDescent="0.3">
      <c r="B84" s="180" t="s">
        <v>47</v>
      </c>
      <c r="C84" s="201"/>
      <c r="D84" s="101">
        <f>+D83-6201</f>
        <v>172</v>
      </c>
      <c r="E84" s="101">
        <f>+E83-D83</f>
        <v>213</v>
      </c>
      <c r="F84" s="101">
        <f t="shared" ref="F84:G84" si="314">+F83-E83</f>
        <v>541</v>
      </c>
      <c r="G84" s="101">
        <f t="shared" si="314"/>
        <v>202</v>
      </c>
      <c r="H84" s="122">
        <f>+SUM(D84:G84)</f>
        <v>1128</v>
      </c>
      <c r="I84" s="101">
        <f>+I83-G83</f>
        <v>204</v>
      </c>
      <c r="J84" s="101">
        <f t="shared" ref="J84:K84" si="315">+J83-I83</f>
        <v>109</v>
      </c>
      <c r="K84" s="101">
        <f t="shared" si="315"/>
        <v>49</v>
      </c>
      <c r="L84" s="101">
        <v>82</v>
      </c>
      <c r="M84" s="122">
        <f>+SUM(I84:L84)</f>
        <v>444</v>
      </c>
      <c r="N84" s="101">
        <v>139</v>
      </c>
      <c r="O84" s="101">
        <v>70</v>
      </c>
      <c r="P84" s="101">
        <v>120</v>
      </c>
      <c r="Q84" s="101">
        <v>205</v>
      </c>
      <c r="R84" s="122">
        <f>+SUM(N84:Q84)</f>
        <v>534</v>
      </c>
      <c r="S84" s="101">
        <v>209</v>
      </c>
      <c r="T84" s="101">
        <v>173</v>
      </c>
      <c r="U84" s="101">
        <v>64</v>
      </c>
      <c r="V84" s="33">
        <v>150</v>
      </c>
      <c r="W84" s="122">
        <f>+SUM(S84:V84)</f>
        <v>596</v>
      </c>
      <c r="X84" s="33">
        <v>236</v>
      </c>
      <c r="Y84" s="33">
        <v>236</v>
      </c>
      <c r="Z84" s="33">
        <v>236</v>
      </c>
      <c r="AA84" s="33">
        <v>238</v>
      </c>
      <c r="AB84" s="122">
        <f>+SUM(X84:AA84)</f>
        <v>946</v>
      </c>
      <c r="AC84" s="33">
        <v>244</v>
      </c>
      <c r="AD84" s="33">
        <v>244</v>
      </c>
      <c r="AE84" s="33">
        <v>244</v>
      </c>
      <c r="AF84" s="33">
        <v>246</v>
      </c>
      <c r="AG84" s="122">
        <f>+SUM(AC84:AF84)</f>
        <v>978</v>
      </c>
      <c r="AH84" s="33">
        <v>253</v>
      </c>
      <c r="AI84" s="33">
        <v>253</v>
      </c>
      <c r="AJ84" s="33">
        <v>253</v>
      </c>
      <c r="AK84" s="33">
        <v>254</v>
      </c>
      <c r="AL84" s="122">
        <f>+SUM(AH84:AK84)</f>
        <v>1013</v>
      </c>
      <c r="AM84" s="33">
        <v>64</v>
      </c>
      <c r="AN84" s="33">
        <v>64</v>
      </c>
      <c r="AO84" s="33">
        <v>64</v>
      </c>
      <c r="AP84" s="33">
        <v>64</v>
      </c>
      <c r="AQ84" s="122">
        <f>+SUM(AM84:AP84)</f>
        <v>256</v>
      </c>
      <c r="AR84" s="33">
        <v>64</v>
      </c>
      <c r="AS84" s="33">
        <v>64</v>
      </c>
      <c r="AT84" s="33">
        <v>64</v>
      </c>
      <c r="AU84" s="33">
        <v>64</v>
      </c>
      <c r="AV84" s="122">
        <f>+SUM(AR84:AU84)</f>
        <v>256</v>
      </c>
    </row>
    <row r="85" spans="1:48" outlineLevel="1" x14ac:dyDescent="0.3">
      <c r="B85" s="180" t="s">
        <v>49</v>
      </c>
      <c r="C85" s="201"/>
      <c r="D85" s="16">
        <f>AVERAGE(D83,6201)</f>
        <v>6287</v>
      </c>
      <c r="E85" s="16">
        <f>AVERAGE(E83,D83)</f>
        <v>6479.5</v>
      </c>
      <c r="F85" s="16">
        <f t="shared" ref="F85:G85" si="316">AVERAGE(F83,E83)</f>
        <v>6856.5</v>
      </c>
      <c r="G85" s="16">
        <f t="shared" si="316"/>
        <v>7228</v>
      </c>
      <c r="H85" s="26"/>
      <c r="I85" s="16">
        <f>AVERAGE(I83,G83)</f>
        <v>7431</v>
      </c>
      <c r="J85" s="16">
        <f>AVERAGE(J83,I83)</f>
        <v>7587.5</v>
      </c>
      <c r="K85" s="16">
        <f t="shared" ref="K85:L85" si="317">AVERAGE(K83,J83)</f>
        <v>7666.5</v>
      </c>
      <c r="L85" s="16">
        <f t="shared" si="317"/>
        <v>8713</v>
      </c>
      <c r="M85" s="6"/>
      <c r="N85" s="16">
        <f>AVERAGE(N83,L83)</f>
        <v>8826</v>
      </c>
      <c r="O85" s="16">
        <f>AVERAGE(O83,N83)</f>
        <v>7952</v>
      </c>
      <c r="P85" s="16">
        <f t="shared" ref="P85:Q85" si="318">AVERAGE(P83,O83)</f>
        <v>8047</v>
      </c>
      <c r="Q85" s="16">
        <f t="shared" si="318"/>
        <v>8921</v>
      </c>
      <c r="R85" s="6"/>
      <c r="S85" s="16">
        <f>AVERAGE(S83,Q83)</f>
        <v>9839.5</v>
      </c>
      <c r="T85" s="16">
        <f>AVERAGE(T83,S83)</f>
        <v>10030.5</v>
      </c>
      <c r="U85" s="16">
        <f t="shared" ref="U85:V85" si="319">AVERAGE(U83,T83)</f>
        <v>10149</v>
      </c>
      <c r="V85" s="16">
        <f t="shared" si="319"/>
        <v>10256</v>
      </c>
      <c r="W85" s="130"/>
      <c r="X85" s="16">
        <f>AVERAGE(X83,V83)</f>
        <v>10449</v>
      </c>
      <c r="Y85" s="16">
        <f>AVERAGE(Y83,X83)</f>
        <v>10685</v>
      </c>
      <c r="Z85" s="16">
        <f t="shared" ref="Z85:AA85" si="320">AVERAGE(Z83,Y83)</f>
        <v>10921</v>
      </c>
      <c r="AA85" s="16">
        <f t="shared" si="320"/>
        <v>11158</v>
      </c>
      <c r="AB85" s="6"/>
      <c r="AC85" s="16">
        <f>AVERAGE(AC83,AA83)</f>
        <v>11399</v>
      </c>
      <c r="AD85" s="16">
        <f>AVERAGE(AD83,AC83)</f>
        <v>11643</v>
      </c>
      <c r="AE85" s="16">
        <f t="shared" ref="AE85" si="321">AVERAGE(AE83,AD83)</f>
        <v>11887</v>
      </c>
      <c r="AF85" s="16">
        <f t="shared" ref="AF85" si="322">AVERAGE(AF83,AE83)</f>
        <v>12132</v>
      </c>
      <c r="AG85" s="6"/>
      <c r="AH85" s="16">
        <f>AVERAGE(AH83,AF83)</f>
        <v>12381.5</v>
      </c>
      <c r="AI85" s="16">
        <f>AVERAGE(AI83,AH83)</f>
        <v>12634.5</v>
      </c>
      <c r="AJ85" s="16">
        <f t="shared" ref="AJ85" si="323">AVERAGE(AJ83,AI83)</f>
        <v>12887.5</v>
      </c>
      <c r="AK85" s="16">
        <f t="shared" ref="AK85" si="324">AVERAGE(AK83,AJ83)</f>
        <v>13141</v>
      </c>
      <c r="AL85" s="6"/>
      <c r="AM85" s="16">
        <f>AVERAGE(AM83,AK83)</f>
        <v>13300</v>
      </c>
      <c r="AN85" s="16">
        <f>AVERAGE(AN83,AM83)</f>
        <v>13364</v>
      </c>
      <c r="AO85" s="16">
        <f t="shared" ref="AO85" si="325">AVERAGE(AO83,AN83)</f>
        <v>13428</v>
      </c>
      <c r="AP85" s="16">
        <f t="shared" ref="AP85" si="326">AVERAGE(AP83,AO83)</f>
        <v>13492</v>
      </c>
      <c r="AQ85" s="6"/>
      <c r="AR85" s="16">
        <f>AVERAGE(AR83,AP83)</f>
        <v>13556</v>
      </c>
      <c r="AS85" s="16">
        <f>AVERAGE(AS83,AR83)</f>
        <v>13620</v>
      </c>
      <c r="AT85" s="16">
        <f t="shared" ref="AT85" si="327">AVERAGE(AT83,AS83)</f>
        <v>13684</v>
      </c>
      <c r="AU85" s="16">
        <f t="shared" ref="AU85" si="328">AVERAGE(AU83,AT83)</f>
        <v>13748</v>
      </c>
      <c r="AV85" s="6"/>
    </row>
    <row r="86" spans="1:48" outlineLevel="1" x14ac:dyDescent="0.3">
      <c r="B86" s="180" t="s">
        <v>48</v>
      </c>
      <c r="C86" s="201"/>
      <c r="D86" s="43">
        <f>+D87/D85</f>
        <v>3.5390488309209482E-2</v>
      </c>
      <c r="E86" s="114">
        <f>+E87/E85</f>
        <v>3.3197005941816495E-2</v>
      </c>
      <c r="F86" s="114">
        <f>+F87/F85</f>
        <v>3.335521038430686E-2</v>
      </c>
      <c r="G86" s="114">
        <f>+G87/G85</f>
        <v>3.468456004427227E-2</v>
      </c>
      <c r="H86" s="26"/>
      <c r="I86" s="114">
        <f t="shared" ref="I86:S86" si="329">+I87/I85</f>
        <v>3.4275333064190554E-2</v>
      </c>
      <c r="J86" s="114">
        <f t="shared" si="329"/>
        <v>2.97331136738056E-2</v>
      </c>
      <c r="K86" s="114">
        <f t="shared" si="329"/>
        <v>8.4784451835909474E-3</v>
      </c>
      <c r="L86" s="114">
        <f t="shared" si="329"/>
        <v>2.3837943303110294E-2</v>
      </c>
      <c r="M86" s="6"/>
      <c r="N86" s="114">
        <f t="shared" si="329"/>
        <v>2.2388397915250397E-2</v>
      </c>
      <c r="O86" s="114">
        <f t="shared" si="329"/>
        <v>2.5251509054325959E-2</v>
      </c>
      <c r="P86" s="114">
        <f t="shared" si="329"/>
        <v>2.6307940847520812E-2</v>
      </c>
      <c r="Q86" s="114">
        <f t="shared" si="329"/>
        <v>3.228337630310503E-2</v>
      </c>
      <c r="R86" s="6"/>
      <c r="S86" s="114">
        <f t="shared" si="329"/>
        <v>3.4036282331419275E-2</v>
      </c>
      <c r="T86" s="114">
        <f>+T87/T85</f>
        <v>3.4145855141817456E-2</v>
      </c>
      <c r="U86" s="114">
        <f>+U87/U85</f>
        <v>4.065425165040891E-2</v>
      </c>
      <c r="V86" s="62">
        <f>Q86*1.2</f>
        <v>3.8740051563726036E-2</v>
      </c>
      <c r="W86" s="130"/>
      <c r="X86" s="62">
        <f>S86*1.2</f>
        <v>4.0843538797703131E-2</v>
      </c>
      <c r="Y86" s="62">
        <f>T86*1.2</f>
        <v>4.0975026170180943E-2</v>
      </c>
      <c r="Z86" s="62">
        <f>U86*1.2</f>
        <v>4.8785101980490693E-2</v>
      </c>
      <c r="AA86" s="62">
        <f>V86*1.2</f>
        <v>4.648806187647124E-2</v>
      </c>
      <c r="AB86" s="6"/>
      <c r="AC86" s="62">
        <f>X86*1.05</f>
        <v>4.2885715737588287E-2</v>
      </c>
      <c r="AD86" s="62">
        <f>Y86*1.05</f>
        <v>4.302377747868999E-2</v>
      </c>
      <c r="AE86" s="62">
        <f>Z86*1.05</f>
        <v>5.1224357079515233E-2</v>
      </c>
      <c r="AF86" s="62">
        <f>AA86*1.05</f>
        <v>4.8812464970294803E-2</v>
      </c>
      <c r="AG86" s="6"/>
      <c r="AH86" s="62">
        <f>AC86*1.05</f>
        <v>4.5030001524467705E-2</v>
      </c>
      <c r="AI86" s="62">
        <f t="shared" ref="AI86:AK86" si="330">AD86*1.05</f>
        <v>4.5174966352624489E-2</v>
      </c>
      <c r="AJ86" s="62">
        <f t="shared" si="330"/>
        <v>5.3785574933490995E-2</v>
      </c>
      <c r="AK86" s="62">
        <f t="shared" si="330"/>
        <v>5.1253088218809542E-2</v>
      </c>
      <c r="AL86" s="6"/>
      <c r="AM86" s="62">
        <f>AH86*1.05</f>
        <v>4.7281501600691091E-2</v>
      </c>
      <c r="AN86" s="62">
        <f>AI86*1.05</f>
        <v>4.7433714670255714E-2</v>
      </c>
      <c r="AO86" s="62">
        <f>AJ86*1.05</f>
        <v>5.6474853680165547E-2</v>
      </c>
      <c r="AP86" s="62">
        <f>AK86*1.05</f>
        <v>5.3815742629750023E-2</v>
      </c>
      <c r="AQ86" s="6"/>
      <c r="AR86" s="62">
        <f>AM86*1.03</f>
        <v>4.8699946648711821E-2</v>
      </c>
      <c r="AS86" s="62">
        <f>AN86*1.03</f>
        <v>4.8856726110363388E-2</v>
      </c>
      <c r="AT86" s="62">
        <f>AO86*1.03</f>
        <v>5.8169099290570514E-2</v>
      </c>
      <c r="AU86" s="62">
        <f>AP86*1.03</f>
        <v>5.5430214908642528E-2</v>
      </c>
      <c r="AV86" s="6"/>
    </row>
    <row r="87" spans="1:48" s="8" customFormat="1" outlineLevel="1" x14ac:dyDescent="0.3">
      <c r="B87" s="498" t="s">
        <v>118</v>
      </c>
      <c r="C87" s="499"/>
      <c r="D87" s="115">
        <v>222.5</v>
      </c>
      <c r="E87" s="115">
        <v>215.1</v>
      </c>
      <c r="F87" s="115">
        <v>228.7</v>
      </c>
      <c r="G87" s="115">
        <v>250.7</v>
      </c>
      <c r="H87" s="73">
        <f>SUM(D87:G87)</f>
        <v>917</v>
      </c>
      <c r="I87" s="115">
        <v>254.7</v>
      </c>
      <c r="J87" s="115">
        <v>225.6</v>
      </c>
      <c r="K87" s="115">
        <v>65</v>
      </c>
      <c r="L87" s="72">
        <v>207.7</v>
      </c>
      <c r="M87" s="73">
        <f>SUM(I87:L87)</f>
        <v>753</v>
      </c>
      <c r="N87" s="72">
        <v>197.6</v>
      </c>
      <c r="O87" s="72">
        <v>200.8</v>
      </c>
      <c r="P87" s="72">
        <v>211.7</v>
      </c>
      <c r="Q87" s="115">
        <v>288</v>
      </c>
      <c r="R87" s="73">
        <f>SUM(N87:Q87)</f>
        <v>898.09999999999991</v>
      </c>
      <c r="S87" s="72">
        <v>334.9</v>
      </c>
      <c r="T87" s="72">
        <v>342.5</v>
      </c>
      <c r="U87" s="72">
        <v>412.6</v>
      </c>
      <c r="V87" s="72">
        <f t="shared" ref="V87" si="331">+V85*V86</f>
        <v>397.3179688375742</v>
      </c>
      <c r="W87" s="213">
        <f>SUM(S87:V87)</f>
        <v>1487.3179688375742</v>
      </c>
      <c r="X87" s="72">
        <f>+X85*X86</f>
        <v>426.77413689720004</v>
      </c>
      <c r="Y87" s="72">
        <f>+Y85*Y86</f>
        <v>437.81815462838335</v>
      </c>
      <c r="Z87" s="72">
        <f t="shared" ref="Z87:AA87" si="332">+Z85*Z86</f>
        <v>532.78209872893888</v>
      </c>
      <c r="AA87" s="72">
        <f t="shared" si="332"/>
        <v>518.71379441766612</v>
      </c>
      <c r="AB87" s="73">
        <f>SUM(X87:AA87)</f>
        <v>1916.0881846721884</v>
      </c>
      <c r="AC87" s="72">
        <f>+AC85*AC86</f>
        <v>488.85427369276886</v>
      </c>
      <c r="AD87" s="72">
        <f>+AD85*AD86</f>
        <v>500.92584118438754</v>
      </c>
      <c r="AE87" s="72">
        <f t="shared" ref="AE87:AF87" si="333">+AE85*AE86</f>
        <v>608.90393260419762</v>
      </c>
      <c r="AF87" s="72">
        <f t="shared" si="333"/>
        <v>592.19282501961652</v>
      </c>
      <c r="AG87" s="73">
        <f>SUM(AC87:AF87)</f>
        <v>2190.8768725009704</v>
      </c>
      <c r="AH87" s="72">
        <f>+AH85*AH86</f>
        <v>557.53896387519694</v>
      </c>
      <c r="AI87" s="72">
        <f>+AI85*AI86</f>
        <v>570.76311238223411</v>
      </c>
      <c r="AJ87" s="72">
        <f t="shared" ref="AJ87:AK87" si="334">+AJ85*AJ86</f>
        <v>693.16159695536521</v>
      </c>
      <c r="AK87" s="72">
        <f t="shared" si="334"/>
        <v>673.51683228337617</v>
      </c>
      <c r="AL87" s="73">
        <f>SUM(AH87:AK87)</f>
        <v>2494.9805054961726</v>
      </c>
      <c r="AM87" s="72">
        <f>+AM85*AM86</f>
        <v>628.84397128919147</v>
      </c>
      <c r="AN87" s="72">
        <f>+AN85*AN86</f>
        <v>633.90416285329741</v>
      </c>
      <c r="AO87" s="72">
        <f t="shared" ref="AO87:AP87" si="335">+AO85*AO86</f>
        <v>758.34433521726294</v>
      </c>
      <c r="AP87" s="72">
        <f t="shared" si="335"/>
        <v>726.08199956058729</v>
      </c>
      <c r="AQ87" s="73">
        <f>SUM(AM87:AP87)</f>
        <v>2747.1744689203388</v>
      </c>
      <c r="AR87" s="72">
        <f>+AR85*AR86</f>
        <v>660.17647676993749</v>
      </c>
      <c r="AS87" s="72">
        <f>+AS85*AS86</f>
        <v>665.42860962314933</v>
      </c>
      <c r="AT87" s="72">
        <f t="shared" ref="AT87:AU87" si="336">+AT85*AT86</f>
        <v>795.98595469216696</v>
      </c>
      <c r="AU87" s="72">
        <f t="shared" si="336"/>
        <v>762.05459456401752</v>
      </c>
      <c r="AV87" s="73">
        <f>SUM(AR87:AU87)</f>
        <v>2883.6456356492713</v>
      </c>
    </row>
    <row r="88" spans="1:48" s="8" customFormat="1" outlineLevel="1" x14ac:dyDescent="0.3">
      <c r="B88" s="500" t="s">
        <v>119</v>
      </c>
      <c r="C88" s="501"/>
      <c r="D88" s="103">
        <v>3.4</v>
      </c>
      <c r="E88" s="103">
        <v>4.9000000000000004</v>
      </c>
      <c r="F88" s="103">
        <v>3.8</v>
      </c>
      <c r="G88" s="103">
        <v>5.5</v>
      </c>
      <c r="H88" s="97">
        <f>SUM(D88:G88)</f>
        <v>17.600000000000001</v>
      </c>
      <c r="I88" s="103">
        <v>6.7</v>
      </c>
      <c r="J88" s="103">
        <v>6.6</v>
      </c>
      <c r="K88" s="103">
        <v>9.1</v>
      </c>
      <c r="L88" s="50">
        <v>5.3</v>
      </c>
      <c r="M88" s="97">
        <f>SUM(I88:L88)</f>
        <v>27.7</v>
      </c>
      <c r="N88" s="50">
        <v>15</v>
      </c>
      <c r="O88" s="50">
        <v>25.4</v>
      </c>
      <c r="P88" s="50">
        <v>13.4</v>
      </c>
      <c r="Q88" s="103">
        <v>16.600000000000001</v>
      </c>
      <c r="R88" s="97">
        <f>SUM(N88:Q88)</f>
        <v>70.400000000000006</v>
      </c>
      <c r="S88" s="50">
        <v>32.700000000000003</v>
      </c>
      <c r="T88" s="50">
        <v>19.5</v>
      </c>
      <c r="U88" s="50">
        <v>9.8000000000000007</v>
      </c>
      <c r="V88" s="50">
        <f t="shared" ref="V88" si="337">+Q88*(1+V89)</f>
        <v>12.118</v>
      </c>
      <c r="W88" s="132">
        <f>SUM(S88:V88)</f>
        <v>74.117999999999995</v>
      </c>
      <c r="X88" s="50">
        <f>+S88*(1+X89)</f>
        <v>26.160000000000004</v>
      </c>
      <c r="Y88" s="50">
        <f>+T88*(1+Y89)</f>
        <v>17.55</v>
      </c>
      <c r="Z88" s="50">
        <f>+U88*(1+Z89)</f>
        <v>10.290000000000001</v>
      </c>
      <c r="AA88" s="50">
        <f t="shared" ref="AA88" si="338">+V88*(1+AA89)</f>
        <v>12.7239</v>
      </c>
      <c r="AB88" s="97">
        <f>SUM(X88:AA88)</f>
        <v>66.723900000000015</v>
      </c>
      <c r="AC88" s="50">
        <f>+X88*(1+AC89)</f>
        <v>28.776000000000007</v>
      </c>
      <c r="AD88" s="50">
        <f>+Y88*(1+AD89)</f>
        <v>20.182500000000001</v>
      </c>
      <c r="AE88" s="50">
        <f>+Z88*(1+AE89)</f>
        <v>12.348000000000001</v>
      </c>
      <c r="AF88" s="50">
        <f t="shared" ref="AF88" si="339">+AA88*(1+AF89)</f>
        <v>15.26868</v>
      </c>
      <c r="AG88" s="97">
        <f>SUM(AC88:AF88)</f>
        <v>76.575180000000003</v>
      </c>
      <c r="AH88" s="50">
        <f>+AC88*(1+AH89)</f>
        <v>35.970000000000006</v>
      </c>
      <c r="AI88" s="50">
        <f>+AD88*(1+AI89)</f>
        <v>25.228125000000002</v>
      </c>
      <c r="AJ88" s="50">
        <f>+AE88*(1+AJ89)</f>
        <v>15.435</v>
      </c>
      <c r="AK88" s="50">
        <f t="shared" ref="AK88" si="340">+AF88*(1+AK89)</f>
        <v>19.085850000000001</v>
      </c>
      <c r="AL88" s="97">
        <f>SUM(AH88:AK88)</f>
        <v>95.718975</v>
      </c>
      <c r="AM88" s="50">
        <f>+AH88*(1+AM89)</f>
        <v>39.567000000000007</v>
      </c>
      <c r="AN88" s="50">
        <f>+AI88*(1+AN89)</f>
        <v>27.750937500000006</v>
      </c>
      <c r="AO88" s="50">
        <f>+AJ88*(1+AO89)</f>
        <v>16.9785</v>
      </c>
      <c r="AP88" s="50">
        <f t="shared" ref="AP88" si="341">+AK88*(1+AP89)</f>
        <v>20.994435000000003</v>
      </c>
      <c r="AQ88" s="97">
        <f>SUM(AM88:AP88)</f>
        <v>105.29087250000001</v>
      </c>
      <c r="AR88" s="50">
        <f>+AM88*(1+AR89)</f>
        <v>41.545350000000006</v>
      </c>
      <c r="AS88" s="50">
        <f>+AN88*(1+AS89)</f>
        <v>29.138484375000008</v>
      </c>
      <c r="AT88" s="50">
        <f>+AO88*(1+AT89)</f>
        <v>17.827425000000002</v>
      </c>
      <c r="AU88" s="50">
        <f t="shared" ref="AU88" si="342">+AP88*(1+AU89)</f>
        <v>22.044156750000003</v>
      </c>
      <c r="AV88" s="97">
        <f>SUM(AR88:AU88)</f>
        <v>110.55541612500002</v>
      </c>
    </row>
    <row r="89" spans="1:48" outlineLevel="1" x14ac:dyDescent="0.3">
      <c r="B89" s="69" t="s">
        <v>50</v>
      </c>
      <c r="C89" s="70"/>
      <c r="D89" s="120"/>
      <c r="E89" s="120"/>
      <c r="F89" s="120"/>
      <c r="G89" s="120"/>
      <c r="H89" s="58"/>
      <c r="I89" s="120">
        <f>I88/D88-1</f>
        <v>0.97058823529411775</v>
      </c>
      <c r="J89" s="120">
        <f t="shared" ref="J89:L89" si="343">J88/E88-1</f>
        <v>0.3469387755102038</v>
      </c>
      <c r="K89" s="120">
        <f t="shared" si="343"/>
        <v>1.3947368421052633</v>
      </c>
      <c r="L89" s="120">
        <f t="shared" si="343"/>
        <v>-3.6363636363636376E-2</v>
      </c>
      <c r="M89" s="58"/>
      <c r="N89" s="120">
        <f>N88/I88-1</f>
        <v>1.2388059701492535</v>
      </c>
      <c r="O89" s="120">
        <f t="shared" ref="O89:Q89" si="344">O88/J88-1</f>
        <v>2.8484848484848486</v>
      </c>
      <c r="P89" s="120">
        <f t="shared" si="344"/>
        <v>0.47252747252747263</v>
      </c>
      <c r="Q89" s="120">
        <f t="shared" si="344"/>
        <v>2.1320754716981134</v>
      </c>
      <c r="R89" s="58"/>
      <c r="S89" s="120">
        <f>S88/N88-1</f>
        <v>1.1800000000000002</v>
      </c>
      <c r="T89" s="120">
        <f t="shared" ref="T89:U89" si="345">T88/O88-1</f>
        <v>-0.23228346456692905</v>
      </c>
      <c r="U89" s="120">
        <f t="shared" si="345"/>
        <v>-0.26865671641791045</v>
      </c>
      <c r="V89" s="71">
        <v>-0.27</v>
      </c>
      <c r="W89" s="155"/>
      <c r="X89" s="71">
        <v>-0.2</v>
      </c>
      <c r="Y89" s="71">
        <v>-0.1</v>
      </c>
      <c r="Z89" s="71">
        <v>0.05</v>
      </c>
      <c r="AA89" s="71">
        <v>0.05</v>
      </c>
      <c r="AB89" s="58"/>
      <c r="AC89" s="71">
        <v>0.1</v>
      </c>
      <c r="AD89" s="71">
        <v>0.15</v>
      </c>
      <c r="AE89" s="71">
        <v>0.2</v>
      </c>
      <c r="AF89" s="71">
        <v>0.2</v>
      </c>
      <c r="AG89" s="58"/>
      <c r="AH89" s="71">
        <v>0.25</v>
      </c>
      <c r="AI89" s="71">
        <v>0.25</v>
      </c>
      <c r="AJ89" s="71">
        <v>0.25</v>
      </c>
      <c r="AK89" s="71">
        <v>0.25</v>
      </c>
      <c r="AL89" s="58"/>
      <c r="AM89" s="71">
        <v>0.1</v>
      </c>
      <c r="AN89" s="71">
        <v>0.1</v>
      </c>
      <c r="AO89" s="71">
        <v>0.1</v>
      </c>
      <c r="AP89" s="71">
        <v>0.1</v>
      </c>
      <c r="AQ89" s="58"/>
      <c r="AR89" s="71">
        <v>0.05</v>
      </c>
      <c r="AS89" s="71">
        <v>0.05</v>
      </c>
      <c r="AT89" s="71">
        <v>0.05</v>
      </c>
      <c r="AU89" s="71">
        <v>0.05</v>
      </c>
      <c r="AV89" s="58"/>
    </row>
    <row r="90" spans="1:48" outlineLevel="1" x14ac:dyDescent="0.3">
      <c r="B90" s="180" t="s">
        <v>120</v>
      </c>
      <c r="C90" s="207"/>
      <c r="D90" s="101">
        <f t="shared" ref="D90:G91" si="346">+D83+D74</f>
        <v>12212</v>
      </c>
      <c r="E90" s="101">
        <f t="shared" si="346"/>
        <v>12465</v>
      </c>
      <c r="F90" s="101">
        <f t="shared" si="346"/>
        <v>12773</v>
      </c>
      <c r="G90" s="101">
        <f t="shared" si="346"/>
        <v>13189</v>
      </c>
      <c r="H90" s="6"/>
      <c r="I90" s="101">
        <f t="shared" ref="I90:L91" si="347">+I83+I74</f>
        <v>13592</v>
      </c>
      <c r="J90" s="101">
        <f t="shared" si="347"/>
        <v>13779</v>
      </c>
      <c r="K90" s="101">
        <f t="shared" si="347"/>
        <v>13945</v>
      </c>
      <c r="L90" s="16">
        <f t="shared" si="347"/>
        <v>16263</v>
      </c>
      <c r="M90" s="6"/>
      <c r="N90" s="16">
        <f t="shared" ref="N90:Q91" si="348">+N83+N74</f>
        <v>14630</v>
      </c>
      <c r="O90" s="16">
        <f t="shared" si="348"/>
        <v>14823</v>
      </c>
      <c r="P90" s="16">
        <f t="shared" si="348"/>
        <v>15120</v>
      </c>
      <c r="Q90" s="16">
        <f t="shared" si="348"/>
        <v>17007</v>
      </c>
      <c r="R90" s="6"/>
      <c r="S90" s="16">
        <f t="shared" ref="S90:V91" si="349">+S83+S74</f>
        <v>17429</v>
      </c>
      <c r="T90" s="16">
        <f t="shared" si="349"/>
        <v>17704</v>
      </c>
      <c r="U90" s="16">
        <f t="shared" si="349"/>
        <v>17898</v>
      </c>
      <c r="V90" s="16">
        <f t="shared" si="349"/>
        <v>18298</v>
      </c>
      <c r="W90" s="254">
        <f>W91/Q90</f>
        <v>7.5909919444934443E-2</v>
      </c>
      <c r="X90" s="16">
        <f t="shared" ref="X90:AA91" si="350">+X83+X74</f>
        <v>18789</v>
      </c>
      <c r="Y90" s="16">
        <f t="shared" si="350"/>
        <v>19280</v>
      </c>
      <c r="Z90" s="16">
        <f t="shared" si="350"/>
        <v>19771</v>
      </c>
      <c r="AA90" s="16">
        <f t="shared" si="350"/>
        <v>20266</v>
      </c>
      <c r="AB90" s="254">
        <f>AB91/V90</f>
        <v>0.10755273800415346</v>
      </c>
      <c r="AC90" s="16">
        <f t="shared" ref="AC90:AF90" si="351">+AC83+AC74</f>
        <v>20774</v>
      </c>
      <c r="AD90" s="16">
        <f t="shared" si="351"/>
        <v>21282</v>
      </c>
      <c r="AE90" s="16">
        <f t="shared" si="351"/>
        <v>21790</v>
      </c>
      <c r="AF90" s="16">
        <f t="shared" si="351"/>
        <v>22304</v>
      </c>
      <c r="AG90" s="254">
        <f>AG91/AA90</f>
        <v>0.10056251850389815</v>
      </c>
      <c r="AH90" s="16">
        <f t="shared" ref="AH90:AK90" si="352">+AH83+AH74</f>
        <v>22831</v>
      </c>
      <c r="AI90" s="16">
        <f t="shared" si="352"/>
        <v>23358</v>
      </c>
      <c r="AJ90" s="16">
        <f t="shared" si="352"/>
        <v>23885</v>
      </c>
      <c r="AK90" s="16">
        <f t="shared" si="352"/>
        <v>24415</v>
      </c>
      <c r="AL90" s="254">
        <f>AL91/AF90</f>
        <v>9.4646700143472026E-2</v>
      </c>
      <c r="AM90" s="16">
        <f t="shared" ref="AM90:AP90" si="353">+AM83+AM74</f>
        <v>24609</v>
      </c>
      <c r="AN90" s="16">
        <f t="shared" si="353"/>
        <v>24803</v>
      </c>
      <c r="AO90" s="16">
        <f t="shared" si="353"/>
        <v>24997</v>
      </c>
      <c r="AP90" s="16">
        <f t="shared" si="353"/>
        <v>25191</v>
      </c>
      <c r="AQ90" s="254">
        <f>AQ91/AK90</f>
        <v>3.1783739504403032E-2</v>
      </c>
      <c r="AR90" s="16">
        <f t="shared" ref="AR90:AU90" si="354">+AR83+AR74</f>
        <v>25385</v>
      </c>
      <c r="AS90" s="16">
        <f t="shared" si="354"/>
        <v>25579</v>
      </c>
      <c r="AT90" s="16">
        <f t="shared" si="354"/>
        <v>25773</v>
      </c>
      <c r="AU90" s="16">
        <f t="shared" si="354"/>
        <v>25967</v>
      </c>
      <c r="AV90" s="254">
        <f>AV91/AP90</f>
        <v>3.080465245524195E-2</v>
      </c>
    </row>
    <row r="91" spans="1:48" outlineLevel="1" x14ac:dyDescent="0.3">
      <c r="B91" s="180" t="s">
        <v>121</v>
      </c>
      <c r="C91" s="207"/>
      <c r="D91" s="101">
        <f t="shared" si="346"/>
        <v>360</v>
      </c>
      <c r="E91" s="101">
        <f t="shared" si="346"/>
        <v>253</v>
      </c>
      <c r="F91" s="101">
        <f t="shared" si="346"/>
        <v>308</v>
      </c>
      <c r="G91" s="101">
        <f t="shared" si="346"/>
        <v>416</v>
      </c>
      <c r="H91" s="122">
        <f>+H84+H75</f>
        <v>1337</v>
      </c>
      <c r="I91" s="101">
        <f t="shared" si="347"/>
        <v>403</v>
      </c>
      <c r="J91" s="101">
        <f t="shared" si="347"/>
        <v>187</v>
      </c>
      <c r="K91" s="101">
        <f t="shared" si="347"/>
        <v>166</v>
      </c>
      <c r="L91" s="101">
        <f t="shared" si="347"/>
        <v>356</v>
      </c>
      <c r="M91" s="122">
        <f>+M84+M75</f>
        <v>1112</v>
      </c>
      <c r="N91" s="101">
        <f t="shared" si="348"/>
        <v>324</v>
      </c>
      <c r="O91" s="101">
        <f t="shared" si="348"/>
        <v>193</v>
      </c>
      <c r="P91" s="101">
        <f t="shared" si="348"/>
        <v>297</v>
      </c>
      <c r="Q91" s="101">
        <f t="shared" si="348"/>
        <v>464</v>
      </c>
      <c r="R91" s="122">
        <f>+R84+R75</f>
        <v>1278</v>
      </c>
      <c r="S91" s="16">
        <f t="shared" si="349"/>
        <v>422</v>
      </c>
      <c r="T91" s="16">
        <f t="shared" si="349"/>
        <v>275</v>
      </c>
      <c r="U91" s="16">
        <f t="shared" si="349"/>
        <v>194</v>
      </c>
      <c r="V91" s="16">
        <f t="shared" si="349"/>
        <v>400</v>
      </c>
      <c r="W91" s="122">
        <f>+W84+W75</f>
        <v>1291</v>
      </c>
      <c r="X91" s="16">
        <f t="shared" si="350"/>
        <v>491</v>
      </c>
      <c r="Y91" s="16">
        <f t="shared" si="350"/>
        <v>491</v>
      </c>
      <c r="Z91" s="16">
        <f t="shared" si="350"/>
        <v>491</v>
      </c>
      <c r="AA91" s="16">
        <f t="shared" si="350"/>
        <v>495</v>
      </c>
      <c r="AB91" s="26">
        <f>+AB84+AB75</f>
        <v>1968</v>
      </c>
      <c r="AC91" s="16">
        <f t="shared" ref="AC91:AF91" si="355">+AC84+AC75</f>
        <v>508</v>
      </c>
      <c r="AD91" s="16">
        <f t="shared" si="355"/>
        <v>508</v>
      </c>
      <c r="AE91" s="16">
        <f t="shared" si="355"/>
        <v>508</v>
      </c>
      <c r="AF91" s="16">
        <f t="shared" si="355"/>
        <v>514</v>
      </c>
      <c r="AG91" s="26">
        <f>+AG84+AG75</f>
        <v>2038</v>
      </c>
      <c r="AH91" s="16">
        <f t="shared" ref="AH91:AK91" si="356">+AH84+AH75</f>
        <v>527</v>
      </c>
      <c r="AI91" s="16">
        <f t="shared" si="356"/>
        <v>527</v>
      </c>
      <c r="AJ91" s="16">
        <f t="shared" si="356"/>
        <v>527</v>
      </c>
      <c r="AK91" s="16">
        <f t="shared" si="356"/>
        <v>530</v>
      </c>
      <c r="AL91" s="26">
        <f>+AL84+AL75</f>
        <v>2111</v>
      </c>
      <c r="AM91" s="16">
        <f t="shared" ref="AM91:AP91" si="357">+AM84+AM75</f>
        <v>194</v>
      </c>
      <c r="AN91" s="16">
        <f t="shared" si="357"/>
        <v>194</v>
      </c>
      <c r="AO91" s="16">
        <f t="shared" si="357"/>
        <v>194</v>
      </c>
      <c r="AP91" s="16">
        <f t="shared" si="357"/>
        <v>194</v>
      </c>
      <c r="AQ91" s="26">
        <f>+AQ84+AQ75</f>
        <v>776</v>
      </c>
      <c r="AR91" s="16">
        <f t="shared" ref="AR91:AU91" si="358">+AR84+AR75</f>
        <v>194</v>
      </c>
      <c r="AS91" s="16">
        <f t="shared" si="358"/>
        <v>194</v>
      </c>
      <c r="AT91" s="16">
        <f t="shared" si="358"/>
        <v>194</v>
      </c>
      <c r="AU91" s="16">
        <f t="shared" si="358"/>
        <v>194</v>
      </c>
      <c r="AV91" s="26">
        <f>+AV84+AV75</f>
        <v>776</v>
      </c>
    </row>
    <row r="92" spans="1:48" outlineLevel="1" x14ac:dyDescent="0.3">
      <c r="B92" s="502" t="s">
        <v>122</v>
      </c>
      <c r="C92" s="503"/>
      <c r="D92" s="115">
        <f>+D88+D87+D78</f>
        <v>1504</v>
      </c>
      <c r="E92" s="115">
        <f>+E88+E87+E78</f>
        <v>1529.4</v>
      </c>
      <c r="F92" s="115">
        <f>+F88+F87+F78</f>
        <v>1585.3</v>
      </c>
      <c r="G92" s="115">
        <f>+G88+G87+G78</f>
        <v>1572.1000000000001</v>
      </c>
      <c r="H92" s="213">
        <f>SUM(D92:G92)</f>
        <v>6190.8</v>
      </c>
      <c r="I92" s="115">
        <f>+I88+I87+I78</f>
        <v>1571.1</v>
      </c>
      <c r="J92" s="115">
        <f>+J88+J87+J78</f>
        <v>1134.5999999999999</v>
      </c>
      <c r="K92" s="115">
        <f>+K88+K87+K78</f>
        <v>949.6</v>
      </c>
      <c r="L92" s="115">
        <f>+L88+L87+L78</f>
        <v>1511.3</v>
      </c>
      <c r="M92" s="213">
        <f>SUM(I92:L92)</f>
        <v>5166.5999999999995</v>
      </c>
      <c r="N92" s="115">
        <f>+N88+N87+N78</f>
        <v>1654.3</v>
      </c>
      <c r="O92" s="115">
        <f>+O88+O87+O78</f>
        <v>1610.9</v>
      </c>
      <c r="P92" s="115">
        <f>+P88+P87+P78</f>
        <v>1658.3999999999999</v>
      </c>
      <c r="Q92" s="115">
        <f>+Q88+Q87+Q78</f>
        <v>1914.6</v>
      </c>
      <c r="R92" s="73">
        <f>SUM(N92:Q92)</f>
        <v>6838.1999999999989</v>
      </c>
      <c r="S92" s="72">
        <f>+S88+S87+S78</f>
        <v>1875.8999999999999</v>
      </c>
      <c r="T92" s="72">
        <f>+T88+T87+T78</f>
        <v>1702.4</v>
      </c>
      <c r="U92" s="72">
        <f>+U88+U87+U78</f>
        <v>1584.7</v>
      </c>
      <c r="V92" s="72">
        <f>+V88+V87+V78</f>
        <v>1823.5761158449245</v>
      </c>
      <c r="W92" s="213">
        <f>SUM(S92:V92)</f>
        <v>6986.5761158449241</v>
      </c>
      <c r="X92" s="72">
        <f>+X88+X87+X78</f>
        <v>1859.3980790941234</v>
      </c>
      <c r="Y92" s="72">
        <f>+Y88+Y87+Y78</f>
        <v>1866.2076331315682</v>
      </c>
      <c r="Z92" s="72">
        <f>+Z88+Z87+Z78</f>
        <v>2111.4480030676737</v>
      </c>
      <c r="AA92" s="72">
        <f>+AA88+AA87+AA78</f>
        <v>2448.803994732682</v>
      </c>
      <c r="AB92" s="73">
        <f>SUM(X92:AA92)</f>
        <v>8285.8577100260463</v>
      </c>
      <c r="AC92" s="72">
        <f>+AC88+AC87+AC78</f>
        <v>2419.4190364494266</v>
      </c>
      <c r="AD92" s="72">
        <f>+AD88+AD87+AD78</f>
        <v>2186.2098360092286</v>
      </c>
      <c r="AE92" s="72">
        <f>+AE88+AE87+AE78</f>
        <v>2467.9509919350912</v>
      </c>
      <c r="AF92" s="72">
        <f>+AF88+AF87+AF78</f>
        <v>2860.2938746380978</v>
      </c>
      <c r="AG92" s="73">
        <f>SUM(AC92:AF92)</f>
        <v>9933.8737390318456</v>
      </c>
      <c r="AH92" s="72">
        <f>+AH88+AH87+AH78</f>
        <v>2823.5496780854023</v>
      </c>
      <c r="AI92" s="72">
        <f>+AI88+AI87+AI78</f>
        <v>2544.6124113472024</v>
      </c>
      <c r="AJ92" s="72">
        <f>+AJ88+AJ87+AJ78</f>
        <v>2865.6689451780521</v>
      </c>
      <c r="AK92" s="72">
        <f>+AK88+AK87+AK78</f>
        <v>3319.0780362910773</v>
      </c>
      <c r="AL92" s="73">
        <f>SUM(AH92:AK92)</f>
        <v>11552.909070901733</v>
      </c>
      <c r="AM92" s="72">
        <f>+AM88+AM87+AM78</f>
        <v>3245.8090973554649</v>
      </c>
      <c r="AN92" s="72">
        <f>+AN88+AN87+AN78</f>
        <v>2880.2329610479633</v>
      </c>
      <c r="AO92" s="72">
        <f>+AO88+AO87+AO78</f>
        <v>3195.9703736699548</v>
      </c>
      <c r="AP92" s="72">
        <f>+AP88+AP87+AP78</f>
        <v>3653.4244598178502</v>
      </c>
      <c r="AQ92" s="73">
        <f>SUM(AM92:AP92)</f>
        <v>12975.436891891233</v>
      </c>
      <c r="AR92" s="72">
        <f>+AR88+AR87+AR78</f>
        <v>3479.5648395651397</v>
      </c>
      <c r="AS92" s="72">
        <f>+AS88+AS87+AS78</f>
        <v>3084.4695539758368</v>
      </c>
      <c r="AT92" s="72">
        <f>+AT88+AT87+AT78</f>
        <v>3420.0945372547908</v>
      </c>
      <c r="AU92" s="72">
        <f>+AU88+AU87+AU78</f>
        <v>3911.8071882243435</v>
      </c>
      <c r="AV92" s="73">
        <f>SUM(AR92:AU92)</f>
        <v>13895.936119020111</v>
      </c>
    </row>
    <row r="93" spans="1:48" outlineLevel="1" x14ac:dyDescent="0.3">
      <c r="B93" s="504" t="s">
        <v>100</v>
      </c>
      <c r="C93" s="505"/>
      <c r="D93" s="105">
        <v>462.7</v>
      </c>
      <c r="E93" s="105">
        <v>470.2</v>
      </c>
      <c r="F93" s="105">
        <v>476.1</v>
      </c>
      <c r="G93" s="105">
        <v>486.1</v>
      </c>
      <c r="H93" s="129">
        <f>SUM(D93:G93)</f>
        <v>1895.1</v>
      </c>
      <c r="I93" s="105">
        <v>488.5</v>
      </c>
      <c r="J93" s="105">
        <v>387.7</v>
      </c>
      <c r="K93" s="105">
        <v>337.7</v>
      </c>
      <c r="L93" s="105">
        <v>479.2</v>
      </c>
      <c r="M93" s="129">
        <f>SUM(I93:L93)</f>
        <v>1693.1000000000001</v>
      </c>
      <c r="N93" s="105">
        <v>520.4</v>
      </c>
      <c r="O93" s="105">
        <v>513.5</v>
      </c>
      <c r="P93" s="105">
        <v>501.7</v>
      </c>
      <c r="Q93" s="105">
        <v>605.1</v>
      </c>
      <c r="R93" s="76">
        <f>SUM(N93:Q93)</f>
        <v>2140.7000000000003</v>
      </c>
      <c r="S93" s="48">
        <v>615.79999999999995</v>
      </c>
      <c r="T93" s="48">
        <v>580.5</v>
      </c>
      <c r="U93" s="48">
        <v>550.29999999999995</v>
      </c>
      <c r="V93" s="48">
        <f t="shared" ref="V93" si="359">V94*V92</f>
        <v>631.03962845485455</v>
      </c>
      <c r="W93" s="76">
        <f>SUM(S93:V93)</f>
        <v>2377.6396284548546</v>
      </c>
      <c r="X93" s="48">
        <f>X94*X92</f>
        <v>647.57089089909618</v>
      </c>
      <c r="Y93" s="48">
        <f>Y94*Y92</f>
        <v>617.69455608931128</v>
      </c>
      <c r="Z93" s="48">
        <f t="shared" ref="Z93:AA93" si="360">Z94*Z92</f>
        <v>722.66030026871579</v>
      </c>
      <c r="AA93" s="48">
        <f t="shared" si="360"/>
        <v>835.15266918449061</v>
      </c>
      <c r="AB93" s="76">
        <f>SUM(X93:AA93)</f>
        <v>2823.0784164416136</v>
      </c>
      <c r="AC93" s="48">
        <f>AC94*AC92</f>
        <v>794.22050356925035</v>
      </c>
      <c r="AD93" s="48">
        <f>AD94*AD92</f>
        <v>679.88762985120638</v>
      </c>
      <c r="AE93" s="48">
        <f t="shared" ref="AE93:AF93" si="361">AE94*AE92</f>
        <v>844.6763558889902</v>
      </c>
      <c r="AF93" s="48">
        <f t="shared" si="361"/>
        <v>975.4892875029069</v>
      </c>
      <c r="AG93" s="76">
        <f>SUM(AC93:AF93)</f>
        <v>3294.2737768123538</v>
      </c>
      <c r="AH93" s="48">
        <f>AH94*AH92</f>
        <v>921.23700521496335</v>
      </c>
      <c r="AI93" s="48">
        <f>AI94*AI92</f>
        <v>786.25773224657632</v>
      </c>
      <c r="AJ93" s="48">
        <f t="shared" ref="AJ93:AK93" si="362">AJ94*AJ92</f>
        <v>952.14187976912149</v>
      </c>
      <c r="AK93" s="48">
        <f t="shared" si="362"/>
        <v>1125.3172340699036</v>
      </c>
      <c r="AL93" s="76">
        <f>SUM(AH93:AK93)</f>
        <v>3784.9538513005646</v>
      </c>
      <c r="AM93" s="48">
        <f>AM94*AM92</f>
        <v>1059.0072048510247</v>
      </c>
      <c r="AN93" s="48">
        <f>AN94*AN92</f>
        <v>889.96085462636563</v>
      </c>
      <c r="AO93" s="48">
        <f t="shared" ref="AO93:AP93" si="363">AO94*AO92</f>
        <v>1061.887223362942</v>
      </c>
      <c r="AP93" s="48">
        <f t="shared" si="363"/>
        <v>1238.6757596696061</v>
      </c>
      <c r="AQ93" s="76">
        <f>SUM(AM93:AP93)</f>
        <v>4249.5310425099387</v>
      </c>
      <c r="AR93" s="48">
        <f>AR94*AR92</f>
        <v>1135.2744798971867</v>
      </c>
      <c r="AS93" s="48">
        <f>AS94*AS92</f>
        <v>953.06775439670002</v>
      </c>
      <c r="AT93" s="48">
        <f t="shared" ref="AT93:AU93" si="364">AT94*AT92</f>
        <v>1136.354304697101</v>
      </c>
      <c r="AU93" s="48">
        <f t="shared" si="364"/>
        <v>1326.2791646159824</v>
      </c>
      <c r="AV93" s="76">
        <f>SUM(AR93:AU93)</f>
        <v>4550.9757036069695</v>
      </c>
    </row>
    <row r="94" spans="1:48" s="183" customFormat="1" outlineLevel="1" x14ac:dyDescent="0.3">
      <c r="A94" s="238"/>
      <c r="B94" s="181" t="s">
        <v>151</v>
      </c>
      <c r="C94" s="182"/>
      <c r="D94" s="167">
        <f>D93/D92</f>
        <v>0.30764627659574467</v>
      </c>
      <c r="E94" s="167">
        <f t="shared" ref="E94:U94" si="365">E93/E92</f>
        <v>0.30744082646789589</v>
      </c>
      <c r="F94" s="167">
        <f t="shared" si="365"/>
        <v>0.30032170567085098</v>
      </c>
      <c r="G94" s="167">
        <f t="shared" si="365"/>
        <v>0.30920424909356908</v>
      </c>
      <c r="H94" s="186">
        <f>H93/H92</f>
        <v>0.30611552626477995</v>
      </c>
      <c r="I94" s="167">
        <f t="shared" si="365"/>
        <v>0.31092864871745912</v>
      </c>
      <c r="J94" s="167">
        <f t="shared" si="365"/>
        <v>0.34170632822139962</v>
      </c>
      <c r="K94" s="167">
        <f t="shared" si="365"/>
        <v>0.35562342038753159</v>
      </c>
      <c r="L94" s="167">
        <f t="shared" si="365"/>
        <v>0.31707801230728511</v>
      </c>
      <c r="M94" s="186">
        <f>M93/M92</f>
        <v>0.32770100259358192</v>
      </c>
      <c r="N94" s="167">
        <f t="shared" si="365"/>
        <v>0.31457414011968809</v>
      </c>
      <c r="O94" s="167">
        <f t="shared" si="365"/>
        <v>0.31876590725681292</v>
      </c>
      <c r="P94" s="167">
        <f t="shared" si="365"/>
        <v>0.30252050168837435</v>
      </c>
      <c r="Q94" s="167">
        <f t="shared" si="365"/>
        <v>0.31604512691946102</v>
      </c>
      <c r="R94" s="188">
        <f>R93/R92</f>
        <v>0.31305021789359783</v>
      </c>
      <c r="S94" s="167">
        <f t="shared" si="365"/>
        <v>0.32826909749986671</v>
      </c>
      <c r="T94" s="167">
        <f t="shared" si="365"/>
        <v>0.34098919172932329</v>
      </c>
      <c r="U94" s="167">
        <f t="shared" si="365"/>
        <v>0.34725815611787714</v>
      </c>
      <c r="V94" s="189">
        <f>Q94+3%</f>
        <v>0.34604512691946099</v>
      </c>
      <c r="W94" s="188">
        <f>W93/W92</f>
        <v>0.34031542618745431</v>
      </c>
      <c r="X94" s="189">
        <f>S94+2%</f>
        <v>0.34826909749986673</v>
      </c>
      <c r="Y94" s="189">
        <f>T94-1%</f>
        <v>0.33098919172932328</v>
      </c>
      <c r="Z94" s="189">
        <f>U94-0.5%</f>
        <v>0.34225815611787713</v>
      </c>
      <c r="AA94" s="189">
        <f>V94-0.5%</f>
        <v>0.34104512691946098</v>
      </c>
      <c r="AB94" s="188">
        <f>AB93/AB92</f>
        <v>0.34071046296458057</v>
      </c>
      <c r="AC94" s="189">
        <f>X94-2%</f>
        <v>0.32826909749986671</v>
      </c>
      <c r="AD94" s="189">
        <f>Y94-2%</f>
        <v>0.31098919172932327</v>
      </c>
      <c r="AE94" s="189">
        <f t="shared" ref="AE94" si="366">Z94</f>
        <v>0.34225815611787713</v>
      </c>
      <c r="AF94" s="189">
        <f t="shared" ref="AF94" si="367">AA94</f>
        <v>0.34104512691946098</v>
      </c>
      <c r="AG94" s="188">
        <f>AG93/AG92</f>
        <v>0.33162025845653775</v>
      </c>
      <c r="AH94" s="189">
        <f>AC94-0.2%</f>
        <v>0.32626909749986671</v>
      </c>
      <c r="AI94" s="189">
        <f>AD94-0.2%</f>
        <v>0.30898919172932326</v>
      </c>
      <c r="AJ94" s="189">
        <f>AE94-1%</f>
        <v>0.33225815611787712</v>
      </c>
      <c r="AK94" s="189">
        <f>AF94-0.2%</f>
        <v>0.33904512691946098</v>
      </c>
      <c r="AL94" s="188">
        <f>AL93/AL92</f>
        <v>0.32761911550344608</v>
      </c>
      <c r="AM94" s="189">
        <f>AH94</f>
        <v>0.32626909749986671</v>
      </c>
      <c r="AN94" s="189">
        <f t="shared" ref="AN94" si="368">AI94</f>
        <v>0.30898919172932326</v>
      </c>
      <c r="AO94" s="189">
        <f t="shared" ref="AO94" si="369">AJ94</f>
        <v>0.33225815611787712</v>
      </c>
      <c r="AP94" s="189">
        <f t="shared" ref="AP94" si="370">AK94</f>
        <v>0.33904512691946098</v>
      </c>
      <c r="AQ94" s="188">
        <f>AQ93/AQ92</f>
        <v>0.32750581563581932</v>
      </c>
      <c r="AR94" s="189">
        <f>AM94</f>
        <v>0.32626909749986671</v>
      </c>
      <c r="AS94" s="189">
        <f t="shared" ref="AS94" si="371">AN94</f>
        <v>0.30898919172932326</v>
      </c>
      <c r="AT94" s="189">
        <f t="shared" ref="AT94" si="372">AO94</f>
        <v>0.33225815611787712</v>
      </c>
      <c r="AU94" s="189">
        <f t="shared" ref="AU94" si="373">AP94</f>
        <v>0.33904512691946098</v>
      </c>
      <c r="AV94" s="188">
        <f>AV93/AV92</f>
        <v>0.32750407490559819</v>
      </c>
    </row>
    <row r="95" spans="1:48" outlineLevel="1" x14ac:dyDescent="0.3">
      <c r="B95" s="180" t="s">
        <v>32</v>
      </c>
      <c r="C95" s="18"/>
      <c r="D95" s="105">
        <v>603.70000000000005</v>
      </c>
      <c r="E95" s="105">
        <v>618.4</v>
      </c>
      <c r="F95" s="105">
        <v>609.20000000000005</v>
      </c>
      <c r="G95" s="105">
        <v>597.29999999999995</v>
      </c>
      <c r="H95" s="170">
        <f>SUM(D95:G95)</f>
        <v>2428.6</v>
      </c>
      <c r="I95" s="105">
        <v>607.1</v>
      </c>
      <c r="J95" s="105">
        <v>562.79999999999995</v>
      </c>
      <c r="K95" s="105">
        <v>483.4</v>
      </c>
      <c r="L95" s="105">
        <v>622.70000000000005</v>
      </c>
      <c r="M95" s="170">
        <f>SUM(I95:L95)</f>
        <v>2276</v>
      </c>
      <c r="N95" s="105">
        <v>628.5</v>
      </c>
      <c r="O95" s="105">
        <v>620.20000000000005</v>
      </c>
      <c r="P95" s="105">
        <v>620.1</v>
      </c>
      <c r="Q95" s="105">
        <v>702.6</v>
      </c>
      <c r="R95" s="49">
        <f>SUM(N95:Q95)</f>
        <v>2571.4</v>
      </c>
      <c r="S95" s="48">
        <v>697.6</v>
      </c>
      <c r="T95" s="48">
        <v>689.3</v>
      </c>
      <c r="U95" s="48">
        <v>632.5</v>
      </c>
      <c r="V95" s="48">
        <f>V96*V78</f>
        <v>687.83425411270559</v>
      </c>
      <c r="W95" s="49">
        <f>SUM(S95:V95)</f>
        <v>2707.2342541127055</v>
      </c>
      <c r="X95" s="48">
        <f>X96*X78</f>
        <v>678.62934254252229</v>
      </c>
      <c r="Y95" s="48">
        <f>Y96*Y78</f>
        <v>711.4150702494693</v>
      </c>
      <c r="Z95" s="48">
        <f>Z96*Z78</f>
        <v>845.63636146105591</v>
      </c>
      <c r="AA95" s="48">
        <f>AA96*AA78</f>
        <v>923.01537332866644</v>
      </c>
      <c r="AB95" s="49">
        <f>SUM(X95:AA95)</f>
        <v>3158.6961475817138</v>
      </c>
      <c r="AC95" s="48">
        <f>AC96*AC78</f>
        <v>917.62726295588539</v>
      </c>
      <c r="AD95" s="48">
        <f>AD96*AD78</f>
        <v>806.32452929936312</v>
      </c>
      <c r="AE95" s="48">
        <f>AE96*AE78</f>
        <v>995.70254103371667</v>
      </c>
      <c r="AF95" s="48">
        <f>AF96*AF78</f>
        <v>1084.5079056352818</v>
      </c>
      <c r="AG95" s="49">
        <f>SUM(AC95:AF95)</f>
        <v>3804.1622389242466</v>
      </c>
      <c r="AH95" s="48">
        <f>AH96*AH78</f>
        <v>1071.5511964459445</v>
      </c>
      <c r="AI95" s="48">
        <f>AI96*AI78</f>
        <v>939.72154351194274</v>
      </c>
      <c r="AJ95" s="48">
        <f>AJ96*AJ78</f>
        <v>1119.9080534219811</v>
      </c>
      <c r="AK95" s="48">
        <f>AK96*AK78</f>
        <v>1259.1257593066855</v>
      </c>
      <c r="AL95" s="49">
        <f>SUM(AH95:AK95)</f>
        <v>4390.3065526865539</v>
      </c>
      <c r="AM95" s="48">
        <f>AM96*AM78</f>
        <v>1238.4590236873676</v>
      </c>
      <c r="AN95" s="48">
        <f>AN96*AN78</f>
        <v>1069.9080147072732</v>
      </c>
      <c r="AO95" s="48">
        <f>AO96*AO78</f>
        <v>1256.7509268026661</v>
      </c>
      <c r="AP95" s="48">
        <f>AP96*AP78</f>
        <v>1393.2960225678964</v>
      </c>
      <c r="AQ95" s="49">
        <f>SUM(AM95:AP95)</f>
        <v>4958.4139877652033</v>
      </c>
      <c r="AR95" s="48">
        <f>AR96*AR78</f>
        <v>1334.7742868245809</v>
      </c>
      <c r="AS95" s="48">
        <f>AS96*AS78</f>
        <v>1152.5292132402931</v>
      </c>
      <c r="AT95" s="48">
        <f>AT96*AT78</f>
        <v>1353.1281230512636</v>
      </c>
      <c r="AU95" s="48">
        <f>AU96*AU78</f>
        <v>1499.4156539506191</v>
      </c>
      <c r="AV95" s="49">
        <f>SUM(AR95:AU95)</f>
        <v>5339.8472770667568</v>
      </c>
    </row>
    <row r="96" spans="1:48" s="184" customFormat="1" outlineLevel="1" x14ac:dyDescent="0.3">
      <c r="B96" s="181" t="s">
        <v>150</v>
      </c>
      <c r="C96" s="190"/>
      <c r="D96" s="167">
        <f t="shared" ref="D96:U96" si="374">D95/D78</f>
        <v>0.47234175729598632</v>
      </c>
      <c r="E96" s="167">
        <f t="shared" si="374"/>
        <v>0.4722773789521918</v>
      </c>
      <c r="F96" s="167">
        <f t="shared" si="374"/>
        <v>0.45032525133057366</v>
      </c>
      <c r="G96" s="167">
        <f t="shared" si="374"/>
        <v>0.45390987157078799</v>
      </c>
      <c r="H96" s="186">
        <f t="shared" si="374"/>
        <v>0.46204482325634483</v>
      </c>
      <c r="I96" s="167">
        <f t="shared" si="374"/>
        <v>0.46354126899289916</v>
      </c>
      <c r="J96" s="167">
        <f t="shared" si="374"/>
        <v>0.62367021276595747</v>
      </c>
      <c r="K96" s="167">
        <f t="shared" si="374"/>
        <v>0.5521416333523701</v>
      </c>
      <c r="L96" s="167">
        <f t="shared" si="374"/>
        <v>0.47962720480628518</v>
      </c>
      <c r="M96" s="186">
        <f t="shared" si="374"/>
        <v>0.51893568024806769</v>
      </c>
      <c r="N96" s="167">
        <f t="shared" si="374"/>
        <v>0.43594367760282998</v>
      </c>
      <c r="O96" s="167">
        <f t="shared" si="374"/>
        <v>0.44789485087022463</v>
      </c>
      <c r="P96" s="167">
        <f t="shared" si="374"/>
        <v>0.4326379683248448</v>
      </c>
      <c r="Q96" s="167">
        <f t="shared" si="374"/>
        <v>0.43639751552795031</v>
      </c>
      <c r="R96" s="188">
        <f t="shared" si="374"/>
        <v>0.43808031074841985</v>
      </c>
      <c r="S96" s="167">
        <f t="shared" si="374"/>
        <v>0.46250745872836974</v>
      </c>
      <c r="T96" s="167">
        <f t="shared" si="374"/>
        <v>0.51424947776783048</v>
      </c>
      <c r="U96" s="167">
        <f t="shared" si="374"/>
        <v>0.54417964380968775</v>
      </c>
      <c r="V96" s="189">
        <f>Q96+5%</f>
        <v>0.4863975155279503</v>
      </c>
      <c r="W96" s="188">
        <f>W95/W78</f>
        <v>0.49901646423016127</v>
      </c>
      <c r="X96" s="189">
        <f>S96+2%</f>
        <v>0.48250745872836975</v>
      </c>
      <c r="Y96" s="189">
        <f>T96-1%</f>
        <v>0.50424947776783047</v>
      </c>
      <c r="Z96" s="189">
        <f>U96-0.5%</f>
        <v>0.53917964380968775</v>
      </c>
      <c r="AA96" s="189">
        <f>V96-0.5%</f>
        <v>0.48139751552795029</v>
      </c>
      <c r="AB96" s="188">
        <f>AB95/AB78</f>
        <v>0.50113807440579672</v>
      </c>
      <c r="AC96" s="189">
        <f>X96</f>
        <v>0.48250745872836975</v>
      </c>
      <c r="AD96" s="189">
        <f>Y96-2%</f>
        <v>0.48424947776783045</v>
      </c>
      <c r="AE96" s="189">
        <f t="shared" ref="AE96" si="375">Z96</f>
        <v>0.53917964380968775</v>
      </c>
      <c r="AF96" s="189">
        <f t="shared" ref="AF96" si="376">AA96</f>
        <v>0.48139751552795029</v>
      </c>
      <c r="AG96" s="188">
        <f>AG95/AG78</f>
        <v>0.49621093053200743</v>
      </c>
      <c r="AH96" s="189">
        <f>AC96-0.2%</f>
        <v>0.48050745872836975</v>
      </c>
      <c r="AI96" s="189">
        <f>AD96-0.2%</f>
        <v>0.48224947776783045</v>
      </c>
      <c r="AJ96" s="189">
        <f>AE96-2%</f>
        <v>0.51917964380968773</v>
      </c>
      <c r="AK96" s="189">
        <f>AF96-0.2%</f>
        <v>0.47939751552795029</v>
      </c>
      <c r="AL96" s="188">
        <f>AL95/AL78</f>
        <v>0.48986876600013574</v>
      </c>
      <c r="AM96" s="189">
        <f>AH96</f>
        <v>0.48050745872836975</v>
      </c>
      <c r="AN96" s="189">
        <f t="shared" ref="AN96" si="377">AI96</f>
        <v>0.48224947776783045</v>
      </c>
      <c r="AO96" s="189">
        <f t="shared" ref="AO96" si="378">AJ96</f>
        <v>0.51917964380968773</v>
      </c>
      <c r="AP96" s="189">
        <f t="shared" ref="AP96" si="379">AK96</f>
        <v>0.47939751552795029</v>
      </c>
      <c r="AQ96" s="188">
        <f>AQ95/AQ78</f>
        <v>0.48981803051047301</v>
      </c>
      <c r="AR96" s="189">
        <f>AM96</f>
        <v>0.48050745872836975</v>
      </c>
      <c r="AS96" s="189">
        <f t="shared" ref="AS96" si="380">AN96</f>
        <v>0.48224947776783045</v>
      </c>
      <c r="AT96" s="189">
        <f t="shared" ref="AT96" si="381">AO96</f>
        <v>0.51917964380968773</v>
      </c>
      <c r="AU96" s="189">
        <f t="shared" ref="AU96" si="382">AP96</f>
        <v>0.47939751552795029</v>
      </c>
      <c r="AV96" s="188">
        <f>AV95/AV78</f>
        <v>0.48981627641184178</v>
      </c>
    </row>
    <row r="97" spans="1:48" outlineLevel="1" x14ac:dyDescent="0.3">
      <c r="B97" s="180" t="s">
        <v>33</v>
      </c>
      <c r="C97" s="18"/>
      <c r="D97" s="105">
        <v>31.3</v>
      </c>
      <c r="E97" s="105">
        <v>26.3</v>
      </c>
      <c r="F97" s="105">
        <v>26.7</v>
      </c>
      <c r="G97" s="105">
        <v>31.9</v>
      </c>
      <c r="H97" s="170">
        <f>SUM(D97:G97)</f>
        <v>116.19999999999999</v>
      </c>
      <c r="I97" s="105">
        <v>35.9</v>
      </c>
      <c r="J97" s="105">
        <v>31.8</v>
      </c>
      <c r="K97" s="105">
        <v>37.5</v>
      </c>
      <c r="L97" s="105">
        <v>39.9</v>
      </c>
      <c r="M97" s="170">
        <f>SUM(I97:L97)</f>
        <v>145.1</v>
      </c>
      <c r="N97" s="105">
        <v>34.299999999999997</v>
      </c>
      <c r="O97" s="105">
        <v>29.3</v>
      </c>
      <c r="P97" s="105">
        <v>38.299999999999997</v>
      </c>
      <c r="Q97" s="105">
        <v>39.799999999999997</v>
      </c>
      <c r="R97" s="49">
        <f>SUM(N97:Q97)</f>
        <v>141.69999999999999</v>
      </c>
      <c r="S97" s="48">
        <v>39.200000000000003</v>
      </c>
      <c r="T97" s="48">
        <v>39.5</v>
      </c>
      <c r="U97" s="48">
        <v>60.2</v>
      </c>
      <c r="V97" s="48">
        <f t="shared" ref="V97" si="383">V98*V92</f>
        <v>37.907829003775198</v>
      </c>
      <c r="W97" s="49">
        <f>SUM(S97:V97)</f>
        <v>176.8078290037752</v>
      </c>
      <c r="X97" s="48">
        <f>X98*X92</f>
        <v>38.855165360887916</v>
      </c>
      <c r="Y97" s="48">
        <f>Y98*Y92</f>
        <v>43.300752765916904</v>
      </c>
      <c r="Z97" s="48">
        <f t="shared" ref="Z97:AA97" si="384">Z98*Z92</f>
        <v>69.653001534907077</v>
      </c>
      <c r="AA97" s="48">
        <f t="shared" si="384"/>
        <v>50.904835992040496</v>
      </c>
      <c r="AB97" s="49">
        <f>SUM(X97:AA97)</f>
        <v>202.7137556537524</v>
      </c>
      <c r="AC97" s="48">
        <f>AC98*AC92</f>
        <v>50.557719616620041</v>
      </c>
      <c r="AD97" s="48">
        <f>AD98*AD92</f>
        <v>50.725615908343826</v>
      </c>
      <c r="AE97" s="48">
        <f t="shared" ref="AE97:AF97" si="385">AE98*AE92</f>
        <v>69.073660847666503</v>
      </c>
      <c r="AF97" s="48">
        <f t="shared" si="385"/>
        <v>59.45873613840817</v>
      </c>
      <c r="AG97" s="49">
        <f>SUM(AC97:AF97)</f>
        <v>229.81573251103853</v>
      </c>
      <c r="AH97" s="48">
        <f>AH98*AH92</f>
        <v>53.355591288825082</v>
      </c>
      <c r="AI97" s="48">
        <f>AI98*AI92</f>
        <v>53.95224031370978</v>
      </c>
      <c r="AJ97" s="48">
        <f t="shared" ref="AJ97:AK97" si="386">AJ98*AJ92</f>
        <v>63.011081757392688</v>
      </c>
      <c r="AK97" s="48">
        <f t="shared" si="386"/>
        <v>62.357616331254093</v>
      </c>
      <c r="AL97" s="49">
        <f>SUM(AH97:AK97)</f>
        <v>232.67652969118163</v>
      </c>
      <c r="AM97" s="48">
        <f>AM98*AM92</f>
        <v>61.334873951104008</v>
      </c>
      <c r="AN97" s="48">
        <f>AN98*AN92</f>
        <v>61.06824763605406</v>
      </c>
      <c r="AO97" s="48">
        <f t="shared" ref="AO97:AP97" si="387">AO98*AO92</f>
        <v>70.273836357957251</v>
      </c>
      <c r="AP97" s="48">
        <f t="shared" si="387"/>
        <v>68.639193857315334</v>
      </c>
      <c r="AQ97" s="49">
        <f>SUM(AM97:AP97)</f>
        <v>261.31615180243062</v>
      </c>
      <c r="AR97" s="48">
        <f>AR98*AR92</f>
        <v>65.752071190294259</v>
      </c>
      <c r="AS97" s="48">
        <f>AS98*AS92</f>
        <v>65.398581675674691</v>
      </c>
      <c r="AT97" s="48">
        <f t="shared" ref="AT97:AU97" si="388">AT98*AT92</f>
        <v>75.201937358323804</v>
      </c>
      <c r="AU97" s="48">
        <f t="shared" si="388"/>
        <v>73.493593443110939</v>
      </c>
      <c r="AV97" s="49">
        <f>SUM(AR97:AU97)</f>
        <v>279.84618366740369</v>
      </c>
    </row>
    <row r="98" spans="1:48" s="184" customFormat="1" outlineLevel="1" x14ac:dyDescent="0.3">
      <c r="B98" s="181" t="s">
        <v>152</v>
      </c>
      <c r="C98" s="190"/>
      <c r="D98" s="167">
        <f>D97/D92</f>
        <v>2.0811170212765958E-2</v>
      </c>
      <c r="E98" s="167">
        <f t="shared" ref="E98:U98" si="389">E97/E92</f>
        <v>1.7196286125277887E-2</v>
      </c>
      <c r="F98" s="167">
        <f t="shared" si="389"/>
        <v>1.6842238062196431E-2</v>
      </c>
      <c r="G98" s="167">
        <f t="shared" si="389"/>
        <v>2.0291330068061827E-2</v>
      </c>
      <c r="H98" s="186">
        <f t="shared" si="389"/>
        <v>1.8769787426503842E-2</v>
      </c>
      <c r="I98" s="167">
        <f t="shared" si="389"/>
        <v>2.2850232321303544E-2</v>
      </c>
      <c r="J98" s="167">
        <f t="shared" si="389"/>
        <v>2.8027498677948178E-2</v>
      </c>
      <c r="K98" s="167">
        <f t="shared" si="389"/>
        <v>3.9490311710193765E-2</v>
      </c>
      <c r="L98" s="167">
        <f t="shared" si="389"/>
        <v>2.6401111625752663E-2</v>
      </c>
      <c r="M98" s="186">
        <f t="shared" si="389"/>
        <v>2.8084233344946388E-2</v>
      </c>
      <c r="N98" s="167">
        <f t="shared" si="389"/>
        <v>2.0733845130871061E-2</v>
      </c>
      <c r="O98" s="167">
        <f t="shared" si="389"/>
        <v>1.8188590229064498E-2</v>
      </c>
      <c r="P98" s="167">
        <f t="shared" si="389"/>
        <v>2.3094548962855763E-2</v>
      </c>
      <c r="Q98" s="167">
        <f t="shared" si="389"/>
        <v>2.0787631881332914E-2</v>
      </c>
      <c r="R98" s="188">
        <f t="shared" ref="R98" si="390">R97/R92</f>
        <v>2.0721827381474659E-2</v>
      </c>
      <c r="S98" s="167">
        <f t="shared" si="389"/>
        <v>2.0896636281251667E-2</v>
      </c>
      <c r="T98" s="167">
        <f t="shared" si="389"/>
        <v>2.3202537593984961E-2</v>
      </c>
      <c r="U98" s="167">
        <f t="shared" si="389"/>
        <v>3.7988262762668014E-2</v>
      </c>
      <c r="V98" s="189">
        <f>Q98</f>
        <v>2.0787631881332914E-2</v>
      </c>
      <c r="W98" s="188">
        <f t="shared" ref="W98" si="391">W97/W92</f>
        <v>2.5306792064111489E-2</v>
      </c>
      <c r="X98" s="189">
        <f>S98</f>
        <v>2.0896636281251667E-2</v>
      </c>
      <c r="Y98" s="189">
        <f t="shared" ref="Y98" si="392">T98</f>
        <v>2.3202537593984961E-2</v>
      </c>
      <c r="Z98" s="189">
        <f>U98-0.5%</f>
        <v>3.2988262762668016E-2</v>
      </c>
      <c r="AA98" s="189">
        <f t="shared" ref="AA98" si="393">V98</f>
        <v>2.0787631881332914E-2</v>
      </c>
      <c r="AB98" s="188">
        <f t="shared" ref="AB98" si="394">AB97/AB92</f>
        <v>2.4465029783031982E-2</v>
      </c>
      <c r="AC98" s="189">
        <f>X98</f>
        <v>2.0896636281251667E-2</v>
      </c>
      <c r="AD98" s="189">
        <f t="shared" ref="AD98" si="395">Y98</f>
        <v>2.3202537593984961E-2</v>
      </c>
      <c r="AE98" s="189">
        <f>Z98-0.5%</f>
        <v>2.7988262762668015E-2</v>
      </c>
      <c r="AF98" s="189">
        <f t="shared" ref="AF98" si="396">AA98</f>
        <v>2.0787631881332914E-2</v>
      </c>
      <c r="AG98" s="188">
        <f t="shared" ref="AG98" si="397">AG97/AG92</f>
        <v>2.3134553402672536E-2</v>
      </c>
      <c r="AH98" s="189">
        <f>AC98-0.2%</f>
        <v>1.8896636281251669E-2</v>
      </c>
      <c r="AI98" s="189">
        <f>AD98-0.2%</f>
        <v>2.1202537593984959E-2</v>
      </c>
      <c r="AJ98" s="189">
        <f>AE98-0.6%</f>
        <v>2.1988262762668014E-2</v>
      </c>
      <c r="AK98" s="189">
        <f>AF98-0.2%</f>
        <v>1.8787631881332915E-2</v>
      </c>
      <c r="AL98" s="188">
        <f t="shared" ref="AL98" si="398">AL97/AL92</f>
        <v>2.0140081451625297E-2</v>
      </c>
      <c r="AM98" s="189">
        <f>AH98</f>
        <v>1.8896636281251669E-2</v>
      </c>
      <c r="AN98" s="189">
        <f t="shared" ref="AN98" si="399">AI98</f>
        <v>2.1202537593984959E-2</v>
      </c>
      <c r="AO98" s="189">
        <f t="shared" ref="AO98" si="400">AJ98</f>
        <v>2.1988262762668014E-2</v>
      </c>
      <c r="AP98" s="189">
        <f t="shared" ref="AP98" si="401">AK98</f>
        <v>1.8787631881332915E-2</v>
      </c>
      <c r="AQ98" s="188">
        <f t="shared" ref="AQ98" si="402">AQ97/AQ92</f>
        <v>2.0139295037204911E-2</v>
      </c>
      <c r="AR98" s="189">
        <f>AM98</f>
        <v>1.8896636281251669E-2</v>
      </c>
      <c r="AS98" s="189">
        <f t="shared" ref="AS98" si="403">AN98</f>
        <v>2.1202537593984959E-2</v>
      </c>
      <c r="AT98" s="189">
        <f t="shared" ref="AT98" si="404">AO98</f>
        <v>2.1988262762668014E-2</v>
      </c>
      <c r="AU98" s="189">
        <f t="shared" ref="AU98" si="405">AP98</f>
        <v>1.8787631881332915E-2</v>
      </c>
      <c r="AV98" s="188">
        <f t="shared" ref="AV98" si="406">AV97/AV92</f>
        <v>2.013870683273819E-2</v>
      </c>
    </row>
    <row r="99" spans="1:48" outlineLevel="1" x14ac:dyDescent="0.3">
      <c r="B99" s="180" t="s">
        <v>34</v>
      </c>
      <c r="C99" s="18"/>
      <c r="D99" s="358">
        <v>127</v>
      </c>
      <c r="E99" s="358">
        <v>130.4</v>
      </c>
      <c r="F99" s="358">
        <v>127.7</v>
      </c>
      <c r="G99" s="358">
        <v>126.5</v>
      </c>
      <c r="H99" s="126">
        <f>SUM(D99:G99)</f>
        <v>511.59999999999997</v>
      </c>
      <c r="I99" s="358">
        <v>126.6</v>
      </c>
      <c r="J99" s="358">
        <v>130</v>
      </c>
      <c r="K99" s="358">
        <v>128.5</v>
      </c>
      <c r="L99" s="358">
        <v>133.1</v>
      </c>
      <c r="M99" s="126">
        <f>SUM(I99:L99)</f>
        <v>518.20000000000005</v>
      </c>
      <c r="N99" s="358">
        <v>140</v>
      </c>
      <c r="O99" s="358">
        <v>143.4</v>
      </c>
      <c r="P99" s="358">
        <v>129.69999999999999</v>
      </c>
      <c r="Q99" s="358">
        <v>131.6</v>
      </c>
      <c r="R99" s="126">
        <f>SUM(N99:Q99)</f>
        <v>544.69999999999993</v>
      </c>
      <c r="S99" s="358">
        <v>133.1</v>
      </c>
      <c r="T99" s="358">
        <v>133.4</v>
      </c>
      <c r="U99" s="358">
        <v>125</v>
      </c>
      <c r="V99" s="358">
        <f>(U99/(U66+U99+U114+U127))*'CFS 3Q2022'!V7*0.95</f>
        <v>129.33440412063263</v>
      </c>
      <c r="W99" s="126">
        <f>SUM(S99:V99)</f>
        <v>520.8344041206326</v>
      </c>
      <c r="X99" s="358">
        <f>(V99/(V66+V99+V114+V127))*'CFS 3Q2022'!X7*0.95</f>
        <v>131.48195836795102</v>
      </c>
      <c r="Y99" s="358">
        <f>(X99/(X66+X99+X114+X127))*'CFS 3Q2022'!Y7*0.95</f>
        <v>137.11284554911151</v>
      </c>
      <c r="Z99" s="358">
        <f>(Y99/(Y66+Y99+Y114+Y127))*'CFS 3Q2022'!Z7*0.95</f>
        <v>141.81247257079306</v>
      </c>
      <c r="AA99" s="358">
        <f>(Z99/(Z66+Z99+Z114+Z127))*'CFS 3Q2022'!AA7*0.95</f>
        <v>147.47952059376973</v>
      </c>
      <c r="AB99" s="126">
        <f>SUM(X99:AA99)</f>
        <v>557.88679708162533</v>
      </c>
      <c r="AC99" s="358">
        <f>(AA99/(AA66+AA99+AA114+AA127))*'CFS 3Q2022'!AC7*0.95</f>
        <v>153.21835092495499</v>
      </c>
      <c r="AD99" s="358">
        <f>(AC99/(AC66+AC99+AC114+AC127))*'CFS 3Q2022'!AD7*0.95</f>
        <v>157.66606310175129</v>
      </c>
      <c r="AE99" s="358">
        <f>(AD99/(AD66+AD99+AD114+AD127))*'CFS 3Q2022'!AE7*0.95</f>
        <v>161.06706535455726</v>
      </c>
      <c r="AF99" s="358">
        <f>(AE99/(AE66+AE99+AE114+AE127))*'CFS 3Q2022'!AF7*0.95</f>
        <v>165.52142473907296</v>
      </c>
      <c r="AG99" s="126">
        <f>SUM(AC99:AF99)</f>
        <v>637.47290412033647</v>
      </c>
      <c r="AH99" s="358">
        <f>(AF99/(AF66+AF99+AF114+AF127))*'CFS 3Q2022'!AH7*0.95</f>
        <v>170.08552096742056</v>
      </c>
      <c r="AI99" s="358">
        <f>(AH99/(AH66+AH99+AH114+AH127))*'CFS 3Q2022'!AI7*0.95</f>
        <v>173.49384498684756</v>
      </c>
      <c r="AJ99" s="358">
        <f>(AI99/(AI66+AI99+AI114+AI127))*'CFS 3Q2022'!AJ7*0.95</f>
        <v>175.93303513781927</v>
      </c>
      <c r="AK99" s="358">
        <f>(AJ99/(AJ66+AJ99+AJ114+AJ127))*'CFS 3Q2022'!AK7*0.95</f>
        <v>179.48285467565046</v>
      </c>
      <c r="AL99" s="126">
        <f>SUM(AH99:AK99)</f>
        <v>698.99525576773794</v>
      </c>
      <c r="AM99" s="358">
        <f>(AK99/(AK66+AK99+AK114+AK127))*'CFS 3Q2022'!AM7*0.95</f>
        <v>183.21610562005392</v>
      </c>
      <c r="AN99" s="358">
        <f>(AM99/(AM66+AM99+AM114+AM127))*'CFS 3Q2022'!AN7*0.95</f>
        <v>187.20214041931018</v>
      </c>
      <c r="AO99" s="358">
        <f>(AN99/(AN66+AN99+AN114+AN127))*'CFS 3Q2022'!AO7*0.95</f>
        <v>190.03862637595518</v>
      </c>
      <c r="AP99" s="358">
        <f>(AO99/(AO66+AO99+AO114+AO127))*'CFS 3Q2022'!AP7*0.95</f>
        <v>194.02042430183801</v>
      </c>
      <c r="AQ99" s="126">
        <f>SUM(AM99:AP99)</f>
        <v>754.4772967171574</v>
      </c>
      <c r="AR99" s="358">
        <f>(AP99/(AP66+AP99+AP114+AP127))*'CFS 3Q2022'!AR7*0.95</f>
        <v>198.14635433644253</v>
      </c>
      <c r="AS99" s="358">
        <f>(AR99/(AR66+AR99+AR114+AR127))*'CFS 3Q2022'!AS7*0.95</f>
        <v>202.20902878533059</v>
      </c>
      <c r="AT99" s="358">
        <f>(AS99/(AS66+AS99+AS114+AS127))*'CFS 3Q2022'!AT7*0.95</f>
        <v>205.04768632794284</v>
      </c>
      <c r="AU99" s="358">
        <f>(AT99/(AT66+AT99+AT114+AT127))*'CFS 3Q2022'!AU7*0.95</f>
        <v>209.11206844759425</v>
      </c>
      <c r="AV99" s="126">
        <f>SUM(AR99:AU99)</f>
        <v>814.5151378973103</v>
      </c>
    </row>
    <row r="100" spans="1:48" outlineLevel="1" x14ac:dyDescent="0.3">
      <c r="B100" s="180" t="s">
        <v>35</v>
      </c>
      <c r="C100" s="18"/>
      <c r="D100" s="105">
        <v>69.3</v>
      </c>
      <c r="E100" s="105">
        <v>80.2</v>
      </c>
      <c r="F100" s="105">
        <v>86</v>
      </c>
      <c r="G100" s="105">
        <v>82.4</v>
      </c>
      <c r="H100" s="170">
        <f>SUM(D100:G100)</f>
        <v>317.89999999999998</v>
      </c>
      <c r="I100" s="105">
        <v>67.2</v>
      </c>
      <c r="J100" s="105">
        <v>63.7</v>
      </c>
      <c r="K100" s="105">
        <v>66.099999999999994</v>
      </c>
      <c r="L100" s="105">
        <v>84.5</v>
      </c>
      <c r="M100" s="170">
        <f>SUM(I100:L100)</f>
        <v>281.5</v>
      </c>
      <c r="N100" s="105">
        <v>82.6</v>
      </c>
      <c r="O100" s="105">
        <v>79.8</v>
      </c>
      <c r="P100" s="105">
        <v>92.3</v>
      </c>
      <c r="Q100" s="105">
        <v>98.4</v>
      </c>
      <c r="R100" s="49">
        <f>SUM(N100:Q100)</f>
        <v>353.1</v>
      </c>
      <c r="S100" s="48">
        <v>91.3</v>
      </c>
      <c r="T100" s="48">
        <v>79.599999999999994</v>
      </c>
      <c r="U100" s="48">
        <v>81.8</v>
      </c>
      <c r="V100" s="48">
        <f t="shared" ref="V100" si="407">V101*V92</f>
        <v>93.721868692750746</v>
      </c>
      <c r="W100" s="49">
        <f>SUM(S100:V100)</f>
        <v>346.42186869275076</v>
      </c>
      <c r="X100" s="48">
        <f>X101*X92</f>
        <v>90.496851975741492</v>
      </c>
      <c r="Y100" s="48">
        <f>Y101*Y92</f>
        <v>87.259238485240132</v>
      </c>
      <c r="Z100" s="48">
        <f t="shared" ref="Z100:AA100" si="408">Z101*Z92</f>
        <v>98.432755978184503</v>
      </c>
      <c r="AA100" s="48">
        <f t="shared" si="408"/>
        <v>113.61115242876841</v>
      </c>
      <c r="AB100" s="49">
        <f>SUM(X100:AA100)</f>
        <v>389.79999886793451</v>
      </c>
      <c r="AC100" s="48">
        <f>AC101*AC92</f>
        <v>110.4947990385448</v>
      </c>
      <c r="AD100" s="48">
        <f>AD101*AD92</f>
        <v>102.22174750137135</v>
      </c>
      <c r="AE100" s="48">
        <f t="shared" ref="AE100:AF100" si="409">AE101*AE92</f>
        <v>115.05242724534155</v>
      </c>
      <c r="AF100" s="48">
        <f t="shared" si="409"/>
        <v>132.70203906950712</v>
      </c>
      <c r="AG100" s="49">
        <f>SUM(AC100:AF100)</f>
        <v>460.47101285476481</v>
      </c>
      <c r="AH100" s="48">
        <f>AH101*AH92</f>
        <v>123.30433466794348</v>
      </c>
      <c r="AI100" s="48">
        <f>AI101*AI92</f>
        <v>113.89053783193276</v>
      </c>
      <c r="AJ100" s="48">
        <f t="shared" ref="AJ100:AK100" si="410">AJ101*AJ92</f>
        <v>127.86214467949708</v>
      </c>
      <c r="AK100" s="48">
        <f t="shared" si="410"/>
        <v>147.34896642278375</v>
      </c>
      <c r="AL100" s="49">
        <f>SUM(AH100:AK100)</f>
        <v>512.40598360215699</v>
      </c>
      <c r="AM100" s="48">
        <f>AM101*AM92</f>
        <v>141.74439157732732</v>
      </c>
      <c r="AN100" s="48">
        <f>AN101*AN92</f>
        <v>128.91208089382152</v>
      </c>
      <c r="AO100" s="48">
        <f t="shared" ref="AO100:AP100" si="411">AO101*AO92</f>
        <v>142.59973295142225</v>
      </c>
      <c r="AP100" s="48">
        <f t="shared" si="411"/>
        <v>162.19212449112385</v>
      </c>
      <c r="AQ100" s="49">
        <f>SUM(AM100:AP100)</f>
        <v>575.44832991369492</v>
      </c>
      <c r="AR100" s="48">
        <f>AR101*AR92</f>
        <v>151.95249823529826</v>
      </c>
      <c r="AS100" s="48">
        <f>AS101*AS92</f>
        <v>138.05320404082451</v>
      </c>
      <c r="AT100" s="48">
        <f t="shared" ref="AT100:AU100" si="412">AT101*AT92</f>
        <v>152.59984000449813</v>
      </c>
      <c r="AU100" s="48">
        <f t="shared" si="412"/>
        <v>173.66290871370268</v>
      </c>
      <c r="AV100" s="49">
        <f>SUM(AR100:AU100)</f>
        <v>616.26845099432353</v>
      </c>
    </row>
    <row r="101" spans="1:48" s="184" customFormat="1" outlineLevel="1" x14ac:dyDescent="0.3">
      <c r="B101" s="181" t="s">
        <v>153</v>
      </c>
      <c r="C101" s="190"/>
      <c r="D101" s="167">
        <f>D100/D92</f>
        <v>4.6077127659574467E-2</v>
      </c>
      <c r="E101" s="167">
        <f t="shared" ref="E101:Q101" si="413">E100/E92</f>
        <v>5.2438864914345497E-2</v>
      </c>
      <c r="F101" s="167">
        <f t="shared" si="413"/>
        <v>5.4248407241531571E-2</v>
      </c>
      <c r="G101" s="167">
        <f t="shared" si="413"/>
        <v>5.2413968577062528E-2</v>
      </c>
      <c r="H101" s="186">
        <f t="shared" si="413"/>
        <v>5.1350390902629703E-2</v>
      </c>
      <c r="I101" s="167">
        <f t="shared" si="413"/>
        <v>4.277257972121444E-2</v>
      </c>
      <c r="J101" s="167">
        <f t="shared" si="413"/>
        <v>5.6143134144191795E-2</v>
      </c>
      <c r="K101" s="167">
        <f t="shared" si="413"/>
        <v>6.9608256107834873E-2</v>
      </c>
      <c r="L101" s="167">
        <f t="shared" si="413"/>
        <v>5.5912128630979954E-2</v>
      </c>
      <c r="M101" s="186">
        <f t="shared" si="413"/>
        <v>5.4484573994503162E-2</v>
      </c>
      <c r="N101" s="167">
        <f t="shared" si="413"/>
        <v>4.9930484192709908E-2</v>
      </c>
      <c r="O101" s="167">
        <f t="shared" si="413"/>
        <v>4.9537525606803648E-2</v>
      </c>
      <c r="P101" s="167">
        <f t="shared" si="413"/>
        <v>5.5656054027978775E-2</v>
      </c>
      <c r="Q101" s="167">
        <f t="shared" si="413"/>
        <v>5.139454716389847E-2</v>
      </c>
      <c r="R101" s="188">
        <f t="shared" ref="R101:U101" si="414">R100/R92</f>
        <v>5.1636395542686682E-2</v>
      </c>
      <c r="S101" s="167">
        <f t="shared" si="414"/>
        <v>4.8669971746894823E-2</v>
      </c>
      <c r="T101" s="167">
        <f t="shared" si="414"/>
        <v>4.6757518796992477E-2</v>
      </c>
      <c r="U101" s="167">
        <f t="shared" si="414"/>
        <v>5.1618602890136929E-2</v>
      </c>
      <c r="V101" s="189">
        <f>Q101</f>
        <v>5.139454716389847E-2</v>
      </c>
      <c r="W101" s="188">
        <f t="shared" ref="W101" si="415">W100/W92</f>
        <v>4.9583925366117061E-2</v>
      </c>
      <c r="X101" s="189">
        <f>S101</f>
        <v>4.8669971746894823E-2</v>
      </c>
      <c r="Y101" s="189">
        <f t="shared" ref="Y101" si="416">T101</f>
        <v>4.6757518796992477E-2</v>
      </c>
      <c r="Z101" s="189">
        <f>U101-0.5%</f>
        <v>4.6618602890136931E-2</v>
      </c>
      <c r="AA101" s="189">
        <f>V101-0.5%</f>
        <v>4.6394547163898472E-2</v>
      </c>
      <c r="AB101" s="188">
        <f t="shared" ref="AB101" si="417">AB100/AB92</f>
        <v>4.7044013125674251E-2</v>
      </c>
      <c r="AC101" s="189">
        <f>X101-0.3%</f>
        <v>4.566997174689482E-2</v>
      </c>
      <c r="AD101" s="189">
        <f t="shared" ref="AD101" si="418">Y101</f>
        <v>4.6757518796992477E-2</v>
      </c>
      <c r="AE101" s="189">
        <f t="shared" ref="AE101" si="419">Z101</f>
        <v>4.6618602890136931E-2</v>
      </c>
      <c r="AF101" s="189">
        <f t="shared" ref="AF101" si="420">AA101</f>
        <v>4.6394547163898472E-2</v>
      </c>
      <c r="AG101" s="188">
        <f t="shared" ref="AG101" si="421">AG100/AG92</f>
        <v>4.6353620445717711E-2</v>
      </c>
      <c r="AH101" s="189">
        <f>AC101-0.2%</f>
        <v>4.3669971746894819E-2</v>
      </c>
      <c r="AI101" s="189">
        <f>AD101-0.2%</f>
        <v>4.4757518796992475E-2</v>
      </c>
      <c r="AJ101" s="189">
        <f>AE101-0.2%</f>
        <v>4.461860289013693E-2</v>
      </c>
      <c r="AK101" s="189">
        <f>AF101-0.2%</f>
        <v>4.4394547163898471E-2</v>
      </c>
      <c r="AL101" s="188">
        <f t="shared" ref="AL101" si="422">AL100/AL92</f>
        <v>4.4352983344493897E-2</v>
      </c>
      <c r="AM101" s="189">
        <f>AH101</f>
        <v>4.3669971746894819E-2</v>
      </c>
      <c r="AN101" s="189">
        <f t="shared" ref="AN101" si="423">AI101</f>
        <v>4.4757518796992475E-2</v>
      </c>
      <c r="AO101" s="189">
        <f t="shared" ref="AO101" si="424">AJ101</f>
        <v>4.461860289013693E-2</v>
      </c>
      <c r="AP101" s="189">
        <f t="shared" ref="AP101" si="425">AK101</f>
        <v>4.4394547163898471E-2</v>
      </c>
      <c r="AQ101" s="188">
        <f t="shared" ref="AQ101" si="426">AQ100/AQ92</f>
        <v>4.4349052344689145E-2</v>
      </c>
      <c r="AR101" s="189">
        <f>AM101</f>
        <v>4.3669971746894819E-2</v>
      </c>
      <c r="AS101" s="189">
        <f t="shared" ref="AS101" si="427">AN101</f>
        <v>4.4757518796992475E-2</v>
      </c>
      <c r="AT101" s="189">
        <f t="shared" ref="AT101" si="428">AO101</f>
        <v>4.461860289013693E-2</v>
      </c>
      <c r="AU101" s="189">
        <f t="shared" ref="AU101" si="429">AP101</f>
        <v>4.4394547163898471E-2</v>
      </c>
      <c r="AV101" s="188">
        <f t="shared" ref="AV101" si="430">AV100/AV92</f>
        <v>4.4348825852099587E-2</v>
      </c>
    </row>
    <row r="102" spans="1:48" ht="16.2" outlineLevel="1" x14ac:dyDescent="0.45">
      <c r="B102" s="180" t="s">
        <v>42</v>
      </c>
      <c r="C102" s="18"/>
      <c r="D102" s="119">
        <v>6.4</v>
      </c>
      <c r="E102" s="119">
        <v>24.2</v>
      </c>
      <c r="F102" s="119">
        <v>16.600000000000001</v>
      </c>
      <c r="G102" s="119">
        <v>12</v>
      </c>
      <c r="H102" s="131">
        <f>SUM(D102:G102)</f>
        <v>59.2</v>
      </c>
      <c r="I102" s="119">
        <v>0.8</v>
      </c>
      <c r="J102" s="119">
        <v>-1.2</v>
      </c>
      <c r="K102" s="119">
        <v>-0.2</v>
      </c>
      <c r="L102" s="119">
        <v>-0.6</v>
      </c>
      <c r="M102" s="131">
        <f>SUM(I102:L102)</f>
        <v>-1.1999999999999997</v>
      </c>
      <c r="N102" s="119">
        <v>0</v>
      </c>
      <c r="O102" s="119">
        <v>0</v>
      </c>
      <c r="P102" s="119">
        <v>0</v>
      </c>
      <c r="Q102" s="119">
        <v>0</v>
      </c>
      <c r="R102" s="131">
        <f>SUM(N102:Q102)</f>
        <v>0</v>
      </c>
      <c r="S102" s="119">
        <v>0</v>
      </c>
      <c r="T102" s="119">
        <v>0</v>
      </c>
      <c r="U102" s="119">
        <v>0</v>
      </c>
      <c r="V102" s="119">
        <f>IFERROR((V163*(U102/U163)),0)</f>
        <v>0</v>
      </c>
      <c r="W102" s="131">
        <f>SUM(S102:V102)</f>
        <v>0</v>
      </c>
      <c r="X102" s="119">
        <f>IFERROR((X163*(V102/V163)),0)</f>
        <v>0</v>
      </c>
      <c r="Y102" s="119">
        <f t="shared" ref="Y102:AA102" si="431">IFERROR((Y163*(X102/X163)),0)</f>
        <v>0</v>
      </c>
      <c r="Z102" s="119">
        <f t="shared" si="431"/>
        <v>0</v>
      </c>
      <c r="AA102" s="119">
        <f t="shared" si="431"/>
        <v>0</v>
      </c>
      <c r="AB102" s="131">
        <f>SUM(X102:AA102)</f>
        <v>0</v>
      </c>
      <c r="AC102" s="119">
        <f>IFERROR((AC163*(AA102/AA163)),0)</f>
        <v>0</v>
      </c>
      <c r="AD102" s="119">
        <f t="shared" ref="AD102:AF102" si="432">IFERROR((AD163*(AC102/AC163)),0)</f>
        <v>0</v>
      </c>
      <c r="AE102" s="119">
        <f t="shared" si="432"/>
        <v>0</v>
      </c>
      <c r="AF102" s="119">
        <f t="shared" si="432"/>
        <v>0</v>
      </c>
      <c r="AG102" s="131">
        <f>SUM(AC102:AF102)</f>
        <v>0</v>
      </c>
      <c r="AH102" s="119">
        <f>IFERROR((AH163*(AF102/AF163)),0)</f>
        <v>0</v>
      </c>
      <c r="AI102" s="119">
        <f t="shared" ref="AI102:AK102" si="433">IFERROR((AI163*(AH102/AH163)),0)</f>
        <v>0</v>
      </c>
      <c r="AJ102" s="119">
        <f t="shared" si="433"/>
        <v>0</v>
      </c>
      <c r="AK102" s="119">
        <f t="shared" si="433"/>
        <v>0</v>
      </c>
      <c r="AL102" s="131">
        <f>SUM(AH102:AK102)</f>
        <v>0</v>
      </c>
      <c r="AM102" s="119">
        <f>IFERROR((AM163*(AK102/AK163)),0)</f>
        <v>0</v>
      </c>
      <c r="AN102" s="119">
        <f t="shared" ref="AN102:AP102" si="434">IFERROR((AN163*(AM102/AM163)),0)</f>
        <v>0</v>
      </c>
      <c r="AO102" s="119">
        <f t="shared" si="434"/>
        <v>0</v>
      </c>
      <c r="AP102" s="119">
        <f t="shared" si="434"/>
        <v>0</v>
      </c>
      <c r="AQ102" s="131">
        <f>SUM(AM102:AP102)</f>
        <v>0</v>
      </c>
      <c r="AR102" s="119">
        <f>IFERROR((AR163*(AP102/AP163)),0)</f>
        <v>0</v>
      </c>
      <c r="AS102" s="119">
        <f t="shared" ref="AS102:AU102" si="435">IFERROR((AS163*(AR102/AR163)),0)</f>
        <v>0</v>
      </c>
      <c r="AT102" s="119">
        <f t="shared" si="435"/>
        <v>0</v>
      </c>
      <c r="AU102" s="119">
        <f t="shared" si="435"/>
        <v>0</v>
      </c>
      <c r="AV102" s="131">
        <f>SUM(AR102:AU102)</f>
        <v>0</v>
      </c>
    </row>
    <row r="103" spans="1:48" outlineLevel="1" x14ac:dyDescent="0.3">
      <c r="B103" s="46" t="s">
        <v>123</v>
      </c>
      <c r="C103" s="19"/>
      <c r="D103" s="103">
        <f>D93+D95+D97+D99+D100+D102</f>
        <v>1300.4000000000001</v>
      </c>
      <c r="E103" s="103">
        <f t="shared" ref="E103:G103" si="436">E93+E95+E97+E99+E100+E102</f>
        <v>1349.7</v>
      </c>
      <c r="F103" s="103">
        <f t="shared" si="436"/>
        <v>1342.3000000000002</v>
      </c>
      <c r="G103" s="103">
        <f t="shared" si="436"/>
        <v>1336.2000000000003</v>
      </c>
      <c r="H103" s="171">
        <f>H93+H95+H97+H99+H100+H102</f>
        <v>5328.5999999999995</v>
      </c>
      <c r="I103" s="103">
        <f>I93+I95+I97+I99+I100+I102</f>
        <v>1326.1</v>
      </c>
      <c r="J103" s="103">
        <f t="shared" ref="J103:L103" si="437">J93+J95+J97+J99+J100+J102</f>
        <v>1174.8</v>
      </c>
      <c r="K103" s="103">
        <f t="shared" si="437"/>
        <v>1052.9999999999998</v>
      </c>
      <c r="L103" s="103">
        <f t="shared" si="437"/>
        <v>1358.8000000000002</v>
      </c>
      <c r="M103" s="171">
        <f>M93+M95+M97+M99+M100+M102</f>
        <v>4912.7000000000007</v>
      </c>
      <c r="N103" s="103">
        <f>N93+N95+N97+N99+N100+N102</f>
        <v>1405.8</v>
      </c>
      <c r="O103" s="103">
        <f t="shared" ref="O103:P103" si="438">O93+O95+O97+O99+O100+O102</f>
        <v>1386.2</v>
      </c>
      <c r="P103" s="103">
        <f t="shared" si="438"/>
        <v>1382.1</v>
      </c>
      <c r="Q103" s="103">
        <f>Q93+Q95+Q97+Q99+Q100+Q102</f>
        <v>1577.5</v>
      </c>
      <c r="R103" s="171">
        <f>R93+R95+R97+R99+R100+R102</f>
        <v>5751.6</v>
      </c>
      <c r="S103" s="103">
        <f>S93+S95+S97+S99+S100+S102</f>
        <v>1577</v>
      </c>
      <c r="T103" s="103">
        <f t="shared" ref="T103:V103" si="439">T93+T95+T97+T99+T100+T102</f>
        <v>1522.3</v>
      </c>
      <c r="U103" s="103">
        <f t="shared" si="439"/>
        <v>1449.8</v>
      </c>
      <c r="V103" s="103">
        <f t="shared" si="439"/>
        <v>1579.8379843847188</v>
      </c>
      <c r="W103" s="171">
        <f>W93+W95+W97+W99+W100+W102</f>
        <v>6128.9379843847191</v>
      </c>
      <c r="X103" s="103">
        <f>X93+X95+X97+X99+X100+X102</f>
        <v>1587.0342091461987</v>
      </c>
      <c r="Y103" s="103">
        <f t="shared" ref="Y103:AA103" si="440">Y93+Y95+Y97+Y99+Y100+Y102</f>
        <v>1596.782463139049</v>
      </c>
      <c r="Z103" s="103">
        <f t="shared" si="440"/>
        <v>1878.1948918136563</v>
      </c>
      <c r="AA103" s="103">
        <f t="shared" si="440"/>
        <v>2070.1635515277358</v>
      </c>
      <c r="AB103" s="171">
        <f>AB93+AB95+AB97+AB99+AB100+AB102</f>
        <v>7132.1751156266409</v>
      </c>
      <c r="AC103" s="103">
        <f>AC93+AC95+AC97+AC99+AC100+AC102</f>
        <v>2026.1186361052557</v>
      </c>
      <c r="AD103" s="103">
        <f t="shared" ref="AD103:AF103" si="441">AD93+AD95+AD97+AD99+AD100+AD102</f>
        <v>1796.8255856620358</v>
      </c>
      <c r="AE103" s="103">
        <f t="shared" si="441"/>
        <v>2185.5720503702723</v>
      </c>
      <c r="AF103" s="103">
        <f t="shared" si="441"/>
        <v>2417.6793930851773</v>
      </c>
      <c r="AG103" s="171">
        <f>AG93+AG95+AG97+AG99+AG100+AG102</f>
        <v>8426.19566522274</v>
      </c>
      <c r="AH103" s="103">
        <f>AH93+AH95+AH97+AH99+AH100+AH102</f>
        <v>2339.5336485850967</v>
      </c>
      <c r="AI103" s="103">
        <f t="shared" ref="AI103:AK103" si="442">AI93+AI95+AI97+AI99+AI100+AI102</f>
        <v>2067.3158988910091</v>
      </c>
      <c r="AJ103" s="103">
        <f t="shared" si="442"/>
        <v>2438.8561947658118</v>
      </c>
      <c r="AK103" s="103">
        <f t="shared" si="442"/>
        <v>2773.6324308062772</v>
      </c>
      <c r="AL103" s="171">
        <f>AL93+AL95+AL97+AL99+AL100+AL102</f>
        <v>9619.3381730481942</v>
      </c>
      <c r="AM103" s="103">
        <f>AM93+AM95+AM97+AM99+AM100+AM102</f>
        <v>2683.7615996868772</v>
      </c>
      <c r="AN103" s="103">
        <f t="shared" ref="AN103:AP103" si="443">AN93+AN95+AN97+AN99+AN100+AN102</f>
        <v>2337.0513382828249</v>
      </c>
      <c r="AO103" s="103">
        <f t="shared" si="443"/>
        <v>2721.5503458509424</v>
      </c>
      <c r="AP103" s="103">
        <f t="shared" si="443"/>
        <v>3056.8235248877791</v>
      </c>
      <c r="AQ103" s="171">
        <f>AQ93+AQ95+AQ97+AQ99+AQ100+AQ102</f>
        <v>10799.186808708426</v>
      </c>
      <c r="AR103" s="103">
        <f>AR93+AR95+AR97+AR99+AR100+AR102</f>
        <v>2885.8996904838027</v>
      </c>
      <c r="AS103" s="103">
        <f t="shared" ref="AS103:AU103" si="444">AS93+AS95+AS97+AS99+AS100+AS102</f>
        <v>2511.2577821388231</v>
      </c>
      <c r="AT103" s="103">
        <f t="shared" si="444"/>
        <v>2922.3318914391298</v>
      </c>
      <c r="AU103" s="103">
        <f t="shared" si="444"/>
        <v>3281.9633891710091</v>
      </c>
      <c r="AV103" s="171">
        <f>AV93+AV95+AV97+AV99+AV100+AV102</f>
        <v>11601.452753232761</v>
      </c>
    </row>
    <row r="104" spans="1:48" ht="16.2" outlineLevel="1" x14ac:dyDescent="0.45">
      <c r="B104" s="180" t="s">
        <v>36</v>
      </c>
      <c r="C104" s="18"/>
      <c r="D104" s="119">
        <v>26.4</v>
      </c>
      <c r="E104" s="104">
        <v>22.1</v>
      </c>
      <c r="F104" s="104">
        <v>27.2</v>
      </c>
      <c r="G104" s="104">
        <v>26.8</v>
      </c>
      <c r="H104" s="214">
        <f>SUM(D104:G104)</f>
        <v>102.5</v>
      </c>
      <c r="I104" s="104">
        <v>30.9</v>
      </c>
      <c r="J104" s="104">
        <v>24.8</v>
      </c>
      <c r="K104" s="104">
        <v>17.399999999999999</v>
      </c>
      <c r="L104" s="104">
        <v>29.2</v>
      </c>
      <c r="M104" s="214">
        <f>SUM(I104:L104)</f>
        <v>102.3</v>
      </c>
      <c r="N104" s="104">
        <v>26.3</v>
      </c>
      <c r="O104" s="104">
        <v>26.8</v>
      </c>
      <c r="P104" s="104">
        <v>42</v>
      </c>
      <c r="Q104" s="104">
        <v>40.299999999999997</v>
      </c>
      <c r="R104" s="193">
        <f>SUM(N104:Q104)</f>
        <v>135.39999999999998</v>
      </c>
      <c r="S104" s="104">
        <v>0.7</v>
      </c>
      <c r="T104" s="104">
        <v>0.6</v>
      </c>
      <c r="U104" s="104">
        <v>0.4</v>
      </c>
      <c r="V104" s="56">
        <v>0.4</v>
      </c>
      <c r="W104" s="193">
        <f>SUM(S104:V104)</f>
        <v>2.0999999999999996</v>
      </c>
      <c r="X104" s="56">
        <v>0.4</v>
      </c>
      <c r="Y104" s="56">
        <v>0.5</v>
      </c>
      <c r="Z104" s="56">
        <v>0.6</v>
      </c>
      <c r="AA104" s="56">
        <v>0.7</v>
      </c>
      <c r="AB104" s="193">
        <f>SUM(X104:AA104)</f>
        <v>2.2000000000000002</v>
      </c>
      <c r="AC104" s="56">
        <v>1</v>
      </c>
      <c r="AD104" s="56">
        <v>1</v>
      </c>
      <c r="AE104" s="56">
        <v>1</v>
      </c>
      <c r="AF104" s="56">
        <v>1</v>
      </c>
      <c r="AG104" s="193">
        <f>SUM(AC104:AF104)</f>
        <v>4</v>
      </c>
      <c r="AH104" s="56">
        <v>1</v>
      </c>
      <c r="AI104" s="56">
        <v>1</v>
      </c>
      <c r="AJ104" s="56">
        <v>1</v>
      </c>
      <c r="AK104" s="56">
        <v>1</v>
      </c>
      <c r="AL104" s="193">
        <f>SUM(AH104:AK104)</f>
        <v>4</v>
      </c>
      <c r="AM104" s="56">
        <v>1</v>
      </c>
      <c r="AN104" s="56">
        <v>1</v>
      </c>
      <c r="AO104" s="56">
        <v>1</v>
      </c>
      <c r="AP104" s="56">
        <v>1</v>
      </c>
      <c r="AQ104" s="193">
        <f>SUM(AM104:AP104)</f>
        <v>4</v>
      </c>
      <c r="AR104" s="56">
        <v>1</v>
      </c>
      <c r="AS104" s="56">
        <v>1</v>
      </c>
      <c r="AT104" s="56">
        <v>1</v>
      </c>
      <c r="AU104" s="56">
        <v>1</v>
      </c>
      <c r="AV104" s="193">
        <f>SUM(AR104:AU104)</f>
        <v>4</v>
      </c>
    </row>
    <row r="105" spans="1:48" outlineLevel="1" x14ac:dyDescent="0.3">
      <c r="B105" s="46" t="s">
        <v>124</v>
      </c>
      <c r="C105" s="44"/>
      <c r="D105" s="156">
        <f>+D92-D103+D104</f>
        <v>229.99999999999991</v>
      </c>
      <c r="E105" s="156">
        <f t="shared" ref="E105:V105" si="445">+E92-E103+E104</f>
        <v>201.80000000000004</v>
      </c>
      <c r="F105" s="156">
        <f t="shared" si="445"/>
        <v>270.19999999999976</v>
      </c>
      <c r="G105" s="156">
        <f t="shared" si="445"/>
        <v>262.69999999999987</v>
      </c>
      <c r="H105" s="132">
        <f>SUM(D105:G105)</f>
        <v>964.69999999999959</v>
      </c>
      <c r="I105" s="156">
        <f t="shared" si="445"/>
        <v>275.89999999999998</v>
      </c>
      <c r="J105" s="156">
        <f t="shared" si="445"/>
        <v>-15.400000000000045</v>
      </c>
      <c r="K105" s="156">
        <f>+K92-K103+K104</f>
        <v>-85.999999999999744</v>
      </c>
      <c r="L105" s="156">
        <f t="shared" si="445"/>
        <v>181.69999999999976</v>
      </c>
      <c r="M105" s="132">
        <f>SUM(I105:L105)</f>
        <v>356.19999999999993</v>
      </c>
      <c r="N105" s="156">
        <f t="shared" si="445"/>
        <v>274.8</v>
      </c>
      <c r="O105" s="156">
        <f t="shared" si="445"/>
        <v>251.50000000000006</v>
      </c>
      <c r="P105" s="156">
        <f t="shared" si="445"/>
        <v>318.29999999999995</v>
      </c>
      <c r="Q105" s="156">
        <f t="shared" si="445"/>
        <v>377.39999999999992</v>
      </c>
      <c r="R105" s="97">
        <f>SUM(N105:Q105)</f>
        <v>1222</v>
      </c>
      <c r="S105" s="74">
        <f t="shared" si="445"/>
        <v>299.59999999999985</v>
      </c>
      <c r="T105" s="74">
        <f t="shared" si="445"/>
        <v>180.70000000000013</v>
      </c>
      <c r="U105" s="74">
        <f t="shared" si="445"/>
        <v>135.3000000000001</v>
      </c>
      <c r="V105" s="74">
        <f t="shared" si="445"/>
        <v>244.13813146020576</v>
      </c>
      <c r="W105" s="97">
        <f>SUM(S105:V105)</f>
        <v>859.73813146020575</v>
      </c>
      <c r="X105" s="74">
        <f t="shared" ref="X105:AA105" si="446">+X92-X103+X104</f>
        <v>272.76386994792472</v>
      </c>
      <c r="Y105" s="74">
        <f t="shared" si="446"/>
        <v>269.92516999251916</v>
      </c>
      <c r="Z105" s="74">
        <f t="shared" si="446"/>
        <v>233.85311125401731</v>
      </c>
      <c r="AA105" s="74">
        <f t="shared" si="446"/>
        <v>379.34044320494621</v>
      </c>
      <c r="AB105" s="97">
        <f>SUM(X105:AA105)</f>
        <v>1155.8825943994075</v>
      </c>
      <c r="AC105" s="74">
        <f t="shared" ref="AC105:AF105" si="447">+AC92-AC103+AC104</f>
        <v>394.30040034417084</v>
      </c>
      <c r="AD105" s="74">
        <f t="shared" si="447"/>
        <v>390.38425034719285</v>
      </c>
      <c r="AE105" s="74">
        <f t="shared" si="447"/>
        <v>283.37894156481889</v>
      </c>
      <c r="AF105" s="74">
        <f t="shared" si="447"/>
        <v>443.61448155292055</v>
      </c>
      <c r="AG105" s="97">
        <f>SUM(AC105:AF105)</f>
        <v>1511.6780738091031</v>
      </c>
      <c r="AH105" s="74">
        <f t="shared" ref="AH105:AK105" si="448">+AH92-AH103+AH104</f>
        <v>485.01602950030565</v>
      </c>
      <c r="AI105" s="74">
        <f t="shared" si="448"/>
        <v>478.29651245619334</v>
      </c>
      <c r="AJ105" s="74">
        <f t="shared" si="448"/>
        <v>427.81275041224035</v>
      </c>
      <c r="AK105" s="74">
        <f t="shared" si="448"/>
        <v>546.44560548480013</v>
      </c>
      <c r="AL105" s="97">
        <f>SUM(AH105:AK105)</f>
        <v>1937.5708978535395</v>
      </c>
      <c r="AM105" s="74">
        <f t="shared" ref="AM105:AP105" si="449">+AM92-AM103+AM104</f>
        <v>563.04749766858777</v>
      </c>
      <c r="AN105" s="74">
        <f t="shared" si="449"/>
        <v>544.1816227651384</v>
      </c>
      <c r="AO105" s="74">
        <f t="shared" si="449"/>
        <v>475.42002781901238</v>
      </c>
      <c r="AP105" s="74">
        <f t="shared" si="449"/>
        <v>597.60093493007116</v>
      </c>
      <c r="AQ105" s="97">
        <f>SUM(AM105:AP105)</f>
        <v>2180.2500831828097</v>
      </c>
      <c r="AR105" s="74">
        <f t="shared" ref="AR105:AU105" si="450">+AR92-AR103+AR104</f>
        <v>594.66514908133695</v>
      </c>
      <c r="AS105" s="74">
        <f t="shared" si="450"/>
        <v>574.21177183701366</v>
      </c>
      <c r="AT105" s="74">
        <f t="shared" si="450"/>
        <v>498.76264581566102</v>
      </c>
      <c r="AU105" s="74">
        <f t="shared" si="450"/>
        <v>630.84379905333435</v>
      </c>
      <c r="AV105" s="97">
        <f>SUM(AR105:AU105)</f>
        <v>2298.483365787346</v>
      </c>
    </row>
    <row r="106" spans="1:48" outlineLevel="1" x14ac:dyDescent="0.3">
      <c r="B106" s="46" t="s">
        <v>125</v>
      </c>
      <c r="C106" s="44"/>
      <c r="D106" s="157">
        <f t="shared" ref="D106:G106" si="451">+D105/D92</f>
        <v>0.15292553191489355</v>
      </c>
      <c r="E106" s="157">
        <f t="shared" si="451"/>
        <v>0.1319471688243756</v>
      </c>
      <c r="F106" s="157">
        <f t="shared" si="451"/>
        <v>0.17044092600769556</v>
      </c>
      <c r="G106" s="157">
        <f t="shared" si="451"/>
        <v>0.16710132943196987</v>
      </c>
      <c r="H106" s="133">
        <f>H105/H92</f>
        <v>0.15582800284292814</v>
      </c>
      <c r="I106" s="157">
        <f t="shared" ref="I106:L106" si="452">+I105/I92</f>
        <v>0.17560944561135511</v>
      </c>
      <c r="J106" s="157">
        <f t="shared" si="452"/>
        <v>-1.3573065397496956E-2</v>
      </c>
      <c r="K106" s="157">
        <f t="shared" si="452"/>
        <v>-9.0564448188710761E-2</v>
      </c>
      <c r="L106" s="157">
        <f t="shared" si="452"/>
        <v>0.12022761860649757</v>
      </c>
      <c r="M106" s="133">
        <f>M105/M92</f>
        <v>6.8942825068710564E-2</v>
      </c>
      <c r="N106" s="157">
        <f t="shared" ref="N106:Q106" si="453">+N105/N92</f>
        <v>0.16611255515928189</v>
      </c>
      <c r="O106" s="157">
        <f t="shared" si="453"/>
        <v>0.1561239058911168</v>
      </c>
      <c r="P106" s="157">
        <f t="shared" si="453"/>
        <v>0.19193198263386396</v>
      </c>
      <c r="Q106" s="157">
        <f t="shared" si="453"/>
        <v>0.19711689125665932</v>
      </c>
      <c r="R106" s="98">
        <f>R105/R92</f>
        <v>0.17870199760170807</v>
      </c>
      <c r="S106" s="75">
        <f t="shared" ref="S106:V106" si="454">+S105/S92</f>
        <v>0.15971000586385195</v>
      </c>
      <c r="T106" s="75">
        <f t="shared" si="454"/>
        <v>0.1061442669172933</v>
      </c>
      <c r="U106" s="75">
        <f t="shared" si="454"/>
        <v>8.5378936076228998E-2</v>
      </c>
      <c r="V106" s="75">
        <f t="shared" si="454"/>
        <v>0.13387877223160949</v>
      </c>
      <c r="W106" s="98">
        <f>W105/W92</f>
        <v>0.12305571673518267</v>
      </c>
      <c r="X106" s="75">
        <f t="shared" ref="X106:AA106" si="455">+X105/X92</f>
        <v>0.14669471428130765</v>
      </c>
      <c r="Y106" s="75">
        <f t="shared" si="455"/>
        <v>0.14463833777143775</v>
      </c>
      <c r="Z106" s="75">
        <f t="shared" si="455"/>
        <v>0.11075485207983221</v>
      </c>
      <c r="AA106" s="75">
        <f t="shared" si="455"/>
        <v>0.1549084549114173</v>
      </c>
      <c r="AB106" s="98">
        <f>AB105/AB92</f>
        <v>0.13950065700510009</v>
      </c>
      <c r="AC106" s="75">
        <f t="shared" ref="AC106:AF106" si="456">+AC105/AC92</f>
        <v>0.16297317430502617</v>
      </c>
      <c r="AD106" s="75">
        <f t="shared" si="456"/>
        <v>0.17856668830097833</v>
      </c>
      <c r="AE106" s="75">
        <f t="shared" si="456"/>
        <v>0.11482356922437296</v>
      </c>
      <c r="AF106" s="75">
        <f t="shared" si="456"/>
        <v>0.15509402215149987</v>
      </c>
      <c r="AG106" s="98">
        <f>AG105/AG92</f>
        <v>0.15217407765809102</v>
      </c>
      <c r="AH106" s="75">
        <f t="shared" ref="AH106:AK106" si="457">+AH105/AH92</f>
        <v>0.1717752775043031</v>
      </c>
      <c r="AI106" s="75">
        <f t="shared" si="457"/>
        <v>0.18796438715905156</v>
      </c>
      <c r="AJ106" s="75">
        <f t="shared" si="457"/>
        <v>0.149288964844353</v>
      </c>
      <c r="AK106" s="75">
        <f t="shared" si="457"/>
        <v>0.1646377697390414</v>
      </c>
      <c r="AL106" s="98">
        <f>AL105/AL92</f>
        <v>0.16771281466532892</v>
      </c>
      <c r="AM106" s="75">
        <f t="shared" ref="AM106:AP106" si="458">+AM105/AM92</f>
        <v>0.17346907374414991</v>
      </c>
      <c r="AN106" s="75">
        <f t="shared" si="458"/>
        <v>0.18893666940299847</v>
      </c>
      <c r="AO106" s="75">
        <f t="shared" si="458"/>
        <v>0.148756081012442</v>
      </c>
      <c r="AP106" s="75">
        <f t="shared" si="458"/>
        <v>0.16357281818818992</v>
      </c>
      <c r="AQ106" s="98">
        <f>AQ105/AQ92</f>
        <v>0.16802903064831043</v>
      </c>
      <c r="AR106" s="75">
        <f t="shared" ref="AR106:AU106" si="459">+AR105/AR92</f>
        <v>0.17090216061490479</v>
      </c>
      <c r="AS106" s="75">
        <f t="shared" si="459"/>
        <v>0.18616224339023316</v>
      </c>
      <c r="AT106" s="75">
        <f t="shared" si="459"/>
        <v>0.14583299975561584</v>
      </c>
      <c r="AU106" s="75">
        <f t="shared" si="459"/>
        <v>0.16126658822867199</v>
      </c>
      <c r="AV106" s="98">
        <f>AV105/AV92</f>
        <v>0.16540687479422772</v>
      </c>
    </row>
    <row r="107" spans="1:48" ht="17.399999999999999" x14ac:dyDescent="0.45">
      <c r="B107" s="494" t="s">
        <v>51</v>
      </c>
      <c r="C107" s="495"/>
      <c r="D107" s="14" t="s">
        <v>19</v>
      </c>
      <c r="E107" s="14" t="s">
        <v>81</v>
      </c>
      <c r="F107" s="14" t="s">
        <v>85</v>
      </c>
      <c r="G107" s="14" t="s">
        <v>95</v>
      </c>
      <c r="H107" s="40" t="s">
        <v>96</v>
      </c>
      <c r="I107" s="14" t="s">
        <v>97</v>
      </c>
      <c r="J107" s="14" t="s">
        <v>98</v>
      </c>
      <c r="K107" s="14" t="s">
        <v>99</v>
      </c>
      <c r="L107" s="14" t="s">
        <v>142</v>
      </c>
      <c r="M107" s="40" t="s">
        <v>143</v>
      </c>
      <c r="N107" s="14" t="s">
        <v>149</v>
      </c>
      <c r="O107" s="14" t="s">
        <v>157</v>
      </c>
      <c r="P107" s="14" t="s">
        <v>159</v>
      </c>
      <c r="Q107" s="14" t="s">
        <v>172</v>
      </c>
      <c r="R107" s="40" t="s">
        <v>173</v>
      </c>
      <c r="S107" s="14" t="s">
        <v>188</v>
      </c>
      <c r="T107" s="14" t="s">
        <v>189</v>
      </c>
      <c r="U107" s="14" t="s">
        <v>204</v>
      </c>
      <c r="V107" s="12" t="s">
        <v>25</v>
      </c>
      <c r="W107" s="42" t="s">
        <v>26</v>
      </c>
      <c r="X107" s="12" t="s">
        <v>27</v>
      </c>
      <c r="Y107" s="12" t="s">
        <v>28</v>
      </c>
      <c r="Z107" s="12" t="s">
        <v>29</v>
      </c>
      <c r="AA107" s="12" t="s">
        <v>30</v>
      </c>
      <c r="AB107" s="42" t="s">
        <v>31</v>
      </c>
      <c r="AC107" s="12" t="s">
        <v>90</v>
      </c>
      <c r="AD107" s="12" t="s">
        <v>91</v>
      </c>
      <c r="AE107" s="12" t="s">
        <v>92</v>
      </c>
      <c r="AF107" s="12" t="s">
        <v>93</v>
      </c>
      <c r="AG107" s="42" t="s">
        <v>94</v>
      </c>
      <c r="AH107" s="12" t="s">
        <v>109</v>
      </c>
      <c r="AI107" s="12" t="s">
        <v>110</v>
      </c>
      <c r="AJ107" s="12" t="s">
        <v>111</v>
      </c>
      <c r="AK107" s="12" t="s">
        <v>112</v>
      </c>
      <c r="AL107" s="42" t="s">
        <v>113</v>
      </c>
      <c r="AM107" s="12" t="s">
        <v>164</v>
      </c>
      <c r="AN107" s="12" t="s">
        <v>165</v>
      </c>
      <c r="AO107" s="12" t="s">
        <v>166</v>
      </c>
      <c r="AP107" s="12" t="s">
        <v>167</v>
      </c>
      <c r="AQ107" s="42" t="s">
        <v>168</v>
      </c>
      <c r="AR107" s="12" t="s">
        <v>195</v>
      </c>
      <c r="AS107" s="12" t="s">
        <v>196</v>
      </c>
      <c r="AT107" s="12" t="s">
        <v>197</v>
      </c>
      <c r="AU107" s="12" t="s">
        <v>198</v>
      </c>
      <c r="AV107" s="42" t="s">
        <v>199</v>
      </c>
    </row>
    <row r="108" spans="1:48" s="8" customFormat="1" outlineLevel="1" x14ac:dyDescent="0.3">
      <c r="B108" s="500" t="s">
        <v>126</v>
      </c>
      <c r="C108" s="501"/>
      <c r="D108" s="50">
        <v>504.6</v>
      </c>
      <c r="E108" s="50">
        <v>446.6</v>
      </c>
      <c r="F108" s="103">
        <v>533.29999999999995</v>
      </c>
      <c r="G108" s="50">
        <v>508.1</v>
      </c>
      <c r="H108" s="31">
        <f>SUM(D108:G108)</f>
        <v>1992.6</v>
      </c>
      <c r="I108" s="50">
        <v>494.6</v>
      </c>
      <c r="J108" s="50">
        <v>519.1</v>
      </c>
      <c r="K108" s="50">
        <v>447.3</v>
      </c>
      <c r="L108" s="50">
        <v>464</v>
      </c>
      <c r="M108" s="31">
        <f>SUM(I108:L108)</f>
        <v>1925</v>
      </c>
      <c r="N108" s="50">
        <v>371.4</v>
      </c>
      <c r="O108" s="50">
        <v>369.9</v>
      </c>
      <c r="P108" s="50">
        <v>414</v>
      </c>
      <c r="Q108" s="103">
        <v>438.3</v>
      </c>
      <c r="R108" s="126">
        <f>SUM(N108:Q108)</f>
        <v>1593.6</v>
      </c>
      <c r="S108" s="50">
        <v>417.1</v>
      </c>
      <c r="T108" s="50">
        <v>463.1</v>
      </c>
      <c r="U108" s="50">
        <v>479.7</v>
      </c>
      <c r="V108" s="50">
        <f t="shared" ref="V108" si="460">+Q108*(1+V109)</f>
        <v>482.13000000000005</v>
      </c>
      <c r="W108" s="31">
        <f>SUM(S108:V108)</f>
        <v>1842.0300000000002</v>
      </c>
      <c r="X108" s="50">
        <f>+S108*(1+X109)</f>
        <v>458.81000000000006</v>
      </c>
      <c r="Y108" s="50">
        <f>+T108*(1+Y109)</f>
        <v>481.62400000000002</v>
      </c>
      <c r="Z108" s="50">
        <f>+U108*(1+Z109)</f>
        <v>498.88800000000003</v>
      </c>
      <c r="AA108" s="50">
        <f t="shared" ref="AA108" si="461">+V108*(1+AA109)</f>
        <v>501.41520000000008</v>
      </c>
      <c r="AB108" s="31">
        <f>SUM(X108:AA108)</f>
        <v>1940.7372000000003</v>
      </c>
      <c r="AC108" s="50">
        <f>+X108*(1+AC109)</f>
        <v>477.1624000000001</v>
      </c>
      <c r="AD108" s="50">
        <f>+Y108*(1+AD109)</f>
        <v>500.88896000000005</v>
      </c>
      <c r="AE108" s="50">
        <f>+Z108*(1+AE109)</f>
        <v>518.84352000000001</v>
      </c>
      <c r="AF108" s="50">
        <f t="shared" ref="AF108" si="462">+AA108*(1+AF109)</f>
        <v>521.47180800000012</v>
      </c>
      <c r="AG108" s="31">
        <f>SUM(AC108:AF108)</f>
        <v>2018.3666880000005</v>
      </c>
      <c r="AH108" s="50">
        <f>+AC108*(1+AH109)</f>
        <v>496.24889600000012</v>
      </c>
      <c r="AI108" s="50">
        <f>+AD108*(1+AI109)</f>
        <v>520.92451840000012</v>
      </c>
      <c r="AJ108" s="50">
        <f>+AE108*(1+AJ109)</f>
        <v>539.59726080000007</v>
      </c>
      <c r="AK108" s="50">
        <f t="shared" ref="AK108" si="463">+AF108*(1+AK109)</f>
        <v>542.33068032000017</v>
      </c>
      <c r="AL108" s="31">
        <f>SUM(AH108:AK108)</f>
        <v>2099.1013555200007</v>
      </c>
      <c r="AM108" s="50">
        <f>+AH108*(1+AM109)</f>
        <v>516.09885184000018</v>
      </c>
      <c r="AN108" s="50">
        <f>+AI108*(1+AN109)</f>
        <v>541.76149913600011</v>
      </c>
      <c r="AO108" s="50">
        <f>+AJ108*(1+AO109)</f>
        <v>561.18115123200005</v>
      </c>
      <c r="AP108" s="50">
        <f t="shared" ref="AP108" si="464">+AK108*(1+AP109)</f>
        <v>564.02390753280019</v>
      </c>
      <c r="AQ108" s="31">
        <f>SUM(AM108:AP108)</f>
        <v>2183.0654097408005</v>
      </c>
      <c r="AR108" s="50">
        <f>+AM108*(1+AR109)</f>
        <v>536.74280591360025</v>
      </c>
      <c r="AS108" s="50">
        <f>+AN108*(1+AS109)</f>
        <v>563.43195910144016</v>
      </c>
      <c r="AT108" s="50">
        <f>+AO108*(1+AT109)</f>
        <v>583.62839728128006</v>
      </c>
      <c r="AU108" s="50">
        <f t="shared" ref="AU108" si="465">+AP108*(1+AU109)</f>
        <v>586.58486383411218</v>
      </c>
      <c r="AV108" s="31">
        <f>SUM(AR108:AU108)</f>
        <v>2270.388026130433</v>
      </c>
    </row>
    <row r="109" spans="1:48" outlineLevel="1" x14ac:dyDescent="0.3">
      <c r="B109" s="69" t="s">
        <v>58</v>
      </c>
      <c r="C109" s="70"/>
      <c r="D109" s="120"/>
      <c r="E109" s="120"/>
      <c r="F109" s="120"/>
      <c r="G109" s="120"/>
      <c r="H109" s="58"/>
      <c r="I109" s="120">
        <f>I108/D108-1</f>
        <v>-1.9817677368212494E-2</v>
      </c>
      <c r="J109" s="120">
        <f t="shared" ref="J109" si="466">J108/E108-1</f>
        <v>0.16233766233766223</v>
      </c>
      <c r="K109" s="120">
        <f>K108/F108-1</f>
        <v>-0.1612600787549221</v>
      </c>
      <c r="L109" s="120">
        <f>L108/G108-1</f>
        <v>-8.6793938201141563E-2</v>
      </c>
      <c r="M109" s="168">
        <f>M108/H108-1</f>
        <v>-3.3925524440429511E-2</v>
      </c>
      <c r="N109" s="120">
        <f>N108/I108-1</f>
        <v>-0.24909017387788124</v>
      </c>
      <c r="O109" s="120">
        <f t="shared" ref="O109" si="467">O108/J108-1</f>
        <v>-0.28742053554228475</v>
      </c>
      <c r="P109" s="120">
        <f>P108/K108-1</f>
        <v>-7.4446680080482941E-2</v>
      </c>
      <c r="Q109" s="120">
        <f>Q108/L108-1</f>
        <v>-5.5387931034482696E-2</v>
      </c>
      <c r="R109" s="168">
        <f>R108/M108-1</f>
        <v>-0.17215584415584417</v>
      </c>
      <c r="S109" s="120">
        <f>S108/N108-1</f>
        <v>0.12304792676359733</v>
      </c>
      <c r="T109" s="120">
        <f t="shared" ref="T109:U109" si="468">T108/O108-1</f>
        <v>0.25195998918626672</v>
      </c>
      <c r="U109" s="120">
        <f t="shared" si="468"/>
        <v>0.15869565217391313</v>
      </c>
      <c r="V109" s="197">
        <v>0.1</v>
      </c>
      <c r="W109" s="168">
        <f>W108/R108-1</f>
        <v>0.15589231927710867</v>
      </c>
      <c r="X109" s="197">
        <v>0.1</v>
      </c>
      <c r="Y109" s="197">
        <v>0.04</v>
      </c>
      <c r="Z109" s="197">
        <v>0.04</v>
      </c>
      <c r="AA109" s="197">
        <v>0.04</v>
      </c>
      <c r="AB109" s="168">
        <f>AB108/W108-1</f>
        <v>5.3586097946287436E-2</v>
      </c>
      <c r="AC109" s="197">
        <v>0.04</v>
      </c>
      <c r="AD109" s="197">
        <v>0.04</v>
      </c>
      <c r="AE109" s="197">
        <v>0.04</v>
      </c>
      <c r="AF109" s="197">
        <v>0.04</v>
      </c>
      <c r="AG109" s="168">
        <f>AG108/AB108-1</f>
        <v>4.0000000000000036E-2</v>
      </c>
      <c r="AH109" s="197">
        <v>0.04</v>
      </c>
      <c r="AI109" s="197">
        <v>0.04</v>
      </c>
      <c r="AJ109" s="197">
        <v>0.04</v>
      </c>
      <c r="AK109" s="197">
        <v>0.04</v>
      </c>
      <c r="AL109" s="168">
        <f>AL108/AG108-1</f>
        <v>4.0000000000000036E-2</v>
      </c>
      <c r="AM109" s="197">
        <v>0.04</v>
      </c>
      <c r="AN109" s="197">
        <v>0.04</v>
      </c>
      <c r="AO109" s="197">
        <v>0.04</v>
      </c>
      <c r="AP109" s="197">
        <v>0.04</v>
      </c>
      <c r="AQ109" s="168">
        <f>AQ108/AL108-1</f>
        <v>4.0000000000000036E-2</v>
      </c>
      <c r="AR109" s="197">
        <v>0.04</v>
      </c>
      <c r="AS109" s="197">
        <v>0.04</v>
      </c>
      <c r="AT109" s="197">
        <v>0.04</v>
      </c>
      <c r="AU109" s="197">
        <v>0.04</v>
      </c>
      <c r="AV109" s="168">
        <f>AV108/AQ108-1</f>
        <v>4.0000000000000258E-2</v>
      </c>
    </row>
    <row r="110" spans="1:48" outlineLevel="1" x14ac:dyDescent="0.3">
      <c r="B110" s="504" t="s">
        <v>100</v>
      </c>
      <c r="C110" s="505"/>
      <c r="D110" s="48">
        <v>348.4</v>
      </c>
      <c r="E110" s="48">
        <v>305.39999999999998</v>
      </c>
      <c r="F110" s="48">
        <v>377.1</v>
      </c>
      <c r="G110" s="48">
        <v>359.1</v>
      </c>
      <c r="H110" s="76">
        <f>SUM(D110:G110)</f>
        <v>1390</v>
      </c>
      <c r="I110" s="48">
        <v>338.8</v>
      </c>
      <c r="J110" s="48">
        <v>351.6</v>
      </c>
      <c r="K110" s="48">
        <v>319.89999999999998</v>
      </c>
      <c r="L110" s="48">
        <v>327.8</v>
      </c>
      <c r="M110" s="76">
        <f>SUM(I110:L110)</f>
        <v>1338.1000000000001</v>
      </c>
      <c r="N110" s="48">
        <v>233.5</v>
      </c>
      <c r="O110" s="48">
        <v>231.9</v>
      </c>
      <c r="P110" s="48">
        <v>268.3</v>
      </c>
      <c r="Q110" s="105">
        <v>277.5</v>
      </c>
      <c r="R110" s="76">
        <f>SUM(N110:Q110)</f>
        <v>1011.2</v>
      </c>
      <c r="S110" s="48">
        <v>258.8</v>
      </c>
      <c r="T110" s="48">
        <v>300.5</v>
      </c>
      <c r="U110" s="48">
        <v>325.8</v>
      </c>
      <c r="V110" s="48">
        <f t="shared" ref="V110" si="469">V111*V108</f>
        <v>319.71390000000002</v>
      </c>
      <c r="W110" s="76">
        <f>SUM(S110:V110)</f>
        <v>1204.8138999999999</v>
      </c>
      <c r="X110" s="48">
        <f t="shared" ref="X110:AA110" si="470">X111*X108</f>
        <v>291.56215000000003</v>
      </c>
      <c r="Y110" s="48">
        <f t="shared" si="470"/>
        <v>312.52</v>
      </c>
      <c r="Z110" s="48">
        <f t="shared" si="470"/>
        <v>336.33756000000005</v>
      </c>
      <c r="AA110" s="48">
        <f t="shared" si="470"/>
        <v>317.46000000000004</v>
      </c>
      <c r="AB110" s="76">
        <f>SUM(X110:AA110)</f>
        <v>1257.8797100000002</v>
      </c>
      <c r="AC110" s="48">
        <f t="shared" ref="AC110:AF110" si="471">AC111*AC108</f>
        <v>303.22463600000009</v>
      </c>
      <c r="AD110" s="48">
        <f t="shared" si="471"/>
        <v>325.02080000000001</v>
      </c>
      <c r="AE110" s="48">
        <f t="shared" si="471"/>
        <v>339.41419200000001</v>
      </c>
      <c r="AF110" s="48">
        <f t="shared" si="471"/>
        <v>330.15840000000003</v>
      </c>
      <c r="AG110" s="76">
        <f>SUM(AC110:AF110)</f>
        <v>1297.8180280000001</v>
      </c>
      <c r="AH110" s="48">
        <f t="shared" ref="AH110:AK110" si="472">AH111*AH108</f>
        <v>315.3536214400001</v>
      </c>
      <c r="AI110" s="48">
        <f t="shared" si="472"/>
        <v>338.02163200000007</v>
      </c>
      <c r="AJ110" s="48">
        <f t="shared" si="472"/>
        <v>347.59478707200009</v>
      </c>
      <c r="AK110" s="48">
        <f t="shared" si="472"/>
        <v>343.36473600000005</v>
      </c>
      <c r="AL110" s="76">
        <f>SUM(AH110:AK110)</f>
        <v>1344.3347765120002</v>
      </c>
      <c r="AM110" s="48">
        <f t="shared" ref="AM110:AP110" si="473">AM111*AM108</f>
        <v>327.96776629760012</v>
      </c>
      <c r="AN110" s="48">
        <f t="shared" si="473"/>
        <v>351.54249728000008</v>
      </c>
      <c r="AO110" s="48">
        <f t="shared" si="473"/>
        <v>361.49857855488005</v>
      </c>
      <c r="AP110" s="48">
        <f t="shared" si="473"/>
        <v>357.09932544000009</v>
      </c>
      <c r="AQ110" s="76">
        <f>SUM(AM110:AP110)</f>
        <v>1398.1081675724804</v>
      </c>
      <c r="AR110" s="48">
        <f t="shared" ref="AR110:AU110" si="474">AR111*AR108</f>
        <v>341.08647694950417</v>
      </c>
      <c r="AS110" s="48">
        <f t="shared" si="474"/>
        <v>365.6041971712001</v>
      </c>
      <c r="AT110" s="48">
        <f t="shared" si="474"/>
        <v>375.95852169707524</v>
      </c>
      <c r="AU110" s="48">
        <f t="shared" si="474"/>
        <v>371.38329845760006</v>
      </c>
      <c r="AV110" s="76">
        <f>SUM(AR110:AU110)</f>
        <v>1454.0324942753796</v>
      </c>
    </row>
    <row r="111" spans="1:48" s="183" customFormat="1" outlineLevel="1" x14ac:dyDescent="0.3">
      <c r="A111" s="238"/>
      <c r="B111" s="181" t="s">
        <v>151</v>
      </c>
      <c r="C111" s="182"/>
      <c r="D111" s="167">
        <f>D110/D108</f>
        <v>0.69044787950852149</v>
      </c>
      <c r="E111" s="167">
        <f t="shared" ref="E111:U111" si="475">E110/E108</f>
        <v>0.68383340797133896</v>
      </c>
      <c r="F111" s="167">
        <f t="shared" si="475"/>
        <v>0.70710669416838567</v>
      </c>
      <c r="G111" s="167">
        <f t="shared" si="475"/>
        <v>0.70675063963786655</v>
      </c>
      <c r="H111" s="188">
        <f t="shared" si="475"/>
        <v>0.69758104988457292</v>
      </c>
      <c r="I111" s="167">
        <f t="shared" si="475"/>
        <v>0.68499797816417307</v>
      </c>
      <c r="J111" s="167">
        <f t="shared" si="475"/>
        <v>0.6773261413985745</v>
      </c>
      <c r="K111" s="167">
        <f t="shared" si="475"/>
        <v>0.71517996870109535</v>
      </c>
      <c r="L111" s="187">
        <f t="shared" si="475"/>
        <v>0.70646551724137929</v>
      </c>
      <c r="M111" s="188">
        <f t="shared" si="475"/>
        <v>0.69511688311688313</v>
      </c>
      <c r="N111" s="187">
        <f t="shared" si="475"/>
        <v>0.62870220786214326</v>
      </c>
      <c r="O111" s="167">
        <f t="shared" si="475"/>
        <v>0.62692619626926205</v>
      </c>
      <c r="P111" s="167">
        <f t="shared" si="475"/>
        <v>0.6480676328502416</v>
      </c>
      <c r="Q111" s="167">
        <f t="shared" si="475"/>
        <v>0.63312799452429835</v>
      </c>
      <c r="R111" s="188">
        <f t="shared" ref="R111" si="476">R110/R108</f>
        <v>0.63453815261044189</v>
      </c>
      <c r="S111" s="187">
        <f t="shared" si="475"/>
        <v>0.62047470630544233</v>
      </c>
      <c r="T111" s="167">
        <f t="shared" si="475"/>
        <v>0.64888792917296478</v>
      </c>
      <c r="U111" s="167">
        <f t="shared" si="475"/>
        <v>0.67917448405253289</v>
      </c>
      <c r="V111" s="189">
        <f>Q111+3%</f>
        <v>0.66312799452429838</v>
      </c>
      <c r="W111" s="188">
        <f t="shared" ref="W111" si="477">W110/W108</f>
        <v>0.65406855480095316</v>
      </c>
      <c r="X111" s="189">
        <f>S111+1.5%</f>
        <v>0.63547470630544234</v>
      </c>
      <c r="Y111" s="189">
        <f t="shared" ref="Y111" si="478">T111</f>
        <v>0.64888792917296478</v>
      </c>
      <c r="Z111" s="189">
        <f>U111-0.5%</f>
        <v>0.67417448405253289</v>
      </c>
      <c r="AA111" s="189">
        <f>V111-3%</f>
        <v>0.63312799452429835</v>
      </c>
      <c r="AB111" s="188">
        <f t="shared" ref="AB111" si="479">AB110/AB108</f>
        <v>0.64814530787579072</v>
      </c>
      <c r="AC111" s="189">
        <f t="shared" ref="AC111" si="480">X111</f>
        <v>0.63547470630544234</v>
      </c>
      <c r="AD111" s="189">
        <f t="shared" ref="AD111" si="481">Y111</f>
        <v>0.64888792917296478</v>
      </c>
      <c r="AE111" s="189">
        <f>Z111-2%</f>
        <v>0.65417448405253287</v>
      </c>
      <c r="AF111" s="189">
        <f t="shared" ref="AF111" si="482">AA111</f>
        <v>0.63312799452429835</v>
      </c>
      <c r="AG111" s="188">
        <f t="shared" ref="AG111" si="483">AG110/AG108</f>
        <v>0.64300408628226424</v>
      </c>
      <c r="AH111" s="189">
        <f t="shared" ref="AH111" si="484">AC111</f>
        <v>0.63547470630544234</v>
      </c>
      <c r="AI111" s="189">
        <f t="shared" ref="AI111" si="485">AD111</f>
        <v>0.64888792917296478</v>
      </c>
      <c r="AJ111" s="189">
        <f>AE111-1%</f>
        <v>0.64417448405253286</v>
      </c>
      <c r="AK111" s="189">
        <f t="shared" ref="AK111" si="486">AF111</f>
        <v>0.63312799452429835</v>
      </c>
      <c r="AL111" s="188">
        <f t="shared" ref="AL111" si="487">AL110/AL108</f>
        <v>0.640433475485501</v>
      </c>
      <c r="AM111" s="189">
        <f t="shared" ref="AM111" si="488">AH111</f>
        <v>0.63547470630544234</v>
      </c>
      <c r="AN111" s="189">
        <f t="shared" ref="AN111" si="489">AI111</f>
        <v>0.64888792917296478</v>
      </c>
      <c r="AO111" s="189">
        <f t="shared" ref="AO111" si="490">AJ111</f>
        <v>0.64417448405253286</v>
      </c>
      <c r="AP111" s="189">
        <f t="shared" ref="AP111" si="491">AK111</f>
        <v>0.63312799452429835</v>
      </c>
      <c r="AQ111" s="188">
        <f t="shared" ref="AQ111" si="492">AQ110/AQ108</f>
        <v>0.64043347548550111</v>
      </c>
      <c r="AR111" s="189">
        <f t="shared" ref="AR111" si="493">AM111</f>
        <v>0.63547470630544234</v>
      </c>
      <c r="AS111" s="189">
        <f t="shared" ref="AS111" si="494">AN111</f>
        <v>0.64888792917296478</v>
      </c>
      <c r="AT111" s="189">
        <f t="shared" ref="AT111" si="495">AO111</f>
        <v>0.64417448405253286</v>
      </c>
      <c r="AU111" s="189">
        <f t="shared" ref="AU111" si="496">AP111</f>
        <v>0.63312799452429835</v>
      </c>
      <c r="AV111" s="188">
        <f t="shared" ref="AV111" si="497">AV110/AV108</f>
        <v>0.640433475485501</v>
      </c>
    </row>
    <row r="112" spans="1:48" outlineLevel="1" x14ac:dyDescent="0.3">
      <c r="B112" s="180" t="s">
        <v>33</v>
      </c>
      <c r="C112" s="18"/>
      <c r="D112" s="48">
        <v>18.600000000000001</v>
      </c>
      <c r="E112" s="48">
        <v>17.100000000000001</v>
      </c>
      <c r="F112" s="48">
        <v>20.2</v>
      </c>
      <c r="G112" s="48">
        <v>20.3</v>
      </c>
      <c r="H112" s="49">
        <f>SUM(D112:G112)</f>
        <v>76.2</v>
      </c>
      <c r="I112" s="48">
        <v>20.6</v>
      </c>
      <c r="J112" s="48">
        <v>17.7</v>
      </c>
      <c r="K112" s="48">
        <v>51.4</v>
      </c>
      <c r="L112" s="48">
        <v>18.5</v>
      </c>
      <c r="M112" s="49">
        <f>SUM(I112:L112)</f>
        <v>108.19999999999999</v>
      </c>
      <c r="N112" s="48">
        <v>11.1</v>
      </c>
      <c r="O112" s="48">
        <v>13.1</v>
      </c>
      <c r="P112" s="48">
        <v>-9.9</v>
      </c>
      <c r="Q112" s="105">
        <v>17</v>
      </c>
      <c r="R112" s="49">
        <f>SUM(N112:Q112)</f>
        <v>31.299999999999997</v>
      </c>
      <c r="S112" s="48">
        <v>11.4</v>
      </c>
      <c r="T112" s="48">
        <v>10.7</v>
      </c>
      <c r="U112" s="48">
        <v>13.6</v>
      </c>
      <c r="V112" s="48">
        <f t="shared" ref="V112" si="498">V113*V108</f>
        <v>37.985200000000006</v>
      </c>
      <c r="W112" s="49">
        <f>SUM(S112:V112)</f>
        <v>73.685200000000009</v>
      </c>
      <c r="X112" s="48">
        <f t="shared" ref="X112:AA112" si="499">X113*X108</f>
        <v>21.716200000000004</v>
      </c>
      <c r="Y112" s="48">
        <f t="shared" si="499"/>
        <v>11.128</v>
      </c>
      <c r="Z112" s="48">
        <f t="shared" si="499"/>
        <v>11.649560000000001</v>
      </c>
      <c r="AA112" s="48">
        <f t="shared" si="499"/>
        <v>24.462152000000007</v>
      </c>
      <c r="AB112" s="49">
        <f>SUM(X112:AA112)</f>
        <v>68.955912000000012</v>
      </c>
      <c r="AC112" s="48">
        <f t="shared" ref="AC112:AF112" si="500">AC113*AC108</f>
        <v>13.041600000000003</v>
      </c>
      <c r="AD112" s="48">
        <f t="shared" si="500"/>
        <v>11.573120000000001</v>
      </c>
      <c r="AE112" s="48">
        <f t="shared" si="500"/>
        <v>12.115542399999999</v>
      </c>
      <c r="AF112" s="48">
        <f t="shared" si="500"/>
        <v>15.011201920000005</v>
      </c>
      <c r="AG112" s="49">
        <f>SUM(AC112:AF112)</f>
        <v>51.741464320000006</v>
      </c>
      <c r="AH112" s="48">
        <f t="shared" ref="AH112:AK112" si="501">AH113*AH108</f>
        <v>12.074517312000003</v>
      </c>
      <c r="AI112" s="48">
        <f t="shared" si="501"/>
        <v>12.036044800000003</v>
      </c>
      <c r="AJ112" s="48">
        <f t="shared" si="501"/>
        <v>12.600164096</v>
      </c>
      <c r="AK112" s="48">
        <f t="shared" si="501"/>
        <v>13.442327275520006</v>
      </c>
      <c r="AL112" s="49">
        <f>SUM(AH112:AK112)</f>
        <v>50.153053483520011</v>
      </c>
      <c r="AM112" s="48">
        <f t="shared" ref="AM112:AP112" si="502">AM113*AM108</f>
        <v>12.557498004480005</v>
      </c>
      <c r="AN112" s="48">
        <f t="shared" si="502"/>
        <v>12.517486592000003</v>
      </c>
      <c r="AO112" s="48">
        <f t="shared" si="502"/>
        <v>13.104170659840001</v>
      </c>
      <c r="AP112" s="48">
        <f t="shared" si="502"/>
        <v>13.980020366540806</v>
      </c>
      <c r="AQ112" s="49">
        <f>SUM(AM112:AP112)</f>
        <v>52.159175622860815</v>
      </c>
      <c r="AR112" s="48">
        <f t="shared" ref="AR112:AU112" si="503">AR113*AR108</f>
        <v>13.059797924659206</v>
      </c>
      <c r="AS112" s="48">
        <f t="shared" si="503"/>
        <v>13.018186055680003</v>
      </c>
      <c r="AT112" s="48">
        <f t="shared" si="503"/>
        <v>13.628337486233601</v>
      </c>
      <c r="AU112" s="48">
        <f t="shared" si="503"/>
        <v>14.539221181202437</v>
      </c>
      <c r="AV112" s="49">
        <f>SUM(AR112:AU112)</f>
        <v>54.245542647775245</v>
      </c>
    </row>
    <row r="113" spans="2:48" s="184" customFormat="1" outlineLevel="1" x14ac:dyDescent="0.3">
      <c r="B113" s="181" t="s">
        <v>154</v>
      </c>
      <c r="C113" s="190"/>
      <c r="D113" s="187">
        <f>D112/D108</f>
        <v>3.6860879904875153E-2</v>
      </c>
      <c r="E113" s="187">
        <f t="shared" ref="E113:U113" si="504">E112/E108</f>
        <v>3.8289296909986566E-2</v>
      </c>
      <c r="F113" s="187">
        <f t="shared" si="504"/>
        <v>3.7877367335458469E-2</v>
      </c>
      <c r="G113" s="187">
        <f t="shared" si="504"/>
        <v>3.9952765203700058E-2</v>
      </c>
      <c r="H113" s="188">
        <f t="shared" si="504"/>
        <v>3.8241493526046375E-2</v>
      </c>
      <c r="I113" s="187">
        <f t="shared" si="504"/>
        <v>4.1649818034775576E-2</v>
      </c>
      <c r="J113" s="187">
        <f t="shared" si="504"/>
        <v>3.4097476401464072E-2</v>
      </c>
      <c r="K113" s="187">
        <f t="shared" si="504"/>
        <v>0.11491169237648111</v>
      </c>
      <c r="L113" s="187">
        <f t="shared" si="504"/>
        <v>3.9870689655172417E-2</v>
      </c>
      <c r="M113" s="188">
        <f t="shared" si="504"/>
        <v>5.62077922077922E-2</v>
      </c>
      <c r="N113" s="187">
        <f t="shared" si="504"/>
        <v>2.9886914378029081E-2</v>
      </c>
      <c r="O113" s="187">
        <f t="shared" si="504"/>
        <v>3.5414977020816439E-2</v>
      </c>
      <c r="P113" s="187">
        <f t="shared" si="504"/>
        <v>-2.391304347826087E-2</v>
      </c>
      <c r="Q113" s="167">
        <f t="shared" si="504"/>
        <v>3.8786219484371436E-2</v>
      </c>
      <c r="R113" s="188">
        <f t="shared" ref="R113" si="505">R112/R108</f>
        <v>1.964106425702811E-2</v>
      </c>
      <c r="S113" s="187">
        <f t="shared" si="504"/>
        <v>2.7331575161831694E-2</v>
      </c>
      <c r="T113" s="187">
        <f t="shared" si="504"/>
        <v>2.3105160872381774E-2</v>
      </c>
      <c r="U113" s="187">
        <f t="shared" si="504"/>
        <v>2.8351052741296644E-2</v>
      </c>
      <c r="V113" s="189">
        <f>Q113+4%</f>
        <v>7.8786219484371436E-2</v>
      </c>
      <c r="W113" s="188">
        <f t="shared" ref="W113" si="506">W112/W108</f>
        <v>4.0002171517293419E-2</v>
      </c>
      <c r="X113" s="189">
        <f>S113+2%</f>
        <v>4.7331575161831695E-2</v>
      </c>
      <c r="Y113" s="189">
        <f t="shared" ref="Y113" si="507">T113</f>
        <v>2.3105160872381774E-2</v>
      </c>
      <c r="Z113" s="189">
        <f>U113-0.5%</f>
        <v>2.3351052741296643E-2</v>
      </c>
      <c r="AA113" s="189">
        <f>V113-3%</f>
        <v>4.8786219484371438E-2</v>
      </c>
      <c r="AB113" s="188">
        <f t="shared" ref="AB113" si="508">AB112/AB108</f>
        <v>3.5530782838603808E-2</v>
      </c>
      <c r="AC113" s="189">
        <f>X113-2%</f>
        <v>2.7331575161831694E-2</v>
      </c>
      <c r="AD113" s="189">
        <f t="shared" ref="AD113" si="509">Y113</f>
        <v>2.3105160872381774E-2</v>
      </c>
      <c r="AE113" s="189">
        <f t="shared" ref="AE113" si="510">Z113</f>
        <v>2.3351052741296643E-2</v>
      </c>
      <c r="AF113" s="189">
        <f>AA113-2%</f>
        <v>2.8786219484371437E-2</v>
      </c>
      <c r="AG113" s="188">
        <f t="shared" ref="AG113" si="511">AG112/AG108</f>
        <v>2.5635314250687827E-2</v>
      </c>
      <c r="AH113" s="189">
        <f>AC113-0.3%</f>
        <v>2.4331575161831695E-2</v>
      </c>
      <c r="AI113" s="189">
        <f t="shared" ref="AI113" si="512">AD113</f>
        <v>2.3105160872381774E-2</v>
      </c>
      <c r="AJ113" s="189">
        <f t="shared" ref="AJ113" si="513">AE113</f>
        <v>2.3351052741296643E-2</v>
      </c>
      <c r="AK113" s="189">
        <f>AF113-0.4%</f>
        <v>2.4786219484371437E-2</v>
      </c>
      <c r="AL113" s="188">
        <f t="shared" ref="AL113" si="514">AL112/AL108</f>
        <v>2.3892630697242262E-2</v>
      </c>
      <c r="AM113" s="189">
        <f t="shared" ref="AM113" si="515">AH113</f>
        <v>2.4331575161831695E-2</v>
      </c>
      <c r="AN113" s="189">
        <f t="shared" ref="AN113" si="516">AI113</f>
        <v>2.3105160872381774E-2</v>
      </c>
      <c r="AO113" s="189">
        <f t="shared" ref="AO113" si="517">AJ113</f>
        <v>2.3351052741296643E-2</v>
      </c>
      <c r="AP113" s="189">
        <f t="shared" ref="AP113" si="518">AK113</f>
        <v>2.4786219484371437E-2</v>
      </c>
      <c r="AQ113" s="188">
        <f t="shared" ref="AQ113" si="519">AQ112/AQ108</f>
        <v>2.3892630697242265E-2</v>
      </c>
      <c r="AR113" s="189">
        <f t="shared" ref="AR113" si="520">AM113</f>
        <v>2.4331575161831695E-2</v>
      </c>
      <c r="AS113" s="189">
        <f t="shared" ref="AS113" si="521">AN113</f>
        <v>2.3105160872381774E-2</v>
      </c>
      <c r="AT113" s="189">
        <f t="shared" ref="AT113" si="522">AO113</f>
        <v>2.3351052741296643E-2</v>
      </c>
      <c r="AU113" s="189">
        <f t="shared" ref="AU113" si="523">AP113</f>
        <v>2.4786219484371437E-2</v>
      </c>
      <c r="AV113" s="188">
        <f t="shared" ref="AV113" si="524">AV112/AV108</f>
        <v>2.3892630697242258E-2</v>
      </c>
    </row>
    <row r="114" spans="2:48" outlineLevel="1" x14ac:dyDescent="0.3">
      <c r="B114" s="180" t="s">
        <v>34</v>
      </c>
      <c r="C114" s="18"/>
      <c r="D114" s="358">
        <v>0</v>
      </c>
      <c r="E114" s="358">
        <v>12.3</v>
      </c>
      <c r="F114" s="358">
        <v>0.2</v>
      </c>
      <c r="G114" s="358">
        <v>0.3</v>
      </c>
      <c r="H114" s="126">
        <f>SUM(D114:G114)</f>
        <v>12.8</v>
      </c>
      <c r="I114" s="358">
        <v>0.3</v>
      </c>
      <c r="J114" s="358">
        <v>0.3</v>
      </c>
      <c r="K114" s="358">
        <v>0.3</v>
      </c>
      <c r="L114" s="358">
        <v>0.3</v>
      </c>
      <c r="M114" s="126">
        <f>SUM(I114:L114)</f>
        <v>1.2</v>
      </c>
      <c r="N114" s="358">
        <v>0.2</v>
      </c>
      <c r="O114" s="358">
        <v>0.3</v>
      </c>
      <c r="P114" s="358">
        <v>0.2</v>
      </c>
      <c r="Q114" s="358">
        <v>0.3</v>
      </c>
      <c r="R114" s="126">
        <f>SUM(N114:Q114)</f>
        <v>1</v>
      </c>
      <c r="S114" s="358">
        <v>0</v>
      </c>
      <c r="T114" s="358">
        <v>0</v>
      </c>
      <c r="U114" s="358">
        <v>0</v>
      </c>
      <c r="V114" s="360">
        <v>0</v>
      </c>
      <c r="W114" s="126">
        <f>SUM(S114:V114)</f>
        <v>0</v>
      </c>
      <c r="X114" s="360">
        <v>0</v>
      </c>
      <c r="Y114" s="360">
        <v>0</v>
      </c>
      <c r="Z114" s="360">
        <v>0</v>
      </c>
      <c r="AA114" s="360">
        <v>0</v>
      </c>
      <c r="AB114" s="126">
        <f>SUM(X114:AA114)</f>
        <v>0</v>
      </c>
      <c r="AC114" s="360">
        <v>0</v>
      </c>
      <c r="AD114" s="360">
        <v>0</v>
      </c>
      <c r="AE114" s="360">
        <v>0</v>
      </c>
      <c r="AF114" s="360">
        <v>0</v>
      </c>
      <c r="AG114" s="126">
        <f>SUM(AC114:AF114)</f>
        <v>0</v>
      </c>
      <c r="AH114" s="360">
        <v>0</v>
      </c>
      <c r="AI114" s="360">
        <v>0</v>
      </c>
      <c r="AJ114" s="360">
        <v>0</v>
      </c>
      <c r="AK114" s="360">
        <v>0</v>
      </c>
      <c r="AL114" s="126">
        <f>SUM(AH114:AK114)</f>
        <v>0</v>
      </c>
      <c r="AM114" s="360">
        <v>0</v>
      </c>
      <c r="AN114" s="360">
        <v>0</v>
      </c>
      <c r="AO114" s="360">
        <v>0</v>
      </c>
      <c r="AP114" s="360">
        <v>0</v>
      </c>
      <c r="AQ114" s="126">
        <f>SUM(AM114:AP114)</f>
        <v>0</v>
      </c>
      <c r="AR114" s="360">
        <v>0</v>
      </c>
      <c r="AS114" s="360">
        <v>0</v>
      </c>
      <c r="AT114" s="360">
        <v>0</v>
      </c>
      <c r="AU114" s="360">
        <v>0</v>
      </c>
      <c r="AV114" s="126">
        <f>SUM(AR114:AU114)</f>
        <v>0</v>
      </c>
    </row>
    <row r="115" spans="2:48" outlineLevel="1" x14ac:dyDescent="0.3">
      <c r="B115" s="180" t="s">
        <v>35</v>
      </c>
      <c r="C115" s="18"/>
      <c r="D115" s="48">
        <v>3.2</v>
      </c>
      <c r="E115" s="48">
        <v>3.1</v>
      </c>
      <c r="F115" s="48">
        <v>2.7</v>
      </c>
      <c r="G115" s="48">
        <v>2.6</v>
      </c>
      <c r="H115" s="49">
        <f>SUM(D115:G115)</f>
        <v>11.6</v>
      </c>
      <c r="I115" s="48">
        <v>2.4</v>
      </c>
      <c r="J115" s="48">
        <v>3</v>
      </c>
      <c r="K115" s="48">
        <v>2.5</v>
      </c>
      <c r="L115" s="48">
        <v>2.5</v>
      </c>
      <c r="M115" s="49">
        <f>SUM(I115:L115)</f>
        <v>10.4</v>
      </c>
      <c r="N115" s="48">
        <v>2.2000000000000002</v>
      </c>
      <c r="O115" s="48">
        <v>2.2999999999999998</v>
      </c>
      <c r="P115" s="48">
        <v>2.9</v>
      </c>
      <c r="Q115" s="105">
        <v>3.4</v>
      </c>
      <c r="R115" s="49">
        <f>SUM(N115:Q115)</f>
        <v>10.8</v>
      </c>
      <c r="S115" s="48">
        <v>3.3</v>
      </c>
      <c r="T115" s="48">
        <v>2.5</v>
      </c>
      <c r="U115" s="48">
        <v>2.2999999999999998</v>
      </c>
      <c r="V115" s="48">
        <f t="shared" ref="V115" si="525">V116*V108</f>
        <v>3.74</v>
      </c>
      <c r="W115" s="49">
        <f>SUM(S115:V115)</f>
        <v>11.84</v>
      </c>
      <c r="X115" s="48">
        <f t="shared" ref="X115:AA115" si="526">X116*X108</f>
        <v>3.63</v>
      </c>
      <c r="Y115" s="48">
        <f t="shared" si="526"/>
        <v>2.6</v>
      </c>
      <c r="Z115" s="48">
        <f t="shared" si="526"/>
        <v>2.3920000000000003</v>
      </c>
      <c r="AA115" s="48">
        <f t="shared" si="526"/>
        <v>3.8896000000000002</v>
      </c>
      <c r="AB115" s="49">
        <f>SUM(X115:AA115)</f>
        <v>12.5116</v>
      </c>
      <c r="AC115" s="48">
        <f t="shared" ref="AC115:AF115" si="527">AC116*AC108</f>
        <v>3.7751999999999999</v>
      </c>
      <c r="AD115" s="48">
        <f t="shared" si="527"/>
        <v>2.7040000000000002</v>
      </c>
      <c r="AE115" s="48">
        <f t="shared" si="527"/>
        <v>2.4876800000000001</v>
      </c>
      <c r="AF115" s="48">
        <f t="shared" si="527"/>
        <v>4.0451840000000008</v>
      </c>
      <c r="AG115" s="49">
        <f>SUM(AC115:AF115)</f>
        <v>13.012064000000001</v>
      </c>
      <c r="AH115" s="48">
        <f t="shared" ref="AH115:AK115" si="528">AH116*AH108</f>
        <v>3.9262080000000004</v>
      </c>
      <c r="AI115" s="48">
        <f t="shared" si="528"/>
        <v>2.8121600000000004</v>
      </c>
      <c r="AJ115" s="48">
        <f t="shared" si="528"/>
        <v>2.5871872000000002</v>
      </c>
      <c r="AK115" s="48">
        <f t="shared" si="528"/>
        <v>4.2069913600000008</v>
      </c>
      <c r="AL115" s="49">
        <f>SUM(AH115:AK115)</f>
        <v>13.532546560000004</v>
      </c>
      <c r="AM115" s="48">
        <f t="shared" ref="AM115:AP115" si="529">AM116*AM108</f>
        <v>4.0832563200000003</v>
      </c>
      <c r="AN115" s="48">
        <f t="shared" si="529"/>
        <v>2.9246464000000003</v>
      </c>
      <c r="AO115" s="48">
        <f t="shared" si="529"/>
        <v>2.6906746880000001</v>
      </c>
      <c r="AP115" s="48">
        <f t="shared" si="529"/>
        <v>4.3752710144000009</v>
      </c>
      <c r="AQ115" s="49">
        <f>SUM(AM115:AP115)</f>
        <v>14.073848422400001</v>
      </c>
      <c r="AR115" s="48">
        <f t="shared" ref="AR115:AU115" si="530">AR116*AR108</f>
        <v>4.246586572800001</v>
      </c>
      <c r="AS115" s="48">
        <f t="shared" si="530"/>
        <v>3.0416322560000006</v>
      </c>
      <c r="AT115" s="48">
        <f t="shared" si="530"/>
        <v>2.7983016755200003</v>
      </c>
      <c r="AU115" s="48">
        <f t="shared" si="530"/>
        <v>4.5502818549760011</v>
      </c>
      <c r="AV115" s="49">
        <f>SUM(AR115:AU115)</f>
        <v>14.636802359296004</v>
      </c>
    </row>
    <row r="116" spans="2:48" s="184" customFormat="1" outlineLevel="1" x14ac:dyDescent="0.3">
      <c r="B116" s="181" t="s">
        <v>153</v>
      </c>
      <c r="C116" s="190"/>
      <c r="D116" s="187">
        <f>D115/D108</f>
        <v>6.3416567578279829E-3</v>
      </c>
      <c r="E116" s="187">
        <f t="shared" ref="E116:Q116" si="531">E115/E108</f>
        <v>6.9413345275414241E-3</v>
      </c>
      <c r="F116" s="187">
        <f t="shared" si="531"/>
        <v>5.0628164260266275E-3</v>
      </c>
      <c r="G116" s="187">
        <f t="shared" si="531"/>
        <v>5.1171029324936033E-3</v>
      </c>
      <c r="H116" s="188">
        <f t="shared" si="531"/>
        <v>5.8215396968784505E-3</v>
      </c>
      <c r="I116" s="187">
        <f t="shared" si="531"/>
        <v>4.8524059846340476E-3</v>
      </c>
      <c r="J116" s="187">
        <f t="shared" si="531"/>
        <v>5.7792332883837404E-3</v>
      </c>
      <c r="K116" s="187">
        <f t="shared" si="531"/>
        <v>5.5890900961323492E-3</v>
      </c>
      <c r="L116" s="187">
        <f t="shared" si="531"/>
        <v>5.387931034482759E-3</v>
      </c>
      <c r="M116" s="188">
        <f t="shared" si="531"/>
        <v>5.4025974025974028E-3</v>
      </c>
      <c r="N116" s="187">
        <f t="shared" si="531"/>
        <v>5.9235325794291874E-3</v>
      </c>
      <c r="O116" s="187">
        <f t="shared" si="531"/>
        <v>6.2178967288456337E-3</v>
      </c>
      <c r="P116" s="187">
        <f t="shared" si="531"/>
        <v>7.0048309178743955E-3</v>
      </c>
      <c r="Q116" s="167">
        <f t="shared" si="531"/>
        <v>7.7572438968742862E-3</v>
      </c>
      <c r="R116" s="188">
        <f t="shared" ref="R116:U116" si="532">R115/R108</f>
        <v>6.7771084337349408E-3</v>
      </c>
      <c r="S116" s="187">
        <f t="shared" si="532"/>
        <v>7.9117717573723313E-3</v>
      </c>
      <c r="T116" s="187">
        <f t="shared" si="532"/>
        <v>5.3984020729863956E-3</v>
      </c>
      <c r="U116" s="187">
        <f t="shared" si="532"/>
        <v>4.7946633312486971E-3</v>
      </c>
      <c r="V116" s="189">
        <f>Q116</f>
        <v>7.7572438968742862E-3</v>
      </c>
      <c r="W116" s="188">
        <f t="shared" ref="W116" si="533">W115/W108</f>
        <v>6.4276911885257021E-3</v>
      </c>
      <c r="X116" s="189">
        <f t="shared" ref="X116" si="534">S116</f>
        <v>7.9117717573723313E-3</v>
      </c>
      <c r="Y116" s="189">
        <f t="shared" ref="Y116" si="535">T116</f>
        <v>5.3984020729863956E-3</v>
      </c>
      <c r="Z116" s="189">
        <f t="shared" ref="Z116" si="536">U116</f>
        <v>4.7946633312486971E-3</v>
      </c>
      <c r="AA116" s="189">
        <f t="shared" ref="AA116" si="537">V116</f>
        <v>7.7572438968742862E-3</v>
      </c>
      <c r="AB116" s="188">
        <f t="shared" ref="AB116" si="538">AB115/AB108</f>
        <v>6.4468285556643105E-3</v>
      </c>
      <c r="AC116" s="189">
        <f t="shared" ref="AC116" si="539">X116</f>
        <v>7.9117717573723313E-3</v>
      </c>
      <c r="AD116" s="189">
        <f t="shared" ref="AD116" si="540">Y116</f>
        <v>5.3984020729863956E-3</v>
      </c>
      <c r="AE116" s="189">
        <f t="shared" ref="AE116" si="541">Z116</f>
        <v>4.7946633312486971E-3</v>
      </c>
      <c r="AF116" s="189">
        <f t="shared" ref="AF116" si="542">AA116</f>
        <v>7.7572438968742862E-3</v>
      </c>
      <c r="AG116" s="188">
        <f t="shared" ref="AG116" si="543">AG115/AG108</f>
        <v>6.4468285556643096E-3</v>
      </c>
      <c r="AH116" s="189">
        <f t="shared" ref="AH116" si="544">AC116</f>
        <v>7.9117717573723313E-3</v>
      </c>
      <c r="AI116" s="189">
        <f t="shared" ref="AI116" si="545">AD116</f>
        <v>5.3984020729863956E-3</v>
      </c>
      <c r="AJ116" s="189">
        <f t="shared" ref="AJ116" si="546">AE116</f>
        <v>4.7946633312486971E-3</v>
      </c>
      <c r="AK116" s="189">
        <f t="shared" ref="AK116" si="547">AF116</f>
        <v>7.7572438968742862E-3</v>
      </c>
      <c r="AL116" s="188">
        <f t="shared" ref="AL116" si="548">AL115/AL108</f>
        <v>6.4468285556643114E-3</v>
      </c>
      <c r="AM116" s="189">
        <f t="shared" ref="AM116" si="549">AH116</f>
        <v>7.9117717573723313E-3</v>
      </c>
      <c r="AN116" s="189">
        <f t="shared" ref="AN116" si="550">AI116</f>
        <v>5.3984020729863956E-3</v>
      </c>
      <c r="AO116" s="189">
        <f t="shared" ref="AO116" si="551">AJ116</f>
        <v>4.7946633312486971E-3</v>
      </c>
      <c r="AP116" s="189">
        <f t="shared" ref="AP116" si="552">AK116</f>
        <v>7.7572438968742862E-3</v>
      </c>
      <c r="AQ116" s="188">
        <f t="shared" ref="AQ116" si="553">AQ115/AQ108</f>
        <v>6.4468285556643105E-3</v>
      </c>
      <c r="AR116" s="189">
        <f t="shared" ref="AR116" si="554">AM116</f>
        <v>7.9117717573723313E-3</v>
      </c>
      <c r="AS116" s="189">
        <f t="shared" ref="AS116" si="555">AN116</f>
        <v>5.3984020729863956E-3</v>
      </c>
      <c r="AT116" s="189">
        <f t="shared" ref="AT116" si="556">AO116</f>
        <v>4.7946633312486971E-3</v>
      </c>
      <c r="AU116" s="189">
        <f t="shared" ref="AU116" si="557">AP116</f>
        <v>7.7572438968742862E-3</v>
      </c>
      <c r="AV116" s="188">
        <f t="shared" ref="AV116" si="558">AV115/AV108</f>
        <v>6.4468285556643105E-3</v>
      </c>
    </row>
    <row r="117" spans="2:48" ht="16.2" outlineLevel="1" x14ac:dyDescent="0.45">
      <c r="B117" s="180" t="s">
        <v>42</v>
      </c>
      <c r="C117" s="18"/>
      <c r="D117" s="119">
        <v>0</v>
      </c>
      <c r="E117" s="119">
        <v>0</v>
      </c>
      <c r="F117" s="119">
        <v>0</v>
      </c>
      <c r="G117" s="119">
        <v>0</v>
      </c>
      <c r="H117" s="131">
        <f>SUM(D117:G117)</f>
        <v>0</v>
      </c>
      <c r="I117" s="119">
        <v>0</v>
      </c>
      <c r="J117" s="119">
        <v>0</v>
      </c>
      <c r="K117" s="119">
        <v>0</v>
      </c>
      <c r="L117" s="119">
        <v>0</v>
      </c>
      <c r="M117" s="131">
        <f>SUM(I117:L117)</f>
        <v>0</v>
      </c>
      <c r="N117" s="119">
        <v>0</v>
      </c>
      <c r="O117" s="119">
        <v>0</v>
      </c>
      <c r="P117" s="119">
        <v>0</v>
      </c>
      <c r="Q117" s="119">
        <v>0</v>
      </c>
      <c r="R117" s="131">
        <f>SUM(N117:Q117)</f>
        <v>0</v>
      </c>
      <c r="S117" s="119">
        <v>0</v>
      </c>
      <c r="T117" s="119">
        <v>0</v>
      </c>
      <c r="U117" s="119">
        <v>0</v>
      </c>
      <c r="V117" s="119">
        <f>IFERROR((V163*(U117/U163)),0)</f>
        <v>0</v>
      </c>
      <c r="W117" s="131">
        <f>SUM(S117:V117)</f>
        <v>0</v>
      </c>
      <c r="X117" s="119">
        <f>IFERROR((X163*(V117/V163)),0)</f>
        <v>0</v>
      </c>
      <c r="Y117" s="119">
        <f t="shared" ref="Y117:AA117" si="559">IFERROR((Y163*(X117/X163)),0)</f>
        <v>0</v>
      </c>
      <c r="Z117" s="119">
        <f t="shared" si="559"/>
        <v>0</v>
      </c>
      <c r="AA117" s="119">
        <f t="shared" si="559"/>
        <v>0</v>
      </c>
      <c r="AB117" s="131">
        <f>SUM(X117:AA117)</f>
        <v>0</v>
      </c>
      <c r="AC117" s="119">
        <f>IFERROR((AC163*(AA117/AA163)),0)</f>
        <v>0</v>
      </c>
      <c r="AD117" s="119">
        <f t="shared" ref="AD117:AF117" si="560">IFERROR((AD163*(AC117/AC163)),0)</f>
        <v>0</v>
      </c>
      <c r="AE117" s="119">
        <f t="shared" si="560"/>
        <v>0</v>
      </c>
      <c r="AF117" s="119">
        <f t="shared" si="560"/>
        <v>0</v>
      </c>
      <c r="AG117" s="131">
        <f>SUM(AC117:AF117)</f>
        <v>0</v>
      </c>
      <c r="AH117" s="119">
        <f>IFERROR((AH163*(AF117/AF163)),0)</f>
        <v>0</v>
      </c>
      <c r="AI117" s="119">
        <f t="shared" ref="AI117:AK117" si="561">IFERROR((AI163*(AH117/AH163)),0)</f>
        <v>0</v>
      </c>
      <c r="AJ117" s="119">
        <f t="shared" si="561"/>
        <v>0</v>
      </c>
      <c r="AK117" s="119">
        <f t="shared" si="561"/>
        <v>0</v>
      </c>
      <c r="AL117" s="131">
        <f>SUM(AH117:AK117)</f>
        <v>0</v>
      </c>
      <c r="AM117" s="119">
        <f>IFERROR((AM163*(AK117/AK163)),0)</f>
        <v>0</v>
      </c>
      <c r="AN117" s="119">
        <f t="shared" ref="AN117:AP117" si="562">IFERROR((AN163*(AM117/AM163)),0)</f>
        <v>0</v>
      </c>
      <c r="AO117" s="119">
        <f t="shared" si="562"/>
        <v>0</v>
      </c>
      <c r="AP117" s="119">
        <f t="shared" si="562"/>
        <v>0</v>
      </c>
      <c r="AQ117" s="131">
        <f>SUM(AM117:AP117)</f>
        <v>0</v>
      </c>
      <c r="AR117" s="119">
        <f>IFERROR((AR163*(AP117/AP163)),0)</f>
        <v>0</v>
      </c>
      <c r="AS117" s="119">
        <f t="shared" ref="AS117:AU117" si="563">IFERROR((AS163*(AR117/AR163)),0)</f>
        <v>0</v>
      </c>
      <c r="AT117" s="119">
        <f t="shared" si="563"/>
        <v>0</v>
      </c>
      <c r="AU117" s="119">
        <f t="shared" si="563"/>
        <v>0</v>
      </c>
      <c r="AV117" s="131">
        <f>SUM(AR117:AU117)</f>
        <v>0</v>
      </c>
    </row>
    <row r="118" spans="2:48" outlineLevel="1" x14ac:dyDescent="0.3">
      <c r="B118" s="46" t="s">
        <v>52</v>
      </c>
      <c r="C118" s="19"/>
      <c r="D118" s="50">
        <f>D110+D112+D114+D115+D117</f>
        <v>370.2</v>
      </c>
      <c r="E118" s="50">
        <f t="shared" ref="E118:AU118" si="564">E110+E112+E114+E115+E117</f>
        <v>337.90000000000003</v>
      </c>
      <c r="F118" s="50">
        <f t="shared" si="564"/>
        <v>400.2</v>
      </c>
      <c r="G118" s="50">
        <f t="shared" si="564"/>
        <v>382.30000000000007</v>
      </c>
      <c r="H118" s="26">
        <f t="shared" si="564"/>
        <v>1490.6</v>
      </c>
      <c r="I118" s="50">
        <f t="shared" si="564"/>
        <v>362.1</v>
      </c>
      <c r="J118" s="50">
        <f t="shared" si="564"/>
        <v>372.6</v>
      </c>
      <c r="K118" s="50">
        <f t="shared" si="564"/>
        <v>374.09999999999997</v>
      </c>
      <c r="L118" s="50">
        <f t="shared" si="564"/>
        <v>349.1</v>
      </c>
      <c r="M118" s="26">
        <f t="shared" si="564"/>
        <v>1457.9000000000003</v>
      </c>
      <c r="N118" s="50">
        <f t="shared" si="564"/>
        <v>246.99999999999997</v>
      </c>
      <c r="O118" s="50">
        <f t="shared" si="564"/>
        <v>247.60000000000002</v>
      </c>
      <c r="P118" s="50">
        <f t="shared" si="564"/>
        <v>261.5</v>
      </c>
      <c r="Q118" s="103">
        <f t="shared" si="564"/>
        <v>298.2</v>
      </c>
      <c r="R118" s="26">
        <f t="shared" si="564"/>
        <v>1054.3</v>
      </c>
      <c r="S118" s="50">
        <f t="shared" si="564"/>
        <v>273.5</v>
      </c>
      <c r="T118" s="50">
        <f t="shared" si="564"/>
        <v>313.7</v>
      </c>
      <c r="U118" s="50">
        <f t="shared" si="564"/>
        <v>341.70000000000005</v>
      </c>
      <c r="V118" s="50">
        <f t="shared" si="564"/>
        <v>361.43910000000005</v>
      </c>
      <c r="W118" s="26">
        <f t="shared" si="564"/>
        <v>1290.3390999999999</v>
      </c>
      <c r="X118" s="50">
        <f t="shared" si="564"/>
        <v>316.90835000000004</v>
      </c>
      <c r="Y118" s="50">
        <f t="shared" si="564"/>
        <v>326.24799999999999</v>
      </c>
      <c r="Z118" s="50">
        <f t="shared" si="564"/>
        <v>350.37912000000006</v>
      </c>
      <c r="AA118" s="50">
        <f t="shared" si="564"/>
        <v>345.81175200000001</v>
      </c>
      <c r="AB118" s="26">
        <f t="shared" si="564"/>
        <v>1339.3472220000001</v>
      </c>
      <c r="AC118" s="50">
        <f t="shared" ref="AC118:AF118" si="565">AC110+AC112+AC114+AC115+AC117</f>
        <v>320.04143600000009</v>
      </c>
      <c r="AD118" s="50">
        <f t="shared" si="565"/>
        <v>339.29792000000003</v>
      </c>
      <c r="AE118" s="50">
        <f t="shared" si="565"/>
        <v>354.01741440000001</v>
      </c>
      <c r="AF118" s="50">
        <f t="shared" si="565"/>
        <v>349.21478592000005</v>
      </c>
      <c r="AG118" s="26">
        <f t="shared" si="564"/>
        <v>1362.5715563200001</v>
      </c>
      <c r="AH118" s="50">
        <f t="shared" si="564"/>
        <v>331.35434675200008</v>
      </c>
      <c r="AI118" s="50">
        <f t="shared" si="564"/>
        <v>352.86983680000009</v>
      </c>
      <c r="AJ118" s="50">
        <f t="shared" si="564"/>
        <v>362.78213836800012</v>
      </c>
      <c r="AK118" s="50">
        <f t="shared" si="564"/>
        <v>361.0140546355201</v>
      </c>
      <c r="AL118" s="26">
        <f t="shared" si="564"/>
        <v>1408.0203765555202</v>
      </c>
      <c r="AM118" s="50">
        <f t="shared" si="564"/>
        <v>344.60852062208011</v>
      </c>
      <c r="AN118" s="50">
        <f t="shared" si="564"/>
        <v>366.98463027200012</v>
      </c>
      <c r="AO118" s="50">
        <f t="shared" si="564"/>
        <v>377.29342390272006</v>
      </c>
      <c r="AP118" s="50">
        <f t="shared" si="564"/>
        <v>375.45461682094094</v>
      </c>
      <c r="AQ118" s="26">
        <f t="shared" si="564"/>
        <v>1464.3411916177413</v>
      </c>
      <c r="AR118" s="50">
        <f t="shared" si="564"/>
        <v>358.39286144696342</v>
      </c>
      <c r="AS118" s="50">
        <f t="shared" si="564"/>
        <v>381.66401548288013</v>
      </c>
      <c r="AT118" s="50">
        <f t="shared" si="564"/>
        <v>392.38516085882884</v>
      </c>
      <c r="AU118" s="50">
        <f t="shared" si="564"/>
        <v>390.47280149377849</v>
      </c>
      <c r="AV118" s="26">
        <f t="shared" ref="AV118" si="566">AV110+AV112+AV114+AV115+AV117</f>
        <v>1522.9148392824509</v>
      </c>
    </row>
    <row r="119" spans="2:48" ht="16.2" outlineLevel="1" x14ac:dyDescent="0.45">
      <c r="B119" s="47" t="s">
        <v>36</v>
      </c>
      <c r="C119" s="44"/>
      <c r="D119" s="52">
        <v>41.4</v>
      </c>
      <c r="E119" s="104">
        <v>40.200000000000003</v>
      </c>
      <c r="F119" s="104">
        <v>48.8</v>
      </c>
      <c r="G119" s="104">
        <v>65.099999999999994</v>
      </c>
      <c r="H119" s="193">
        <f>SUM(D119:G119)</f>
        <v>195.49999999999997</v>
      </c>
      <c r="I119" s="104">
        <v>43</v>
      </c>
      <c r="J119" s="104">
        <v>43.1</v>
      </c>
      <c r="K119" s="104">
        <v>51</v>
      </c>
      <c r="L119" s="104">
        <v>83</v>
      </c>
      <c r="M119" s="193">
        <f>SUM(I119:L119)</f>
        <v>220.1</v>
      </c>
      <c r="N119" s="104">
        <v>56.4</v>
      </c>
      <c r="O119" s="104">
        <v>50.3</v>
      </c>
      <c r="P119" s="104">
        <v>63.5</v>
      </c>
      <c r="Q119" s="104">
        <v>79.7</v>
      </c>
      <c r="R119" s="193">
        <f>SUM(N119:Q119)</f>
        <v>249.89999999999998</v>
      </c>
      <c r="S119" s="104">
        <v>39.6</v>
      </c>
      <c r="T119" s="104">
        <v>48.5</v>
      </c>
      <c r="U119" s="104">
        <v>53.7</v>
      </c>
      <c r="V119" s="56">
        <f>U119</f>
        <v>53.7</v>
      </c>
      <c r="W119" s="193">
        <f>SUM(S119:V119)</f>
        <v>195.5</v>
      </c>
      <c r="X119" s="56">
        <f>V119</f>
        <v>53.7</v>
      </c>
      <c r="Y119" s="56">
        <f>X119</f>
        <v>53.7</v>
      </c>
      <c r="Z119" s="56">
        <f>Y119</f>
        <v>53.7</v>
      </c>
      <c r="AA119" s="56">
        <f>Z119</f>
        <v>53.7</v>
      </c>
      <c r="AB119" s="193">
        <f>SUM(X119:AA119)</f>
        <v>214.8</v>
      </c>
      <c r="AC119" s="56">
        <f>AA119</f>
        <v>53.7</v>
      </c>
      <c r="AD119" s="56">
        <f>AC119</f>
        <v>53.7</v>
      </c>
      <c r="AE119" s="56">
        <f>AD119</f>
        <v>53.7</v>
      </c>
      <c r="AF119" s="56">
        <f>AE119</f>
        <v>53.7</v>
      </c>
      <c r="AG119" s="193">
        <f>SUM(AC119:AF119)</f>
        <v>214.8</v>
      </c>
      <c r="AH119" s="56">
        <f>AF119</f>
        <v>53.7</v>
      </c>
      <c r="AI119" s="56">
        <f>AH119</f>
        <v>53.7</v>
      </c>
      <c r="AJ119" s="56">
        <f>AI119</f>
        <v>53.7</v>
      </c>
      <c r="AK119" s="56">
        <f>AJ119</f>
        <v>53.7</v>
      </c>
      <c r="AL119" s="193">
        <f>SUM(AH119:AK119)</f>
        <v>214.8</v>
      </c>
      <c r="AM119" s="56">
        <f>AK119</f>
        <v>53.7</v>
      </c>
      <c r="AN119" s="56">
        <f>AM119</f>
        <v>53.7</v>
      </c>
      <c r="AO119" s="56">
        <f>AN119</f>
        <v>53.7</v>
      </c>
      <c r="AP119" s="56">
        <f>AO119</f>
        <v>53.7</v>
      </c>
      <c r="AQ119" s="193">
        <f>SUM(AM119:AP119)</f>
        <v>214.8</v>
      </c>
      <c r="AR119" s="56">
        <f>AP119</f>
        <v>53.7</v>
      </c>
      <c r="AS119" s="56">
        <f>AR119</f>
        <v>53.7</v>
      </c>
      <c r="AT119" s="56">
        <f>AS119</f>
        <v>53.7</v>
      </c>
      <c r="AU119" s="56">
        <f>AT119</f>
        <v>53.7</v>
      </c>
      <c r="AV119" s="193">
        <f>SUM(AR119:AU119)</f>
        <v>214.8</v>
      </c>
    </row>
    <row r="120" spans="2:48" outlineLevel="1" x14ac:dyDescent="0.3">
      <c r="B120" s="46" t="s">
        <v>53</v>
      </c>
      <c r="C120" s="44"/>
      <c r="D120" s="156">
        <f t="shared" ref="D120:AU120" si="567">D108-D118+D119</f>
        <v>175.80000000000004</v>
      </c>
      <c r="E120" s="156">
        <f t="shared" si="567"/>
        <v>148.89999999999998</v>
      </c>
      <c r="F120" s="156">
        <f t="shared" si="567"/>
        <v>181.89999999999998</v>
      </c>
      <c r="G120" s="156">
        <f t="shared" si="567"/>
        <v>190.89999999999995</v>
      </c>
      <c r="H120" s="97">
        <f t="shared" si="567"/>
        <v>697.5</v>
      </c>
      <c r="I120" s="156">
        <f t="shared" si="567"/>
        <v>175.5</v>
      </c>
      <c r="J120" s="156">
        <f t="shared" si="567"/>
        <v>189.6</v>
      </c>
      <c r="K120" s="156">
        <f t="shared" si="567"/>
        <v>124.20000000000005</v>
      </c>
      <c r="L120" s="74">
        <f t="shared" si="567"/>
        <v>197.89999999999998</v>
      </c>
      <c r="M120" s="97">
        <f t="shared" si="567"/>
        <v>687.1999999999997</v>
      </c>
      <c r="N120" s="74">
        <f t="shared" si="567"/>
        <v>180.8</v>
      </c>
      <c r="O120" s="74">
        <f t="shared" si="567"/>
        <v>172.59999999999997</v>
      </c>
      <c r="P120" s="74">
        <f t="shared" si="567"/>
        <v>216</v>
      </c>
      <c r="Q120" s="74">
        <f t="shared" si="567"/>
        <v>219.8</v>
      </c>
      <c r="R120" s="97">
        <f t="shared" si="567"/>
        <v>789.19999999999993</v>
      </c>
      <c r="S120" s="74">
        <f t="shared" si="567"/>
        <v>183.20000000000002</v>
      </c>
      <c r="T120" s="74">
        <f t="shared" si="567"/>
        <v>197.90000000000003</v>
      </c>
      <c r="U120" s="74">
        <f t="shared" si="567"/>
        <v>191.69999999999993</v>
      </c>
      <c r="V120" s="74">
        <f t="shared" si="567"/>
        <v>174.39089999999999</v>
      </c>
      <c r="W120" s="97">
        <f t="shared" si="567"/>
        <v>747.19090000000028</v>
      </c>
      <c r="X120" s="74">
        <f t="shared" si="567"/>
        <v>195.60165000000001</v>
      </c>
      <c r="Y120" s="74">
        <f t="shared" si="567"/>
        <v>209.07600000000002</v>
      </c>
      <c r="Z120" s="74">
        <f t="shared" si="567"/>
        <v>202.20887999999997</v>
      </c>
      <c r="AA120" s="74">
        <f t="shared" si="567"/>
        <v>209.30344800000006</v>
      </c>
      <c r="AB120" s="97">
        <f t="shared" si="567"/>
        <v>816.18997800000011</v>
      </c>
      <c r="AC120" s="74">
        <f t="shared" ref="AC120:AF120" si="568">AC108-AC118+AC119</f>
        <v>210.820964</v>
      </c>
      <c r="AD120" s="74">
        <f t="shared" si="568"/>
        <v>215.29104000000001</v>
      </c>
      <c r="AE120" s="74">
        <f t="shared" si="568"/>
        <v>218.52610559999999</v>
      </c>
      <c r="AF120" s="74">
        <f t="shared" si="568"/>
        <v>225.95702208000006</v>
      </c>
      <c r="AG120" s="97">
        <f t="shared" si="567"/>
        <v>870.59513168000035</v>
      </c>
      <c r="AH120" s="74">
        <f t="shared" si="567"/>
        <v>218.59454924800002</v>
      </c>
      <c r="AI120" s="74">
        <f t="shared" si="567"/>
        <v>221.75468160000003</v>
      </c>
      <c r="AJ120" s="74">
        <f t="shared" si="567"/>
        <v>230.51512243199994</v>
      </c>
      <c r="AK120" s="74">
        <f t="shared" si="567"/>
        <v>235.01662568448006</v>
      </c>
      <c r="AL120" s="97">
        <f t="shared" si="567"/>
        <v>905.88097896448039</v>
      </c>
      <c r="AM120" s="74">
        <f t="shared" si="567"/>
        <v>225.19033121792006</v>
      </c>
      <c r="AN120" s="74">
        <f t="shared" si="567"/>
        <v>228.47686886399998</v>
      </c>
      <c r="AO120" s="74">
        <f t="shared" si="567"/>
        <v>237.58772732927997</v>
      </c>
      <c r="AP120" s="74">
        <f t="shared" si="567"/>
        <v>242.26929071185924</v>
      </c>
      <c r="AQ120" s="97">
        <f t="shared" si="567"/>
        <v>933.5242181230592</v>
      </c>
      <c r="AR120" s="74">
        <f t="shared" si="567"/>
        <v>232.04994446663682</v>
      </c>
      <c r="AS120" s="74">
        <f t="shared" si="567"/>
        <v>235.46794361856001</v>
      </c>
      <c r="AT120" s="74">
        <f t="shared" si="567"/>
        <v>244.94323642245121</v>
      </c>
      <c r="AU120" s="74">
        <f t="shared" si="567"/>
        <v>249.81206234033368</v>
      </c>
      <c r="AV120" s="97">
        <f t="shared" ref="AV120" si="569">AV108-AV118+AV119</f>
        <v>962.27318684798206</v>
      </c>
    </row>
    <row r="121" spans="2:48" outlineLevel="1" x14ac:dyDescent="0.3">
      <c r="B121" s="46" t="s">
        <v>54</v>
      </c>
      <c r="C121" s="44"/>
      <c r="D121" s="157">
        <f>+D120/D108</f>
        <v>0.34839476813317488</v>
      </c>
      <c r="E121" s="157">
        <f>+E120/E108</f>
        <v>0.33340797133900574</v>
      </c>
      <c r="F121" s="157">
        <f>+F120/F108</f>
        <v>0.34108381773860863</v>
      </c>
      <c r="G121" s="157">
        <f>+G120/G108</f>
        <v>0.37571344223578024</v>
      </c>
      <c r="H121" s="125">
        <f>H120/H108</f>
        <v>0.35004516711833789</v>
      </c>
      <c r="I121" s="157">
        <f t="shared" ref="I121:AU121" si="570">+I120/I108</f>
        <v>0.3548321876263647</v>
      </c>
      <c r="J121" s="157">
        <f t="shared" si="570"/>
        <v>0.36524754382585239</v>
      </c>
      <c r="K121" s="157">
        <f t="shared" si="570"/>
        <v>0.27766599597585523</v>
      </c>
      <c r="L121" s="75">
        <f t="shared" si="570"/>
        <v>0.42650862068965512</v>
      </c>
      <c r="M121" s="98">
        <f t="shared" si="570"/>
        <v>0.35698701298701285</v>
      </c>
      <c r="N121" s="75">
        <f t="shared" si="570"/>
        <v>0.48680667743672595</v>
      </c>
      <c r="O121" s="75">
        <f t="shared" si="570"/>
        <v>0.46661259799945926</v>
      </c>
      <c r="P121" s="75">
        <f t="shared" si="570"/>
        <v>0.52173913043478259</v>
      </c>
      <c r="Q121" s="75">
        <f t="shared" si="570"/>
        <v>0.50148300250969657</v>
      </c>
      <c r="R121" s="98">
        <f t="shared" si="570"/>
        <v>0.49523092369477911</v>
      </c>
      <c r="S121" s="75">
        <f t="shared" si="570"/>
        <v>0.43922320786382163</v>
      </c>
      <c r="T121" s="75">
        <f t="shared" si="570"/>
        <v>0.42733750809760318</v>
      </c>
      <c r="U121" s="75">
        <f t="shared" si="570"/>
        <v>0.3996247654784239</v>
      </c>
      <c r="V121" s="75">
        <f t="shared" si="570"/>
        <v>0.36170929002551172</v>
      </c>
      <c r="W121" s="98">
        <f t="shared" si="570"/>
        <v>0.40563449020917153</v>
      </c>
      <c r="X121" s="75">
        <f t="shared" si="570"/>
        <v>0.42632385954970464</v>
      </c>
      <c r="Y121" s="75">
        <f t="shared" si="570"/>
        <v>0.43410627377373223</v>
      </c>
      <c r="Z121" s="75">
        <f t="shared" si="570"/>
        <v>0.40531918987828924</v>
      </c>
      <c r="AA121" s="75">
        <f t="shared" si="570"/>
        <v>0.41742541510508663</v>
      </c>
      <c r="AB121" s="98">
        <f t="shared" si="570"/>
        <v>0.42055667196980612</v>
      </c>
      <c r="AC121" s="75">
        <f t="shared" ref="AC121:AF121" si="571">+AC120/AC108</f>
        <v>0.44182224751992183</v>
      </c>
      <c r="AD121" s="75">
        <f t="shared" si="571"/>
        <v>0.42981789816249888</v>
      </c>
      <c r="AE121" s="75">
        <f t="shared" si="571"/>
        <v>0.42117921333969821</v>
      </c>
      <c r="AF121" s="75">
        <f t="shared" si="571"/>
        <v>0.43330630460467767</v>
      </c>
      <c r="AG121" s="98">
        <f t="shared" si="570"/>
        <v>0.43133645479586913</v>
      </c>
      <c r="AH121" s="75">
        <f t="shared" si="570"/>
        <v>0.44049377441436155</v>
      </c>
      <c r="AI121" s="75">
        <f t="shared" si="570"/>
        <v>0.42569446007477457</v>
      </c>
      <c r="AJ121" s="75">
        <f t="shared" si="570"/>
        <v>0.4271984666679759</v>
      </c>
      <c r="AK121" s="75">
        <f t="shared" si="570"/>
        <v>0.43334562143120758</v>
      </c>
      <c r="AL121" s="98">
        <f t="shared" si="570"/>
        <v>0.43155656899667461</v>
      </c>
      <c r="AM121" s="75">
        <f t="shared" si="570"/>
        <v>0.43633178104363052</v>
      </c>
      <c r="AN121" s="75">
        <f t="shared" si="570"/>
        <v>0.42172961575965501</v>
      </c>
      <c r="AO121" s="75">
        <f t="shared" si="570"/>
        <v>0.42337082563747391</v>
      </c>
      <c r="AP121" s="75">
        <f t="shared" si="570"/>
        <v>0.42953727222594784</v>
      </c>
      <c r="AQ121" s="98">
        <f t="shared" si="570"/>
        <v>0.42762081885301745</v>
      </c>
      <c r="AR121" s="75">
        <f t="shared" si="570"/>
        <v>0.43232986434100434</v>
      </c>
      <c r="AS121" s="75">
        <f t="shared" si="570"/>
        <v>0.41791726545665547</v>
      </c>
      <c r="AT121" s="75">
        <f t="shared" si="570"/>
        <v>0.41969040156968351</v>
      </c>
      <c r="AU121" s="75">
        <f t="shared" si="570"/>
        <v>0.42587539799012136</v>
      </c>
      <c r="AV121" s="98">
        <f t="shared" ref="AV121" si="572">+AV120/AV108</f>
        <v>0.42383644371488588</v>
      </c>
    </row>
    <row r="122" spans="2:48" ht="17.399999999999999" x14ac:dyDescent="0.45">
      <c r="B122" s="494" t="s">
        <v>55</v>
      </c>
      <c r="C122" s="495"/>
      <c r="D122" s="14" t="s">
        <v>19</v>
      </c>
      <c r="E122" s="14" t="s">
        <v>81</v>
      </c>
      <c r="F122" s="14" t="s">
        <v>85</v>
      </c>
      <c r="G122" s="14" t="s">
        <v>95</v>
      </c>
      <c r="H122" s="40" t="s">
        <v>96</v>
      </c>
      <c r="I122" s="14" t="s">
        <v>97</v>
      </c>
      <c r="J122" s="14" t="s">
        <v>98</v>
      </c>
      <c r="K122" s="14" t="s">
        <v>99</v>
      </c>
      <c r="L122" s="14" t="s">
        <v>142</v>
      </c>
      <c r="M122" s="40" t="s">
        <v>143</v>
      </c>
      <c r="N122" s="14" t="s">
        <v>149</v>
      </c>
      <c r="O122" s="14" t="s">
        <v>157</v>
      </c>
      <c r="P122" s="14" t="s">
        <v>159</v>
      </c>
      <c r="Q122" s="14" t="s">
        <v>172</v>
      </c>
      <c r="R122" s="40" t="s">
        <v>173</v>
      </c>
      <c r="S122" s="14" t="s">
        <v>188</v>
      </c>
      <c r="T122" s="14" t="s">
        <v>189</v>
      </c>
      <c r="U122" s="14" t="s">
        <v>204</v>
      </c>
      <c r="V122" s="12" t="s">
        <v>25</v>
      </c>
      <c r="W122" s="42" t="s">
        <v>26</v>
      </c>
      <c r="X122" s="12" t="s">
        <v>27</v>
      </c>
      <c r="Y122" s="12" t="s">
        <v>28</v>
      </c>
      <c r="Z122" s="12" t="s">
        <v>29</v>
      </c>
      <c r="AA122" s="12" t="s">
        <v>30</v>
      </c>
      <c r="AB122" s="42" t="s">
        <v>31</v>
      </c>
      <c r="AC122" s="12" t="s">
        <v>90</v>
      </c>
      <c r="AD122" s="12" t="s">
        <v>91</v>
      </c>
      <c r="AE122" s="12" t="s">
        <v>92</v>
      </c>
      <c r="AF122" s="12" t="s">
        <v>93</v>
      </c>
      <c r="AG122" s="42" t="s">
        <v>94</v>
      </c>
      <c r="AH122" s="12" t="s">
        <v>109</v>
      </c>
      <c r="AI122" s="12" t="s">
        <v>110</v>
      </c>
      <c r="AJ122" s="12" t="s">
        <v>111</v>
      </c>
      <c r="AK122" s="12" t="s">
        <v>112</v>
      </c>
      <c r="AL122" s="42" t="s">
        <v>113</v>
      </c>
      <c r="AM122" s="12" t="s">
        <v>164</v>
      </c>
      <c r="AN122" s="12" t="s">
        <v>165</v>
      </c>
      <c r="AO122" s="12" t="s">
        <v>166</v>
      </c>
      <c r="AP122" s="12" t="s">
        <v>167</v>
      </c>
      <c r="AQ122" s="42" t="s">
        <v>168</v>
      </c>
      <c r="AR122" s="12" t="s">
        <v>195</v>
      </c>
      <c r="AS122" s="12" t="s">
        <v>196</v>
      </c>
      <c r="AT122" s="12" t="s">
        <v>197</v>
      </c>
      <c r="AU122" s="12" t="s">
        <v>198</v>
      </c>
      <c r="AV122" s="42" t="s">
        <v>199</v>
      </c>
    </row>
    <row r="123" spans="2:48" s="8" customFormat="1" outlineLevel="1" x14ac:dyDescent="0.3">
      <c r="B123" s="486" t="s">
        <v>127</v>
      </c>
      <c r="C123" s="487"/>
      <c r="D123" s="48">
        <v>11.6</v>
      </c>
      <c r="E123" s="48">
        <v>15.8</v>
      </c>
      <c r="F123" s="48">
        <v>23.3</v>
      </c>
      <c r="G123" s="48">
        <v>15.4</v>
      </c>
      <c r="H123" s="31">
        <f>SUM(D123:G123)</f>
        <v>66.100000000000009</v>
      </c>
      <c r="I123" s="48">
        <v>20.5</v>
      </c>
      <c r="J123" s="48">
        <v>12</v>
      </c>
      <c r="K123" s="48">
        <v>19.7</v>
      </c>
      <c r="L123" s="48">
        <v>13.9</v>
      </c>
      <c r="M123" s="31">
        <f>SUM(I123:L123)</f>
        <v>66.100000000000009</v>
      </c>
      <c r="N123" s="48">
        <v>20.5</v>
      </c>
      <c r="O123" s="48">
        <v>22.6</v>
      </c>
      <c r="P123" s="48">
        <v>23.8</v>
      </c>
      <c r="Q123" s="105">
        <v>30.8</v>
      </c>
      <c r="R123" s="31">
        <f>SUM(N123:Q123)</f>
        <v>97.7</v>
      </c>
      <c r="S123" s="48">
        <v>25.1</v>
      </c>
      <c r="T123" s="48">
        <v>24.4</v>
      </c>
      <c r="U123" s="48">
        <v>27.3</v>
      </c>
      <c r="V123" s="48">
        <f t="shared" ref="V123" si="573">+Q123*(1+V124)</f>
        <v>33.880000000000003</v>
      </c>
      <c r="W123" s="31">
        <f>SUM(S123:V123)</f>
        <v>110.68</v>
      </c>
      <c r="X123" s="48">
        <f>+S123*(1+X124)</f>
        <v>27.610000000000003</v>
      </c>
      <c r="Y123" s="48">
        <f>+T123*(1+Y124)</f>
        <v>26.84</v>
      </c>
      <c r="Z123" s="48">
        <f>+U123*(1+Z124)</f>
        <v>30.030000000000005</v>
      </c>
      <c r="AA123" s="48">
        <f t="shared" ref="AA123" si="574">+V123*(1+AA124)</f>
        <v>37.268000000000008</v>
      </c>
      <c r="AB123" s="31">
        <f>SUM(X123:AA123)</f>
        <v>121.74800000000002</v>
      </c>
      <c r="AC123" s="48">
        <f>+X123*(1+AC124)</f>
        <v>30.371000000000006</v>
      </c>
      <c r="AD123" s="48">
        <f>+Y123*(1+AD124)</f>
        <v>29.524000000000001</v>
      </c>
      <c r="AE123" s="48">
        <f>+Z123*(1+AE124)</f>
        <v>33.033000000000008</v>
      </c>
      <c r="AF123" s="48">
        <f t="shared" ref="AF123" si="575">+AA123*(1+AF124)</f>
        <v>40.994800000000012</v>
      </c>
      <c r="AG123" s="31">
        <f>SUM(AC123:AF123)</f>
        <v>133.92280000000005</v>
      </c>
      <c r="AH123" s="48">
        <f>+AC123*(1+AH124)</f>
        <v>33.408100000000012</v>
      </c>
      <c r="AI123" s="48">
        <f>+AD123*(1+AI124)</f>
        <v>32.476400000000005</v>
      </c>
      <c r="AJ123" s="48">
        <f>+AE123*(1+AJ124)</f>
        <v>36.336300000000016</v>
      </c>
      <c r="AK123" s="48">
        <f t="shared" ref="AK123" si="576">+AF123*(1+AK124)</f>
        <v>45.094280000000019</v>
      </c>
      <c r="AL123" s="31">
        <f>SUM(AH123:AK123)</f>
        <v>147.31508000000005</v>
      </c>
      <c r="AM123" s="48">
        <f>+AH123*(1+AM124)</f>
        <v>36.748910000000016</v>
      </c>
      <c r="AN123" s="48">
        <f>+AI123*(1+AN124)</f>
        <v>35.724040000000009</v>
      </c>
      <c r="AO123" s="48">
        <f>+AJ123*(1+AO124)</f>
        <v>39.969930000000019</v>
      </c>
      <c r="AP123" s="48">
        <f t="shared" ref="AP123" si="577">+AK123*(1+AP124)</f>
        <v>49.603708000000026</v>
      </c>
      <c r="AQ123" s="31">
        <f>SUM(AM123:AP123)</f>
        <v>162.04658800000007</v>
      </c>
      <c r="AR123" s="48">
        <f>+AM123*(1+AR124)</f>
        <v>40.423801000000019</v>
      </c>
      <c r="AS123" s="48">
        <f>+AN123*(1+AS124)</f>
        <v>39.296444000000015</v>
      </c>
      <c r="AT123" s="48">
        <f>+AO123*(1+AT124)</f>
        <v>43.966923000000023</v>
      </c>
      <c r="AU123" s="48">
        <f t="shared" ref="AU123" si="578">+AP123*(1+AU124)</f>
        <v>54.564078800000033</v>
      </c>
      <c r="AV123" s="31">
        <f>SUM(AR123:AU123)</f>
        <v>178.2512468000001</v>
      </c>
    </row>
    <row r="124" spans="2:48" s="8" customFormat="1" outlineLevel="1" x14ac:dyDescent="0.3">
      <c r="B124" s="38" t="s">
        <v>128</v>
      </c>
      <c r="C124" s="201"/>
      <c r="D124" s="30"/>
      <c r="E124" s="30"/>
      <c r="F124" s="30"/>
      <c r="G124" s="118"/>
      <c r="H124" s="130"/>
      <c r="I124" s="118">
        <f t="shared" ref="I124:J124" si="579">I123/D123-1</f>
        <v>0.76724137931034497</v>
      </c>
      <c r="J124" s="118">
        <f t="shared" si="579"/>
        <v>-0.24050632911392411</v>
      </c>
      <c r="K124" s="118">
        <f>K123/F123-1</f>
        <v>-0.15450643776824036</v>
      </c>
      <c r="L124" s="118">
        <f>L123/G123-1</f>
        <v>-9.740259740259738E-2</v>
      </c>
      <c r="M124" s="128">
        <f>M123/H123-1</f>
        <v>0</v>
      </c>
      <c r="N124" s="118">
        <f t="shared" ref="N124" si="580">N123/I123-1</f>
        <v>0</v>
      </c>
      <c r="O124" s="118">
        <f t="shared" ref="O124" si="581">O123/J123-1</f>
        <v>0.88333333333333353</v>
      </c>
      <c r="P124" s="118">
        <f t="shared" ref="P124" si="582">P123/K123-1</f>
        <v>0.20812182741116758</v>
      </c>
      <c r="Q124" s="118">
        <f t="shared" ref="Q124" si="583">Q123/L123-1</f>
        <v>1.2158273381294964</v>
      </c>
      <c r="R124" s="128">
        <f>R123/M123-1</f>
        <v>0.47806354009077134</v>
      </c>
      <c r="S124" s="118">
        <f t="shared" ref="S124" si="584">S123/N123-1</f>
        <v>0.224390243902439</v>
      </c>
      <c r="T124" s="118">
        <f t="shared" ref="T124:U124" si="585">T123/O123-1</f>
        <v>7.9646017699114946E-2</v>
      </c>
      <c r="U124" s="118">
        <f t="shared" si="585"/>
        <v>0.14705882352941169</v>
      </c>
      <c r="V124" s="34">
        <v>0.1</v>
      </c>
      <c r="W124" s="128">
        <f>W123/R123-1</f>
        <v>0.13285568065506648</v>
      </c>
      <c r="X124" s="34">
        <v>0.1</v>
      </c>
      <c r="Y124" s="34">
        <v>0.1</v>
      </c>
      <c r="Z124" s="34">
        <v>0.1</v>
      </c>
      <c r="AA124" s="34">
        <v>0.1</v>
      </c>
      <c r="AB124" s="128">
        <f>AB123/W123-1</f>
        <v>0.10000000000000009</v>
      </c>
      <c r="AC124" s="34">
        <v>0.1</v>
      </c>
      <c r="AD124" s="34">
        <v>0.1</v>
      </c>
      <c r="AE124" s="34">
        <v>0.1</v>
      </c>
      <c r="AF124" s="34">
        <v>0.1</v>
      </c>
      <c r="AG124" s="128">
        <f>AG123/AB123-1</f>
        <v>0.10000000000000031</v>
      </c>
      <c r="AH124" s="34">
        <v>0.1</v>
      </c>
      <c r="AI124" s="34">
        <v>0.1</v>
      </c>
      <c r="AJ124" s="34">
        <v>0.1</v>
      </c>
      <c r="AK124" s="34">
        <v>0.1</v>
      </c>
      <c r="AL124" s="128">
        <f>AL123/AG123-1</f>
        <v>9.9999999999999867E-2</v>
      </c>
      <c r="AM124" s="34">
        <v>0.1</v>
      </c>
      <c r="AN124" s="34">
        <v>0.1</v>
      </c>
      <c r="AO124" s="34">
        <v>0.1</v>
      </c>
      <c r="AP124" s="34">
        <v>0.1</v>
      </c>
      <c r="AQ124" s="128">
        <f>AQ123/AL123-1</f>
        <v>0.10000000000000009</v>
      </c>
      <c r="AR124" s="34">
        <v>0.1</v>
      </c>
      <c r="AS124" s="34">
        <v>0.1</v>
      </c>
      <c r="AT124" s="34">
        <v>0.1</v>
      </c>
      <c r="AU124" s="34">
        <v>0.1</v>
      </c>
      <c r="AV124" s="128">
        <f>AV123/AQ123-1</f>
        <v>0.10000000000000009</v>
      </c>
    </row>
    <row r="125" spans="2:48" outlineLevel="1" x14ac:dyDescent="0.3">
      <c r="B125" s="504" t="s">
        <v>100</v>
      </c>
      <c r="C125" s="505"/>
      <c r="D125" s="48">
        <v>13.4</v>
      </c>
      <c r="E125" s="48">
        <v>15.9</v>
      </c>
      <c r="F125" s="48">
        <v>22.4</v>
      </c>
      <c r="G125" s="105">
        <v>15.5</v>
      </c>
      <c r="H125" s="170"/>
      <c r="I125" s="105">
        <v>20.7</v>
      </c>
      <c r="J125" s="105">
        <v>10.199999999999999</v>
      </c>
      <c r="K125" s="105">
        <v>20.8</v>
      </c>
      <c r="L125" s="105">
        <v>11.6</v>
      </c>
      <c r="M125" s="31">
        <f>SUM(I125:L125)</f>
        <v>63.300000000000004</v>
      </c>
      <c r="N125" s="105">
        <v>19</v>
      </c>
      <c r="O125" s="105">
        <v>19.399999999999999</v>
      </c>
      <c r="P125" s="105">
        <v>19.8</v>
      </c>
      <c r="Q125" s="105">
        <v>28.2</v>
      </c>
      <c r="R125" s="31">
        <f>SUM(N125:Q125)</f>
        <v>86.4</v>
      </c>
      <c r="S125" s="105">
        <v>22.9</v>
      </c>
      <c r="T125" s="105">
        <v>20.8</v>
      </c>
      <c r="U125" s="105">
        <v>24.3</v>
      </c>
      <c r="V125" s="95">
        <v>24.3</v>
      </c>
      <c r="W125" s="31">
        <f>SUM(S125:V125)</f>
        <v>92.3</v>
      </c>
      <c r="X125" s="95">
        <v>24.3</v>
      </c>
      <c r="Y125" s="95">
        <v>24.3</v>
      </c>
      <c r="Z125" s="95">
        <v>24.3</v>
      </c>
      <c r="AA125" s="95">
        <v>24.3</v>
      </c>
      <c r="AB125" s="31">
        <f>SUM(X125:AA125)</f>
        <v>97.2</v>
      </c>
      <c r="AC125" s="95">
        <v>24.3</v>
      </c>
      <c r="AD125" s="95">
        <v>24.3</v>
      </c>
      <c r="AE125" s="95">
        <v>24.3</v>
      </c>
      <c r="AF125" s="95">
        <v>24.3</v>
      </c>
      <c r="AG125" s="31">
        <f>SUM(AC125:AF125)</f>
        <v>97.2</v>
      </c>
      <c r="AH125" s="95">
        <v>24.3</v>
      </c>
      <c r="AI125" s="95">
        <v>24.3</v>
      </c>
      <c r="AJ125" s="95">
        <v>24.3</v>
      </c>
      <c r="AK125" s="95">
        <v>24.3</v>
      </c>
      <c r="AL125" s="31">
        <f>SUM(AH125:AK125)</f>
        <v>97.2</v>
      </c>
      <c r="AM125" s="95">
        <v>24.3</v>
      </c>
      <c r="AN125" s="95">
        <v>24.3</v>
      </c>
      <c r="AO125" s="95">
        <v>24.3</v>
      </c>
      <c r="AP125" s="95">
        <v>24.3</v>
      </c>
      <c r="AQ125" s="31">
        <f>SUM(AM125:AP125)</f>
        <v>97.2</v>
      </c>
      <c r="AR125" s="95">
        <v>24.3</v>
      </c>
      <c r="AS125" s="95">
        <v>24.3</v>
      </c>
      <c r="AT125" s="95">
        <v>24.3</v>
      </c>
      <c r="AU125" s="95">
        <v>24.3</v>
      </c>
      <c r="AV125" s="31">
        <f>SUM(AR125:AU125)</f>
        <v>97.2</v>
      </c>
    </row>
    <row r="126" spans="2:48" outlineLevel="1" x14ac:dyDescent="0.3">
      <c r="B126" s="180" t="s">
        <v>33</v>
      </c>
      <c r="C126" s="18"/>
      <c r="D126" s="48">
        <v>3.2</v>
      </c>
      <c r="E126" s="48">
        <v>4.3</v>
      </c>
      <c r="F126" s="48">
        <v>5.8</v>
      </c>
      <c r="G126" s="105">
        <f>5.2+0.1</f>
        <v>5.3</v>
      </c>
      <c r="H126" s="170"/>
      <c r="I126" s="105">
        <v>2.8</v>
      </c>
      <c r="J126" s="105">
        <v>3.7</v>
      </c>
      <c r="K126" s="105">
        <v>4</v>
      </c>
      <c r="L126" s="105">
        <v>3.4</v>
      </c>
      <c r="M126" s="31">
        <f t="shared" ref="M126:M129" si="586">SUM(I126:L126)</f>
        <v>13.9</v>
      </c>
      <c r="N126" s="105">
        <v>3.6</v>
      </c>
      <c r="O126" s="105">
        <v>3.4</v>
      </c>
      <c r="P126" s="105">
        <v>3.3</v>
      </c>
      <c r="Q126" s="105">
        <v>4.5</v>
      </c>
      <c r="R126" s="31">
        <f t="shared" ref="R126:R129" si="587">SUM(N126:Q126)</f>
        <v>14.8</v>
      </c>
      <c r="S126" s="105">
        <v>2.9</v>
      </c>
      <c r="T126" s="105">
        <v>4.4000000000000004</v>
      </c>
      <c r="U126" s="105">
        <v>5.9</v>
      </c>
      <c r="V126" s="95">
        <v>5.9</v>
      </c>
      <c r="W126" s="31">
        <f t="shared" ref="W126:W129" si="588">SUM(S126:V126)</f>
        <v>19.100000000000001</v>
      </c>
      <c r="X126" s="95">
        <v>5.9</v>
      </c>
      <c r="Y126" s="95">
        <v>5.9</v>
      </c>
      <c r="Z126" s="95">
        <v>5.9</v>
      </c>
      <c r="AA126" s="95">
        <v>5.9</v>
      </c>
      <c r="AB126" s="31">
        <f t="shared" ref="AB126:AB129" si="589">SUM(X126:AA126)</f>
        <v>23.6</v>
      </c>
      <c r="AC126" s="95">
        <v>5.9</v>
      </c>
      <c r="AD126" s="95">
        <v>5.9</v>
      </c>
      <c r="AE126" s="95">
        <v>5.9</v>
      </c>
      <c r="AF126" s="95">
        <v>5.9</v>
      </c>
      <c r="AG126" s="31">
        <f t="shared" ref="AG126:AG129" si="590">SUM(AC126:AF126)</f>
        <v>23.6</v>
      </c>
      <c r="AH126" s="95">
        <v>5.9</v>
      </c>
      <c r="AI126" s="95">
        <v>5.9</v>
      </c>
      <c r="AJ126" s="95">
        <v>5.9</v>
      </c>
      <c r="AK126" s="95">
        <v>5.9</v>
      </c>
      <c r="AL126" s="31">
        <f t="shared" ref="AL126:AL129" si="591">SUM(AH126:AK126)</f>
        <v>23.6</v>
      </c>
      <c r="AM126" s="95">
        <v>5.9</v>
      </c>
      <c r="AN126" s="95">
        <v>5.9</v>
      </c>
      <c r="AO126" s="95">
        <v>5.9</v>
      </c>
      <c r="AP126" s="95">
        <v>5.9</v>
      </c>
      <c r="AQ126" s="31">
        <f t="shared" ref="AQ126:AQ129" si="592">SUM(AM126:AP126)</f>
        <v>23.6</v>
      </c>
      <c r="AR126" s="95">
        <v>5.9</v>
      </c>
      <c r="AS126" s="95">
        <v>5.9</v>
      </c>
      <c r="AT126" s="95">
        <v>5.9</v>
      </c>
      <c r="AU126" s="95">
        <v>5.9</v>
      </c>
      <c r="AV126" s="31">
        <f t="shared" ref="AV126:AV129" si="593">SUM(AR126:AU126)</f>
        <v>23.6</v>
      </c>
    </row>
    <row r="127" spans="2:48" outlineLevel="1" x14ac:dyDescent="0.3">
      <c r="B127" s="180" t="s">
        <v>34</v>
      </c>
      <c r="C127" s="18"/>
      <c r="D127" s="358">
        <v>39.5</v>
      </c>
      <c r="E127" s="358">
        <v>40.5</v>
      </c>
      <c r="F127" s="358">
        <v>39.6</v>
      </c>
      <c r="G127" s="358">
        <v>37.299999999999997</v>
      </c>
      <c r="H127" s="130"/>
      <c r="I127" s="358">
        <v>34.9</v>
      </c>
      <c r="J127" s="358">
        <v>34.5</v>
      </c>
      <c r="K127" s="358">
        <v>40.9</v>
      </c>
      <c r="L127" s="358">
        <v>39.5</v>
      </c>
      <c r="M127" s="126">
        <f t="shared" si="586"/>
        <v>149.80000000000001</v>
      </c>
      <c r="N127" s="358">
        <v>37</v>
      </c>
      <c r="O127" s="358">
        <v>37</v>
      </c>
      <c r="P127" s="358">
        <v>35.5</v>
      </c>
      <c r="Q127" s="358">
        <v>32.9</v>
      </c>
      <c r="R127" s="126">
        <f t="shared" si="587"/>
        <v>142.4</v>
      </c>
      <c r="S127" s="358">
        <v>32.9</v>
      </c>
      <c r="T127" s="358">
        <v>32.299999999999997</v>
      </c>
      <c r="U127" s="358">
        <v>30.6</v>
      </c>
      <c r="V127" s="358">
        <f>(U127/(U66+U99+U114+U127))*'CFS 3Q2022'!V7*0.95</f>
        <v>31.661062128730872</v>
      </c>
      <c r="W127" s="126">
        <f t="shared" si="588"/>
        <v>127.46106212873086</v>
      </c>
      <c r="X127" s="358">
        <f>(V127/(V66+V99+V114+V127))*'CFS 3Q2022'!X7*0.95</f>
        <v>32.186783408474412</v>
      </c>
      <c r="Y127" s="358">
        <f>(X127/(X66+X99+X114+X127))*'CFS 3Q2022'!Y7*0.95</f>
        <v>33.565224590422503</v>
      </c>
      <c r="Z127" s="358">
        <f>(Y127/(Y66+Y99+Y114+Y127))*'CFS 3Q2022'!Z7*0.95</f>
        <v>34.715693285330147</v>
      </c>
      <c r="AA127" s="358">
        <f>(Z127/(Z66+Z99+Z114+Z127))*'CFS 3Q2022'!AA7*0.95</f>
        <v>36.102986641354832</v>
      </c>
      <c r="AB127" s="126">
        <f t="shared" si="589"/>
        <v>136.57068792558189</v>
      </c>
      <c r="AC127" s="358">
        <f>(AA127/(AA66+AA99+AA114+AA127))*'CFS 3Q2022'!AC7*0.95</f>
        <v>37.50785230642898</v>
      </c>
      <c r="AD127" s="358">
        <f>(AC127/(AC66+AC99+AC114+AC127))*'CFS 3Q2022'!AD7*0.95</f>
        <v>38.596652247308711</v>
      </c>
      <c r="AE127" s="358">
        <f>(AD127/(AD66+AD99+AD114+AD127))*'CFS 3Q2022'!AE7*0.95</f>
        <v>39.42921759879561</v>
      </c>
      <c r="AF127" s="358">
        <f>(AE127/(AE66+AE99+AE114+AE127))*'CFS 3Q2022'!AF7*0.95</f>
        <v>40.519644776125062</v>
      </c>
      <c r="AG127" s="126">
        <f t="shared" si="590"/>
        <v>156.05336692865836</v>
      </c>
      <c r="AH127" s="358">
        <f>(AF127/(AF66+AF99+AF114+AF127))*'CFS 3Q2022'!AH7*0.95</f>
        <v>41.636935532824552</v>
      </c>
      <c r="AI127" s="358">
        <f>(AH127/(AH66+AH99+AH114+AH127))*'CFS 3Q2022'!AI7*0.95</f>
        <v>42.471293252780285</v>
      </c>
      <c r="AJ127" s="358">
        <f>(AI127/(AI66+AI99+AI114+AI127))*'CFS 3Q2022'!AJ7*0.95</f>
        <v>43.068407001738159</v>
      </c>
      <c r="AK127" s="358">
        <f>(AJ127/(AJ66+AJ99+AJ114+AJ127))*'CFS 3Q2022'!AK7*0.95</f>
        <v>43.937402824599232</v>
      </c>
      <c r="AL127" s="126">
        <f t="shared" si="591"/>
        <v>171.11403861194225</v>
      </c>
      <c r="AM127" s="358">
        <f>(AK127/(AK66+AK99+AK114+AK127))*'CFS 3Q2022'!AM7*0.95</f>
        <v>44.851302655789205</v>
      </c>
      <c r="AN127" s="358">
        <f>(AM127/(AM66+AM99+AM114+AM127))*'CFS 3Q2022'!AN7*0.95</f>
        <v>45.827083974647138</v>
      </c>
      <c r="AO127" s="358">
        <f>(AN127/(AN66+AN99+AN114+AN127))*'CFS 3Q2022'!AO7*0.95</f>
        <v>46.521455736833836</v>
      </c>
      <c r="AP127" s="358">
        <f>(AO127/(AO66+AO99+AO114+AO127))*'CFS 3Q2022'!AP7*0.95</f>
        <v>47.496199869089949</v>
      </c>
      <c r="AQ127" s="126">
        <f t="shared" si="592"/>
        <v>184.69604223636014</v>
      </c>
      <c r="AR127" s="358">
        <f>(AP127/(AP66+AP99+AP114+AP127))*'CFS 3Q2022'!AR7*0.95</f>
        <v>48.506227541561138</v>
      </c>
      <c r="AS127" s="358">
        <f>(AR127/(AR66+AR99+AR114+AR127))*'CFS 3Q2022'!AS7*0.95</f>
        <v>49.500770246648941</v>
      </c>
      <c r="AT127" s="358">
        <f>(AS127/(AS66+AS99+AS114+AS127))*'CFS 3Q2022'!AT7*0.95</f>
        <v>50.195673613080416</v>
      </c>
      <c r="AU127" s="358">
        <f>(AT127/(AT66+AT99+AT114+AT127))*'CFS 3Q2022'!AU7*0.95</f>
        <v>51.190634355971085</v>
      </c>
      <c r="AV127" s="126">
        <f t="shared" si="593"/>
        <v>199.3933057572616</v>
      </c>
    </row>
    <row r="128" spans="2:48" outlineLevel="1" x14ac:dyDescent="0.3">
      <c r="B128" s="180" t="s">
        <v>35</v>
      </c>
      <c r="C128" s="18"/>
      <c r="D128" s="48">
        <v>300.39999999999998</v>
      </c>
      <c r="E128" s="48">
        <v>303.89999999999998</v>
      </c>
      <c r="F128" s="48">
        <v>299</v>
      </c>
      <c r="G128" s="105">
        <v>267.39999999999998</v>
      </c>
      <c r="H128" s="170"/>
      <c r="I128" s="105">
        <v>292.2</v>
      </c>
      <c r="J128" s="105">
        <v>271.60000000000002</v>
      </c>
      <c r="K128" s="105">
        <v>269.10000000000002</v>
      </c>
      <c r="L128" s="105">
        <v>288.8</v>
      </c>
      <c r="M128" s="31">
        <f t="shared" si="586"/>
        <v>1121.7</v>
      </c>
      <c r="N128" s="105">
        <v>316.5</v>
      </c>
      <c r="O128" s="105">
        <v>304.60000000000002</v>
      </c>
      <c r="P128" s="105">
        <v>326.5</v>
      </c>
      <c r="Q128" s="105">
        <v>321</v>
      </c>
      <c r="R128" s="31">
        <f t="shared" si="587"/>
        <v>1268.5999999999999</v>
      </c>
      <c r="S128" s="105">
        <v>354.5</v>
      </c>
      <c r="T128" s="105">
        <v>328.1</v>
      </c>
      <c r="U128" s="105">
        <v>326.10000000000002</v>
      </c>
      <c r="V128" s="95">
        <v>332.42500000000001</v>
      </c>
      <c r="W128" s="31">
        <f t="shared" si="588"/>
        <v>1341.125</v>
      </c>
      <c r="X128" s="95">
        <v>332.42500000000001</v>
      </c>
      <c r="Y128" s="95">
        <v>332.42500000000001</v>
      </c>
      <c r="Z128" s="95">
        <v>332.42500000000001</v>
      </c>
      <c r="AA128" s="95">
        <v>332.42500000000001</v>
      </c>
      <c r="AB128" s="31">
        <f t="shared" si="589"/>
        <v>1329.7</v>
      </c>
      <c r="AC128" s="95">
        <v>332.42500000000001</v>
      </c>
      <c r="AD128" s="95">
        <v>332.42500000000001</v>
      </c>
      <c r="AE128" s="95">
        <v>332.42500000000001</v>
      </c>
      <c r="AF128" s="95">
        <v>332.42500000000001</v>
      </c>
      <c r="AG128" s="31">
        <f t="shared" si="590"/>
        <v>1329.7</v>
      </c>
      <c r="AH128" s="95">
        <v>332.42500000000001</v>
      </c>
      <c r="AI128" s="95">
        <v>332.42500000000001</v>
      </c>
      <c r="AJ128" s="95">
        <v>332.42500000000001</v>
      </c>
      <c r="AK128" s="95">
        <v>332.42500000000001</v>
      </c>
      <c r="AL128" s="31">
        <f t="shared" si="591"/>
        <v>1329.7</v>
      </c>
      <c r="AM128" s="95">
        <v>332.42500000000001</v>
      </c>
      <c r="AN128" s="95">
        <v>332.42500000000001</v>
      </c>
      <c r="AO128" s="95">
        <v>332.42500000000001</v>
      </c>
      <c r="AP128" s="95">
        <v>332.42500000000001</v>
      </c>
      <c r="AQ128" s="31">
        <f t="shared" si="592"/>
        <v>1329.7</v>
      </c>
      <c r="AR128" s="95">
        <v>332.42500000000001</v>
      </c>
      <c r="AS128" s="95">
        <v>332.42500000000001</v>
      </c>
      <c r="AT128" s="95">
        <v>332.42500000000001</v>
      </c>
      <c r="AU128" s="95">
        <v>332.42500000000001</v>
      </c>
      <c r="AV128" s="31">
        <f t="shared" si="593"/>
        <v>1329.7</v>
      </c>
    </row>
    <row r="129" spans="2:48" ht="16.2" outlineLevel="1" x14ac:dyDescent="0.45">
      <c r="B129" s="180" t="s">
        <v>42</v>
      </c>
      <c r="C129" s="18"/>
      <c r="D129" s="119">
        <v>13.9</v>
      </c>
      <c r="E129" s="119">
        <v>0.6</v>
      </c>
      <c r="F129" s="119">
        <v>6</v>
      </c>
      <c r="G129" s="119">
        <v>-0.9</v>
      </c>
      <c r="H129" s="131"/>
      <c r="I129" s="119">
        <v>0.3</v>
      </c>
      <c r="J129" s="119">
        <v>0</v>
      </c>
      <c r="K129" s="119">
        <v>22.1</v>
      </c>
      <c r="L129" s="119">
        <v>0</v>
      </c>
      <c r="M129" s="193">
        <f t="shared" si="586"/>
        <v>22.400000000000002</v>
      </c>
      <c r="N129" s="119">
        <v>0</v>
      </c>
      <c r="O129" s="119">
        <v>0</v>
      </c>
      <c r="P129" s="119">
        <v>0</v>
      </c>
      <c r="Q129" s="119">
        <v>15</v>
      </c>
      <c r="R129" s="193">
        <f t="shared" si="587"/>
        <v>15</v>
      </c>
      <c r="S129" s="119">
        <v>0</v>
      </c>
      <c r="T129" s="119">
        <v>0</v>
      </c>
      <c r="U129" s="119">
        <v>2</v>
      </c>
      <c r="V129" s="119">
        <f>IFERROR((V163*(U129/U163)),0)</f>
        <v>7.1428571428571423</v>
      </c>
      <c r="W129" s="193">
        <f t="shared" si="588"/>
        <v>9.1428571428571423</v>
      </c>
      <c r="X129" s="119">
        <f>IFERROR((X163*(V129/V163)),0)</f>
        <v>7.1428571428571423</v>
      </c>
      <c r="Y129" s="119">
        <f t="shared" ref="Y129:AA129" si="594">IFERROR((Y163*(X129/X163)),0)</f>
        <v>0</v>
      </c>
      <c r="Z129" s="119">
        <f t="shared" si="594"/>
        <v>0</v>
      </c>
      <c r="AA129" s="119">
        <f t="shared" si="594"/>
        <v>0</v>
      </c>
      <c r="AB129" s="193">
        <f t="shared" si="589"/>
        <v>7.1428571428571423</v>
      </c>
      <c r="AC129" s="119">
        <f>IFERROR((AC163*(AA129/AA163)),0)</f>
        <v>0</v>
      </c>
      <c r="AD129" s="119">
        <f t="shared" ref="AD129:AF129" si="595">IFERROR((AD163*(AC129/AC163)),0)</f>
        <v>0</v>
      </c>
      <c r="AE129" s="119">
        <f t="shared" si="595"/>
        <v>0</v>
      </c>
      <c r="AF129" s="119">
        <f t="shared" si="595"/>
        <v>0</v>
      </c>
      <c r="AG129" s="193">
        <f t="shared" si="590"/>
        <v>0</v>
      </c>
      <c r="AH129" s="119">
        <f>IFERROR((AH163*(AF129/AF163)),0)</f>
        <v>0</v>
      </c>
      <c r="AI129" s="119">
        <f t="shared" ref="AI129:AK129" si="596">IFERROR((AI163*(AH129/AH163)),0)</f>
        <v>0</v>
      </c>
      <c r="AJ129" s="119">
        <f t="shared" si="596"/>
        <v>0</v>
      </c>
      <c r="AK129" s="119">
        <f t="shared" si="596"/>
        <v>0</v>
      </c>
      <c r="AL129" s="193">
        <f t="shared" si="591"/>
        <v>0</v>
      </c>
      <c r="AM129" s="119">
        <f>IFERROR((AM163*(AK129/AK163)),0)</f>
        <v>0</v>
      </c>
      <c r="AN129" s="119">
        <f t="shared" ref="AN129:AP129" si="597">IFERROR((AN163*(AM129/AM163)),0)</f>
        <v>0</v>
      </c>
      <c r="AO129" s="119">
        <f t="shared" si="597"/>
        <v>0</v>
      </c>
      <c r="AP129" s="119">
        <f t="shared" si="597"/>
        <v>0</v>
      </c>
      <c r="AQ129" s="193">
        <f t="shared" si="592"/>
        <v>0</v>
      </c>
      <c r="AR129" s="119">
        <f>IFERROR((AR163*(AP129/AP163)),0)</f>
        <v>0</v>
      </c>
      <c r="AS129" s="119">
        <f t="shared" ref="AS129:AU129" si="598">IFERROR((AS163*(AR129/AR163)),0)</f>
        <v>0</v>
      </c>
      <c r="AT129" s="119">
        <f t="shared" si="598"/>
        <v>0</v>
      </c>
      <c r="AU129" s="119">
        <f t="shared" si="598"/>
        <v>0</v>
      </c>
      <c r="AV129" s="193">
        <f t="shared" si="593"/>
        <v>0</v>
      </c>
    </row>
    <row r="130" spans="2:48" outlineLevel="1" x14ac:dyDescent="0.3">
      <c r="B130" s="46" t="s">
        <v>56</v>
      </c>
      <c r="C130" s="19"/>
      <c r="D130" s="103">
        <f>SUM(D125:D129)</f>
        <v>370.4</v>
      </c>
      <c r="E130" s="103">
        <f>SUM(E125:E129)</f>
        <v>365.2</v>
      </c>
      <c r="F130" s="103">
        <f>SUM(F125:F129)</f>
        <v>372.8</v>
      </c>
      <c r="G130" s="103">
        <f>SUM(G125:G129)</f>
        <v>324.60000000000002</v>
      </c>
      <c r="H130" s="130"/>
      <c r="I130" s="103">
        <f t="shared" ref="I130:AQ130" si="599">SUM(I125:I129)</f>
        <v>350.9</v>
      </c>
      <c r="J130" s="103">
        <f t="shared" si="599"/>
        <v>320</v>
      </c>
      <c r="K130" s="103">
        <f t="shared" si="599"/>
        <v>356.90000000000003</v>
      </c>
      <c r="L130" s="50">
        <f t="shared" si="599"/>
        <v>343.3</v>
      </c>
      <c r="M130" s="51">
        <f t="shared" si="599"/>
        <v>1371.1000000000001</v>
      </c>
      <c r="N130" s="50">
        <f t="shared" si="599"/>
        <v>376.1</v>
      </c>
      <c r="O130" s="50">
        <f t="shared" si="599"/>
        <v>364.40000000000003</v>
      </c>
      <c r="P130" s="50">
        <f t="shared" si="599"/>
        <v>385.1</v>
      </c>
      <c r="Q130" s="50">
        <f t="shared" si="599"/>
        <v>401.6</v>
      </c>
      <c r="R130" s="51">
        <f t="shared" si="599"/>
        <v>1527.1999999999998</v>
      </c>
      <c r="S130" s="50">
        <f t="shared" si="599"/>
        <v>413.2</v>
      </c>
      <c r="T130" s="50">
        <f t="shared" si="599"/>
        <v>385.6</v>
      </c>
      <c r="U130" s="50">
        <f t="shared" si="599"/>
        <v>388.90000000000003</v>
      </c>
      <c r="V130" s="50">
        <f t="shared" si="599"/>
        <v>401.42891927158809</v>
      </c>
      <c r="W130" s="51">
        <f t="shared" si="599"/>
        <v>1589.1289192715878</v>
      </c>
      <c r="X130" s="50">
        <f t="shared" si="599"/>
        <v>401.95464055133158</v>
      </c>
      <c r="Y130" s="50">
        <f t="shared" si="599"/>
        <v>396.19022459042253</v>
      </c>
      <c r="Z130" s="50">
        <f t="shared" si="599"/>
        <v>397.34069328533019</v>
      </c>
      <c r="AA130" s="50">
        <f t="shared" si="599"/>
        <v>398.72798664135485</v>
      </c>
      <c r="AB130" s="51">
        <f t="shared" si="599"/>
        <v>1594.2135450684391</v>
      </c>
      <c r="AC130" s="50">
        <f t="shared" si="599"/>
        <v>400.13285230642896</v>
      </c>
      <c r="AD130" s="50">
        <f t="shared" si="599"/>
        <v>401.22165224730873</v>
      </c>
      <c r="AE130" s="50">
        <f t="shared" si="599"/>
        <v>402.05421759879562</v>
      </c>
      <c r="AF130" s="50">
        <f t="shared" si="599"/>
        <v>403.14464477612506</v>
      </c>
      <c r="AG130" s="51">
        <f t="shared" si="599"/>
        <v>1606.5533669286583</v>
      </c>
      <c r="AH130" s="50">
        <f t="shared" si="599"/>
        <v>404.26193553282457</v>
      </c>
      <c r="AI130" s="50">
        <f t="shared" si="599"/>
        <v>405.0962932527803</v>
      </c>
      <c r="AJ130" s="50">
        <f t="shared" si="599"/>
        <v>405.69340700173814</v>
      </c>
      <c r="AK130" s="50">
        <f t="shared" si="599"/>
        <v>406.56240282459925</v>
      </c>
      <c r="AL130" s="51">
        <f t="shared" si="599"/>
        <v>1621.6140386119423</v>
      </c>
      <c r="AM130" s="50">
        <f t="shared" si="599"/>
        <v>407.47630265578925</v>
      </c>
      <c r="AN130" s="50">
        <f t="shared" si="599"/>
        <v>408.45208397464717</v>
      </c>
      <c r="AO130" s="50">
        <f t="shared" si="599"/>
        <v>409.14645573683384</v>
      </c>
      <c r="AP130" s="50">
        <f t="shared" si="599"/>
        <v>410.12119986908999</v>
      </c>
      <c r="AQ130" s="51">
        <f t="shared" si="599"/>
        <v>1635.1960422363602</v>
      </c>
      <c r="AR130" s="50">
        <f t="shared" ref="AR130:AV130" si="600">SUM(AR125:AR129)</f>
        <v>411.13122754156115</v>
      </c>
      <c r="AS130" s="50">
        <f t="shared" si="600"/>
        <v>412.12577024664893</v>
      </c>
      <c r="AT130" s="50">
        <f t="shared" si="600"/>
        <v>412.82067361308043</v>
      </c>
      <c r="AU130" s="50">
        <f t="shared" si="600"/>
        <v>413.8156343559711</v>
      </c>
      <c r="AV130" s="51">
        <f t="shared" si="600"/>
        <v>1649.8933057572617</v>
      </c>
    </row>
    <row r="131" spans="2:48" outlineLevel="1" x14ac:dyDescent="0.3">
      <c r="B131" s="46" t="s">
        <v>57</v>
      </c>
      <c r="C131" s="44"/>
      <c r="D131" s="156">
        <f>D123-D130</f>
        <v>-358.79999999999995</v>
      </c>
      <c r="E131" s="156">
        <f>E123-E130</f>
        <v>-349.4</v>
      </c>
      <c r="F131" s="156">
        <f>F123-F130</f>
        <v>-349.5</v>
      </c>
      <c r="G131" s="156">
        <f>G123-G130</f>
        <v>-309.20000000000005</v>
      </c>
      <c r="H131" s="158"/>
      <c r="I131" s="156">
        <f t="shared" ref="I131:AQ131" si="601">I123-I130</f>
        <v>-330.4</v>
      </c>
      <c r="J131" s="156">
        <f t="shared" si="601"/>
        <v>-308</v>
      </c>
      <c r="K131" s="156">
        <f t="shared" si="601"/>
        <v>-337.20000000000005</v>
      </c>
      <c r="L131" s="74">
        <f t="shared" si="601"/>
        <v>-329.40000000000003</v>
      </c>
      <c r="M131" s="194">
        <f t="shared" si="601"/>
        <v>-1305.0000000000002</v>
      </c>
      <c r="N131" s="74">
        <f t="shared" si="601"/>
        <v>-355.6</v>
      </c>
      <c r="O131" s="74">
        <f t="shared" si="601"/>
        <v>-341.8</v>
      </c>
      <c r="P131" s="74">
        <f t="shared" si="601"/>
        <v>-361.3</v>
      </c>
      <c r="Q131" s="74">
        <f t="shared" si="601"/>
        <v>-370.8</v>
      </c>
      <c r="R131" s="194">
        <f t="shared" si="601"/>
        <v>-1429.4999999999998</v>
      </c>
      <c r="S131" s="74">
        <f t="shared" si="601"/>
        <v>-388.09999999999997</v>
      </c>
      <c r="T131" s="74">
        <f t="shared" si="601"/>
        <v>-361.20000000000005</v>
      </c>
      <c r="U131" s="74">
        <f t="shared" si="601"/>
        <v>-361.6</v>
      </c>
      <c r="V131" s="74">
        <f t="shared" si="601"/>
        <v>-367.54891927158809</v>
      </c>
      <c r="W131" s="194">
        <f t="shared" si="601"/>
        <v>-1478.4489192715878</v>
      </c>
      <c r="X131" s="74">
        <f t="shared" si="601"/>
        <v>-374.34464055133157</v>
      </c>
      <c r="Y131" s="74">
        <f t="shared" si="601"/>
        <v>-369.35022459042256</v>
      </c>
      <c r="Z131" s="74">
        <f t="shared" si="601"/>
        <v>-367.31069328533016</v>
      </c>
      <c r="AA131" s="74">
        <f t="shared" si="601"/>
        <v>-361.45998664135482</v>
      </c>
      <c r="AB131" s="194">
        <f t="shared" si="601"/>
        <v>-1472.465545068439</v>
      </c>
      <c r="AC131" s="74">
        <f t="shared" si="601"/>
        <v>-369.76185230642898</v>
      </c>
      <c r="AD131" s="74">
        <f t="shared" si="601"/>
        <v>-371.69765224730872</v>
      </c>
      <c r="AE131" s="74">
        <f t="shared" si="601"/>
        <v>-369.0212175987956</v>
      </c>
      <c r="AF131" s="74">
        <f t="shared" si="601"/>
        <v>-362.14984477612506</v>
      </c>
      <c r="AG131" s="194">
        <f t="shared" si="601"/>
        <v>-1472.6305669286583</v>
      </c>
      <c r="AH131" s="74">
        <f t="shared" si="601"/>
        <v>-370.85383553282458</v>
      </c>
      <c r="AI131" s="74">
        <f t="shared" si="601"/>
        <v>-372.61989325278029</v>
      </c>
      <c r="AJ131" s="74">
        <f t="shared" si="601"/>
        <v>-369.35710700173814</v>
      </c>
      <c r="AK131" s="74">
        <f t="shared" si="601"/>
        <v>-361.46812282459922</v>
      </c>
      <c r="AL131" s="194">
        <f t="shared" si="601"/>
        <v>-1474.2989586119422</v>
      </c>
      <c r="AM131" s="74">
        <f t="shared" si="601"/>
        <v>-370.72739265578923</v>
      </c>
      <c r="AN131" s="74">
        <f t="shared" si="601"/>
        <v>-372.72804397464716</v>
      </c>
      <c r="AO131" s="74">
        <f t="shared" si="601"/>
        <v>-369.17652573683381</v>
      </c>
      <c r="AP131" s="74">
        <f t="shared" si="601"/>
        <v>-360.51749186908995</v>
      </c>
      <c r="AQ131" s="194">
        <f t="shared" si="601"/>
        <v>-1473.14945423636</v>
      </c>
      <c r="AR131" s="74">
        <f t="shared" ref="AR131:AV131" si="602">AR123-AR130</f>
        <v>-370.70742654156112</v>
      </c>
      <c r="AS131" s="74">
        <f t="shared" si="602"/>
        <v>-372.82932624664892</v>
      </c>
      <c r="AT131" s="74">
        <f t="shared" si="602"/>
        <v>-368.85375061308042</v>
      </c>
      <c r="AU131" s="74">
        <f t="shared" si="602"/>
        <v>-359.25155555597109</v>
      </c>
      <c r="AV131" s="194">
        <f t="shared" si="602"/>
        <v>-1471.6420589572617</v>
      </c>
    </row>
    <row r="132" spans="2:48" ht="17.399999999999999" x14ac:dyDescent="0.45">
      <c r="B132" s="494" t="s">
        <v>14</v>
      </c>
      <c r="C132" s="495"/>
      <c r="D132" s="14" t="s">
        <v>19</v>
      </c>
      <c r="E132" s="14" t="s">
        <v>81</v>
      </c>
      <c r="F132" s="14" t="s">
        <v>85</v>
      </c>
      <c r="G132" s="14" t="s">
        <v>95</v>
      </c>
      <c r="H132" s="40" t="s">
        <v>96</v>
      </c>
      <c r="I132" s="14" t="s">
        <v>97</v>
      </c>
      <c r="J132" s="14" t="s">
        <v>98</v>
      </c>
      <c r="K132" s="14" t="s">
        <v>99</v>
      </c>
      <c r="L132" s="14" t="s">
        <v>142</v>
      </c>
      <c r="M132" s="40" t="s">
        <v>143</v>
      </c>
      <c r="N132" s="14" t="s">
        <v>149</v>
      </c>
      <c r="O132" s="14" t="s">
        <v>157</v>
      </c>
      <c r="P132" s="14" t="s">
        <v>159</v>
      </c>
      <c r="Q132" s="14" t="s">
        <v>172</v>
      </c>
      <c r="R132" s="40" t="s">
        <v>173</v>
      </c>
      <c r="S132" s="14" t="s">
        <v>188</v>
      </c>
      <c r="T132" s="14" t="s">
        <v>189</v>
      </c>
      <c r="U132" s="14" t="s">
        <v>204</v>
      </c>
      <c r="V132" s="12" t="s">
        <v>25</v>
      </c>
      <c r="W132" s="42" t="s">
        <v>26</v>
      </c>
      <c r="X132" s="12" t="s">
        <v>27</v>
      </c>
      <c r="Y132" s="12" t="s">
        <v>28</v>
      </c>
      <c r="Z132" s="12" t="s">
        <v>29</v>
      </c>
      <c r="AA132" s="12" t="s">
        <v>30</v>
      </c>
      <c r="AB132" s="42" t="s">
        <v>31</v>
      </c>
      <c r="AC132" s="12" t="s">
        <v>90</v>
      </c>
      <c r="AD132" s="12" t="s">
        <v>91</v>
      </c>
      <c r="AE132" s="12" t="s">
        <v>92</v>
      </c>
      <c r="AF132" s="12" t="s">
        <v>93</v>
      </c>
      <c r="AG132" s="42" t="s">
        <v>94</v>
      </c>
      <c r="AH132" s="12" t="s">
        <v>109</v>
      </c>
      <c r="AI132" s="12" t="s">
        <v>110</v>
      </c>
      <c r="AJ132" s="12" t="s">
        <v>111</v>
      </c>
      <c r="AK132" s="12" t="s">
        <v>112</v>
      </c>
      <c r="AL132" s="42" t="s">
        <v>113</v>
      </c>
      <c r="AM132" s="12" t="s">
        <v>164</v>
      </c>
      <c r="AN132" s="12" t="s">
        <v>165</v>
      </c>
      <c r="AO132" s="12" t="s">
        <v>166</v>
      </c>
      <c r="AP132" s="12" t="s">
        <v>167</v>
      </c>
      <c r="AQ132" s="42" t="s">
        <v>168</v>
      </c>
      <c r="AR132" s="12" t="s">
        <v>195</v>
      </c>
      <c r="AS132" s="12" t="s">
        <v>196</v>
      </c>
      <c r="AT132" s="12" t="s">
        <v>197</v>
      </c>
      <c r="AU132" s="12" t="s">
        <v>198</v>
      </c>
      <c r="AV132" s="42" t="s">
        <v>199</v>
      </c>
    </row>
    <row r="133" spans="2:48" s="77" customFormat="1" ht="15.6" customHeight="1" outlineLevel="1" x14ac:dyDescent="0.3">
      <c r="B133" s="64" t="s">
        <v>59</v>
      </c>
      <c r="C133" s="78"/>
      <c r="D133" s="65">
        <f>+D45+D78-D5</f>
        <v>0</v>
      </c>
      <c r="E133" s="65">
        <f>+E45+E78-E5</f>
        <v>0</v>
      </c>
      <c r="F133" s="121">
        <f>+F45+F78-F5</f>
        <v>0</v>
      </c>
      <c r="G133" s="65">
        <f>+G45+G78-G5</f>
        <v>0</v>
      </c>
      <c r="H133" s="66"/>
      <c r="I133" s="65">
        <f>+I45+I78-I5</f>
        <v>0</v>
      </c>
      <c r="J133" s="65">
        <f>+J45+J78-J5</f>
        <v>0</v>
      </c>
      <c r="K133" s="121">
        <f>+K45+K78-K5</f>
        <v>0</v>
      </c>
      <c r="L133" s="65">
        <f>+L45+L78-L5</f>
        <v>0</v>
      </c>
      <c r="M133" s="66"/>
      <c r="N133" s="65">
        <f>+N45+N78-N5</f>
        <v>0</v>
      </c>
      <c r="O133" s="65">
        <f>+O45+O78-O5</f>
        <v>0</v>
      </c>
      <c r="P133" s="121">
        <f>+P45+P78-P5</f>
        <v>0</v>
      </c>
      <c r="Q133" s="65">
        <f>+Q45+Q78-Q5</f>
        <v>0</v>
      </c>
      <c r="R133" s="66"/>
      <c r="S133" s="65">
        <f>+S45+S78-S5</f>
        <v>0</v>
      </c>
      <c r="T133" s="65">
        <f>+T45+T78-T5</f>
        <v>0</v>
      </c>
      <c r="U133" s="121">
        <f>+U45+U78-U5</f>
        <v>0</v>
      </c>
      <c r="V133" s="65">
        <f>+V45+V78-V5</f>
        <v>0</v>
      </c>
      <c r="W133" s="66"/>
      <c r="X133" s="65">
        <f>+X45+X78-X5</f>
        <v>0</v>
      </c>
      <c r="Y133" s="65">
        <f>+Y45+Y78-Y5</f>
        <v>0</v>
      </c>
      <c r="Z133" s="121">
        <f>+Z45+Z78-Z5</f>
        <v>0</v>
      </c>
      <c r="AA133" s="65">
        <f>+AA45+AA78-AA5</f>
        <v>0</v>
      </c>
      <c r="AB133" s="66"/>
      <c r="AC133" s="65">
        <f>+AC45+AC78-AC5</f>
        <v>0</v>
      </c>
      <c r="AD133" s="65">
        <f>+AD45+AD78-AD5</f>
        <v>0</v>
      </c>
      <c r="AE133" s="121">
        <f>+AE45+AE78-AE5</f>
        <v>0</v>
      </c>
      <c r="AF133" s="65">
        <f>+AF45+AF78-AF5</f>
        <v>0</v>
      </c>
      <c r="AG133" s="66"/>
      <c r="AH133" s="65">
        <f>+AH45+AH78-AH5</f>
        <v>0</v>
      </c>
      <c r="AI133" s="65">
        <f>+AI45+AI78-AI5</f>
        <v>0</v>
      </c>
      <c r="AJ133" s="121">
        <f>+AJ45+AJ78-AJ5</f>
        <v>0</v>
      </c>
      <c r="AK133" s="65">
        <f>+AK45+AK78-AK5</f>
        <v>0</v>
      </c>
      <c r="AL133" s="66"/>
      <c r="AM133" s="65">
        <f>+AM45+AM78-AM5</f>
        <v>0</v>
      </c>
      <c r="AN133" s="65">
        <f>+AN45+AN78-AN5</f>
        <v>0</v>
      </c>
      <c r="AO133" s="121">
        <f>+AO45+AO78-AO5</f>
        <v>0</v>
      </c>
      <c r="AP133" s="65">
        <f>+AP45+AP78-AP5</f>
        <v>0</v>
      </c>
      <c r="AQ133" s="66"/>
      <c r="AR133" s="65">
        <f>+AR45+AR78-AR5</f>
        <v>0</v>
      </c>
      <c r="AS133" s="65">
        <f>+AS45+AS78-AS5</f>
        <v>0</v>
      </c>
      <c r="AT133" s="121">
        <f>+AT45+AT78-AT5</f>
        <v>0</v>
      </c>
      <c r="AU133" s="65">
        <f>+AU45+AU78-AU5</f>
        <v>0</v>
      </c>
      <c r="AV133" s="66"/>
    </row>
    <row r="134" spans="2:48" s="77" customFormat="1" ht="15.6" customHeight="1" outlineLevel="1" x14ac:dyDescent="0.3">
      <c r="B134" s="64" t="s">
        <v>60</v>
      </c>
      <c r="C134" s="78"/>
      <c r="D134" s="65">
        <f>+D54+D87-D6</f>
        <v>0</v>
      </c>
      <c r="E134" s="65">
        <f>+E54+E87-E6</f>
        <v>0</v>
      </c>
      <c r="F134" s="121">
        <f>+F54+F87-F6</f>
        <v>0</v>
      </c>
      <c r="G134" s="65">
        <f>+G54+G87-G6</f>
        <v>0</v>
      </c>
      <c r="H134" s="66"/>
      <c r="I134" s="65">
        <f>+I54+I87-I6</f>
        <v>0</v>
      </c>
      <c r="J134" s="65">
        <f>+J54+J87-J6</f>
        <v>0</v>
      </c>
      <c r="K134" s="121">
        <f>+K54+K87-K6</f>
        <v>0</v>
      </c>
      <c r="L134" s="65">
        <f>+L54+L87-L6</f>
        <v>0</v>
      </c>
      <c r="M134" s="66"/>
      <c r="N134" s="65">
        <f>+N54+N87-N6</f>
        <v>0</v>
      </c>
      <c r="O134" s="65">
        <f>+O54+O87-O6</f>
        <v>0</v>
      </c>
      <c r="P134" s="121">
        <f>+P54+P87-P6</f>
        <v>0</v>
      </c>
      <c r="Q134" s="65">
        <f>+Q54+Q87-Q6</f>
        <v>0</v>
      </c>
      <c r="R134" s="66"/>
      <c r="S134" s="65">
        <f>+S54+S87-S6</f>
        <v>0</v>
      </c>
      <c r="T134" s="65">
        <f>+T54+T87-T6</f>
        <v>0</v>
      </c>
      <c r="U134" s="121">
        <f>+U54+U87-U6</f>
        <v>0</v>
      </c>
      <c r="V134" s="65">
        <f>+V54+V87-V6</f>
        <v>0</v>
      </c>
      <c r="W134" s="66"/>
      <c r="X134" s="65">
        <f>+X54+X87-X6</f>
        <v>0</v>
      </c>
      <c r="Y134" s="65">
        <f>+Y54+Y87-Y6</f>
        <v>0</v>
      </c>
      <c r="Z134" s="121">
        <f>+Z54+Z87-Z6</f>
        <v>0</v>
      </c>
      <c r="AA134" s="65">
        <f>+AA54+AA87-AA6</f>
        <v>0</v>
      </c>
      <c r="AB134" s="66"/>
      <c r="AC134" s="65">
        <f>+AC54+AC87-AC6</f>
        <v>0</v>
      </c>
      <c r="AD134" s="65">
        <f>+AD54+AD87-AD6</f>
        <v>0</v>
      </c>
      <c r="AE134" s="121">
        <f>+AE54+AE87-AE6</f>
        <v>0</v>
      </c>
      <c r="AF134" s="65">
        <f>+AF54+AF87-AF6</f>
        <v>0</v>
      </c>
      <c r="AG134" s="66"/>
      <c r="AH134" s="65">
        <f>+AH54+AH87-AH6</f>
        <v>0</v>
      </c>
      <c r="AI134" s="65">
        <f>+AI54+AI87-AI6</f>
        <v>0</v>
      </c>
      <c r="AJ134" s="121">
        <f>+AJ54+AJ87-AJ6</f>
        <v>0</v>
      </c>
      <c r="AK134" s="65">
        <f>+AK54+AK87-AK6</f>
        <v>0</v>
      </c>
      <c r="AL134" s="66"/>
      <c r="AM134" s="65">
        <f>+AM54+AM87-AM6</f>
        <v>0</v>
      </c>
      <c r="AN134" s="65">
        <f>+AN54+AN87-AN6</f>
        <v>0</v>
      </c>
      <c r="AO134" s="121">
        <f>+AO54+AO87-AO6</f>
        <v>0</v>
      </c>
      <c r="AP134" s="65">
        <f>+AP54+AP87-AP6</f>
        <v>0</v>
      </c>
      <c r="AQ134" s="66"/>
      <c r="AR134" s="65">
        <f>+AR54+AR87-AR6</f>
        <v>0</v>
      </c>
      <c r="AS134" s="65">
        <f>+AS54+AS87-AS6</f>
        <v>0</v>
      </c>
      <c r="AT134" s="121">
        <f>+AT54+AT87-AT6</f>
        <v>0</v>
      </c>
      <c r="AU134" s="65">
        <f>+AU54+AU87-AU6</f>
        <v>0</v>
      </c>
      <c r="AV134" s="66"/>
    </row>
    <row r="135" spans="2:48" s="77" customFormat="1" ht="15.6" customHeight="1" outlineLevel="1" x14ac:dyDescent="0.3">
      <c r="B135" s="64" t="s">
        <v>61</v>
      </c>
      <c r="C135" s="78"/>
      <c r="D135" s="65">
        <f>+D55+D88+D108+D123-D7</f>
        <v>0</v>
      </c>
      <c r="E135" s="65">
        <f>+E55+E88+E108+E123-E7</f>
        <v>0</v>
      </c>
      <c r="F135" s="121">
        <f>+F55+F88+F108+F123-F7</f>
        <v>0</v>
      </c>
      <c r="G135" s="65">
        <f>+G55+G88+G108+G123-G7</f>
        <v>0</v>
      </c>
      <c r="H135" s="66"/>
      <c r="I135" s="65">
        <f>+I55+I88+I108+I123-I7</f>
        <v>0</v>
      </c>
      <c r="J135" s="65">
        <f>+J55+J88+J108+J123-J7</f>
        <v>0</v>
      </c>
      <c r="K135" s="121">
        <f>+K55+K88+K108+K123-K7</f>
        <v>0</v>
      </c>
      <c r="L135" s="65">
        <f>+L55+L88+L108+L123-L7</f>
        <v>0</v>
      </c>
      <c r="M135" s="66"/>
      <c r="N135" s="65">
        <f>+N55+N88+N108+N123-N7</f>
        <v>0</v>
      </c>
      <c r="O135" s="65">
        <f>+O55+O88+O108+O123-O7</f>
        <v>0</v>
      </c>
      <c r="P135" s="121">
        <f>+P55+P88+P108+P123-P7</f>
        <v>0</v>
      </c>
      <c r="Q135" s="65">
        <f>+Q55+Q88+Q108+Q123-Q7</f>
        <v>0</v>
      </c>
      <c r="R135" s="66"/>
      <c r="S135" s="65">
        <f>+S55+S88+S108+S123-S7</f>
        <v>0</v>
      </c>
      <c r="T135" s="65">
        <f>+T55+T88+T108+T123-T7</f>
        <v>0</v>
      </c>
      <c r="U135" s="121">
        <f>+U55+U88+U108+U123-U7</f>
        <v>0</v>
      </c>
      <c r="V135" s="65">
        <f>+V55+V88+V108+V123-V7</f>
        <v>0</v>
      </c>
      <c r="W135" s="66"/>
      <c r="X135" s="65">
        <f>+X55+X88+X108+X123-X7</f>
        <v>0</v>
      </c>
      <c r="Y135" s="65">
        <f>+Y55+Y88+Y108+Y123-Y7</f>
        <v>0</v>
      </c>
      <c r="Z135" s="121">
        <f>+Z55+Z88+Z108+Z123-Z7</f>
        <v>0</v>
      </c>
      <c r="AA135" s="65">
        <f>+AA55+AA88+AA108+AA123-AA7</f>
        <v>0</v>
      </c>
      <c r="AB135" s="66"/>
      <c r="AC135" s="65">
        <f>+AC55+AC88+AC108+AC123-AC7</f>
        <v>0</v>
      </c>
      <c r="AD135" s="65">
        <f>+AD55+AD88+AD108+AD123-AD7</f>
        <v>0</v>
      </c>
      <c r="AE135" s="121">
        <f>+AE55+AE88+AE108+AE123-AE7</f>
        <v>0</v>
      </c>
      <c r="AF135" s="65">
        <f>+AF55+AF88+AF108+AF123-AF7</f>
        <v>0</v>
      </c>
      <c r="AG135" s="66"/>
      <c r="AH135" s="65">
        <f>+AH55+AH88+AH108+AH123-AH7</f>
        <v>0</v>
      </c>
      <c r="AI135" s="65">
        <f>+AI55+AI88+AI108+AI123-AI7</f>
        <v>0</v>
      </c>
      <c r="AJ135" s="121">
        <f>+AJ55+AJ88+AJ108+AJ123-AJ7</f>
        <v>0</v>
      </c>
      <c r="AK135" s="65">
        <f>+AK55+AK88+AK108+AK123-AK7</f>
        <v>0</v>
      </c>
      <c r="AL135" s="66"/>
      <c r="AM135" s="65">
        <f>+AM55+AM88+AM108+AM123-AM7</f>
        <v>0</v>
      </c>
      <c r="AN135" s="65">
        <f>+AN55+AN88+AN108+AN123-AN7</f>
        <v>0</v>
      </c>
      <c r="AO135" s="121">
        <f>+AO55+AO88+AO108+AO123-AO7</f>
        <v>0</v>
      </c>
      <c r="AP135" s="65">
        <f>+AP55+AP88+AP108+AP123-AP7</f>
        <v>0</v>
      </c>
      <c r="AQ135" s="66"/>
      <c r="AR135" s="65">
        <f>+AR55+AR88+AR108+AR123-AR7</f>
        <v>0</v>
      </c>
      <c r="AS135" s="65">
        <f>+AS55+AS88+AS108+AS123-AS7</f>
        <v>0</v>
      </c>
      <c r="AT135" s="121">
        <f>+AT55+AT88+AT108+AT123-AT7</f>
        <v>0</v>
      </c>
      <c r="AU135" s="65">
        <f>+AU55+AU88+AU108+AU123-AU7</f>
        <v>0</v>
      </c>
      <c r="AV135" s="66"/>
    </row>
    <row r="136" spans="2:48" s="77" customFormat="1" ht="15.6" customHeight="1" outlineLevel="1" x14ac:dyDescent="0.3">
      <c r="B136" s="64" t="s">
        <v>36</v>
      </c>
      <c r="C136" s="78"/>
      <c r="D136" s="65">
        <f>+D119+D104-D16</f>
        <v>0</v>
      </c>
      <c r="E136" s="65">
        <f>+E119+E104-E16</f>
        <v>0</v>
      </c>
      <c r="F136" s="121">
        <f>+F119+F104-F16</f>
        <v>0</v>
      </c>
      <c r="G136" s="65">
        <f>+G119+G104-G16</f>
        <v>0</v>
      </c>
      <c r="H136" s="66"/>
      <c r="I136" s="65">
        <f>+I119+I104-I16</f>
        <v>0</v>
      </c>
      <c r="J136" s="65">
        <f>+J119+J104-J16</f>
        <v>0</v>
      </c>
      <c r="K136" s="121">
        <f>+K119+K104-K16</f>
        <v>0</v>
      </c>
      <c r="L136" s="65">
        <f>+L119+L104-L16</f>
        <v>0</v>
      </c>
      <c r="M136" s="66"/>
      <c r="N136" s="65">
        <f>+N119+N104-N16</f>
        <v>0</v>
      </c>
      <c r="O136" s="65">
        <f>+O119+O104-O16</f>
        <v>0</v>
      </c>
      <c r="P136" s="121">
        <f>+P119+P104-P16</f>
        <v>0</v>
      </c>
      <c r="Q136" s="65">
        <f>+Q119+Q104-Q16</f>
        <v>0</v>
      </c>
      <c r="R136" s="66"/>
      <c r="S136" s="65">
        <f>+S119+S104-S16</f>
        <v>0</v>
      </c>
      <c r="T136" s="65">
        <f>+T119+T104-T16</f>
        <v>0</v>
      </c>
      <c r="U136" s="121">
        <f>+U119+U104-U16</f>
        <v>0</v>
      </c>
      <c r="V136" s="65">
        <f>+V119+V104-V16</f>
        <v>0</v>
      </c>
      <c r="W136" s="66"/>
      <c r="X136" s="65">
        <f>+X119+X104-X16</f>
        <v>0</v>
      </c>
      <c r="Y136" s="65">
        <f>+Y119+Y104-Y16</f>
        <v>0</v>
      </c>
      <c r="Z136" s="121">
        <f>+Z119+Z104-Z16</f>
        <v>0</v>
      </c>
      <c r="AA136" s="65">
        <f>+AA119+AA104-AA16</f>
        <v>0</v>
      </c>
      <c r="AB136" s="66"/>
      <c r="AC136" s="65">
        <f>+AC119+AC104-AC16</f>
        <v>0</v>
      </c>
      <c r="AD136" s="65">
        <f>+AD119+AD104-AD16</f>
        <v>0</v>
      </c>
      <c r="AE136" s="121">
        <f>+AE119+AE104-AE16</f>
        <v>0</v>
      </c>
      <c r="AF136" s="65">
        <f>+AF119+AF104-AF16</f>
        <v>0</v>
      </c>
      <c r="AG136" s="66"/>
      <c r="AH136" s="65">
        <f>+AH119+AH104-AH16</f>
        <v>0</v>
      </c>
      <c r="AI136" s="65">
        <f>+AI119+AI104-AI16</f>
        <v>0</v>
      </c>
      <c r="AJ136" s="121">
        <f>+AJ119+AJ104-AJ16</f>
        <v>0</v>
      </c>
      <c r="AK136" s="65">
        <f>+AK119+AK104-AK16</f>
        <v>0</v>
      </c>
      <c r="AL136" s="66"/>
      <c r="AM136" s="65">
        <f>+AM119+AM104-AM16</f>
        <v>0</v>
      </c>
      <c r="AN136" s="65">
        <f>+AN119+AN104-AN16</f>
        <v>0</v>
      </c>
      <c r="AO136" s="121">
        <f>+AO119+AO104-AO16</f>
        <v>0</v>
      </c>
      <c r="AP136" s="65">
        <f>+AP119+AP104-AP16</f>
        <v>0</v>
      </c>
      <c r="AQ136" s="66"/>
      <c r="AR136" s="65">
        <f>+AR119+AR104-AR16</f>
        <v>0</v>
      </c>
      <c r="AS136" s="65">
        <f>+AS119+AS104-AS16</f>
        <v>0</v>
      </c>
      <c r="AT136" s="121">
        <f>+AT119+AT104-AT16</f>
        <v>0</v>
      </c>
      <c r="AU136" s="65">
        <f>+AU119+AU104-AU16</f>
        <v>0</v>
      </c>
      <c r="AV136" s="66"/>
    </row>
    <row r="137" spans="2:48" s="77" customFormat="1" ht="15.6" customHeight="1" outlineLevel="1" x14ac:dyDescent="0.3">
      <c r="B137" s="64" t="s">
        <v>62</v>
      </c>
      <c r="C137" s="78"/>
      <c r="D137" s="65">
        <f>+D71+D105+D120+D131-D17</f>
        <v>0</v>
      </c>
      <c r="E137" s="65">
        <f>+E71+E105+E120+E131-E17</f>
        <v>0</v>
      </c>
      <c r="F137" s="121">
        <f>+F71+F105+F120+F131-F17</f>
        <v>0</v>
      </c>
      <c r="G137" s="65">
        <f>+G71+G105+G120+G131-G17</f>
        <v>9.9999999998544808E-2</v>
      </c>
      <c r="H137" s="66"/>
      <c r="I137" s="65">
        <f>+I71+I105+I120+I131-I17</f>
        <v>0</v>
      </c>
      <c r="J137" s="65">
        <f>+J71+J105+J120+J131-J17</f>
        <v>6.8212102632969618E-13</v>
      </c>
      <c r="K137" s="121">
        <f>+K71+K105+K120+K131-K17</f>
        <v>0</v>
      </c>
      <c r="L137" s="65">
        <f>+L71+L105+L120+L131-L17</f>
        <v>-2.0999999999996817</v>
      </c>
      <c r="M137" s="66"/>
      <c r="N137" s="65">
        <f>+N71+N105+N120+N131-N17</f>
        <v>0</v>
      </c>
      <c r="O137" s="65">
        <f>+O71+O105+O120+O131-O17</f>
        <v>0</v>
      </c>
      <c r="P137" s="121">
        <f>+P71+P105+P120+P131-P17</f>
        <v>0</v>
      </c>
      <c r="Q137" s="65">
        <f>+Q71+Q105+Q120+Q131-Q17</f>
        <v>0</v>
      </c>
      <c r="R137" s="66"/>
      <c r="S137" s="65">
        <f>+S71+S105+S120+S131-S17</f>
        <v>0</v>
      </c>
      <c r="T137" s="65">
        <f>+T71+T105+T120+T131-T17</f>
        <v>0</v>
      </c>
      <c r="U137" s="121">
        <f>+U71+U105+U120+U131-U17</f>
        <v>0</v>
      </c>
      <c r="V137" s="65">
        <f>+V71+V105+V120+V131-V17</f>
        <v>0</v>
      </c>
      <c r="W137" s="66"/>
      <c r="X137" s="65">
        <f>+X71+X105+X120+X131-X17</f>
        <v>0</v>
      </c>
      <c r="Y137" s="65">
        <f>+Y71+Y105+Y120+Y131-Y17</f>
        <v>0</v>
      </c>
      <c r="Z137" s="121">
        <f>+Z71+Z105+Z120+Z131-Z17</f>
        <v>-1.8189894035458565E-12</v>
      </c>
      <c r="AA137" s="65">
        <f>+AA71+AA105+AA120+AA131-AA17</f>
        <v>0</v>
      </c>
      <c r="AB137" s="66"/>
      <c r="AC137" s="65">
        <f>+AC71+AC105+AC120+AC131-AC17</f>
        <v>2.0463630789890885E-12</v>
      </c>
      <c r="AD137" s="65">
        <f>+AD71+AD105+AD120+AD131-AD17</f>
        <v>0</v>
      </c>
      <c r="AE137" s="121">
        <f>+AE71+AE105+AE120+AE131-AE17</f>
        <v>0</v>
      </c>
      <c r="AF137" s="65">
        <f>+AF71+AF105+AF120+AF131-AF17</f>
        <v>0</v>
      </c>
      <c r="AG137" s="66"/>
      <c r="AH137" s="65">
        <f>+AH71+AH105+AH120+AH131-AH17</f>
        <v>0</v>
      </c>
      <c r="AI137" s="65">
        <f>+AI71+AI105+AI120+AI131-AI17</f>
        <v>0</v>
      </c>
      <c r="AJ137" s="121">
        <f>+AJ71+AJ105+AJ120+AJ131-AJ17</f>
        <v>0</v>
      </c>
      <c r="AK137" s="65">
        <f>+AK71+AK105+AK120+AK131-AK17</f>
        <v>0</v>
      </c>
      <c r="AL137" s="66"/>
      <c r="AM137" s="65">
        <f>+AM71+AM105+AM120+AM131-AM17</f>
        <v>2.9558577807620168E-12</v>
      </c>
      <c r="AN137" s="65">
        <f>+AN71+AN105+AN120+AN131-AN17</f>
        <v>0</v>
      </c>
      <c r="AO137" s="121">
        <f>+AO71+AO105+AO120+AO131-AO17</f>
        <v>0</v>
      </c>
      <c r="AP137" s="65">
        <f>+AP71+AP105+AP120+AP131-AP17</f>
        <v>2.9558577807620168E-12</v>
      </c>
      <c r="AQ137" s="66"/>
      <c r="AR137" s="65">
        <f>+AR71+AR105+AR120+AR131-AR17</f>
        <v>0</v>
      </c>
      <c r="AS137" s="65">
        <f>+AS71+AS105+AS120+AS131-AS17</f>
        <v>0</v>
      </c>
      <c r="AT137" s="121">
        <f>+AT71+AT105+AT120+AT131-AT17</f>
        <v>0</v>
      </c>
      <c r="AU137" s="65">
        <f>+AU71+AU105+AU120+AU131-AU17</f>
        <v>0</v>
      </c>
      <c r="AV137" s="66"/>
    </row>
    <row r="138" spans="2:48" ht="15" customHeight="1" x14ac:dyDescent="0.45">
      <c r="B138" s="494" t="s">
        <v>9</v>
      </c>
      <c r="C138" s="495"/>
      <c r="D138" s="14" t="s">
        <v>19</v>
      </c>
      <c r="E138" s="14" t="s">
        <v>81</v>
      </c>
      <c r="F138" s="14" t="s">
        <v>85</v>
      </c>
      <c r="G138" s="14" t="s">
        <v>95</v>
      </c>
      <c r="H138" s="40" t="s">
        <v>96</v>
      </c>
      <c r="I138" s="14" t="s">
        <v>97</v>
      </c>
      <c r="J138" s="14" t="s">
        <v>98</v>
      </c>
      <c r="K138" s="14" t="s">
        <v>99</v>
      </c>
      <c r="L138" s="14" t="s">
        <v>142</v>
      </c>
      <c r="M138" s="40" t="s">
        <v>143</v>
      </c>
      <c r="N138" s="14" t="s">
        <v>149</v>
      </c>
      <c r="O138" s="14" t="s">
        <v>157</v>
      </c>
      <c r="P138" s="14" t="s">
        <v>159</v>
      </c>
      <c r="Q138" s="14" t="s">
        <v>172</v>
      </c>
      <c r="R138" s="40" t="s">
        <v>173</v>
      </c>
      <c r="S138" s="14" t="s">
        <v>188</v>
      </c>
      <c r="T138" s="14" t="s">
        <v>189</v>
      </c>
      <c r="U138" s="14" t="s">
        <v>204</v>
      </c>
      <c r="V138" s="12" t="s">
        <v>25</v>
      </c>
      <c r="W138" s="42" t="s">
        <v>26</v>
      </c>
      <c r="X138" s="12" t="s">
        <v>27</v>
      </c>
      <c r="Y138" s="12" t="s">
        <v>28</v>
      </c>
      <c r="Z138" s="12" t="s">
        <v>29</v>
      </c>
      <c r="AA138" s="12" t="s">
        <v>30</v>
      </c>
      <c r="AB138" s="42" t="s">
        <v>31</v>
      </c>
      <c r="AC138" s="12" t="s">
        <v>90</v>
      </c>
      <c r="AD138" s="12" t="s">
        <v>91</v>
      </c>
      <c r="AE138" s="12" t="s">
        <v>92</v>
      </c>
      <c r="AF138" s="12" t="s">
        <v>93</v>
      </c>
      <c r="AG138" s="42" t="s">
        <v>94</v>
      </c>
      <c r="AH138" s="12" t="s">
        <v>109</v>
      </c>
      <c r="AI138" s="12" t="s">
        <v>110</v>
      </c>
      <c r="AJ138" s="12" t="s">
        <v>111</v>
      </c>
      <c r="AK138" s="12" t="s">
        <v>112</v>
      </c>
      <c r="AL138" s="42" t="s">
        <v>113</v>
      </c>
      <c r="AM138" s="12" t="s">
        <v>164</v>
      </c>
      <c r="AN138" s="12" t="s">
        <v>165</v>
      </c>
      <c r="AO138" s="12" t="s">
        <v>166</v>
      </c>
      <c r="AP138" s="12" t="s">
        <v>167</v>
      </c>
      <c r="AQ138" s="42" t="s">
        <v>168</v>
      </c>
      <c r="AR138" s="12" t="s">
        <v>195</v>
      </c>
      <c r="AS138" s="12" t="s">
        <v>196</v>
      </c>
      <c r="AT138" s="12" t="s">
        <v>197</v>
      </c>
      <c r="AU138" s="12" t="s">
        <v>198</v>
      </c>
      <c r="AV138" s="42" t="s">
        <v>199</v>
      </c>
    </row>
    <row r="139" spans="2:48" s="23" customFormat="1" outlineLevel="1" x14ac:dyDescent="0.3">
      <c r="B139" s="200" t="s">
        <v>169</v>
      </c>
      <c r="C139" s="201"/>
      <c r="D139" s="27"/>
      <c r="E139" s="27"/>
      <c r="F139" s="27"/>
      <c r="G139" s="27"/>
      <c r="H139" s="29"/>
      <c r="I139" s="27"/>
      <c r="J139" s="27"/>
      <c r="K139" s="27"/>
      <c r="L139" s="113"/>
      <c r="M139" s="137"/>
      <c r="N139" s="113"/>
      <c r="O139" s="113"/>
      <c r="P139" s="113"/>
      <c r="Q139" s="113"/>
      <c r="R139" s="29"/>
      <c r="S139" s="113"/>
      <c r="T139" s="113"/>
      <c r="U139" s="113"/>
      <c r="V139" s="113"/>
      <c r="W139" s="137"/>
      <c r="X139" s="113"/>
      <c r="Y139" s="113"/>
      <c r="Z139" s="113"/>
      <c r="AA139" s="113"/>
      <c r="AB139" s="137">
        <f>(AB91+AB58)/(W83+W74+W50+W41)</f>
        <v>6.9998872350022556E-2</v>
      </c>
      <c r="AC139" s="113"/>
      <c r="AD139" s="113"/>
      <c r="AE139" s="113"/>
      <c r="AF139" s="113"/>
      <c r="AG139" s="137">
        <f>(AG91+AG58)/(AB83+AB74+AB50+AB41)</f>
        <v>7.0003952048478466E-2</v>
      </c>
      <c r="AH139" s="113"/>
      <c r="AI139" s="113"/>
      <c r="AJ139" s="113"/>
      <c r="AK139" s="113"/>
      <c r="AL139" s="406">
        <f>(AL91+AL58)/(AG83+AG74+AG50+AG41)</f>
        <v>7.0003939722249581E-2</v>
      </c>
      <c r="AM139" s="113"/>
      <c r="AN139" s="113"/>
      <c r="AO139" s="113"/>
      <c r="AP139" s="113"/>
      <c r="AQ139" s="137">
        <f>(AQ91+AQ58)/(AL83+AL74+AL50+AL41)</f>
        <v>2.9271660338280981E-2</v>
      </c>
      <c r="AR139" s="113"/>
      <c r="AS139" s="113"/>
      <c r="AT139" s="113"/>
      <c r="AU139" s="113"/>
      <c r="AV139" s="137">
        <f>(AV91+AV58)/(AQ83+AQ74+AQ50+AQ41)</f>
        <v>2.8439197799986587E-2</v>
      </c>
    </row>
    <row r="140" spans="2:48" s="23" customFormat="1" outlineLevel="1" x14ac:dyDescent="0.3">
      <c r="B140" s="486" t="s">
        <v>17</v>
      </c>
      <c r="C140" s="487"/>
      <c r="D140" s="30"/>
      <c r="E140" s="30"/>
      <c r="F140" s="30"/>
      <c r="G140" s="30"/>
      <c r="H140" s="137"/>
      <c r="I140" s="30">
        <f t="shared" ref="I140:AV140" si="603">I8/D8-1</f>
        <v>7.0016735266180907E-2</v>
      </c>
      <c r="J140" s="30">
        <f t="shared" si="603"/>
        <v>-4.9192026514851106E-2</v>
      </c>
      <c r="K140" s="30">
        <f t="shared" si="603"/>
        <v>-0.38119595485856661</v>
      </c>
      <c r="L140" s="113">
        <f t="shared" si="603"/>
        <v>-8.061360604713208E-2</v>
      </c>
      <c r="M140" s="128">
        <f t="shared" si="603"/>
        <v>-0.11281621813298315</v>
      </c>
      <c r="N140" s="30">
        <f t="shared" si="603"/>
        <v>-4.8991841738174613E-2</v>
      </c>
      <c r="O140" s="30">
        <f t="shared" si="603"/>
        <v>0.11213036009139876</v>
      </c>
      <c r="P140" s="30">
        <f t="shared" si="603"/>
        <v>0.77553823926482068</v>
      </c>
      <c r="Q140" s="30">
        <f t="shared" si="603"/>
        <v>0.31332720736405983</v>
      </c>
      <c r="R140" s="128">
        <f t="shared" si="603"/>
        <v>0.23567480227910509</v>
      </c>
      <c r="S140" s="30">
        <f t="shared" si="603"/>
        <v>0.19275787477405393</v>
      </c>
      <c r="T140" s="30">
        <f t="shared" si="603"/>
        <v>0.14511097780443905</v>
      </c>
      <c r="U140" s="30">
        <f t="shared" si="603"/>
        <v>8.7187354098579473E-2</v>
      </c>
      <c r="V140" s="30">
        <f t="shared" si="603"/>
        <v>1.7311112342031532E-2</v>
      </c>
      <c r="W140" s="28">
        <f t="shared" si="603"/>
        <v>0.10540829986018285</v>
      </c>
      <c r="X140" s="30">
        <f t="shared" si="603"/>
        <v>7.6754201778171938E-2</v>
      </c>
      <c r="Y140" s="30">
        <f t="shared" si="603"/>
        <v>9.9189810156881997E-2</v>
      </c>
      <c r="Z140" s="30">
        <f t="shared" si="603"/>
        <v>0.12769268581558646</v>
      </c>
      <c r="AA140" s="30">
        <f t="shared" si="603"/>
        <v>0.13409328144002286</v>
      </c>
      <c r="AB140" s="137">
        <f t="shared" si="603"/>
        <v>0.10980361845288167</v>
      </c>
      <c r="AC140" s="30">
        <f t="shared" si="603"/>
        <v>0.1232033628528193</v>
      </c>
      <c r="AD140" s="30">
        <f t="shared" si="603"/>
        <v>9.6779586167275777E-2</v>
      </c>
      <c r="AE140" s="30">
        <f t="shared" si="603"/>
        <v>9.7725809081055992E-2</v>
      </c>
      <c r="AF140" s="30">
        <f t="shared" si="603"/>
        <v>0.10107467513140889</v>
      </c>
      <c r="AG140" s="137">
        <f t="shared" si="603"/>
        <v>0.10458061605690805</v>
      </c>
      <c r="AH140" s="30">
        <f t="shared" si="603"/>
        <v>0.11523267400076009</v>
      </c>
      <c r="AI140" s="30">
        <f t="shared" si="603"/>
        <v>0.1143824870888952</v>
      </c>
      <c r="AJ140" s="30">
        <f t="shared" si="603"/>
        <v>0.11509230734132658</v>
      </c>
      <c r="AK140" s="30">
        <f t="shared" si="603"/>
        <v>0.11745003229436946</v>
      </c>
      <c r="AL140" s="406">
        <f t="shared" si="603"/>
        <v>0.11558070350478378</v>
      </c>
      <c r="AM140" s="30">
        <f t="shared" si="603"/>
        <v>0.10010830769738077</v>
      </c>
      <c r="AN140" s="30">
        <f t="shared" si="603"/>
        <v>9.4535712744858724E-2</v>
      </c>
      <c r="AO140" s="30">
        <f t="shared" si="603"/>
        <v>9.0539328856082291E-2</v>
      </c>
      <c r="AP140" s="30">
        <f t="shared" si="603"/>
        <v>8.7270188651159986E-2</v>
      </c>
      <c r="AQ140" s="28">
        <f t="shared" si="603"/>
        <v>9.2977040108612963E-2</v>
      </c>
      <c r="AR140" s="30">
        <f t="shared" si="603"/>
        <v>6.504221511172692E-2</v>
      </c>
      <c r="AS140" s="30">
        <f t="shared" si="603"/>
        <v>6.4273236399094102E-2</v>
      </c>
      <c r="AT140" s="30">
        <f t="shared" si="603"/>
        <v>6.4051834273006314E-2</v>
      </c>
      <c r="AU140" s="30">
        <f t="shared" si="603"/>
        <v>6.4350905639830147E-2</v>
      </c>
      <c r="AV140" s="28">
        <f t="shared" si="603"/>
        <v>6.4428308255169764E-2</v>
      </c>
    </row>
    <row r="141" spans="2:48" s="23" customFormat="1" outlineLevel="1" x14ac:dyDescent="0.3">
      <c r="B141" s="486" t="s">
        <v>4</v>
      </c>
      <c r="C141" s="487"/>
      <c r="D141" s="27">
        <f t="shared" ref="D141:AV141" si="604">D17/D8</f>
        <v>0.15313522396610738</v>
      </c>
      <c r="E141" s="27">
        <f t="shared" si="604"/>
        <v>0.13601547756862614</v>
      </c>
      <c r="F141" s="27">
        <f t="shared" si="604"/>
        <v>0.16434119888612064</v>
      </c>
      <c r="G141" s="27">
        <f t="shared" si="604"/>
        <v>0.16054542759745088</v>
      </c>
      <c r="H141" s="29">
        <f t="shared" si="604"/>
        <v>0.15383309567461143</v>
      </c>
      <c r="I141" s="27">
        <f t="shared" si="604"/>
        <v>0.1718730185568752</v>
      </c>
      <c r="J141" s="27">
        <f t="shared" si="604"/>
        <v>8.1291592307820446E-2</v>
      </c>
      <c r="K141" s="27">
        <f t="shared" si="604"/>
        <v>-0.16671798394164022</v>
      </c>
      <c r="L141" s="113">
        <f t="shared" si="604"/>
        <v>9.0003385404072211E-2</v>
      </c>
      <c r="M141" s="137">
        <f t="shared" si="604"/>
        <v>6.6400204098988183E-2</v>
      </c>
      <c r="N141" s="27">
        <f t="shared" si="604"/>
        <v>0.13534536403235845</v>
      </c>
      <c r="O141" s="27">
        <f t="shared" si="604"/>
        <v>0.14811037792441512</v>
      </c>
      <c r="P141" s="27">
        <f t="shared" si="604"/>
        <v>0.19858600680317468</v>
      </c>
      <c r="Q141" s="27">
        <f t="shared" si="604"/>
        <v>0.18193869910515911</v>
      </c>
      <c r="R141" s="137">
        <f t="shared" si="604"/>
        <v>0.16764966999993108</v>
      </c>
      <c r="S141" s="27">
        <f t="shared" si="604"/>
        <v>0.14630328927755143</v>
      </c>
      <c r="T141" s="27">
        <f t="shared" si="604"/>
        <v>0.12427314159987431</v>
      </c>
      <c r="U141" s="27">
        <f t="shared" si="604"/>
        <v>0.15895510484533926</v>
      </c>
      <c r="V141" s="27">
        <f t="shared" si="604"/>
        <v>0.13355692927238058</v>
      </c>
      <c r="W141" s="137">
        <f t="shared" si="604"/>
        <v>0.14098828754353226</v>
      </c>
      <c r="X141" s="27">
        <f t="shared" si="604"/>
        <v>0.13347713167777689</v>
      </c>
      <c r="Y141" s="27">
        <f t="shared" si="604"/>
        <v>0.13194556206335736</v>
      </c>
      <c r="Z141" s="27">
        <f t="shared" si="604"/>
        <v>0.15421637128277246</v>
      </c>
      <c r="AA141" s="27">
        <f t="shared" si="604"/>
        <v>0.16270303962190427</v>
      </c>
      <c r="AB141" s="137">
        <f t="shared" si="604"/>
        <v>0.14616822415377001</v>
      </c>
      <c r="AC141" s="27">
        <f t="shared" si="604"/>
        <v>0.16046384030410779</v>
      </c>
      <c r="AD141" s="27">
        <f t="shared" si="604"/>
        <v>0.14098318044584443</v>
      </c>
      <c r="AE141" s="27">
        <f t="shared" si="604"/>
        <v>0.15863330030149353</v>
      </c>
      <c r="AF141" s="27">
        <f t="shared" si="604"/>
        <v>0.15296267175965017</v>
      </c>
      <c r="AG141" s="137">
        <f t="shared" si="604"/>
        <v>0.15346979150745824</v>
      </c>
      <c r="AH141" s="27">
        <f t="shared" si="604"/>
        <v>0.16765881222138554</v>
      </c>
      <c r="AI141" s="27">
        <f t="shared" si="604"/>
        <v>0.14900308003670257</v>
      </c>
      <c r="AJ141" s="27">
        <f t="shared" si="604"/>
        <v>0.17256969523975174</v>
      </c>
      <c r="AK141" s="27">
        <f t="shared" si="604"/>
        <v>0.16116962845255084</v>
      </c>
      <c r="AL141" s="29">
        <f t="shared" si="604"/>
        <v>0.16285196702347426</v>
      </c>
      <c r="AM141" s="27">
        <f t="shared" si="604"/>
        <v>0.17071333009376852</v>
      </c>
      <c r="AN141" s="27">
        <f t="shared" si="604"/>
        <v>0.15195721773693538</v>
      </c>
      <c r="AO141" s="27">
        <f t="shared" si="604"/>
        <v>0.17407476321897988</v>
      </c>
      <c r="AP141" s="27">
        <f t="shared" si="604"/>
        <v>0.16233048423636245</v>
      </c>
      <c r="AQ141" s="29">
        <f t="shared" si="604"/>
        <v>0.16499111511374623</v>
      </c>
      <c r="AR141" s="27">
        <f t="shared" si="604"/>
        <v>0.17041518507947218</v>
      </c>
      <c r="AS141" s="27">
        <f t="shared" si="604"/>
        <v>0.15172011306933661</v>
      </c>
      <c r="AT141" s="27">
        <f t="shared" si="604"/>
        <v>0.1737132605018861</v>
      </c>
      <c r="AU141" s="27">
        <f t="shared" si="604"/>
        <v>0.16213343250470003</v>
      </c>
      <c r="AV141" s="29">
        <f t="shared" si="604"/>
        <v>0.16471802455176912</v>
      </c>
    </row>
    <row r="142" spans="2:48" s="23" customFormat="1" outlineLevel="1" x14ac:dyDescent="0.3">
      <c r="B142" s="486" t="s">
        <v>77</v>
      </c>
      <c r="C142" s="487"/>
      <c r="D142" s="27">
        <f t="shared" ref="D142:AV142" si="605">+D19/D8</f>
        <v>0.17394123056975294</v>
      </c>
      <c r="E142" s="27">
        <f t="shared" si="605"/>
        <v>0.15843892227913536</v>
      </c>
      <c r="F142" s="27">
        <f t="shared" si="605"/>
        <v>0.18270555474131628</v>
      </c>
      <c r="G142" s="27">
        <f t="shared" si="605"/>
        <v>0.17201719282644154</v>
      </c>
      <c r="H142" s="29">
        <f t="shared" si="605"/>
        <v>0.17201964645435841</v>
      </c>
      <c r="I142" s="27">
        <f t="shared" si="605"/>
        <v>0.1819616463062376</v>
      </c>
      <c r="J142" s="27">
        <f t="shared" si="605"/>
        <v>9.2432910252347358E-2</v>
      </c>
      <c r="K142" s="27">
        <f t="shared" si="605"/>
        <v>-0.12558205632268285</v>
      </c>
      <c r="L142" s="113">
        <f t="shared" si="605"/>
        <v>0.13183730715287523</v>
      </c>
      <c r="M142" s="137">
        <f t="shared" si="605"/>
        <v>9.0704141508631861E-2</v>
      </c>
      <c r="N142" s="27">
        <f t="shared" si="605"/>
        <v>0.15533232583637069</v>
      </c>
      <c r="O142" s="27">
        <f t="shared" si="605"/>
        <v>0.1613377324535093</v>
      </c>
      <c r="P142" s="27">
        <f t="shared" si="605"/>
        <v>0.20548255852731262</v>
      </c>
      <c r="Q142" s="27">
        <f t="shared" si="605"/>
        <v>0.19607939411049871</v>
      </c>
      <c r="R142" s="137">
        <f t="shared" si="605"/>
        <v>0.18106990220435909</v>
      </c>
      <c r="S142" s="27">
        <f t="shared" si="605"/>
        <v>0.15067574282023255</v>
      </c>
      <c r="T142" s="27">
        <f t="shared" si="605"/>
        <v>0.13049400178113052</v>
      </c>
      <c r="U142" s="27">
        <f t="shared" si="605"/>
        <v>0.16846419062342788</v>
      </c>
      <c r="V142" s="420">
        <f t="shared" si="605"/>
        <v>0.1473122062267615</v>
      </c>
      <c r="W142" s="137">
        <f t="shared" si="605"/>
        <v>0.14952400739153818</v>
      </c>
      <c r="X142" s="27">
        <f t="shared" si="605"/>
        <v>0.14662849623084973</v>
      </c>
      <c r="Y142" s="27">
        <f t="shared" si="605"/>
        <v>0.13957098806581647</v>
      </c>
      <c r="Z142" s="27">
        <f t="shared" si="605"/>
        <v>0.16117985032565263</v>
      </c>
      <c r="AA142" s="27">
        <f t="shared" si="605"/>
        <v>0.16951223325059214</v>
      </c>
      <c r="AB142" s="137">
        <f t="shared" si="605"/>
        <v>0.15475139964473331</v>
      </c>
      <c r="AC142" s="27">
        <f t="shared" si="605"/>
        <v>0.16703720221648782</v>
      </c>
      <c r="AD142" s="27">
        <f t="shared" si="605"/>
        <v>0.1479357405578596</v>
      </c>
      <c r="AE142" s="27">
        <f t="shared" si="605"/>
        <v>0.16497685074485019</v>
      </c>
      <c r="AF142" s="27">
        <f t="shared" si="605"/>
        <v>0.15914680602636122</v>
      </c>
      <c r="AG142" s="137">
        <f t="shared" si="605"/>
        <v>0.15997062606058532</v>
      </c>
      <c r="AH142" s="27">
        <f t="shared" si="605"/>
        <v>0.1735529740995512</v>
      </c>
      <c r="AI142" s="27">
        <f t="shared" si="605"/>
        <v>0.15524201522508424</v>
      </c>
      <c r="AJ142" s="27">
        <f t="shared" si="605"/>
        <v>0.17825850718975195</v>
      </c>
      <c r="AK142" s="27">
        <f t="shared" si="605"/>
        <v>0.16670377681533147</v>
      </c>
      <c r="AL142" s="406">
        <f t="shared" si="605"/>
        <v>0.16867927699101279</v>
      </c>
      <c r="AM142" s="27">
        <f t="shared" si="605"/>
        <v>0.17607113153652154</v>
      </c>
      <c r="AN142" s="27">
        <f t="shared" si="605"/>
        <v>0.15765729231260706</v>
      </c>
      <c r="AO142" s="27">
        <f t="shared" si="605"/>
        <v>0.17929127563579245</v>
      </c>
      <c r="AP142" s="27">
        <f t="shared" si="605"/>
        <v>0.16742043190580616</v>
      </c>
      <c r="AQ142" s="29">
        <f t="shared" si="605"/>
        <v>0.17032270924033413</v>
      </c>
      <c r="AR142" s="27">
        <f t="shared" si="605"/>
        <v>0.17544578515027875</v>
      </c>
      <c r="AS142" s="27">
        <f t="shared" si="605"/>
        <v>0.15707595063127469</v>
      </c>
      <c r="AT142" s="27">
        <f t="shared" si="605"/>
        <v>0.17861575890355152</v>
      </c>
      <c r="AU142" s="27">
        <f t="shared" si="605"/>
        <v>0.16691564074304782</v>
      </c>
      <c r="AV142" s="29">
        <f t="shared" si="605"/>
        <v>0.16972690498574364</v>
      </c>
    </row>
    <row r="143" spans="2:48" s="23" customFormat="1" outlineLevel="1" x14ac:dyDescent="0.3">
      <c r="B143" s="486" t="s">
        <v>2</v>
      </c>
      <c r="C143" s="487"/>
      <c r="D143" s="27">
        <f t="shared" ref="D143:K143" si="606">D24/D23</f>
        <v>0.2124287933713101</v>
      </c>
      <c r="E143" s="27">
        <f t="shared" si="606"/>
        <v>0.1965853658536586</v>
      </c>
      <c r="F143" s="27">
        <f t="shared" si="606"/>
        <v>0.18110799689903978</v>
      </c>
      <c r="G143" s="118">
        <f t="shared" si="606"/>
        <v>0.20083682008368189</v>
      </c>
      <c r="H143" s="137">
        <f t="shared" si="606"/>
        <v>0.19515471765706843</v>
      </c>
      <c r="I143" s="118">
        <f t="shared" si="606"/>
        <v>0.22600104913446431</v>
      </c>
      <c r="J143" s="118">
        <f t="shared" si="606"/>
        <v>0.16760635571501836</v>
      </c>
      <c r="K143" s="118">
        <f t="shared" si="606"/>
        <v>0.16490147783251249</v>
      </c>
      <c r="L143" s="118">
        <v>0.25</v>
      </c>
      <c r="M143" s="137">
        <f t="shared" ref="M143:U143" si="607">M24/M23</f>
        <v>0.20585709378220463</v>
      </c>
      <c r="N143" s="118">
        <f t="shared" si="607"/>
        <v>0.23023629840405785</v>
      </c>
      <c r="O143" s="118">
        <f t="shared" si="607"/>
        <v>0.25901786717608721</v>
      </c>
      <c r="P143" s="118">
        <f t="shared" si="607"/>
        <v>0.18217246510309659</v>
      </c>
      <c r="Q143" s="118">
        <f t="shared" si="607"/>
        <v>0.21489588894821143</v>
      </c>
      <c r="R143" s="137">
        <f t="shared" si="607"/>
        <v>0.21591906068581893</v>
      </c>
      <c r="S143" s="118">
        <f t="shared" si="607"/>
        <v>0.23183358433734938</v>
      </c>
      <c r="T143" s="118">
        <f t="shared" si="607"/>
        <v>0.22954000684853323</v>
      </c>
      <c r="U143" s="118">
        <f t="shared" si="607"/>
        <v>0.23360174467371256</v>
      </c>
      <c r="V143" s="35">
        <v>0.24</v>
      </c>
      <c r="W143" s="137">
        <f>W24/W23</f>
        <v>0.23384710457777375</v>
      </c>
      <c r="X143" s="35">
        <v>0.245</v>
      </c>
      <c r="Y143" s="35">
        <v>0.245</v>
      </c>
      <c r="Z143" s="35">
        <v>0.245</v>
      </c>
      <c r="AA143" s="35">
        <v>0.245</v>
      </c>
      <c r="AB143" s="137">
        <f>AB24/AB23</f>
        <v>0.24499999999999991</v>
      </c>
      <c r="AC143" s="34">
        <f>AVERAGE(X143,Y143,Z143,AA143)</f>
        <v>0.245</v>
      </c>
      <c r="AD143" s="34">
        <f>AVERAGE(Y143,Z143,AA143,AC143)</f>
        <v>0.245</v>
      </c>
      <c r="AE143" s="34">
        <f>AVERAGE(Z143,AA143,AC143,AD143)</f>
        <v>0.245</v>
      </c>
      <c r="AF143" s="34">
        <f>AVERAGE(AA143,AC143,AD143,AE143)</f>
        <v>0.245</v>
      </c>
      <c r="AG143" s="29">
        <f>AG24/AG23</f>
        <v>0.24499999999999988</v>
      </c>
      <c r="AH143" s="34">
        <f>AVERAGE(AC143,AD143,AE143,AF143)</f>
        <v>0.245</v>
      </c>
      <c r="AI143" s="34">
        <f>AVERAGE(AD143,AE143,AF143,AH143)</f>
        <v>0.245</v>
      </c>
      <c r="AJ143" s="34">
        <f>AVERAGE(AE143,AF143,AH143,AI143)</f>
        <v>0.245</v>
      </c>
      <c r="AK143" s="34">
        <f>AVERAGE(AF143,AH143,AI143,AJ143)</f>
        <v>0.245</v>
      </c>
      <c r="AL143" s="29">
        <f>AL24/AL23</f>
        <v>0.24500000000000008</v>
      </c>
      <c r="AM143" s="34">
        <f>AVERAGE(AH143,AI143,AJ143,AK143)</f>
        <v>0.245</v>
      </c>
      <c r="AN143" s="34">
        <f>AVERAGE(AI143,AJ143,AK143,AM143)</f>
        <v>0.245</v>
      </c>
      <c r="AO143" s="34">
        <f>AVERAGE(AJ143,AK143,AM143,AN143)</f>
        <v>0.245</v>
      </c>
      <c r="AP143" s="34">
        <f>AVERAGE(AK143,AM143,AN143,AO143)</f>
        <v>0.245</v>
      </c>
      <c r="AQ143" s="29">
        <f>AQ24/AQ23</f>
        <v>0.24499999999999994</v>
      </c>
      <c r="AR143" s="34">
        <f>AVERAGE(AM143,AN143,AO143,AP143)</f>
        <v>0.245</v>
      </c>
      <c r="AS143" s="34">
        <f>AVERAGE(AN143,AO143,AP143,AR143)</f>
        <v>0.245</v>
      </c>
      <c r="AT143" s="34">
        <f>AVERAGE(AO143,AP143,AR143,AS143)</f>
        <v>0.245</v>
      </c>
      <c r="AU143" s="34">
        <f>AVERAGE(AP143,AR143,AS143,AT143)</f>
        <v>0.245</v>
      </c>
      <c r="AV143" s="29">
        <f>AV24/AV23</f>
        <v>0.24499999999999958</v>
      </c>
    </row>
    <row r="144" spans="2:48" s="23" customFormat="1" outlineLevel="1" x14ac:dyDescent="0.3">
      <c r="B144" s="486" t="s">
        <v>78</v>
      </c>
      <c r="C144" s="487"/>
      <c r="D144" s="27"/>
      <c r="E144" s="27">
        <f>+E21/(('BS 3Q2022'!E6+'BS 3Q2022'!E7+'BS 3Q2022'!E12)+('BS 3Q2022'!D6+'BS 3Q2022'!D7+'BS 3Q2022'!D12)/2)</f>
        <v>3.0327214684756584E-3</v>
      </c>
      <c r="F144" s="27">
        <f>+F21/(('BS 3Q2022'!F6+'BS 3Q2022'!F7+'BS 3Q2022'!F12)+('BS 3Q2022'!E6+'BS 3Q2022'!E7+'BS 3Q2022'!E12)/2)</f>
        <v>6.4321029136466161E-3</v>
      </c>
      <c r="G144" s="27">
        <f>+G21/(('BS 3Q2022'!G6+'BS 3Q2022'!G7+'BS 3Q2022'!G12)+('BS 3Q2022'!F6+'BS 3Q2022'!F7+'BS 3Q2022'!F12)/2)</f>
        <v>2.9603261807251862E-3</v>
      </c>
      <c r="H144" s="29"/>
      <c r="I144" s="27">
        <f>+I21/(('BS 3Q2022'!I6+'BS 3Q2022'!I7+'BS 3Q2022'!I12)+('BS 3Q2022'!G6+'BS 3Q2022'!G7+'BS 3Q2022'!G12)/2)</f>
        <v>3.3143988743550958E-3</v>
      </c>
      <c r="J144" s="27">
        <f>+J21/(('BS 3Q2022'!J6+'BS 3Q2022'!J7+'BS 3Q2022'!J12)+('BS 3Q2022'!I6+'BS 3Q2022'!I7+'BS 3Q2022'!I12)/2)</f>
        <v>4.4659305324505627E-4</v>
      </c>
      <c r="K144" s="27">
        <f>+K21/(('BS 3Q2022'!K6+'BS 3Q2022'!K7+'BS 3Q2022'!K12)+('BS 3Q2022'!J6+'BS 3Q2022'!J7+'BS 3Q2022'!J12)/2)</f>
        <v>2.1779393606804753E-3</v>
      </c>
      <c r="L144" s="27">
        <f>+L21/(('BS 3Q2022'!L6+'BS 3Q2022'!L7+'BS 3Q2022'!L12)+('BS 3Q2022'!K6+'BS 3Q2022'!K7+'BS 3Q2022'!K12)/2)</f>
        <v>1.2911830642186198E-3</v>
      </c>
      <c r="M144" s="29"/>
      <c r="N144" s="27">
        <f>+N21/(('BS 3Q2022'!N6+'BS 3Q2022'!N7+'BS 3Q2022'!N12)+('BS 3Q2022'!L6+'BS 3Q2022'!L7+'BS 3Q2022'!L12)/2)</f>
        <v>1.9686289451959073E-3</v>
      </c>
      <c r="O144" s="27">
        <f>+O21/(('BS 3Q2022'!O6+'BS 3Q2022'!O7+'BS 3Q2022'!O12)+('BS 3Q2022'!N6+'BS 3Q2022'!N7+'BS 3Q2022'!N12)/2)</f>
        <v>2.465933063458573E-3</v>
      </c>
      <c r="P144" s="27">
        <f>+P21/(('BS 3Q2022'!P6+'BS 3Q2022'!P7+'BS 3Q2022'!P12)+('BS 3Q2022'!O6+'BS 3Q2022'!O7+'BS 3Q2022'!O12)/2)</f>
        <v>4.9067713444553383E-3</v>
      </c>
      <c r="Q144" s="27">
        <f>+Q21/(('BS 3Q2022'!Q6+'BS 3Q2022'!Q7+'BS 3Q2022'!Q12)+('BS 3Q2022'!P6+'BS 3Q2022'!P7+'BS 3Q2022'!P12)/2)</f>
        <v>2.2641350477574504E-3</v>
      </c>
      <c r="R144" s="137"/>
      <c r="S144" s="27">
        <f>+S21/(('BS 3Q2022'!S6+'BS 3Q2022'!S7+'BS 3Q2022'!S12)+('BS 3Q2022'!Q6+'BS 3Q2022'!Q7+'BS 3Q2022'!Q12)/2)</f>
        <v>-1.2810330250313835E-5</v>
      </c>
      <c r="T144" s="27">
        <f>+T21/(('BS 3Q2022'!T6+'BS 3Q2022'!T7+'BS 3Q2022'!T12)+('BS 3Q2022'!S6+'BS 3Q2022'!S7+'BS 3Q2022'!S12)/2)</f>
        <v>7.1679593764030023E-3</v>
      </c>
      <c r="U144" s="27">
        <f>+U21/(('BS 3Q2022'!U6+'BS 3Q2022'!U7+'BS 3Q2022'!U12)+('BS 3Q2022'!T6+'BS 3Q2022'!T7+'BS 3Q2022'!T12)/2)</f>
        <v>3.4813492865871276E-3</v>
      </c>
      <c r="V144" s="35">
        <f>U144+0.25%</f>
        <v>5.9813492865871277E-3</v>
      </c>
      <c r="W144" s="137"/>
      <c r="X144" s="35">
        <f>V144+0.25%</f>
        <v>8.4813492865871282E-3</v>
      </c>
      <c r="Y144" s="35">
        <f>X144+0.5%</f>
        <v>1.3481349286587129E-2</v>
      </c>
      <c r="Z144" s="35">
        <f>Y144</f>
        <v>1.3481349286587129E-2</v>
      </c>
      <c r="AA144" s="35">
        <f>Z144-0.5%</f>
        <v>8.4813492865871282E-3</v>
      </c>
      <c r="AB144" s="137"/>
      <c r="AC144" s="35">
        <f>AA144</f>
        <v>8.4813492865871282E-3</v>
      </c>
      <c r="AD144" s="35">
        <f>AC144</f>
        <v>8.4813492865871282E-3</v>
      </c>
      <c r="AE144" s="35">
        <f>AD144</f>
        <v>8.4813492865871282E-3</v>
      </c>
      <c r="AF144" s="35">
        <f>AE144</f>
        <v>8.4813492865871282E-3</v>
      </c>
      <c r="AG144" s="29"/>
      <c r="AH144" s="35">
        <f>AF144</f>
        <v>8.4813492865871282E-3</v>
      </c>
      <c r="AI144" s="35">
        <f>AH144</f>
        <v>8.4813492865871282E-3</v>
      </c>
      <c r="AJ144" s="35">
        <f>AI144</f>
        <v>8.4813492865871282E-3</v>
      </c>
      <c r="AK144" s="35">
        <f>AJ144</f>
        <v>8.4813492865871282E-3</v>
      </c>
      <c r="AL144" s="29"/>
      <c r="AM144" s="35">
        <f>AK144</f>
        <v>8.4813492865871282E-3</v>
      </c>
      <c r="AN144" s="35">
        <f t="shared" ref="AN144:AP145" si="608">AM144</f>
        <v>8.4813492865871282E-3</v>
      </c>
      <c r="AO144" s="35">
        <f t="shared" si="608"/>
        <v>8.4813492865871282E-3</v>
      </c>
      <c r="AP144" s="35">
        <f t="shared" si="608"/>
        <v>8.4813492865871282E-3</v>
      </c>
      <c r="AQ144" s="29"/>
      <c r="AR144" s="35">
        <f>AP144</f>
        <v>8.4813492865871282E-3</v>
      </c>
      <c r="AS144" s="35">
        <f t="shared" ref="AS144:AU145" si="609">AR144</f>
        <v>8.4813492865871282E-3</v>
      </c>
      <c r="AT144" s="35">
        <f t="shared" si="609"/>
        <v>8.4813492865871282E-3</v>
      </c>
      <c r="AU144" s="35">
        <f t="shared" si="609"/>
        <v>8.4813492865871282E-3</v>
      </c>
      <c r="AV144" s="29"/>
    </row>
    <row r="145" spans="2:48" s="23" customFormat="1" outlineLevel="1" x14ac:dyDescent="0.3">
      <c r="B145" s="486" t="s">
        <v>79</v>
      </c>
      <c r="C145" s="487"/>
      <c r="D145" s="27"/>
      <c r="E145" s="215">
        <f>-E22/(((('BS 3Q2022'!E28+'BS 3Q2022'!E31)+('BS 3Q2022'!D28+'BS 3Q2022'!D31))/2))</f>
        <v>8.0557251242696429E-3</v>
      </c>
      <c r="F145" s="215">
        <f>-F22/(((('BS 3Q2022'!F28+'BS 3Q2022'!F31)+('BS 3Q2022'!E28+'BS 3Q2022'!E31))/2))</f>
        <v>8.4807318557490342E-3</v>
      </c>
      <c r="G145" s="215">
        <f>-G22/(((('BS 3Q2022'!G28+'BS 3Q2022'!G31)+('BS 3Q2022'!F28+'BS 3Q2022'!F31))/2))</f>
        <v>8.572925858076421E-3</v>
      </c>
      <c r="H145" s="29"/>
      <c r="I145" s="215">
        <f>-I22/(((('BS 3Q2022'!I28+'BS 3Q2022'!I31)+('BS 3Q2022'!G28+'BS 3Q2022'!G31))/2))</f>
        <v>8.0554679008449908E-3</v>
      </c>
      <c r="J145" s="215">
        <f>-J22/(((('BS 3Q2022'!J28+'BS 3Q2022'!J31)+('BS 3Q2022'!I28+'BS 3Q2022'!I31))/2))</f>
        <v>7.730372102084551E-3</v>
      </c>
      <c r="K145" s="215">
        <f>-K22/(((('BS 3Q2022'!K28+'BS 3Q2022'!K31)+('BS 3Q2022'!J28+'BS 3Q2022'!J31))/2))</f>
        <v>7.8322294946980078E-3</v>
      </c>
      <c r="L145" s="215">
        <f>-L22/(((('BS 3Q2022'!L28+'BS 3Q2022'!L31)+('BS 3Q2022'!K28+'BS 3Q2022'!K31))/2))</f>
        <v>7.5346594333936109E-3</v>
      </c>
      <c r="M145" s="29"/>
      <c r="N145" s="215">
        <f>-N22/(((('BS 3Q2022'!N28+'BS 3Q2022'!N31)+('BS 3Q2022'!L28+'BS 3Q2022'!L31))/2))</f>
        <v>7.481930548840208E-3</v>
      </c>
      <c r="O145" s="215">
        <f>-O22/(((('BS 3Q2022'!O28+'BS 3Q2022'!O31)+('BS 3Q2022'!N28+'BS 3Q2022'!N31))/2))</f>
        <v>7.5250206938069089E-3</v>
      </c>
      <c r="P145" s="215">
        <f>-P22/(((('BS 3Q2022'!P28+'BS 3Q2022'!P31)+('BS 3Q2022'!O28+'BS 3Q2022'!O31))/2))</f>
        <v>7.7494216976973845E-3</v>
      </c>
      <c r="Q145" s="215">
        <f>-Q22/(((('BS 3Q2022'!Q28+'BS 3Q2022'!Q31)+('BS 3Q2022'!P28+'BS 3Q2022'!P31))/2))</f>
        <v>8.2506952544819535E-3</v>
      </c>
      <c r="R145" s="29"/>
      <c r="S145" s="215">
        <f>-S22/(((('BS 3Q2022'!S28+'BS 3Q2022'!S31)+('BS 3Q2022'!Q28+'BS 3Q2022'!Q31))/2))</f>
        <v>7.8431639309692741E-3</v>
      </c>
      <c r="T145" s="215">
        <f>-T22/(((('BS 3Q2022'!T28+'BS 3Q2022'!T31)+('BS 3Q2022'!S28+'BS 3Q2022'!S31))/2))</f>
        <v>7.7341177845746236E-3</v>
      </c>
      <c r="U145" s="215">
        <f>-U22/(((('BS 3Q2022'!U28+'BS 3Q2022'!U31)+('BS 3Q2022'!T28+'BS 3Q2022'!T31))/2))</f>
        <v>7.9054937080361813E-3</v>
      </c>
      <c r="V145" s="35">
        <f>U145</f>
        <v>7.9054937080361813E-3</v>
      </c>
      <c r="W145" s="137"/>
      <c r="X145" s="35">
        <f>V145+0.01%</f>
        <v>8.0054937080361807E-3</v>
      </c>
      <c r="Y145" s="35">
        <f>X145+0.01%</f>
        <v>8.1054937080361801E-3</v>
      </c>
      <c r="Z145" s="35">
        <f t="shared" ref="Z145:AA145" si="610">Y145+0.01%</f>
        <v>8.2054937080361795E-3</v>
      </c>
      <c r="AA145" s="35">
        <f t="shared" si="610"/>
        <v>8.3054937080361789E-3</v>
      </c>
      <c r="AB145" s="137"/>
      <c r="AC145" s="35">
        <f>AA145+0.01%</f>
        <v>8.4054937080361783E-3</v>
      </c>
      <c r="AD145" s="35">
        <f>AC145+0.01%</f>
        <v>8.5054937080361777E-3</v>
      </c>
      <c r="AE145" s="35">
        <f t="shared" ref="AE145:AF145" si="611">AD145+0.01%</f>
        <v>8.6054937080361771E-3</v>
      </c>
      <c r="AF145" s="35">
        <f t="shared" si="611"/>
        <v>8.7054937080361765E-3</v>
      </c>
      <c r="AG145" s="29"/>
      <c r="AH145" s="35">
        <f>AF145+0.01%</f>
        <v>8.8054937080361759E-3</v>
      </c>
      <c r="AI145" s="35">
        <f>AH145+0.01%</f>
        <v>8.9054937080361753E-3</v>
      </c>
      <c r="AJ145" s="35">
        <f t="shared" ref="AJ145:AK145" si="612">AI145+0.01%</f>
        <v>9.0054937080361747E-3</v>
      </c>
      <c r="AK145" s="35">
        <f t="shared" si="612"/>
        <v>9.1054937080361741E-3</v>
      </c>
      <c r="AL145" s="29"/>
      <c r="AM145" s="35">
        <f>AK145</f>
        <v>9.1054937080361741E-3</v>
      </c>
      <c r="AN145" s="35">
        <f t="shared" si="608"/>
        <v>9.1054937080361741E-3</v>
      </c>
      <c r="AO145" s="35">
        <f t="shared" si="608"/>
        <v>9.1054937080361741E-3</v>
      </c>
      <c r="AP145" s="35">
        <f t="shared" si="608"/>
        <v>9.1054937080361741E-3</v>
      </c>
      <c r="AQ145" s="29"/>
      <c r="AR145" s="35">
        <f>AP145</f>
        <v>9.1054937080361741E-3</v>
      </c>
      <c r="AS145" s="35">
        <f t="shared" si="609"/>
        <v>9.1054937080361741E-3</v>
      </c>
      <c r="AT145" s="35">
        <f t="shared" si="609"/>
        <v>9.1054937080361741E-3</v>
      </c>
      <c r="AU145" s="35">
        <f t="shared" si="609"/>
        <v>9.1054937080361741E-3</v>
      </c>
      <c r="AV145" s="29"/>
    </row>
    <row r="146" spans="2:48" s="23" customFormat="1" outlineLevel="1" x14ac:dyDescent="0.3">
      <c r="B146" s="200" t="s">
        <v>186</v>
      </c>
      <c r="C146" s="201"/>
      <c r="D146" s="113"/>
      <c r="E146" s="113"/>
      <c r="F146" s="113"/>
      <c r="G146" s="113"/>
      <c r="H146" s="137"/>
      <c r="I146" s="113">
        <f>I33/D33-1</f>
        <v>0.2254857129231771</v>
      </c>
      <c r="J146" s="113">
        <f t="shared" ref="J146:AV146" si="613">J33/E33-1</f>
        <v>-0.47546772308917484</v>
      </c>
      <c r="K146" s="113">
        <f t="shared" si="613"/>
        <v>-1.5172211898784418</v>
      </c>
      <c r="L146" s="113">
        <f t="shared" si="613"/>
        <v>-0.49266142278343572</v>
      </c>
      <c r="M146" s="137">
        <f t="shared" si="613"/>
        <v>-0.73466371126240593</v>
      </c>
      <c r="N146" s="113">
        <f t="shared" si="613"/>
        <v>-0.292754196932551</v>
      </c>
      <c r="O146" s="113">
        <f t="shared" si="613"/>
        <v>1.0009687774744878</v>
      </c>
      <c r="P146" s="113">
        <f t="shared" si="613"/>
        <v>-2.6748075301104208</v>
      </c>
      <c r="Q146" s="113">
        <f t="shared" si="613"/>
        <v>3.4604705530296798</v>
      </c>
      <c r="R146" s="137">
        <f t="shared" si="613"/>
        <v>3.5714373754781779</v>
      </c>
      <c r="S146" s="113">
        <f t="shared" si="613"/>
        <v>0.31844745711851452</v>
      </c>
      <c r="T146" s="113">
        <f t="shared" si="613"/>
        <v>5.0603007043171555E-2</v>
      </c>
      <c r="U146" s="113">
        <f t="shared" si="613"/>
        <v>-0.18430865147381992</v>
      </c>
      <c r="V146" s="113">
        <f t="shared" si="613"/>
        <v>-0.55234250692993192</v>
      </c>
      <c r="W146" s="137">
        <f t="shared" si="613"/>
        <v>-0.22716128751643805</v>
      </c>
      <c r="X146" s="113">
        <f t="shared" si="613"/>
        <v>7.9550718576035795E-3</v>
      </c>
      <c r="Y146" s="113">
        <f t="shared" si="613"/>
        <v>0.16353283362602267</v>
      </c>
      <c r="Z146" s="113">
        <f t="shared" si="613"/>
        <v>0.10532170917404327</v>
      </c>
      <c r="AA146" s="113">
        <f t="shared" si="613"/>
        <v>0.40634063366669215</v>
      </c>
      <c r="AB146" s="137">
        <f t="shared" si="613"/>
        <v>0.16633183661452011</v>
      </c>
      <c r="AC146" s="113">
        <f t="shared" si="613"/>
        <v>0.37068155117772927</v>
      </c>
      <c r="AD146" s="113">
        <f t="shared" si="613"/>
        <v>0.1586386868546692</v>
      </c>
      <c r="AE146" s="113">
        <f t="shared" si="613"/>
        <v>0.12116751352677335</v>
      </c>
      <c r="AF146" s="113">
        <f t="shared" si="613"/>
        <v>3.7980418684439021E-2</v>
      </c>
      <c r="AG146" s="137">
        <f t="shared" si="613"/>
        <v>0.15943330504785913</v>
      </c>
      <c r="AH146" s="113">
        <f t="shared" si="613"/>
        <v>0.17573761042572644</v>
      </c>
      <c r="AI146" s="113">
        <f t="shared" si="613"/>
        <v>0.19254693827386538</v>
      </c>
      <c r="AJ146" s="113">
        <f t="shared" si="613"/>
        <v>0.275884938296862</v>
      </c>
      <c r="AK146" s="113">
        <f t="shared" si="613"/>
        <v>0.2550969313044078</v>
      </c>
      <c r="AL146" s="137">
        <f t="shared" si="613"/>
        <v>0.22545294054152043</v>
      </c>
      <c r="AM146" s="113">
        <f t="shared" si="613"/>
        <v>0.16962269430049015</v>
      </c>
      <c r="AN146" s="113">
        <f t="shared" si="613"/>
        <v>0.15858912183023421</v>
      </c>
      <c r="AO146" s="113">
        <f t="shared" si="613"/>
        <v>0.10936492041652679</v>
      </c>
      <c r="AP146" s="113">
        <f t="shared" si="613"/>
        <v>8.853589739654133E-2</v>
      </c>
      <c r="AQ146" s="137">
        <f t="shared" si="613"/>
        <v>0.13011183533025883</v>
      </c>
      <c r="AR146" s="113">
        <f t="shared" si="613"/>
        <v>7.8947313314104761E-2</v>
      </c>
      <c r="AS146" s="113">
        <f t="shared" si="613"/>
        <v>8.1577143603831503E-2</v>
      </c>
      <c r="AT146" s="113">
        <f t="shared" si="613"/>
        <v>7.7934408741551886E-2</v>
      </c>
      <c r="AU146" s="113">
        <f t="shared" si="613"/>
        <v>8.0390703464957136E-2</v>
      </c>
      <c r="AV146" s="137">
        <f t="shared" si="613"/>
        <v>7.9604915037411628E-2</v>
      </c>
    </row>
    <row r="147" spans="2:48" s="23" customFormat="1" outlineLevel="1" x14ac:dyDescent="0.3">
      <c r="B147" s="200" t="s">
        <v>139</v>
      </c>
      <c r="C147" s="201"/>
      <c r="D147" s="27"/>
      <c r="E147" s="27"/>
      <c r="F147" s="27"/>
      <c r="G147" s="27"/>
      <c r="H147" s="29"/>
      <c r="I147" s="27">
        <f t="shared" ref="I147:V147" si="614">I34/D34-1</f>
        <v>5.9389868457878192E-2</v>
      </c>
      <c r="J147" s="27">
        <f t="shared" si="614"/>
        <v>-0.47460546003783222</v>
      </c>
      <c r="K147" s="27">
        <f t="shared" si="614"/>
        <v>-1.5922286955663072</v>
      </c>
      <c r="L147" s="113">
        <f t="shared" si="614"/>
        <v>-0.26631134736842188</v>
      </c>
      <c r="M147" s="137">
        <f t="shared" si="614"/>
        <v>-0.59372113780519853</v>
      </c>
      <c r="N147" s="113">
        <f t="shared" si="614"/>
        <v>-0.23228377390823718</v>
      </c>
      <c r="O147" s="113">
        <f t="shared" si="614"/>
        <v>0.96992458477270005</v>
      </c>
      <c r="P147" s="113">
        <f t="shared" si="614"/>
        <v>-3.1776350920116565</v>
      </c>
      <c r="Q147" s="113">
        <f t="shared" si="614"/>
        <v>0.95350602232643134</v>
      </c>
      <c r="R147" s="29">
        <f t="shared" si="614"/>
        <v>1.8162682861720394</v>
      </c>
      <c r="S147" s="113">
        <f t="shared" si="614"/>
        <v>0.18036058258616094</v>
      </c>
      <c r="T147" s="113">
        <f t="shared" si="614"/>
        <v>-5.6546752866856842E-2</v>
      </c>
      <c r="U147" s="113">
        <f t="shared" si="614"/>
        <v>-0.16448812865885809</v>
      </c>
      <c r="V147" s="113">
        <f t="shared" si="614"/>
        <v>-0.26279791380310435</v>
      </c>
      <c r="W147" s="137">
        <f>W34/(R34-0.1-0.04)-1</f>
        <v>-7.1525533573520983E-2</v>
      </c>
      <c r="X147" s="113">
        <f t="shared" ref="X147:AV147" si="615">X34/S34-1</f>
        <v>6.727915242534821E-2</v>
      </c>
      <c r="Y147" s="113">
        <f t="shared" si="615"/>
        <v>0.22773643866843196</v>
      </c>
      <c r="Z147" s="113">
        <f t="shared" si="615"/>
        <v>8.9394667088473767E-2</v>
      </c>
      <c r="AA147" s="113">
        <f t="shared" si="615"/>
        <v>0.32611122579475427</v>
      </c>
      <c r="AB147" s="137">
        <f t="shared" si="615"/>
        <v>0.17253318908414506</v>
      </c>
      <c r="AC147" s="113">
        <f t="shared" si="615"/>
        <v>0.29730041490083137</v>
      </c>
      <c r="AD147" s="113">
        <f t="shared" si="615"/>
        <v>0.14982772973070535</v>
      </c>
      <c r="AE147" s="113">
        <f t="shared" si="615"/>
        <v>0.1158791658328151</v>
      </c>
      <c r="AF147" s="113">
        <f t="shared" si="615"/>
        <v>3.6367204254008412E-2</v>
      </c>
      <c r="AG147" s="137">
        <f t="shared" si="615"/>
        <v>0.14148331506405398</v>
      </c>
      <c r="AH147" s="113">
        <f t="shared" si="615"/>
        <v>0.16882317049873174</v>
      </c>
      <c r="AI147" s="113">
        <f t="shared" si="615"/>
        <v>0.18346735978771633</v>
      </c>
      <c r="AJ147" s="113">
        <f t="shared" si="615"/>
        <v>0.26687639569822519</v>
      </c>
      <c r="AK147" s="113">
        <f t="shared" si="615"/>
        <v>0.24842973471615903</v>
      </c>
      <c r="AL147" s="137">
        <f t="shared" si="615"/>
        <v>0.21757195528166751</v>
      </c>
      <c r="AM147" s="113">
        <f t="shared" si="615"/>
        <v>0.16673694088907975</v>
      </c>
      <c r="AN147" s="113">
        <f t="shared" si="615"/>
        <v>0.1556433660889891</v>
      </c>
      <c r="AO147" s="113">
        <f t="shared" si="615"/>
        <v>0.10733190377074098</v>
      </c>
      <c r="AP147" s="113">
        <f t="shared" si="615"/>
        <v>8.571441169422056E-2</v>
      </c>
      <c r="AQ147" s="29">
        <f t="shared" si="615"/>
        <v>0.12746244873358337</v>
      </c>
      <c r="AR147" s="113">
        <f t="shared" si="615"/>
        <v>7.6624770021764377E-2</v>
      </c>
      <c r="AS147" s="113">
        <f t="shared" si="615"/>
        <v>7.8684245297217403E-2</v>
      </c>
      <c r="AT147" s="113">
        <f t="shared" si="615"/>
        <v>7.5755195670590414E-2</v>
      </c>
      <c r="AU147" s="113">
        <f t="shared" si="615"/>
        <v>7.8029008610370765E-2</v>
      </c>
      <c r="AV147" s="29">
        <f t="shared" si="615"/>
        <v>7.719248614526375E-2</v>
      </c>
    </row>
    <row r="148" spans="2:48" s="23" customFormat="1" outlineLevel="1" x14ac:dyDescent="0.3">
      <c r="B148" s="200" t="s">
        <v>140</v>
      </c>
      <c r="C148" s="201"/>
      <c r="D148" s="27"/>
      <c r="E148" s="27"/>
      <c r="F148" s="27"/>
      <c r="G148" s="27"/>
      <c r="H148" s="29"/>
      <c r="I148" s="27">
        <f>'CFS 3Q2022'!I55</f>
        <v>-0.22820512820512895</v>
      </c>
      <c r="J148" s="27">
        <f>'CFS 3Q2022'!J55</f>
        <v>-4.4869364754098413</v>
      </c>
      <c r="K148" s="27">
        <f>'CFS 3Q2022'!K55</f>
        <v>-1.314434752864716</v>
      </c>
      <c r="L148" s="113">
        <f>'CFS 3Q2022'!L55</f>
        <v>0.34527569713924766</v>
      </c>
      <c r="M148" s="137">
        <f>'CFS 3Q2022'!M55</f>
        <v>-0.68340961778517451</v>
      </c>
      <c r="N148" s="113">
        <f>'CFS 3Q2022'!N55</f>
        <v>-2.1785305811139466E-4</v>
      </c>
      <c r="O148" s="113">
        <f>'CFS 3Q2022'!O55</f>
        <v>-1.649232351428781</v>
      </c>
      <c r="P148" s="113">
        <f>'CFS 3Q2022'!P55</f>
        <v>-5.7565950503127619</v>
      </c>
      <c r="Q148" s="113">
        <f>'CFS 3Q2022'!Q55</f>
        <v>2.012477359629572E-2</v>
      </c>
      <c r="R148" s="29">
        <f>'CFS 3Q2022'!R55</f>
        <v>2.7484040555764064</v>
      </c>
      <c r="S148" s="113">
        <f>'CFS 3Q2022'!S55</f>
        <v>1.9175246499972598E-2</v>
      </c>
      <c r="T148" s="113">
        <f>'CFS 3Q2022'!T55</f>
        <v>-0.81681375876895213</v>
      </c>
      <c r="U148" s="113">
        <f>'CFS 3Q2022'!U55</f>
        <v>-0.27684391080617499</v>
      </c>
      <c r="V148" s="113">
        <f>'CFS 3Q2022'!V55</f>
        <v>-0.12064240558931372</v>
      </c>
      <c r="W148" s="137">
        <f>'CFS 3Q2022'!W55</f>
        <v>-0.22613385864216728</v>
      </c>
      <c r="X148" s="113">
        <f>'CFS 3Q2022'!X55</f>
        <v>-0.10151519278243049</v>
      </c>
      <c r="Y148" s="113">
        <f>'CFS 3Q2022'!Y55</f>
        <v>3.42008860876326</v>
      </c>
      <c r="Z148" s="113">
        <f>'CFS 3Q2022'!Z55</f>
        <v>-0.15006052484644972</v>
      </c>
      <c r="AA148" s="113">
        <f>'CFS 3Q2022'!AA55</f>
        <v>0.45536887484654054</v>
      </c>
      <c r="AB148" s="137">
        <f>'CFS 3Q2022'!AB55</f>
        <v>0.16892238661618042</v>
      </c>
      <c r="AC148" s="113">
        <f>'CFS 3Q2022'!AC55</f>
        <v>0.24691883730583397</v>
      </c>
      <c r="AD148" s="113">
        <f>'CFS 3Q2022'!AD55</f>
        <v>0.37530176562116235</v>
      </c>
      <c r="AE148" s="113">
        <f>'CFS 3Q2022'!AE55</f>
        <v>0.34612643463409065</v>
      </c>
      <c r="AF148" s="113">
        <f>'CFS 3Q2022'!AF55</f>
        <v>-2.4736637203284673E-2</v>
      </c>
      <c r="AG148" s="137">
        <f>'CFS 3Q2022'!AG55</f>
        <v>0.18597703626609663</v>
      </c>
      <c r="AH148" s="113">
        <f>'CFS 3Q2022'!AH55</f>
        <v>0.10455238731064909</v>
      </c>
      <c r="AI148" s="113">
        <f>'CFS 3Q2022'!AI55</f>
        <v>0.14187144563770904</v>
      </c>
      <c r="AJ148" s="113">
        <f>'CFS 3Q2022'!AJ55</f>
        <v>0.12148208131993044</v>
      </c>
      <c r="AK148" s="113">
        <f>'CFS 3Q2022'!AK55</f>
        <v>0.15953464638914094</v>
      </c>
      <c r="AL148" s="29">
        <f>'CFS 3Q2022'!AL55</f>
        <v>0.13032310166971062</v>
      </c>
      <c r="AM148" s="113">
        <f>'CFS 3Q2022'!AM55</f>
        <v>0.11491532672238369</v>
      </c>
      <c r="AN148" s="113">
        <f>'CFS 3Q2022'!AN55</f>
        <v>8.9409040912066695E-2</v>
      </c>
      <c r="AO148" s="113">
        <f>'CFS 3Q2022'!AO55</f>
        <v>6.908370374215278E-2</v>
      </c>
      <c r="AP148" s="113">
        <f>'CFS 3Q2022'!AP55</f>
        <v>9.9590570093358588E-2</v>
      </c>
      <c r="AQ148" s="29">
        <f>'CFS 3Q2022'!AQ55</f>
        <v>9.6083395525643045E-2</v>
      </c>
      <c r="AR148" s="113">
        <f>'CFS 3Q2022'!AR55</f>
        <v>9.3863479209438605E-2</v>
      </c>
      <c r="AS148" s="113">
        <f>'CFS 3Q2022'!AS55</f>
        <v>9.4543027290346471E-2</v>
      </c>
      <c r="AT148" s="113">
        <f>'CFS 3Q2022'!AT55</f>
        <v>0.10685921755755201</v>
      </c>
      <c r="AU148" s="113">
        <f>'CFS 3Q2022'!AU55</f>
        <v>5.8776205961678762E-2</v>
      </c>
      <c r="AV148" s="29">
        <f>'CFS 3Q2022'!AV55</f>
        <v>8.6133821901191343E-2</v>
      </c>
    </row>
    <row r="149" spans="2:48" s="23" customFormat="1" outlineLevel="1" x14ac:dyDescent="0.3">
      <c r="B149" s="200" t="s">
        <v>334</v>
      </c>
      <c r="C149" s="201"/>
      <c r="D149" s="27"/>
      <c r="E149" s="27"/>
      <c r="F149" s="27"/>
      <c r="G149" s="27"/>
      <c r="H149" s="29"/>
      <c r="I149" s="27"/>
      <c r="J149" s="27"/>
      <c r="K149" s="27"/>
      <c r="L149" s="113"/>
      <c r="M149" s="137"/>
      <c r="N149" s="113"/>
      <c r="O149" s="113"/>
      <c r="P149" s="113"/>
      <c r="Q149" s="113"/>
      <c r="R149" s="29"/>
      <c r="S149" s="113"/>
      <c r="T149" s="113"/>
      <c r="U149" s="113"/>
      <c r="V149" s="113"/>
      <c r="W149" s="137"/>
      <c r="X149" s="113"/>
      <c r="Y149" s="113"/>
      <c r="Z149" s="113"/>
      <c r="AA149" s="113"/>
      <c r="AB149" s="137"/>
      <c r="AC149" s="113"/>
      <c r="AD149" s="113"/>
      <c r="AE149" s="113"/>
      <c r="AF149" s="113"/>
      <c r="AG149" s="137"/>
      <c r="AH149" s="113"/>
      <c r="AI149" s="113"/>
      <c r="AJ149" s="113"/>
      <c r="AK149" s="113"/>
      <c r="AL149" s="406">
        <f>(AL34/W34)^(1/3)-1</f>
        <v>0.17678317249137177</v>
      </c>
      <c r="AM149" s="113"/>
      <c r="AN149" s="113"/>
      <c r="AO149" s="113"/>
      <c r="AP149" s="113"/>
      <c r="AQ149" s="29"/>
      <c r="AR149" s="113"/>
      <c r="AS149" s="113"/>
      <c r="AT149" s="113"/>
      <c r="AU149" s="113"/>
      <c r="AV149" s="29"/>
    </row>
    <row r="150" spans="2:48" ht="17.399999999999999" x14ac:dyDescent="0.45">
      <c r="B150" s="494" t="s">
        <v>130</v>
      </c>
      <c r="C150" s="495"/>
      <c r="D150" s="14" t="s">
        <v>19</v>
      </c>
      <c r="E150" s="14" t="s">
        <v>81</v>
      </c>
      <c r="F150" s="14" t="s">
        <v>85</v>
      </c>
      <c r="G150" s="14" t="s">
        <v>95</v>
      </c>
      <c r="H150" s="40" t="s">
        <v>96</v>
      </c>
      <c r="I150" s="14" t="s">
        <v>97</v>
      </c>
      <c r="J150" s="14" t="s">
        <v>98</v>
      </c>
      <c r="K150" s="14" t="s">
        <v>99</v>
      </c>
      <c r="L150" s="14" t="s">
        <v>142</v>
      </c>
      <c r="M150" s="40" t="s">
        <v>143</v>
      </c>
      <c r="N150" s="14" t="s">
        <v>149</v>
      </c>
      <c r="O150" s="14" t="s">
        <v>157</v>
      </c>
      <c r="P150" s="14" t="s">
        <v>159</v>
      </c>
      <c r="Q150" s="14" t="s">
        <v>172</v>
      </c>
      <c r="R150" s="40" t="s">
        <v>173</v>
      </c>
      <c r="S150" s="14" t="s">
        <v>188</v>
      </c>
      <c r="T150" s="14" t="s">
        <v>189</v>
      </c>
      <c r="U150" s="14" t="s">
        <v>204</v>
      </c>
      <c r="V150" s="12" t="s">
        <v>25</v>
      </c>
      <c r="W150" s="255" t="s">
        <v>26</v>
      </c>
      <c r="X150" s="12" t="s">
        <v>27</v>
      </c>
      <c r="Y150" s="12" t="s">
        <v>28</v>
      </c>
      <c r="Z150" s="12" t="s">
        <v>29</v>
      </c>
      <c r="AA150" s="12" t="s">
        <v>30</v>
      </c>
      <c r="AB150" s="42" t="s">
        <v>31</v>
      </c>
      <c r="AC150" s="12" t="s">
        <v>90</v>
      </c>
      <c r="AD150" s="12" t="s">
        <v>91</v>
      </c>
      <c r="AE150" s="12" t="s">
        <v>92</v>
      </c>
      <c r="AF150" s="12" t="s">
        <v>93</v>
      </c>
      <c r="AG150" s="42" t="s">
        <v>94</v>
      </c>
      <c r="AH150" s="12" t="s">
        <v>109</v>
      </c>
      <c r="AI150" s="12" t="s">
        <v>110</v>
      </c>
      <c r="AJ150" s="12" t="s">
        <v>111</v>
      </c>
      <c r="AK150" s="12" t="s">
        <v>112</v>
      </c>
      <c r="AL150" s="42" t="s">
        <v>113</v>
      </c>
      <c r="AM150" s="12" t="s">
        <v>164</v>
      </c>
      <c r="AN150" s="12" t="s">
        <v>165</v>
      </c>
      <c r="AO150" s="12" t="s">
        <v>166</v>
      </c>
      <c r="AP150" s="12" t="s">
        <v>167</v>
      </c>
      <c r="AQ150" s="42" t="s">
        <v>168</v>
      </c>
      <c r="AR150" s="12" t="s">
        <v>195</v>
      </c>
      <c r="AS150" s="12" t="s">
        <v>196</v>
      </c>
      <c r="AT150" s="12" t="s">
        <v>197</v>
      </c>
      <c r="AU150" s="12" t="s">
        <v>198</v>
      </c>
      <c r="AV150" s="42" t="s">
        <v>199</v>
      </c>
    </row>
    <row r="151" spans="2:48" outlineLevel="1" x14ac:dyDescent="0.3">
      <c r="B151" s="486" t="s">
        <v>208</v>
      </c>
      <c r="C151" s="487"/>
      <c r="D151" s="27"/>
      <c r="E151" s="27">
        <f t="shared" ref="E151:G151" si="616">(E30+E155+E158+E161)/D30-1</f>
        <v>2.777764747303535E-2</v>
      </c>
      <c r="F151" s="27">
        <f t="shared" si="616"/>
        <v>-1.7269004124131682E-2</v>
      </c>
      <c r="G151" s="27">
        <f t="shared" si="616"/>
        <v>1.9258933156590885E-2</v>
      </c>
      <c r="H151" s="9"/>
      <c r="I151" s="27">
        <f>(I30+I155+I158+I161)/G30-1</f>
        <v>-1.436336111538794E-2</v>
      </c>
      <c r="J151" s="27">
        <f t="shared" ref="J151:L151" si="617">(J30+J155+J158+J161)/I30-1</f>
        <v>-1.1333810572689007E-3</v>
      </c>
      <c r="K151" s="27">
        <f t="shared" si="617"/>
        <v>-2.8161802355349819E-3</v>
      </c>
      <c r="L151" s="27">
        <f t="shared" si="617"/>
        <v>-9.5210569021197955E-4</v>
      </c>
      <c r="M151" s="9"/>
      <c r="N151" s="27">
        <f>(N30+N155+N158+N161)/L30-1</f>
        <v>6.5210015787404707E-3</v>
      </c>
      <c r="O151" s="27">
        <f t="shared" ref="O151:Q151" si="618">(O30+O155+O158+O161)/N30-1</f>
        <v>2.1276595744681437E-3</v>
      </c>
      <c r="P151" s="27">
        <f t="shared" si="618"/>
        <v>8.4925690021231404E-4</v>
      </c>
      <c r="Q151" s="27">
        <f t="shared" si="618"/>
        <v>8.4925690021231404E-4</v>
      </c>
      <c r="R151" s="9"/>
      <c r="S151" s="27">
        <f>(S30+S155+S158+S161)/Q30-1</f>
        <v>1.7994180128374726E-2</v>
      </c>
      <c r="T151" s="27">
        <f>(T30+T155+T158+T161)/S30-1</f>
        <v>-1.2989686217510177E-2</v>
      </c>
      <c r="U151" s="27">
        <f>(U30+U155+U158+U161)/T30-1</f>
        <v>-1.9143752175426743E-3</v>
      </c>
      <c r="V151" s="35">
        <v>2E-3</v>
      </c>
      <c r="W151" s="256"/>
      <c r="X151" s="35">
        <v>2E-3</v>
      </c>
      <c r="Y151" s="35">
        <v>2E-3</v>
      </c>
      <c r="Z151" s="35">
        <v>2E-3</v>
      </c>
      <c r="AA151" s="35">
        <v>2E-3</v>
      </c>
      <c r="AB151" s="9"/>
      <c r="AC151" s="35">
        <v>2E-3</v>
      </c>
      <c r="AD151" s="35">
        <v>2E-3</v>
      </c>
      <c r="AE151" s="35">
        <v>2E-3</v>
      </c>
      <c r="AF151" s="35">
        <v>2E-3</v>
      </c>
      <c r="AG151" s="9"/>
      <c r="AH151" s="35">
        <v>2E-3</v>
      </c>
      <c r="AI151" s="35">
        <v>2E-3</v>
      </c>
      <c r="AJ151" s="35">
        <v>2E-3</v>
      </c>
      <c r="AK151" s="35">
        <v>2E-3</v>
      </c>
      <c r="AL151" s="9"/>
      <c r="AM151" s="35">
        <v>2E-3</v>
      </c>
      <c r="AN151" s="35">
        <v>2E-3</v>
      </c>
      <c r="AO151" s="35">
        <v>2E-3</v>
      </c>
      <c r="AP151" s="35">
        <v>2E-3</v>
      </c>
      <c r="AQ151" s="9"/>
      <c r="AR151" s="35">
        <v>2E-3</v>
      </c>
      <c r="AS151" s="35">
        <v>2E-3</v>
      </c>
      <c r="AT151" s="35">
        <v>2E-3</v>
      </c>
      <c r="AU151" s="35">
        <v>2E-3</v>
      </c>
      <c r="AV151" s="9"/>
    </row>
    <row r="152" spans="2:48" outlineLevel="1" x14ac:dyDescent="0.3">
      <c r="B152" s="486" t="s">
        <v>209</v>
      </c>
      <c r="C152" s="487"/>
      <c r="D152" s="27"/>
      <c r="E152" s="27">
        <f t="shared" ref="E152:G152" si="619">(E31+E155+E158+E161)/D31-1</f>
        <v>2.7604785512613583E-2</v>
      </c>
      <c r="F152" s="27">
        <f t="shared" si="619"/>
        <v>-1.6710442080933863E-2</v>
      </c>
      <c r="G152" s="27">
        <f t="shared" si="619"/>
        <v>1.9089589576967603E-2</v>
      </c>
      <c r="H152" s="9"/>
      <c r="I152" s="27">
        <f>(I31+I155+I158+I161)/G31-1</f>
        <v>-1.5386652077945762E-2</v>
      </c>
      <c r="J152" s="27">
        <f t="shared" ref="J152:L152" si="620">(J31+J155+J158+J161)/I31-1</f>
        <v>-2.5506658270361138E-3</v>
      </c>
      <c r="K152" s="27">
        <f t="shared" si="620"/>
        <v>-1.0332853392055585E-2</v>
      </c>
      <c r="L152" s="27">
        <f t="shared" si="620"/>
        <v>8.9858793324775199E-3</v>
      </c>
      <c r="M152" s="9"/>
      <c r="N152" s="27">
        <f>(N31+N155+N158+N161)/L31-1</f>
        <v>3.392705682782049E-3</v>
      </c>
      <c r="O152" s="27">
        <f t="shared" ref="O152:Q152" si="621">(O31+O155+O158+O161)/N31-1</f>
        <v>1.5215553677092597E-3</v>
      </c>
      <c r="P152" s="27">
        <f t="shared" si="621"/>
        <v>1.1816340310601969E-3</v>
      </c>
      <c r="Q152" s="27">
        <f t="shared" si="621"/>
        <v>1.4331478671387732E-3</v>
      </c>
      <c r="R152" s="9"/>
      <c r="S152" s="27">
        <f>(S31+S155+S158+S161)/Q31-1</f>
        <v>1.6689115245390962E-2</v>
      </c>
      <c r="T152" s="27">
        <f>(T31+T155+T158+T161)/S31-1</f>
        <v>-1.4867191058983376E-2</v>
      </c>
      <c r="U152" s="27">
        <f>(U31+U155+U158+U161)/T31-1</f>
        <v>-2.5132160499177214E-3</v>
      </c>
      <c r="V152" s="35">
        <v>1E-3</v>
      </c>
      <c r="W152" s="256"/>
      <c r="X152" s="35">
        <v>1E-3</v>
      </c>
      <c r="Y152" s="35">
        <v>1E-3</v>
      </c>
      <c r="Z152" s="35">
        <v>1E-3</v>
      </c>
      <c r="AA152" s="35">
        <v>1E-3</v>
      </c>
      <c r="AB152" s="9"/>
      <c r="AC152" s="35">
        <v>1E-3</v>
      </c>
      <c r="AD152" s="35">
        <v>1E-3</v>
      </c>
      <c r="AE152" s="35">
        <v>1E-3</v>
      </c>
      <c r="AF152" s="35">
        <v>1E-3</v>
      </c>
      <c r="AG152" s="9"/>
      <c r="AH152" s="35">
        <v>1E-3</v>
      </c>
      <c r="AI152" s="35">
        <v>1E-3</v>
      </c>
      <c r="AJ152" s="35">
        <v>1E-3</v>
      </c>
      <c r="AK152" s="35">
        <v>1E-3</v>
      </c>
      <c r="AL152" s="9"/>
      <c r="AM152" s="35">
        <v>1E-3</v>
      </c>
      <c r="AN152" s="35">
        <v>1E-3</v>
      </c>
      <c r="AO152" s="35">
        <v>1E-3</v>
      </c>
      <c r="AP152" s="35">
        <v>1E-3</v>
      </c>
      <c r="AQ152" s="9"/>
      <c r="AR152" s="35">
        <v>1E-3</v>
      </c>
      <c r="AS152" s="35">
        <v>1E-3</v>
      </c>
      <c r="AT152" s="35">
        <v>1E-3</v>
      </c>
      <c r="AU152" s="35">
        <v>1E-3</v>
      </c>
      <c r="AV152" s="9"/>
    </row>
    <row r="153" spans="2:48" outlineLevel="1" x14ac:dyDescent="0.3">
      <c r="B153" s="496" t="s">
        <v>137</v>
      </c>
      <c r="C153" s="497"/>
      <c r="D153" s="245"/>
      <c r="E153" s="144">
        <v>69.922678056926543</v>
      </c>
      <c r="F153" s="144">
        <v>83.13076202744692</v>
      </c>
      <c r="G153" s="144">
        <v>92.52</v>
      </c>
      <c r="H153" s="246"/>
      <c r="I153" s="144">
        <v>85.23</v>
      </c>
      <c r="J153" s="144">
        <v>78.08</v>
      </c>
      <c r="K153" s="144">
        <v>0</v>
      </c>
      <c r="L153" s="144">
        <v>0</v>
      </c>
      <c r="M153" s="246"/>
      <c r="N153" s="144">
        <v>0</v>
      </c>
      <c r="O153" s="144">
        <v>0</v>
      </c>
      <c r="P153" s="144">
        <v>0</v>
      </c>
      <c r="Q153" s="144">
        <v>0</v>
      </c>
      <c r="R153" s="246"/>
      <c r="S153" s="144">
        <v>113.12</v>
      </c>
      <c r="T153" s="144">
        <v>94.51</v>
      </c>
      <c r="U153" s="144">
        <v>0</v>
      </c>
      <c r="V153" s="247">
        <f>+U153</f>
        <v>0</v>
      </c>
      <c r="W153" s="257"/>
      <c r="X153" s="247">
        <v>0</v>
      </c>
      <c r="Y153" s="247">
        <v>0</v>
      </c>
      <c r="Z153" s="247">
        <v>0</v>
      </c>
      <c r="AA153" s="247">
        <v>0</v>
      </c>
      <c r="AB153" s="246"/>
      <c r="AC153" s="393">
        <f>AG35/0.02</f>
        <v>109.3955625</v>
      </c>
      <c r="AD153" s="247">
        <f>+AC153</f>
        <v>109.3955625</v>
      </c>
      <c r="AE153" s="247">
        <f>+AD153</f>
        <v>109.3955625</v>
      </c>
      <c r="AF153" s="247">
        <f>+AE153</f>
        <v>109.3955625</v>
      </c>
      <c r="AG153" s="390"/>
      <c r="AH153" s="393">
        <f>AL35/0.02</f>
        <v>114.865340625</v>
      </c>
      <c r="AI153" s="247">
        <f>AH153</f>
        <v>114.865340625</v>
      </c>
      <c r="AJ153" s="247">
        <f>AI153</f>
        <v>114.865340625</v>
      </c>
      <c r="AK153" s="247">
        <f>AJ153</f>
        <v>114.865340625</v>
      </c>
      <c r="AL153" s="390"/>
      <c r="AM153" s="247">
        <f>AQ35/0.02</f>
        <v>119.7152105625</v>
      </c>
      <c r="AN153" s="247">
        <f>AM153</f>
        <v>119.7152105625</v>
      </c>
      <c r="AO153" s="247">
        <f>AN153</f>
        <v>119.7152105625</v>
      </c>
      <c r="AP153" s="247">
        <f>AO153</f>
        <v>119.7152105625</v>
      </c>
      <c r="AQ153" s="246"/>
      <c r="AR153" s="247">
        <f>AV35/0.02</f>
        <v>122.10951477375001</v>
      </c>
      <c r="AS153" s="247">
        <f>AR153</f>
        <v>122.10951477375001</v>
      </c>
      <c r="AT153" s="247">
        <f>AS153</f>
        <v>122.10951477375001</v>
      </c>
      <c r="AU153" s="247">
        <f>AT153</f>
        <v>122.10951477375001</v>
      </c>
      <c r="AV153" s="246"/>
    </row>
    <row r="154" spans="2:48" outlineLevel="1" x14ac:dyDescent="0.3">
      <c r="B154" s="486" t="s">
        <v>138</v>
      </c>
      <c r="C154" s="487"/>
      <c r="D154" s="16"/>
      <c r="E154" s="105">
        <v>713.2</v>
      </c>
      <c r="F154" s="105">
        <f>954.3-713.2</f>
        <v>241.09999999999991</v>
      </c>
      <c r="G154" s="101">
        <v>2177.1942404399997</v>
      </c>
      <c r="H154" s="17">
        <f>+SUM(D154:G154)</f>
        <v>3131.4942404399999</v>
      </c>
      <c r="I154" s="101">
        <v>1107.9389472300002</v>
      </c>
      <c r="J154" s="101">
        <v>567.02921856000012</v>
      </c>
      <c r="K154" s="101">
        <v>0</v>
      </c>
      <c r="L154" s="101">
        <v>0</v>
      </c>
      <c r="M154" s="17">
        <f>+SUM(I154:L154)</f>
        <v>1674.9681657900003</v>
      </c>
      <c r="N154" s="101">
        <v>0</v>
      </c>
      <c r="O154" s="101">
        <v>0</v>
      </c>
      <c r="P154" s="101">
        <v>0</v>
      </c>
      <c r="Q154" s="101">
        <v>0</v>
      </c>
      <c r="R154" s="17">
        <f>+SUM(N154:Q154)</f>
        <v>0</v>
      </c>
      <c r="S154" s="101">
        <f>S155*S153</f>
        <v>3520.86</v>
      </c>
      <c r="T154" s="101">
        <f>T155*T153</f>
        <v>492.13842613000003</v>
      </c>
      <c r="U154" s="101">
        <v>0</v>
      </c>
      <c r="V154" s="33">
        <f>U154</f>
        <v>0</v>
      </c>
      <c r="W154" s="169">
        <f>+SUM(S154:V154)</f>
        <v>4012.9984261300001</v>
      </c>
      <c r="X154" s="33">
        <v>0</v>
      </c>
      <c r="Y154" s="33">
        <v>0</v>
      </c>
      <c r="Z154" s="33">
        <v>0</v>
      </c>
      <c r="AA154" s="33">
        <v>0</v>
      </c>
      <c r="AB154" s="17">
        <f>+SUM(X154:AA154)</f>
        <v>0</v>
      </c>
      <c r="AC154" s="33"/>
      <c r="AD154" s="33"/>
      <c r="AE154" s="33">
        <v>100</v>
      </c>
      <c r="AF154" s="33">
        <v>100</v>
      </c>
      <c r="AG154" s="17">
        <f>+SUM(AC154:AF154)</f>
        <v>200</v>
      </c>
      <c r="AH154" s="33">
        <v>100</v>
      </c>
      <c r="AI154" s="33">
        <v>100</v>
      </c>
      <c r="AJ154" s="33">
        <v>5190.5983828510816</v>
      </c>
      <c r="AK154" s="33">
        <f>AJ154</f>
        <v>5190.5983828510816</v>
      </c>
      <c r="AL154" s="17">
        <f>+SUM(AH154:AK154)</f>
        <v>10581.196765702163</v>
      </c>
      <c r="AM154" s="33">
        <v>250</v>
      </c>
      <c r="AN154" s="33">
        <v>250</v>
      </c>
      <c r="AO154" s="33">
        <v>250</v>
      </c>
      <c r="AP154" s="33">
        <v>250</v>
      </c>
      <c r="AQ154" s="17">
        <f>+SUM(AM154:AP154)</f>
        <v>1000</v>
      </c>
      <c r="AR154" s="33">
        <v>250</v>
      </c>
      <c r="AS154" s="33">
        <v>250</v>
      </c>
      <c r="AT154" s="33">
        <v>250</v>
      </c>
      <c r="AU154" s="33">
        <v>250</v>
      </c>
      <c r="AV154" s="17">
        <f>+SUM(AR154:AU154)</f>
        <v>1000</v>
      </c>
    </row>
    <row r="155" spans="2:48" outlineLevel="1" x14ac:dyDescent="0.3">
      <c r="B155" s="486" t="s">
        <v>207</v>
      </c>
      <c r="C155" s="487"/>
      <c r="D155" s="139"/>
      <c r="E155" s="139">
        <f>IF((E154)&gt;0,(E154/E153),0)</f>
        <v>10.199838161509755</v>
      </c>
      <c r="F155" s="142">
        <f>IF((F154)&gt;0,(F154/F153),0)</f>
        <v>2.9002500893760241</v>
      </c>
      <c r="G155" s="142">
        <f>IF((G154)&gt;0,(G154/G153),0)</f>
        <v>23.532146999999998</v>
      </c>
      <c r="H155" s="49">
        <f>+SUM(D155:G155)</f>
        <v>36.632235250885778</v>
      </c>
      <c r="I155" s="139">
        <f>IF((I154)&gt;0,(I154/I153),0)</f>
        <v>12.999401000000001</v>
      </c>
      <c r="J155" s="142">
        <f>IF((J154)&gt;0,(J154/J153),0)</f>
        <v>7.262157000000002</v>
      </c>
      <c r="K155" s="139">
        <f>IF((K154)&gt;0,(K154/K153),0)</f>
        <v>0</v>
      </c>
      <c r="L155" s="139">
        <f>IF((L154)&gt;0,(L154/L153),0)</f>
        <v>0</v>
      </c>
      <c r="M155" s="49">
        <f>+SUM(I155:L155)</f>
        <v>20.261558000000001</v>
      </c>
      <c r="N155" s="139">
        <f>IF((N154)&gt;0,(N154/N153),0)</f>
        <v>0</v>
      </c>
      <c r="O155" s="139">
        <f>IF((O154)&gt;0,(O154/O153),0)</f>
        <v>0</v>
      </c>
      <c r="P155" s="139">
        <f>IF((P154)&gt;0,(P154/P153),0)</f>
        <v>0</v>
      </c>
      <c r="Q155" s="139">
        <f>IF((Q154)&gt;0,(Q154/Q153),0)</f>
        <v>0</v>
      </c>
      <c r="R155" s="49">
        <f>+SUM(N155:Q155)</f>
        <v>0</v>
      </c>
      <c r="S155" s="139">
        <v>31.125</v>
      </c>
      <c r="T155" s="142">
        <v>5.2072630000000002</v>
      </c>
      <c r="U155" s="142">
        <f>IF((U154)&gt;0,(U154/U153),0)</f>
        <v>0</v>
      </c>
      <c r="V155" s="139">
        <f>IF((V154)&gt;0,(V154/V153),0)</f>
        <v>0</v>
      </c>
      <c r="W155" s="49">
        <f>+SUM(S155:V155)</f>
        <v>36.332262999999998</v>
      </c>
      <c r="X155" s="139">
        <f>IF((X154)&gt;0,(X154/X153),0)</f>
        <v>0</v>
      </c>
      <c r="Y155" s="139">
        <f>IF((Y154)&gt;0,(Y154/Y153),0)</f>
        <v>0</v>
      </c>
      <c r="Z155" s="139">
        <f>IF((Z154)&gt;0,(Z154/Z153),0)</f>
        <v>0</v>
      </c>
      <c r="AA155" s="139">
        <f>IF((AA154)&gt;0,(AA154/AA153),0)</f>
        <v>0</v>
      </c>
      <c r="AB155" s="49">
        <f>+SUM(X155:AA155)</f>
        <v>0</v>
      </c>
      <c r="AC155" s="139">
        <f>IF((AC154)&gt;0,(AC154/AC153),0)</f>
        <v>0</v>
      </c>
      <c r="AD155" s="139">
        <f>IF((AD154)&gt;0,(AD154/AD153),0)</f>
        <v>0</v>
      </c>
      <c r="AE155" s="139">
        <f>IF((AE154)&gt;0,(AE154/AE153),0)</f>
        <v>0.9141138608798689</v>
      </c>
      <c r="AF155" s="139">
        <f>IF((AF154)&gt;0,(AF154/AF153),0)</f>
        <v>0.9141138608798689</v>
      </c>
      <c r="AG155" s="49">
        <f>+SUM(AC155:AF155)</f>
        <v>1.8282277217597378</v>
      </c>
      <c r="AH155" s="139">
        <f>IF((AH154)&gt;0,(AH154/AH153),0)</f>
        <v>0.87058462940939896</v>
      </c>
      <c r="AI155" s="139">
        <f>IF((AI154)&gt;0,(AI154/AI153),0)</f>
        <v>0.87058462940939896</v>
      </c>
      <c r="AJ155" s="139">
        <f>IF((AJ154)&gt;0,(AJ154/AJ153),0)</f>
        <v>45.188551695474345</v>
      </c>
      <c r="AK155" s="139">
        <f>IF((AK154)&gt;0,(AK154/AK153),0)</f>
        <v>45.188551695474345</v>
      </c>
      <c r="AL155" s="49">
        <f>+SUM(AH155:AK155)</f>
        <v>92.118272649767491</v>
      </c>
      <c r="AM155" s="139">
        <f>IF((AM154)&gt;0,(AM154/AM153),0)</f>
        <v>2.0882893562592191</v>
      </c>
      <c r="AN155" s="139">
        <f>IF((AN154)&gt;0,(AN154/AN153),0)</f>
        <v>2.0882893562592191</v>
      </c>
      <c r="AO155" s="139">
        <f>IF((AO154)&gt;0,(AO154/AO153),0)</f>
        <v>2.0882893562592191</v>
      </c>
      <c r="AP155" s="139">
        <f>IF((AP154)&gt;0,(AP154/AP153),0)</f>
        <v>2.0882893562592191</v>
      </c>
      <c r="AQ155" s="49">
        <f>+SUM(AM155:AP155)</f>
        <v>8.3531574250368763</v>
      </c>
      <c r="AR155" s="139">
        <f>IF((AR154)&gt;0,(AR154/AR153),0)</f>
        <v>2.0473425061364892</v>
      </c>
      <c r="AS155" s="139">
        <f>IF((AS154)&gt;0,(AS154/AS153),0)</f>
        <v>2.0473425061364892</v>
      </c>
      <c r="AT155" s="139">
        <f>IF((AT154)&gt;0,(AT154/AT153),0)</f>
        <v>2.0473425061364892</v>
      </c>
      <c r="AU155" s="139">
        <f>IF((AU154)&gt;0,(AU154/AU153),0)</f>
        <v>2.0473425061364892</v>
      </c>
      <c r="AV155" s="49">
        <f>+SUM(AR155:AU155)</f>
        <v>8.1893700245459566</v>
      </c>
    </row>
    <row r="156" spans="2:48" outlineLevel="1" x14ac:dyDescent="0.3">
      <c r="B156" s="488" t="s">
        <v>131</v>
      </c>
      <c r="C156" s="489"/>
      <c r="D156" s="143">
        <v>55.58</v>
      </c>
      <c r="E156" s="144">
        <v>65.03</v>
      </c>
      <c r="F156" s="96"/>
      <c r="G156" s="96"/>
      <c r="H156" s="76"/>
      <c r="I156" s="96"/>
      <c r="J156" s="96"/>
      <c r="K156" s="96"/>
      <c r="L156" s="96"/>
      <c r="M156" s="76"/>
      <c r="N156" s="96"/>
      <c r="O156" s="96"/>
      <c r="P156" s="96"/>
      <c r="Q156" s="96"/>
      <c r="R156" s="76"/>
      <c r="S156" s="96"/>
      <c r="T156" s="96"/>
      <c r="U156" s="96"/>
      <c r="V156" s="96"/>
      <c r="W156" s="76"/>
      <c r="X156" s="96"/>
      <c r="Y156" s="96"/>
      <c r="Z156" s="96"/>
      <c r="AA156" s="96"/>
      <c r="AB156" s="76"/>
      <c r="AC156" s="96"/>
      <c r="AD156" s="96"/>
      <c r="AE156" s="96"/>
      <c r="AF156" s="96"/>
      <c r="AG156" s="76"/>
      <c r="AH156" s="96"/>
      <c r="AI156" s="96"/>
      <c r="AJ156" s="96"/>
      <c r="AK156" s="96"/>
      <c r="AL156" s="76"/>
      <c r="AM156" s="96"/>
      <c r="AN156" s="96"/>
      <c r="AO156" s="96"/>
      <c r="AP156" s="96"/>
      <c r="AQ156" s="76"/>
      <c r="AR156" s="96"/>
      <c r="AS156" s="96"/>
      <c r="AT156" s="96"/>
      <c r="AU156" s="96"/>
      <c r="AV156" s="76"/>
    </row>
    <row r="157" spans="2:48" outlineLevel="1" x14ac:dyDescent="0.3">
      <c r="B157" s="490" t="s">
        <v>132</v>
      </c>
      <c r="C157" s="491"/>
      <c r="D157" s="145">
        <f>71.968334*55.58</f>
        <v>4000.0000037199998</v>
      </c>
      <c r="E157" s="146">
        <v>318.64700000000005</v>
      </c>
      <c r="F157" s="139"/>
      <c r="G157" s="139"/>
      <c r="H157" s="49"/>
      <c r="I157" s="139"/>
      <c r="J157" s="139"/>
      <c r="K157" s="139"/>
      <c r="L157" s="139"/>
      <c r="M157" s="49"/>
      <c r="N157" s="139"/>
      <c r="O157" s="139"/>
      <c r="P157" s="139"/>
      <c r="Q157" s="139"/>
      <c r="R157" s="49"/>
      <c r="S157" s="139"/>
      <c r="T157" s="139"/>
      <c r="U157" s="142"/>
      <c r="V157" s="139"/>
      <c r="W157" s="137"/>
      <c r="X157" s="139"/>
      <c r="Y157" s="139"/>
      <c r="Z157" s="139"/>
      <c r="AA157" s="139"/>
      <c r="AB157" s="49"/>
      <c r="AC157" s="139"/>
      <c r="AD157" s="139"/>
      <c r="AE157" s="139"/>
      <c r="AF157" s="139"/>
      <c r="AG157" s="49"/>
      <c r="AH157" s="139"/>
      <c r="AI157" s="139"/>
      <c r="AJ157" s="139"/>
      <c r="AK157" s="139"/>
      <c r="AL157" s="49"/>
      <c r="AM157" s="139"/>
      <c r="AN157" s="139"/>
      <c r="AO157" s="139"/>
      <c r="AP157" s="139"/>
      <c r="AQ157" s="49"/>
      <c r="AR157" s="139"/>
      <c r="AS157" s="139"/>
      <c r="AT157" s="139"/>
      <c r="AU157" s="139"/>
      <c r="AV157" s="49"/>
    </row>
    <row r="158" spans="2:48" outlineLevel="1" x14ac:dyDescent="0.3">
      <c r="B158" s="492" t="s">
        <v>133</v>
      </c>
      <c r="C158" s="493"/>
      <c r="D158" s="147">
        <f>IF((D157)&gt;0,(D157/D156),0)</f>
        <v>71.968333999999999</v>
      </c>
      <c r="E158" s="140">
        <f>IF((E157)&gt;0,(E157/E156),0)</f>
        <v>4.9000000000000004</v>
      </c>
      <c r="F158" s="140"/>
      <c r="G158" s="140"/>
      <c r="H158" s="141"/>
      <c r="I158" s="140"/>
      <c r="J158" s="140"/>
      <c r="K158" s="140"/>
      <c r="L158" s="140"/>
      <c r="M158" s="141"/>
      <c r="N158" s="140"/>
      <c r="O158" s="140"/>
      <c r="P158" s="140"/>
      <c r="Q158" s="140"/>
      <c r="R158" s="141"/>
      <c r="S158" s="140"/>
      <c r="T158" s="140"/>
      <c r="U158" s="140"/>
      <c r="V158" s="140"/>
      <c r="W158" s="199"/>
      <c r="X158" s="140"/>
      <c r="Y158" s="140"/>
      <c r="Z158" s="140"/>
      <c r="AA158" s="140"/>
      <c r="AB158" s="141"/>
      <c r="AC158" s="140"/>
      <c r="AD158" s="140"/>
      <c r="AE158" s="140"/>
      <c r="AF158" s="140"/>
      <c r="AG158" s="141"/>
      <c r="AH158" s="140"/>
      <c r="AI158" s="140"/>
      <c r="AJ158" s="140"/>
      <c r="AK158" s="140"/>
      <c r="AL158" s="141"/>
      <c r="AM158" s="140"/>
      <c r="AN158" s="140"/>
      <c r="AO158" s="140"/>
      <c r="AP158" s="140"/>
      <c r="AQ158" s="141"/>
      <c r="AR158" s="140"/>
      <c r="AS158" s="140"/>
      <c r="AT158" s="140"/>
      <c r="AU158" s="140"/>
      <c r="AV158" s="141"/>
    </row>
    <row r="159" spans="2:48" outlineLevel="1" x14ac:dyDescent="0.3">
      <c r="B159" s="200" t="s">
        <v>134</v>
      </c>
      <c r="C159" s="201"/>
      <c r="D159" s="139"/>
      <c r="E159" s="36">
        <v>71.959999999999994</v>
      </c>
      <c r="F159" s="36">
        <v>76.5</v>
      </c>
      <c r="G159" s="139"/>
      <c r="H159" s="49"/>
      <c r="I159" s="139"/>
      <c r="J159" s="139"/>
      <c r="K159" s="139"/>
      <c r="L159" s="139"/>
      <c r="M159" s="49"/>
      <c r="N159" s="139"/>
      <c r="O159" s="139"/>
      <c r="P159" s="139"/>
      <c r="Q159" s="139"/>
      <c r="R159" s="49"/>
      <c r="S159" s="139"/>
      <c r="T159" s="139"/>
      <c r="U159" s="139"/>
      <c r="V159" s="139"/>
      <c r="W159" s="49"/>
      <c r="X159" s="139"/>
      <c r="Y159" s="139"/>
      <c r="Z159" s="139"/>
      <c r="AA159" s="139"/>
      <c r="AB159" s="49"/>
      <c r="AC159" s="139"/>
      <c r="AD159" s="139"/>
      <c r="AE159" s="139"/>
      <c r="AF159" s="139"/>
      <c r="AG159" s="49"/>
      <c r="AH159" s="139"/>
      <c r="AI159" s="139"/>
      <c r="AJ159" s="139"/>
      <c r="AK159" s="139"/>
      <c r="AL159" s="49"/>
      <c r="AM159" s="139"/>
      <c r="AN159" s="139"/>
      <c r="AO159" s="139"/>
      <c r="AP159" s="139"/>
      <c r="AQ159" s="49"/>
      <c r="AR159" s="139"/>
      <c r="AS159" s="139"/>
      <c r="AT159" s="139"/>
      <c r="AU159" s="139"/>
      <c r="AV159" s="49"/>
    </row>
    <row r="160" spans="2:48" outlineLevel="1" x14ac:dyDescent="0.3">
      <c r="B160" s="200" t="s">
        <v>135</v>
      </c>
      <c r="C160" s="201"/>
      <c r="D160" s="139"/>
      <c r="E160" s="16">
        <v>1597.5119999999997</v>
      </c>
      <c r="F160" s="16">
        <v>298.35000000000002</v>
      </c>
      <c r="G160" s="139"/>
      <c r="H160" s="49"/>
      <c r="I160" s="139"/>
      <c r="J160" s="139"/>
      <c r="K160" s="139"/>
      <c r="L160" s="139"/>
      <c r="M160" s="49"/>
      <c r="N160" s="179"/>
      <c r="O160" s="139"/>
      <c r="P160" s="139"/>
      <c r="Q160" s="139"/>
      <c r="R160" s="49"/>
      <c r="S160" s="139"/>
      <c r="T160" s="139"/>
      <c r="U160" s="139"/>
      <c r="V160" s="139"/>
      <c r="W160" s="49"/>
      <c r="X160" s="139"/>
      <c r="Y160" s="139"/>
      <c r="Z160" s="139"/>
      <c r="AA160" s="139"/>
      <c r="AB160" s="49"/>
      <c r="AC160" s="139"/>
      <c r="AD160" s="139"/>
      <c r="AE160" s="139"/>
      <c r="AF160" s="139"/>
      <c r="AG160" s="49"/>
      <c r="AH160" s="139"/>
      <c r="AI160" s="139"/>
      <c r="AJ160" s="139"/>
      <c r="AK160" s="139"/>
      <c r="AL160" s="49"/>
      <c r="AM160" s="139"/>
      <c r="AN160" s="139"/>
      <c r="AO160" s="139"/>
      <c r="AP160" s="139"/>
      <c r="AQ160" s="49"/>
      <c r="AR160" s="139"/>
      <c r="AS160" s="139"/>
      <c r="AT160" s="139"/>
      <c r="AU160" s="139"/>
      <c r="AV160" s="49"/>
    </row>
    <row r="161" spans="2:48" outlineLevel="1" x14ac:dyDescent="0.3">
      <c r="B161" s="200" t="s">
        <v>136</v>
      </c>
      <c r="C161" s="201"/>
      <c r="D161" s="139"/>
      <c r="E161" s="139">
        <f>IF((E160)&gt;0,(E160/E159),0)</f>
        <v>22.2</v>
      </c>
      <c r="F161" s="139">
        <f>IF((F160)&gt;0,(F160/F159),0)</f>
        <v>3.9000000000000004</v>
      </c>
      <c r="G161" s="139"/>
      <c r="H161" s="49"/>
      <c r="I161" s="139"/>
      <c r="J161" s="139"/>
      <c r="K161" s="139"/>
      <c r="L161" s="139"/>
      <c r="M161" s="49"/>
      <c r="N161" s="139"/>
      <c r="O161" s="139"/>
      <c r="P161" s="139"/>
      <c r="Q161" s="139"/>
      <c r="R161" s="49"/>
      <c r="S161" s="139"/>
      <c r="T161" s="139"/>
      <c r="U161" s="139"/>
      <c r="V161" s="139"/>
      <c r="W161" s="49"/>
      <c r="X161" s="139"/>
      <c r="Y161" s="139"/>
      <c r="Z161" s="139"/>
      <c r="AA161" s="139"/>
      <c r="AB161" s="49"/>
      <c r="AC161" s="139"/>
      <c r="AD161" s="139"/>
      <c r="AE161" s="139"/>
      <c r="AF161" s="139"/>
      <c r="AG161" s="49"/>
      <c r="AH161" s="139"/>
      <c r="AI161" s="139"/>
      <c r="AJ161" s="139"/>
      <c r="AK161" s="139"/>
      <c r="AL161" s="49"/>
      <c r="AM161" s="139"/>
      <c r="AN161" s="139"/>
      <c r="AO161" s="139"/>
      <c r="AP161" s="139"/>
      <c r="AQ161" s="49"/>
      <c r="AR161" s="139"/>
      <c r="AS161" s="139"/>
      <c r="AT161" s="139"/>
      <c r="AU161" s="139"/>
      <c r="AV161" s="49"/>
    </row>
    <row r="162" spans="2:48" ht="17.399999999999999" x14ac:dyDescent="0.45">
      <c r="B162" s="494" t="s">
        <v>12</v>
      </c>
      <c r="C162" s="495"/>
      <c r="D162" s="14" t="s">
        <v>19</v>
      </c>
      <c r="E162" s="14" t="s">
        <v>81</v>
      </c>
      <c r="F162" s="14" t="s">
        <v>85</v>
      </c>
      <c r="G162" s="14" t="s">
        <v>95</v>
      </c>
      <c r="H162" s="40" t="s">
        <v>96</v>
      </c>
      <c r="I162" s="14" t="s">
        <v>97</v>
      </c>
      <c r="J162" s="14" t="s">
        <v>98</v>
      </c>
      <c r="K162" s="14" t="s">
        <v>99</v>
      </c>
      <c r="L162" s="14" t="s">
        <v>142</v>
      </c>
      <c r="M162" s="40" t="s">
        <v>143</v>
      </c>
      <c r="N162" s="14" t="s">
        <v>149</v>
      </c>
      <c r="O162" s="14" t="s">
        <v>157</v>
      </c>
      <c r="P162" s="14" t="s">
        <v>159</v>
      </c>
      <c r="Q162" s="14" t="s">
        <v>172</v>
      </c>
      <c r="R162" s="40" t="s">
        <v>173</v>
      </c>
      <c r="S162" s="14" t="s">
        <v>188</v>
      </c>
      <c r="T162" s="14" t="s">
        <v>189</v>
      </c>
      <c r="U162" s="14" t="s">
        <v>204</v>
      </c>
      <c r="V162" s="12" t="s">
        <v>25</v>
      </c>
      <c r="W162" s="42" t="s">
        <v>26</v>
      </c>
      <c r="X162" s="12" t="s">
        <v>27</v>
      </c>
      <c r="Y162" s="12" t="s">
        <v>28</v>
      </c>
      <c r="Z162" s="12" t="s">
        <v>29</v>
      </c>
      <c r="AA162" s="12" t="s">
        <v>30</v>
      </c>
      <c r="AB162" s="42" t="s">
        <v>31</v>
      </c>
      <c r="AC162" s="12" t="s">
        <v>90</v>
      </c>
      <c r="AD162" s="12" t="s">
        <v>91</v>
      </c>
      <c r="AE162" s="12" t="s">
        <v>92</v>
      </c>
      <c r="AF162" s="12" t="s">
        <v>93</v>
      </c>
      <c r="AG162" s="42" t="s">
        <v>94</v>
      </c>
      <c r="AH162" s="12" t="s">
        <v>109</v>
      </c>
      <c r="AI162" s="12" t="s">
        <v>110</v>
      </c>
      <c r="AJ162" s="12" t="s">
        <v>111</v>
      </c>
      <c r="AK162" s="12" t="s">
        <v>112</v>
      </c>
      <c r="AL162" s="42" t="s">
        <v>113</v>
      </c>
      <c r="AM162" s="12" t="s">
        <v>164</v>
      </c>
      <c r="AN162" s="12" t="s">
        <v>165</v>
      </c>
      <c r="AO162" s="12" t="s">
        <v>166</v>
      </c>
      <c r="AP162" s="12" t="s">
        <v>167</v>
      </c>
      <c r="AQ162" s="42" t="s">
        <v>168</v>
      </c>
      <c r="AR162" s="12" t="s">
        <v>195</v>
      </c>
      <c r="AS162" s="12" t="s">
        <v>196</v>
      </c>
      <c r="AT162" s="12" t="s">
        <v>197</v>
      </c>
      <c r="AU162" s="12" t="s">
        <v>198</v>
      </c>
      <c r="AV162" s="42" t="s">
        <v>199</v>
      </c>
    </row>
    <row r="163" spans="2:48" outlineLevel="1" x14ac:dyDescent="0.3">
      <c r="B163" s="486" t="s">
        <v>65</v>
      </c>
      <c r="C163" s="487"/>
      <c r="D163" s="102">
        <f>-(22+5.3+0.6+20.9)</f>
        <v>-48.8</v>
      </c>
      <c r="E163" s="102">
        <v>-45.1</v>
      </c>
      <c r="F163" s="102">
        <v>-39.6</v>
      </c>
      <c r="G163" s="102">
        <f>-146.2+133.5</f>
        <v>-12.699999999999989</v>
      </c>
      <c r="H163" s="159">
        <f>SUM(D163:G163)</f>
        <v>-146.19999999999999</v>
      </c>
      <c r="I163" s="102">
        <v>-7.1</v>
      </c>
      <c r="J163" s="102">
        <v>0.1</v>
      </c>
      <c r="K163" s="105">
        <f>-K14</f>
        <v>-78.099999999999994</v>
      </c>
      <c r="L163" s="101">
        <v>-195.5</v>
      </c>
      <c r="M163" s="169"/>
      <c r="N163" s="101">
        <v>-72.2</v>
      </c>
      <c r="O163" s="101">
        <v>-23</v>
      </c>
      <c r="P163" s="101">
        <v>-19.8</v>
      </c>
      <c r="Q163" s="101">
        <v>-55.5</v>
      </c>
      <c r="R163" s="17"/>
      <c r="S163" s="16">
        <v>7.5</v>
      </c>
      <c r="T163" s="16">
        <v>-4.4000000000000004</v>
      </c>
      <c r="U163" s="16">
        <v>-14</v>
      </c>
      <c r="V163" s="33">
        <v>-50</v>
      </c>
      <c r="W163" s="17"/>
      <c r="X163" s="33">
        <v>-50</v>
      </c>
      <c r="Y163" s="33">
        <v>0</v>
      </c>
      <c r="Z163" s="33">
        <f t="shared" ref="Z163:AA163" si="622">Y163</f>
        <v>0</v>
      </c>
      <c r="AA163" s="33">
        <f t="shared" si="622"/>
        <v>0</v>
      </c>
      <c r="AB163" s="17"/>
      <c r="AC163" s="33">
        <f>AA163</f>
        <v>0</v>
      </c>
      <c r="AD163" s="33">
        <f t="shared" ref="AD163:AF163" si="623">AC163</f>
        <v>0</v>
      </c>
      <c r="AE163" s="33">
        <f t="shared" si="623"/>
        <v>0</v>
      </c>
      <c r="AF163" s="33">
        <f t="shared" si="623"/>
        <v>0</v>
      </c>
      <c r="AG163" s="17"/>
      <c r="AH163" s="33">
        <f>AF163</f>
        <v>0</v>
      </c>
      <c r="AI163" s="33">
        <f t="shared" ref="AI163:AK163" si="624">AH163</f>
        <v>0</v>
      </c>
      <c r="AJ163" s="33">
        <f t="shared" si="624"/>
        <v>0</v>
      </c>
      <c r="AK163" s="33">
        <f t="shared" si="624"/>
        <v>0</v>
      </c>
      <c r="AL163" s="17"/>
      <c r="AM163" s="33">
        <f>AK163</f>
        <v>0</v>
      </c>
      <c r="AN163" s="33">
        <f t="shared" ref="AN163:AP163" si="625">AM163</f>
        <v>0</v>
      </c>
      <c r="AO163" s="33">
        <f t="shared" si="625"/>
        <v>0</v>
      </c>
      <c r="AP163" s="33">
        <f t="shared" si="625"/>
        <v>0</v>
      </c>
      <c r="AQ163" s="17"/>
      <c r="AR163" s="33">
        <f>AP163</f>
        <v>0</v>
      </c>
      <c r="AS163" s="33">
        <f t="shared" ref="AS163:AU163" si="626">AR163</f>
        <v>0</v>
      </c>
      <c r="AT163" s="33">
        <f t="shared" si="626"/>
        <v>0</v>
      </c>
      <c r="AU163" s="33">
        <f t="shared" si="626"/>
        <v>0</v>
      </c>
      <c r="AV163" s="17"/>
    </row>
    <row r="164" spans="2:48" outlineLevel="1" x14ac:dyDescent="0.3">
      <c r="B164" s="200" t="s">
        <v>64</v>
      </c>
      <c r="C164" s="201"/>
      <c r="D164" s="102">
        <f>-(5.3+0.5)</f>
        <v>-5.8</v>
      </c>
      <c r="E164" s="102">
        <v>-4.3</v>
      </c>
      <c r="F164" s="102">
        <v>-2.2999999999999998</v>
      </c>
      <c r="G164" s="102">
        <v>-0.2</v>
      </c>
      <c r="H164" s="159">
        <f t="shared" ref="H164:H167" si="627">SUM(D164:G164)</f>
        <v>-12.599999999999998</v>
      </c>
      <c r="I164" s="102">
        <v>-5.6</v>
      </c>
      <c r="J164" s="102">
        <v>-6.8</v>
      </c>
      <c r="K164" s="105">
        <v>-35.04</v>
      </c>
      <c r="L164" s="101">
        <v>0</v>
      </c>
      <c r="M164" s="169"/>
      <c r="N164" s="101">
        <v>0</v>
      </c>
      <c r="O164" s="101">
        <v>0</v>
      </c>
      <c r="P164" s="101">
        <v>22.8</v>
      </c>
      <c r="Q164" s="101">
        <v>-0.1</v>
      </c>
      <c r="R164" s="17"/>
      <c r="S164" s="16"/>
      <c r="T164" s="16"/>
      <c r="U164" s="16"/>
      <c r="V164" s="33"/>
      <c r="W164" s="17"/>
      <c r="X164" s="33">
        <f t="shared" ref="X164:X167" si="628">V164</f>
        <v>0</v>
      </c>
      <c r="Y164" s="33"/>
      <c r="Z164" s="33"/>
      <c r="AA164" s="33"/>
      <c r="AB164" s="17"/>
      <c r="AC164" s="33">
        <f t="shared" ref="AC164:AC167" si="629">AA164</f>
        <v>0</v>
      </c>
      <c r="AD164" s="33"/>
      <c r="AE164" s="33"/>
      <c r="AF164" s="33"/>
      <c r="AG164" s="17"/>
      <c r="AH164" s="33">
        <f t="shared" ref="AH164:AH167" si="630">AF164</f>
        <v>0</v>
      </c>
      <c r="AI164" s="33"/>
      <c r="AJ164" s="33"/>
      <c r="AK164" s="33"/>
      <c r="AL164" s="17"/>
      <c r="AM164" s="33">
        <f t="shared" ref="AM164:AM167" si="631">AK164</f>
        <v>0</v>
      </c>
      <c r="AN164" s="33"/>
      <c r="AO164" s="33"/>
      <c r="AP164" s="33"/>
      <c r="AQ164" s="17"/>
      <c r="AR164" s="33">
        <f t="shared" ref="AR164:AR167" si="632">AP164</f>
        <v>0</v>
      </c>
      <c r="AS164" s="33"/>
      <c r="AT164" s="33"/>
      <c r="AU164" s="33"/>
      <c r="AV164" s="17"/>
    </row>
    <row r="165" spans="2:48" outlineLevel="1" x14ac:dyDescent="0.3">
      <c r="B165" s="486" t="s">
        <v>129</v>
      </c>
      <c r="C165" s="487"/>
      <c r="D165" s="102">
        <f>-(60.6-0.3)</f>
        <v>-60.300000000000004</v>
      </c>
      <c r="E165" s="102">
        <v>-68.2</v>
      </c>
      <c r="F165" s="102">
        <v>-69</v>
      </c>
      <c r="G165" s="102">
        <f>-262+197.5</f>
        <v>-64.5</v>
      </c>
      <c r="H165" s="159">
        <f>SUM(D165:G165)</f>
        <v>-262</v>
      </c>
      <c r="I165" s="102">
        <v>-58.9</v>
      </c>
      <c r="J165" s="102">
        <v>-60.1</v>
      </c>
      <c r="K165" s="105">
        <v>-60.54</v>
      </c>
      <c r="L165" s="101">
        <v>-64</v>
      </c>
      <c r="M165" s="169"/>
      <c r="N165" s="101">
        <v>-62.7</v>
      </c>
      <c r="O165" s="101">
        <v>-65.2</v>
      </c>
      <c r="P165" s="101">
        <v>-54.7</v>
      </c>
      <c r="Q165" s="101">
        <v>-59.6</v>
      </c>
      <c r="R165" s="17"/>
      <c r="S165" s="16">
        <f>0.1-42.8</f>
        <v>-42.699999999999996</v>
      </c>
      <c r="T165" s="16">
        <v>-43.1</v>
      </c>
      <c r="U165" s="16">
        <v>-63.5</v>
      </c>
      <c r="V165" s="33">
        <v>-64</v>
      </c>
      <c r="W165" s="17"/>
      <c r="X165" s="33">
        <f t="shared" si="628"/>
        <v>-64</v>
      </c>
      <c r="Y165" s="33">
        <f t="shared" ref="Y165:AA165" si="633">X165</f>
        <v>-64</v>
      </c>
      <c r="Z165" s="33">
        <f t="shared" si="633"/>
        <v>-64</v>
      </c>
      <c r="AA165" s="33">
        <f t="shared" si="633"/>
        <v>-64</v>
      </c>
      <c r="AB165" s="17"/>
      <c r="AC165" s="33">
        <f t="shared" si="629"/>
        <v>-64</v>
      </c>
      <c r="AD165" s="33">
        <f t="shared" ref="AD165:AF165" si="634">AC165</f>
        <v>-64</v>
      </c>
      <c r="AE165" s="33">
        <f t="shared" si="634"/>
        <v>-64</v>
      </c>
      <c r="AF165" s="33">
        <f t="shared" si="634"/>
        <v>-64</v>
      </c>
      <c r="AG165" s="17"/>
      <c r="AH165" s="33">
        <f t="shared" si="630"/>
        <v>-64</v>
      </c>
      <c r="AI165" s="33">
        <f t="shared" ref="AI165:AK165" si="635">AH165</f>
        <v>-64</v>
      </c>
      <c r="AJ165" s="33">
        <f t="shared" si="635"/>
        <v>-64</v>
      </c>
      <c r="AK165" s="33">
        <f t="shared" si="635"/>
        <v>-64</v>
      </c>
      <c r="AL165" s="17"/>
      <c r="AM165" s="33">
        <f t="shared" si="631"/>
        <v>-64</v>
      </c>
      <c r="AN165" s="33">
        <f t="shared" ref="AN165:AP165" si="636">AM165</f>
        <v>-64</v>
      </c>
      <c r="AO165" s="33">
        <f t="shared" si="636"/>
        <v>-64</v>
      </c>
      <c r="AP165" s="33">
        <f t="shared" si="636"/>
        <v>-64</v>
      </c>
      <c r="AQ165" s="17"/>
      <c r="AR165" s="33">
        <f t="shared" si="632"/>
        <v>-64</v>
      </c>
      <c r="AS165" s="33">
        <f t="shared" ref="AS165:AU165" si="637">AR165</f>
        <v>-64</v>
      </c>
      <c r="AT165" s="33">
        <f t="shared" si="637"/>
        <v>-64</v>
      </c>
      <c r="AU165" s="33">
        <f t="shared" si="637"/>
        <v>-64</v>
      </c>
      <c r="AV165" s="17"/>
    </row>
    <row r="166" spans="2:48" outlineLevel="1" x14ac:dyDescent="0.3">
      <c r="B166" s="200" t="s">
        <v>66</v>
      </c>
      <c r="C166" s="201"/>
      <c r="D166" s="102">
        <v>-23.1</v>
      </c>
      <c r="E166" s="102">
        <v>-23.8</v>
      </c>
      <c r="F166" s="102">
        <v>-14.4</v>
      </c>
      <c r="G166" s="102">
        <v>0</v>
      </c>
      <c r="H166" s="159">
        <f t="shared" si="627"/>
        <v>-61.300000000000004</v>
      </c>
      <c r="I166" s="102"/>
      <c r="J166" s="102"/>
      <c r="K166" s="101"/>
      <c r="L166" s="101"/>
      <c r="M166" s="169"/>
      <c r="N166" s="101"/>
      <c r="O166" s="101"/>
      <c r="P166" s="101"/>
      <c r="Q166" s="101"/>
      <c r="R166" s="17"/>
      <c r="S166" s="16"/>
      <c r="T166" s="16"/>
      <c r="U166" s="16"/>
      <c r="V166" s="33"/>
      <c r="W166" s="17"/>
      <c r="X166" s="33">
        <f t="shared" si="628"/>
        <v>0</v>
      </c>
      <c r="Y166" s="33"/>
      <c r="Z166" s="33"/>
      <c r="AA166" s="33"/>
      <c r="AB166" s="17"/>
      <c r="AC166" s="33">
        <f t="shared" si="629"/>
        <v>0</v>
      </c>
      <c r="AD166" s="33"/>
      <c r="AE166" s="33"/>
      <c r="AF166" s="33"/>
      <c r="AG166" s="17"/>
      <c r="AH166" s="33">
        <f t="shared" si="630"/>
        <v>0</v>
      </c>
      <c r="AI166" s="33"/>
      <c r="AJ166" s="33"/>
      <c r="AK166" s="33"/>
      <c r="AL166" s="17"/>
      <c r="AM166" s="33">
        <f t="shared" si="631"/>
        <v>0</v>
      </c>
      <c r="AN166" s="33"/>
      <c r="AO166" s="33"/>
      <c r="AP166" s="33"/>
      <c r="AQ166" s="17"/>
      <c r="AR166" s="33">
        <f t="shared" si="632"/>
        <v>0</v>
      </c>
      <c r="AS166" s="33"/>
      <c r="AT166" s="33"/>
      <c r="AU166" s="33"/>
      <c r="AV166" s="17"/>
    </row>
    <row r="167" spans="2:48" ht="16.2" outlineLevel="1" x14ac:dyDescent="0.45">
      <c r="B167" s="200" t="s">
        <v>80</v>
      </c>
      <c r="C167" s="201"/>
      <c r="D167" s="138">
        <v>0</v>
      </c>
      <c r="E167" s="138">
        <v>0</v>
      </c>
      <c r="F167" s="138">
        <v>0</v>
      </c>
      <c r="G167" s="138">
        <v>0</v>
      </c>
      <c r="H167" s="160">
        <f t="shared" si="627"/>
        <v>0</v>
      </c>
      <c r="I167" s="138">
        <v>0</v>
      </c>
      <c r="J167" s="138">
        <v>0</v>
      </c>
      <c r="K167" s="112">
        <v>0</v>
      </c>
      <c r="L167" s="112">
        <v>0</v>
      </c>
      <c r="M167" s="169"/>
      <c r="N167" s="112">
        <v>0</v>
      </c>
      <c r="O167" s="112">
        <v>0</v>
      </c>
      <c r="P167" s="112">
        <v>0</v>
      </c>
      <c r="Q167" s="112">
        <v>0</v>
      </c>
      <c r="R167" s="17"/>
      <c r="S167" s="112">
        <v>0</v>
      </c>
      <c r="T167" s="112">
        <v>0</v>
      </c>
      <c r="U167" s="112">
        <v>0</v>
      </c>
      <c r="V167" s="32">
        <v>0</v>
      </c>
      <c r="W167" s="17"/>
      <c r="X167" s="32">
        <f t="shared" si="628"/>
        <v>0</v>
      </c>
      <c r="Y167" s="32">
        <v>0</v>
      </c>
      <c r="Z167" s="32">
        <v>0</v>
      </c>
      <c r="AA167" s="32">
        <v>0</v>
      </c>
      <c r="AB167" s="17"/>
      <c r="AC167" s="32">
        <f t="shared" si="629"/>
        <v>0</v>
      </c>
      <c r="AD167" s="32">
        <v>0</v>
      </c>
      <c r="AE167" s="32">
        <v>0</v>
      </c>
      <c r="AF167" s="32">
        <v>0</v>
      </c>
      <c r="AG167" s="17"/>
      <c r="AH167" s="32">
        <f t="shared" si="630"/>
        <v>0</v>
      </c>
      <c r="AI167" s="32">
        <v>0</v>
      </c>
      <c r="AJ167" s="32">
        <v>0</v>
      </c>
      <c r="AK167" s="32">
        <v>0</v>
      </c>
      <c r="AL167" s="17"/>
      <c r="AM167" s="32">
        <f t="shared" si="631"/>
        <v>0</v>
      </c>
      <c r="AN167" s="32">
        <v>0</v>
      </c>
      <c r="AO167" s="32">
        <v>0</v>
      </c>
      <c r="AP167" s="32">
        <v>0</v>
      </c>
      <c r="AQ167" s="17"/>
      <c r="AR167" s="32">
        <f t="shared" si="632"/>
        <v>0</v>
      </c>
      <c r="AS167" s="32">
        <v>0</v>
      </c>
      <c r="AT167" s="32">
        <v>0</v>
      </c>
      <c r="AU167" s="32">
        <v>0</v>
      </c>
      <c r="AV167" s="17"/>
    </row>
    <row r="168" spans="2:48" s="8" customFormat="1" outlineLevel="1" x14ac:dyDescent="0.3">
      <c r="B168" s="205" t="s">
        <v>67</v>
      </c>
      <c r="C168" s="202"/>
      <c r="D168" s="103">
        <f t="shared" ref="D168:L168" si="638">SUM(D163:D167)</f>
        <v>-138</v>
      </c>
      <c r="E168" s="103">
        <f t="shared" si="638"/>
        <v>-141.4</v>
      </c>
      <c r="F168" s="103">
        <f t="shared" si="638"/>
        <v>-125.30000000000001</v>
      </c>
      <c r="G168" s="103">
        <f t="shared" si="638"/>
        <v>-77.399999999999991</v>
      </c>
      <c r="H168" s="171">
        <f t="shared" si="638"/>
        <v>-482.09999999999997</v>
      </c>
      <c r="I168" s="103">
        <f t="shared" si="638"/>
        <v>-71.599999999999994</v>
      </c>
      <c r="J168" s="103">
        <f t="shared" si="638"/>
        <v>-66.8</v>
      </c>
      <c r="K168" s="103">
        <f t="shared" si="638"/>
        <v>-173.67999999999998</v>
      </c>
      <c r="L168" s="103">
        <f t="shared" si="638"/>
        <v>-259.5</v>
      </c>
      <c r="M168" s="150"/>
      <c r="N168" s="103">
        <f>SUM(N163:N167)</f>
        <v>-134.9</v>
      </c>
      <c r="O168" s="103">
        <f>SUM(O163:O167)</f>
        <v>-88.2</v>
      </c>
      <c r="P168" s="103">
        <f>SUM(P163:P167)</f>
        <v>-51.7</v>
      </c>
      <c r="Q168" s="103">
        <f>SUM(Q163:Q167)</f>
        <v>-115.2</v>
      </c>
      <c r="R168" s="22"/>
      <c r="S168" s="103">
        <f>SUM(S163:S167)</f>
        <v>-35.199999999999996</v>
      </c>
      <c r="T168" s="50">
        <f>SUM(T163:T167)</f>
        <v>-47.5</v>
      </c>
      <c r="U168" s="50">
        <f>SUM(U163:U167)</f>
        <v>-77.5</v>
      </c>
      <c r="V168" s="50">
        <f>SUM(V163:V167)</f>
        <v>-114</v>
      </c>
      <c r="W168" s="22"/>
      <c r="X168" s="50">
        <f>SUM(X163:X167)</f>
        <v>-114</v>
      </c>
      <c r="Y168" s="50">
        <f>SUM(Y163:Y167)</f>
        <v>-64</v>
      </c>
      <c r="Z168" s="50">
        <f>SUM(Z163:Z167)</f>
        <v>-64</v>
      </c>
      <c r="AA168" s="50">
        <f>SUM(AA163:AA167)</f>
        <v>-64</v>
      </c>
      <c r="AB168" s="22"/>
      <c r="AC168" s="50">
        <f>SUM(AC163:AC167)</f>
        <v>-64</v>
      </c>
      <c r="AD168" s="50">
        <f>SUM(AD163:AD167)</f>
        <v>-64</v>
      </c>
      <c r="AE168" s="50">
        <f>SUM(AE163:AE167)</f>
        <v>-64</v>
      </c>
      <c r="AF168" s="50">
        <f>SUM(AF163:AF167)</f>
        <v>-64</v>
      </c>
      <c r="AG168" s="22"/>
      <c r="AH168" s="50">
        <f>SUM(AH163:AH167)</f>
        <v>-64</v>
      </c>
      <c r="AI168" s="50">
        <f>SUM(AI163:AI167)</f>
        <v>-64</v>
      </c>
      <c r="AJ168" s="50">
        <f>SUM(AJ163:AJ167)</f>
        <v>-64</v>
      </c>
      <c r="AK168" s="50">
        <f>SUM(AK163:AK167)</f>
        <v>-64</v>
      </c>
      <c r="AL168" s="22"/>
      <c r="AM168" s="50">
        <f>SUM(AM163:AM167)</f>
        <v>-64</v>
      </c>
      <c r="AN168" s="50">
        <f>SUM(AN163:AN167)</f>
        <v>-64</v>
      </c>
      <c r="AO168" s="50">
        <f>SUM(AO163:AO167)</f>
        <v>-64</v>
      </c>
      <c r="AP168" s="50">
        <f>SUM(AP163:AP167)</f>
        <v>-64</v>
      </c>
      <c r="AQ168" s="22"/>
      <c r="AR168" s="50">
        <f>SUM(AR163:AR167)</f>
        <v>-64</v>
      </c>
      <c r="AS168" s="50">
        <f>SUM(AS163:AS167)</f>
        <v>-64</v>
      </c>
      <c r="AT168" s="50">
        <f>SUM(AT163:AT167)</f>
        <v>-64</v>
      </c>
      <c r="AU168" s="50">
        <f>SUM(AU163:AU167)</f>
        <v>-64</v>
      </c>
      <c r="AV168" s="22"/>
    </row>
    <row r="169" spans="2:48" ht="16.2" outlineLevel="1" x14ac:dyDescent="0.45">
      <c r="B169" s="200" t="s">
        <v>155</v>
      </c>
      <c r="C169" s="201"/>
      <c r="D169" s="104">
        <v>0</v>
      </c>
      <c r="E169" s="104">
        <v>0</v>
      </c>
      <c r="F169" s="104">
        <v>0</v>
      </c>
      <c r="G169" s="104">
        <v>0</v>
      </c>
      <c r="H169" s="169"/>
      <c r="I169" s="104">
        <v>0</v>
      </c>
      <c r="J169" s="104">
        <v>0</v>
      </c>
      <c r="K169" s="104">
        <v>0</v>
      </c>
      <c r="L169" s="104">
        <v>0</v>
      </c>
      <c r="M169" s="169"/>
      <c r="N169" s="104">
        <v>0</v>
      </c>
      <c r="O169" s="104">
        <v>0</v>
      </c>
      <c r="P169" s="104">
        <v>0</v>
      </c>
      <c r="Q169" s="104">
        <v>0</v>
      </c>
      <c r="R169" s="17"/>
      <c r="S169" s="104">
        <v>0</v>
      </c>
      <c r="T169" s="52">
        <v>0</v>
      </c>
      <c r="U169" s="52">
        <v>0</v>
      </c>
      <c r="V169" s="52">
        <v>0</v>
      </c>
      <c r="W169" s="17"/>
      <c r="X169" s="52">
        <v>0</v>
      </c>
      <c r="Y169" s="52">
        <v>0</v>
      </c>
      <c r="Z169" s="52">
        <v>0</v>
      </c>
      <c r="AA169" s="52">
        <v>0</v>
      </c>
      <c r="AB169" s="17"/>
      <c r="AC169" s="52">
        <v>0</v>
      </c>
      <c r="AD169" s="52">
        <v>0</v>
      </c>
      <c r="AE169" s="52">
        <v>0</v>
      </c>
      <c r="AF169" s="52">
        <v>0</v>
      </c>
      <c r="AG169" s="17"/>
      <c r="AH169" s="52">
        <v>0</v>
      </c>
      <c r="AI169" s="52">
        <v>0</v>
      </c>
      <c r="AJ169" s="52">
        <v>0</v>
      </c>
      <c r="AK169" s="52">
        <v>0</v>
      </c>
      <c r="AL169" s="17"/>
      <c r="AM169" s="52">
        <v>0</v>
      </c>
      <c r="AN169" s="52">
        <v>0</v>
      </c>
      <c r="AO169" s="52">
        <v>0</v>
      </c>
      <c r="AP169" s="52">
        <v>0</v>
      </c>
      <c r="AQ169" s="17"/>
      <c r="AR169" s="52">
        <v>0</v>
      </c>
      <c r="AS169" s="52">
        <v>0</v>
      </c>
      <c r="AT169" s="52">
        <v>0</v>
      </c>
      <c r="AU169" s="52">
        <v>0</v>
      </c>
      <c r="AV169" s="17"/>
    </row>
    <row r="170" spans="2:48" s="8" customFormat="1" outlineLevel="1" x14ac:dyDescent="0.3">
      <c r="B170" s="205" t="s">
        <v>68</v>
      </c>
      <c r="C170" s="202"/>
      <c r="D170" s="103">
        <f t="shared" ref="D170:G170" si="639">-D168+D169</f>
        <v>138</v>
      </c>
      <c r="E170" s="103">
        <f t="shared" si="639"/>
        <v>141.4</v>
      </c>
      <c r="F170" s="103">
        <f t="shared" si="639"/>
        <v>125.30000000000001</v>
      </c>
      <c r="G170" s="103">
        <f t="shared" si="639"/>
        <v>77.399999999999991</v>
      </c>
      <c r="H170" s="150"/>
      <c r="I170" s="103">
        <f t="shared" ref="I170:L170" si="640">-I168+I169</f>
        <v>71.599999999999994</v>
      </c>
      <c r="J170" s="103">
        <f t="shared" si="640"/>
        <v>66.8</v>
      </c>
      <c r="K170" s="103">
        <f t="shared" si="640"/>
        <v>173.67999999999998</v>
      </c>
      <c r="L170" s="103">
        <f t="shared" si="640"/>
        <v>259.5</v>
      </c>
      <c r="M170" s="150"/>
      <c r="N170" s="103">
        <f t="shared" ref="N170:P170" si="641">-N168+N169</f>
        <v>134.9</v>
      </c>
      <c r="O170" s="103">
        <f t="shared" si="641"/>
        <v>88.2</v>
      </c>
      <c r="P170" s="103">
        <f t="shared" si="641"/>
        <v>51.7</v>
      </c>
      <c r="Q170" s="103">
        <f>-Q168+Q169</f>
        <v>115.2</v>
      </c>
      <c r="R170" s="22"/>
      <c r="S170" s="103">
        <f t="shared" ref="S170:V170" si="642">-S168+S169</f>
        <v>35.199999999999996</v>
      </c>
      <c r="T170" s="50">
        <f t="shared" si="642"/>
        <v>47.5</v>
      </c>
      <c r="U170" s="50">
        <f t="shared" si="642"/>
        <v>77.5</v>
      </c>
      <c r="V170" s="50">
        <f t="shared" si="642"/>
        <v>114</v>
      </c>
      <c r="W170" s="22"/>
      <c r="X170" s="50">
        <f t="shared" ref="X170:AA170" si="643">-X168+X169</f>
        <v>114</v>
      </c>
      <c r="Y170" s="50">
        <f t="shared" si="643"/>
        <v>64</v>
      </c>
      <c r="Z170" s="50">
        <f t="shared" si="643"/>
        <v>64</v>
      </c>
      <c r="AA170" s="50">
        <f t="shared" si="643"/>
        <v>64</v>
      </c>
      <c r="AB170" s="22"/>
      <c r="AC170" s="50">
        <f t="shared" ref="AC170:AF170" si="644">-AC168+AC169</f>
        <v>64</v>
      </c>
      <c r="AD170" s="50">
        <f t="shared" si="644"/>
        <v>64</v>
      </c>
      <c r="AE170" s="50">
        <f t="shared" si="644"/>
        <v>64</v>
      </c>
      <c r="AF170" s="50">
        <f t="shared" si="644"/>
        <v>64</v>
      </c>
      <c r="AG170" s="22"/>
      <c r="AH170" s="50">
        <f t="shared" ref="AH170:AK170" si="645">-AH168+AH169</f>
        <v>64</v>
      </c>
      <c r="AI170" s="50">
        <f t="shared" si="645"/>
        <v>64</v>
      </c>
      <c r="AJ170" s="50">
        <f t="shared" si="645"/>
        <v>64</v>
      </c>
      <c r="AK170" s="50">
        <f t="shared" si="645"/>
        <v>64</v>
      </c>
      <c r="AL170" s="22"/>
      <c r="AM170" s="50">
        <f t="shared" ref="AM170:AP170" si="646">-AM168+AM169</f>
        <v>64</v>
      </c>
      <c r="AN170" s="50">
        <f t="shared" si="646"/>
        <v>64</v>
      </c>
      <c r="AO170" s="50">
        <f t="shared" si="646"/>
        <v>64</v>
      </c>
      <c r="AP170" s="50">
        <f t="shared" si="646"/>
        <v>64</v>
      </c>
      <c r="AQ170" s="22"/>
      <c r="AR170" s="50">
        <f t="shared" ref="AR170:AU170" si="647">-AR168+AR169</f>
        <v>64</v>
      </c>
      <c r="AS170" s="50">
        <f t="shared" si="647"/>
        <v>64</v>
      </c>
      <c r="AT170" s="50">
        <f t="shared" si="647"/>
        <v>64</v>
      </c>
      <c r="AU170" s="50">
        <f t="shared" si="647"/>
        <v>64</v>
      </c>
      <c r="AV170" s="22"/>
    </row>
    <row r="171" spans="2:48" outlineLevel="1" x14ac:dyDescent="0.3">
      <c r="B171" s="200" t="s">
        <v>69</v>
      </c>
      <c r="C171" s="201"/>
      <c r="D171" s="105">
        <v>0</v>
      </c>
      <c r="E171" s="101">
        <f>-0.02*E31</f>
        <v>-25.014000000000003</v>
      </c>
      <c r="F171" s="101">
        <f>0.49*F31</f>
        <v>599.27</v>
      </c>
      <c r="G171" s="101">
        <v>0</v>
      </c>
      <c r="H171" s="169"/>
      <c r="I171" s="101">
        <v>0</v>
      </c>
      <c r="J171" s="101">
        <v>0</v>
      </c>
      <c r="K171" s="101">
        <v>0</v>
      </c>
      <c r="L171" s="101">
        <v>0</v>
      </c>
      <c r="M171" s="169"/>
      <c r="N171" s="101">
        <v>0</v>
      </c>
      <c r="O171" s="101">
        <v>0</v>
      </c>
      <c r="P171" s="101">
        <v>0</v>
      </c>
      <c r="Q171" s="101">
        <f>0.73*Q31</f>
        <v>867.16700000000003</v>
      </c>
      <c r="R171" s="17"/>
      <c r="S171" s="101">
        <v>0</v>
      </c>
      <c r="T171" s="101">
        <f>0.03*T31</f>
        <v>34.617000000000004</v>
      </c>
      <c r="U171" s="101">
        <v>0</v>
      </c>
      <c r="V171" s="33">
        <v>0</v>
      </c>
      <c r="W171" s="17"/>
      <c r="X171" s="33">
        <v>0</v>
      </c>
      <c r="Y171" s="33">
        <v>0</v>
      </c>
      <c r="Z171" s="33">
        <v>0</v>
      </c>
      <c r="AA171" s="33">
        <v>0</v>
      </c>
      <c r="AB171" s="17"/>
      <c r="AC171" s="33">
        <v>0</v>
      </c>
      <c r="AD171" s="33">
        <v>0</v>
      </c>
      <c r="AE171" s="33">
        <v>0</v>
      </c>
      <c r="AF171" s="33">
        <v>0</v>
      </c>
      <c r="AG171" s="17"/>
      <c r="AH171" s="33">
        <v>0</v>
      </c>
      <c r="AI171" s="33">
        <v>0</v>
      </c>
      <c r="AJ171" s="33">
        <v>0</v>
      </c>
      <c r="AK171" s="33">
        <v>0</v>
      </c>
      <c r="AL171" s="17"/>
      <c r="AM171" s="33">
        <v>0</v>
      </c>
      <c r="AN171" s="33">
        <v>0</v>
      </c>
      <c r="AO171" s="33">
        <v>0</v>
      </c>
      <c r="AP171" s="33">
        <v>0</v>
      </c>
      <c r="AQ171" s="17"/>
      <c r="AR171" s="33">
        <v>0</v>
      </c>
      <c r="AS171" s="33">
        <v>0</v>
      </c>
      <c r="AT171" s="33">
        <v>0</v>
      </c>
      <c r="AU171" s="33">
        <v>0</v>
      </c>
      <c r="AV171" s="17"/>
    </row>
    <row r="172" spans="2:48" outlineLevel="1" x14ac:dyDescent="0.3">
      <c r="B172" s="486" t="s">
        <v>75</v>
      </c>
      <c r="C172" s="487"/>
      <c r="D172" s="105">
        <v>-41.449999999998646</v>
      </c>
      <c r="E172" s="101">
        <v>79.193999999999548</v>
      </c>
      <c r="F172" s="101">
        <v>-55.109999999999197</v>
      </c>
      <c r="G172" s="101">
        <v>30</v>
      </c>
      <c r="H172" s="169"/>
      <c r="I172" s="101">
        <v>11</v>
      </c>
      <c r="J172" s="101">
        <v>23</v>
      </c>
      <c r="K172" s="101">
        <f>0.03*K31</f>
        <v>35.055</v>
      </c>
      <c r="L172" s="101">
        <v>50.810000000000372</v>
      </c>
      <c r="M172" s="169"/>
      <c r="N172" s="101">
        <f>0.03*N31</f>
        <v>35.49</v>
      </c>
      <c r="O172" s="101">
        <f>0.01*O31</f>
        <v>11.847999999999999</v>
      </c>
      <c r="P172" s="101">
        <f>0.01*P31</f>
        <v>11.862</v>
      </c>
      <c r="Q172" s="101">
        <f>-0.144*Q31</f>
        <v>-171.05760000000001</v>
      </c>
      <c r="R172" s="17"/>
      <c r="S172" s="101">
        <v>3.9480000000003299</v>
      </c>
      <c r="T172" s="16">
        <f>0.01*T31</f>
        <v>11.539000000000001</v>
      </c>
      <c r="U172" s="16">
        <f>0.02*U31</f>
        <v>23.02</v>
      </c>
      <c r="V172" s="16">
        <f t="shared" ref="V172" si="648">+V170*V173</f>
        <v>33.861677419354834</v>
      </c>
      <c r="W172" s="17"/>
      <c r="X172" s="16">
        <f>+X170*X173</f>
        <v>33.861677419354834</v>
      </c>
      <c r="Y172" s="16">
        <f>+Y170*Y173</f>
        <v>19.010064516129031</v>
      </c>
      <c r="Z172" s="16">
        <f t="shared" ref="Z172:AA172" si="649">+Z170*Z173</f>
        <v>19.010064516129031</v>
      </c>
      <c r="AA172" s="16">
        <f t="shared" si="649"/>
        <v>19.010064516129031</v>
      </c>
      <c r="AB172" s="17"/>
      <c r="AC172" s="16">
        <f>+AC170*AC173</f>
        <v>19.010064516129031</v>
      </c>
      <c r="AD172" s="16">
        <f>+AD170*AD173</f>
        <v>19.010064516129031</v>
      </c>
      <c r="AE172" s="16">
        <f t="shared" ref="AE172:AF172" si="650">+AE170*AE173</f>
        <v>19.010064516129031</v>
      </c>
      <c r="AF172" s="16">
        <f t="shared" si="650"/>
        <v>19.010064516129031</v>
      </c>
      <c r="AG172" s="17"/>
      <c r="AH172" s="16">
        <f>+AH170*AH173</f>
        <v>19.010064516129031</v>
      </c>
      <c r="AI172" s="16">
        <f>+AI170*AI173</f>
        <v>19.010064516129031</v>
      </c>
      <c r="AJ172" s="16">
        <f t="shared" ref="AJ172:AK172" si="651">+AJ170*AJ173</f>
        <v>19.010064516129031</v>
      </c>
      <c r="AK172" s="16">
        <f t="shared" si="651"/>
        <v>19.010064516129031</v>
      </c>
      <c r="AL172" s="17"/>
      <c r="AM172" s="16">
        <f>+AM170*AM173</f>
        <v>19.010064516129031</v>
      </c>
      <c r="AN172" s="16">
        <f>+AN170*AN173</f>
        <v>19.010064516129031</v>
      </c>
      <c r="AO172" s="16">
        <f t="shared" ref="AO172:AP172" si="652">+AO170*AO173</f>
        <v>19.010064516129031</v>
      </c>
      <c r="AP172" s="16">
        <f t="shared" si="652"/>
        <v>19.010064516129031</v>
      </c>
      <c r="AQ172" s="17"/>
      <c r="AR172" s="16">
        <f>+AR170*AR173</f>
        <v>19.010064516129031</v>
      </c>
      <c r="AS172" s="16">
        <f>+AS170*AS173</f>
        <v>19.010064516129031</v>
      </c>
      <c r="AT172" s="16">
        <f t="shared" ref="AT172:AU172" si="653">+AT170*AT173</f>
        <v>19.010064516129031</v>
      </c>
      <c r="AU172" s="16">
        <f t="shared" si="653"/>
        <v>19.010064516129031</v>
      </c>
      <c r="AV172" s="17"/>
    </row>
    <row r="173" spans="2:48" outlineLevel="1" x14ac:dyDescent="0.3">
      <c r="B173" s="203" t="s">
        <v>76</v>
      </c>
      <c r="C173" s="204"/>
      <c r="D173" s="211">
        <f t="shared" ref="D173:G173" si="654">D172/D170</f>
        <v>-0.30036231884056991</v>
      </c>
      <c r="E173" s="211">
        <f t="shared" si="654"/>
        <v>0.56007072135784686</v>
      </c>
      <c r="F173" s="211">
        <f t="shared" si="654"/>
        <v>-0.43982442138866074</v>
      </c>
      <c r="G173" s="211">
        <f t="shared" si="654"/>
        <v>0.38759689922480622</v>
      </c>
      <c r="H173" s="212"/>
      <c r="I173" s="211">
        <f t="shared" ref="I173:U173" si="655">I172/I170</f>
        <v>0.15363128491620112</v>
      </c>
      <c r="J173" s="211">
        <f t="shared" si="655"/>
        <v>0.34431137724550898</v>
      </c>
      <c r="K173" s="211">
        <f t="shared" si="655"/>
        <v>0.20183671119299865</v>
      </c>
      <c r="L173" s="211">
        <f t="shared" si="655"/>
        <v>0.1957996146435467</v>
      </c>
      <c r="M173" s="212"/>
      <c r="N173" s="211">
        <f t="shared" si="655"/>
        <v>0.26308376575240922</v>
      </c>
      <c r="O173" s="211">
        <f t="shared" si="655"/>
        <v>0.13433106575963719</v>
      </c>
      <c r="P173" s="211">
        <f t="shared" si="655"/>
        <v>0.22943907156673113</v>
      </c>
      <c r="Q173" s="211">
        <f t="shared" si="655"/>
        <v>-1.4848749999999999</v>
      </c>
      <c r="R173" s="37"/>
      <c r="S173" s="211">
        <f t="shared" si="655"/>
        <v>0.1121590909091003</v>
      </c>
      <c r="T173" s="211">
        <f t="shared" si="655"/>
        <v>0.24292631578947371</v>
      </c>
      <c r="U173" s="211">
        <f t="shared" si="655"/>
        <v>0.29703225806451611</v>
      </c>
      <c r="V173" s="94">
        <f>U173</f>
        <v>0.29703225806451611</v>
      </c>
      <c r="W173" s="37"/>
      <c r="X173" s="94">
        <f>V173</f>
        <v>0.29703225806451611</v>
      </c>
      <c r="Y173" s="94">
        <f>X173</f>
        <v>0.29703225806451611</v>
      </c>
      <c r="Z173" s="94">
        <f>Y173</f>
        <v>0.29703225806451611</v>
      </c>
      <c r="AA173" s="94">
        <f>Z173</f>
        <v>0.29703225806451611</v>
      </c>
      <c r="AB173" s="37"/>
      <c r="AC173" s="94">
        <f>AA173</f>
        <v>0.29703225806451611</v>
      </c>
      <c r="AD173" s="94">
        <f>AC173</f>
        <v>0.29703225806451611</v>
      </c>
      <c r="AE173" s="94">
        <f>AD173</f>
        <v>0.29703225806451611</v>
      </c>
      <c r="AF173" s="94">
        <f>AE173</f>
        <v>0.29703225806451611</v>
      </c>
      <c r="AG173" s="37"/>
      <c r="AH173" s="94">
        <f>AF173</f>
        <v>0.29703225806451611</v>
      </c>
      <c r="AI173" s="94">
        <f>AH173</f>
        <v>0.29703225806451611</v>
      </c>
      <c r="AJ173" s="94">
        <f>AI173</f>
        <v>0.29703225806451611</v>
      </c>
      <c r="AK173" s="94">
        <f>AJ173</f>
        <v>0.29703225806451611</v>
      </c>
      <c r="AL173" s="37"/>
      <c r="AM173" s="94">
        <f>AK173</f>
        <v>0.29703225806451611</v>
      </c>
      <c r="AN173" s="94">
        <f>AM173</f>
        <v>0.29703225806451611</v>
      </c>
      <c r="AO173" s="94">
        <f>AN173</f>
        <v>0.29703225806451611</v>
      </c>
      <c r="AP173" s="94">
        <f>AO173</f>
        <v>0.29703225806451611</v>
      </c>
      <c r="AQ173" s="37"/>
      <c r="AR173" s="94">
        <f>AP173</f>
        <v>0.29703225806451611</v>
      </c>
      <c r="AS173" s="94">
        <f>AR173</f>
        <v>0.29703225806451611</v>
      </c>
      <c r="AT173" s="94">
        <f>AS173</f>
        <v>0.29703225806451611</v>
      </c>
      <c r="AU173" s="94">
        <f>AT173</f>
        <v>0.29703225806451611</v>
      </c>
      <c r="AV173" s="37"/>
    </row>
    <row r="175" spans="2:48" x14ac:dyDescent="0.3">
      <c r="B175" s="382" t="s">
        <v>314</v>
      </c>
      <c r="Q175" s="383">
        <f>Q61-L61</f>
        <v>-6.6118692968142323E-4</v>
      </c>
      <c r="R175" s="383"/>
      <c r="S175" s="383">
        <f>S61-N61</f>
        <v>1.2901737440265071E-2</v>
      </c>
      <c r="T175" s="383">
        <f t="shared" ref="T175" si="656">T61-O61</f>
        <v>2.4025383293040548E-2</v>
      </c>
      <c r="U175" s="383">
        <f>U61-P61</f>
        <v>2.0536242149533701E-2</v>
      </c>
      <c r="V175" s="383">
        <f>V61-Q61</f>
        <v>1.2500000000000011E-2</v>
      </c>
      <c r="W175" s="383"/>
      <c r="X175" s="383">
        <f t="shared" ref="X175:AA175" si="657">X61-S61</f>
        <v>5.0000000000000044E-3</v>
      </c>
      <c r="Y175" s="383">
        <f t="shared" si="657"/>
        <v>2.5000000000000022E-3</v>
      </c>
      <c r="Z175" s="383">
        <f t="shared" si="657"/>
        <v>2.5000000000000022E-3</v>
      </c>
      <c r="AA175" s="383">
        <f t="shared" si="657"/>
        <v>-1.0000000000000009E-2</v>
      </c>
      <c r="AB175" s="383"/>
      <c r="AC175" s="383">
        <f t="shared" ref="AC175" si="658">AC61-X61</f>
        <v>-1.0000000000000009E-2</v>
      </c>
      <c r="AD175" s="383">
        <f t="shared" ref="AD175" si="659">AD61-Y61</f>
        <v>-1.0000000000000009E-3</v>
      </c>
      <c r="AE175" s="383">
        <f t="shared" ref="AE175" si="660">AE61-Z61</f>
        <v>-1.0000000000000009E-3</v>
      </c>
      <c r="AF175" s="383">
        <f t="shared" ref="AF175" si="661">AF61-AA61</f>
        <v>1.0000000000000009E-2</v>
      </c>
      <c r="AH175" s="383">
        <f t="shared" ref="AH175" si="662">AH61-AC61</f>
        <v>-1.0000000000000009E-3</v>
      </c>
      <c r="AI175" s="383">
        <f t="shared" ref="AI175" si="663">AI61-AD61</f>
        <v>-1.0000000000000009E-3</v>
      </c>
      <c r="AJ175" s="383">
        <f t="shared" ref="AJ175" si="664">AJ61-AE61</f>
        <v>-1.0000000000000009E-3</v>
      </c>
      <c r="AK175" s="383">
        <f t="shared" ref="AK175" si="665">AK61-AF61</f>
        <v>-1.0000000000000009E-3</v>
      </c>
    </row>
    <row r="176" spans="2:48" ht="14.55" customHeight="1" x14ac:dyDescent="0.3">
      <c r="B176" s="382" t="s">
        <v>315</v>
      </c>
      <c r="Q176" s="383">
        <f t="shared" ref="Q176:T176" si="666">Q63-L63</f>
        <v>-4.2476929877535707E-2</v>
      </c>
      <c r="R176" s="383"/>
      <c r="S176" s="383">
        <f t="shared" si="666"/>
        <v>-4.2111802490401029E-3</v>
      </c>
      <c r="T176" s="383">
        <f t="shared" si="666"/>
        <v>1.5713963584189306E-2</v>
      </c>
      <c r="U176" s="383">
        <f>U63-P63</f>
        <v>8.2485911822535729E-3</v>
      </c>
      <c r="V176" s="383">
        <f>V63-Q63</f>
        <v>1.2499999999999956E-2</v>
      </c>
      <c r="W176" s="383"/>
      <c r="X176" s="383">
        <f t="shared" ref="X176:AA176" si="667">X63-S63</f>
        <v>5.0000000000000044E-3</v>
      </c>
      <c r="Y176" s="383">
        <f>Y63-T63</f>
        <v>2.4999999999999467E-3</v>
      </c>
      <c r="Z176" s="383">
        <f t="shared" si="667"/>
        <v>1.0000000000000009E-2</v>
      </c>
      <c r="AA176" s="383">
        <f t="shared" si="667"/>
        <v>0</v>
      </c>
      <c r="AB176" s="383"/>
      <c r="AC176" s="383">
        <f t="shared" ref="AC176" si="668">AC63-X63</f>
        <v>-1.0000000000000009E-2</v>
      </c>
      <c r="AD176" s="383">
        <f t="shared" ref="AD176" si="669">AD63-Y63</f>
        <v>-1.0000000000000009E-3</v>
      </c>
      <c r="AE176" s="383">
        <f t="shared" ref="AE176" si="670">AE63-Z63</f>
        <v>-1.0000000000000009E-3</v>
      </c>
      <c r="AF176" s="383">
        <f t="shared" ref="AF176" si="671">AF63-AA63</f>
        <v>1.0000000000000009E-2</v>
      </c>
      <c r="AH176" s="383">
        <f t="shared" ref="AH176" si="672">AH63-AC63</f>
        <v>-1.0000000000000009E-3</v>
      </c>
      <c r="AI176" s="383">
        <f t="shared" ref="AI176" si="673">AI63-AD63</f>
        <v>-1.0000000000000009E-3</v>
      </c>
      <c r="AJ176" s="383">
        <f t="shared" ref="AJ176" si="674">AJ63-AE63</f>
        <v>-1.0000000000000009E-3</v>
      </c>
      <c r="AK176" s="383">
        <f t="shared" ref="AK176" si="675">AK63-AF63</f>
        <v>-1.0000000000000009E-3</v>
      </c>
    </row>
    <row r="177" spans="1:48" ht="14.55" customHeight="1" x14ac:dyDescent="0.3">
      <c r="B177" s="382" t="s">
        <v>316</v>
      </c>
      <c r="Q177" s="383">
        <f t="shared" ref="Q177:T177" si="676">Q65-L65</f>
        <v>-8.1024370824473238E-4</v>
      </c>
      <c r="R177" s="383"/>
      <c r="S177" s="383">
        <f t="shared" si="676"/>
        <v>-6.9169487840035036E-4</v>
      </c>
      <c r="T177" s="383">
        <f t="shared" si="676"/>
        <v>-3.3352357784197616E-4</v>
      </c>
      <c r="U177" s="383">
        <f>U65-P65</f>
        <v>1.7928850972594532E-3</v>
      </c>
      <c r="V177" s="383">
        <f t="shared" ref="V177:AA177" si="677">V65-Q65</f>
        <v>7.9246920006940773E-4</v>
      </c>
      <c r="W177" s="383"/>
      <c r="X177" s="383">
        <f t="shared" si="677"/>
        <v>0</v>
      </c>
      <c r="Y177" s="383">
        <f t="shared" si="677"/>
        <v>0</v>
      </c>
      <c r="Z177" s="383">
        <f t="shared" si="677"/>
        <v>0</v>
      </c>
      <c r="AA177" s="383">
        <f t="shared" si="677"/>
        <v>0</v>
      </c>
      <c r="AB177" s="383"/>
      <c r="AC177" s="383">
        <f t="shared" ref="AC177" si="678">AC65-X65</f>
        <v>0</v>
      </c>
      <c r="AD177" s="383">
        <f t="shared" ref="AD177" si="679">AD65-Y65</f>
        <v>0</v>
      </c>
      <c r="AE177" s="383">
        <f t="shared" ref="AE177" si="680">AE65-Z65</f>
        <v>0</v>
      </c>
      <c r="AF177" s="383">
        <f t="shared" ref="AF177" si="681">AF65-AA65</f>
        <v>0</v>
      </c>
      <c r="AH177" s="383">
        <f t="shared" ref="AH177" si="682">AH65-AC65</f>
        <v>0</v>
      </c>
      <c r="AI177" s="383">
        <f t="shared" ref="AI177" si="683">AI65-AD65</f>
        <v>0</v>
      </c>
      <c r="AJ177" s="383">
        <f t="shared" ref="AJ177" si="684">AJ65-AE65</f>
        <v>0</v>
      </c>
      <c r="AK177" s="383">
        <f t="shared" ref="AK177" si="685">AK65-AF65</f>
        <v>0</v>
      </c>
    </row>
    <row r="178" spans="1:48" ht="14.55" customHeight="1" x14ac:dyDescent="0.3">
      <c r="A178" s="161"/>
      <c r="B178" s="382" t="s">
        <v>317</v>
      </c>
      <c r="Q178" s="383">
        <f t="shared" ref="Q178:T178" si="686">Q68-L68</f>
        <v>-1.8685768961161399E-3</v>
      </c>
      <c r="R178" s="383"/>
      <c r="S178" s="383">
        <f t="shared" si="686"/>
        <v>-1.673261995123904E-3</v>
      </c>
      <c r="T178" s="383">
        <f t="shared" si="686"/>
        <v>-3.5644778537942175E-3</v>
      </c>
      <c r="U178" s="383">
        <f>U68-P68</f>
        <v>-9.2770624793186637E-4</v>
      </c>
      <c r="V178" s="383">
        <f t="shared" ref="V178:AA178" si="687">V68-Q68</f>
        <v>1.2500000000000002E-2</v>
      </c>
      <c r="W178" s="383"/>
      <c r="X178" s="383">
        <f t="shared" si="687"/>
        <v>4.9999999999999992E-3</v>
      </c>
      <c r="Y178" s="383">
        <f t="shared" si="687"/>
        <v>2.5000000000000005E-3</v>
      </c>
      <c r="Z178" s="383">
        <f t="shared" si="687"/>
        <v>2.5000000000000005E-3</v>
      </c>
      <c r="AA178" s="383">
        <f t="shared" si="687"/>
        <v>-1.0000000000000002E-2</v>
      </c>
      <c r="AB178" s="383"/>
      <c r="AC178" s="383">
        <f t="shared" ref="AC178" si="688">AC68-X68</f>
        <v>-2.9999999999999992E-3</v>
      </c>
      <c r="AD178" s="383">
        <f t="shared" ref="AD178" si="689">AD68-Y68</f>
        <v>2.0000000000000018E-3</v>
      </c>
      <c r="AE178" s="383">
        <f t="shared" ref="AE178" si="690">AE68-Z68</f>
        <v>-9.9999999999999915E-4</v>
      </c>
      <c r="AF178" s="383">
        <f t="shared" ref="AF178" si="691">AF68-AA68</f>
        <v>-1.0000000000000009E-3</v>
      </c>
      <c r="AH178" s="383">
        <f t="shared" ref="AH178" si="692">AH68-AC68</f>
        <v>-1.0000000000000009E-3</v>
      </c>
      <c r="AI178" s="383">
        <f t="shared" ref="AI178" si="693">AI68-AD68</f>
        <v>-1.0000000000000009E-3</v>
      </c>
      <c r="AJ178" s="383">
        <f t="shared" ref="AJ178" si="694">AJ68-AE68</f>
        <v>-1.0000000000000009E-3</v>
      </c>
      <c r="AK178" s="383">
        <f t="shared" ref="AK178" si="695">AK68-AF68</f>
        <v>-1.0000000000000009E-3</v>
      </c>
    </row>
    <row r="179" spans="1:48" s="23" customFormat="1" ht="14.55" customHeight="1" x14ac:dyDescent="0.3">
      <c r="A179" s="161"/>
    </row>
    <row r="180" spans="1:48" s="23" customFormat="1" ht="14.55" customHeight="1" x14ac:dyDescent="0.3">
      <c r="A180" s="161"/>
      <c r="B180" s="382" t="s">
        <v>318</v>
      </c>
      <c r="Q180" s="384">
        <f t="shared" ref="Q180:U180" si="696">Q94-L94</f>
        <v>-1.0328853878240896E-3</v>
      </c>
      <c r="R180" s="384"/>
      <c r="S180" s="384">
        <f t="shared" si="696"/>
        <v>1.3694957380178618E-2</v>
      </c>
      <c r="T180" s="384">
        <f t="shared" si="696"/>
        <v>2.2223284472510374E-2</v>
      </c>
      <c r="U180" s="384">
        <f t="shared" si="696"/>
        <v>4.4737654429502782E-2</v>
      </c>
      <c r="V180" s="384">
        <f>V94-Q94</f>
        <v>2.9999999999999971E-2</v>
      </c>
      <c r="W180" s="384"/>
      <c r="X180" s="384">
        <f t="shared" ref="X180:AA180" si="697">X94-S94</f>
        <v>2.0000000000000018E-2</v>
      </c>
      <c r="Y180" s="384">
        <f t="shared" si="697"/>
        <v>-1.0000000000000009E-2</v>
      </c>
      <c r="Z180" s="384">
        <f t="shared" si="697"/>
        <v>-5.0000000000000044E-3</v>
      </c>
      <c r="AA180" s="384">
        <f t="shared" si="697"/>
        <v>-5.0000000000000044E-3</v>
      </c>
      <c r="AB180" s="384"/>
      <c r="AC180" s="384">
        <f t="shared" ref="AC180" si="698">AC94-X94</f>
        <v>-2.0000000000000018E-2</v>
      </c>
      <c r="AD180" s="384">
        <f t="shared" ref="AD180" si="699">AD94-Y94</f>
        <v>-2.0000000000000018E-2</v>
      </c>
      <c r="AE180" s="384">
        <f t="shared" ref="AE180" si="700">AE94-Z94</f>
        <v>0</v>
      </c>
      <c r="AF180" s="384">
        <f t="shared" ref="AF180" si="701">AF94-AA94</f>
        <v>0</v>
      </c>
      <c r="AG180" s="384"/>
      <c r="AH180" s="384">
        <f t="shared" ref="AH180" si="702">AH94-AC94</f>
        <v>-2.0000000000000018E-3</v>
      </c>
      <c r="AI180" s="384">
        <f t="shared" ref="AI180" si="703">AI94-AD94</f>
        <v>-2.0000000000000018E-3</v>
      </c>
      <c r="AJ180" s="384">
        <f t="shared" ref="AJ180" si="704">AJ94-AE94</f>
        <v>-1.0000000000000009E-2</v>
      </c>
      <c r="AK180" s="384">
        <f t="shared" ref="AK180" si="705">AK94-AF94</f>
        <v>-2.0000000000000018E-3</v>
      </c>
      <c r="AL180" s="384"/>
      <c r="AM180" s="384">
        <f t="shared" ref="AM180" si="706">AM94-AH94</f>
        <v>0</v>
      </c>
      <c r="AN180" s="384">
        <f t="shared" ref="AN180" si="707">AN94-AI94</f>
        <v>0</v>
      </c>
      <c r="AO180" s="384">
        <f t="shared" ref="AO180" si="708">AO94-AJ94</f>
        <v>0</v>
      </c>
      <c r="AP180" s="384">
        <f t="shared" ref="AP180" si="709">AP94-AK94</f>
        <v>0</v>
      </c>
      <c r="AQ180" s="384"/>
      <c r="AR180" s="384">
        <f t="shared" ref="AR180" si="710">AR94-AM94</f>
        <v>0</v>
      </c>
      <c r="AS180" s="384">
        <f t="shared" ref="AS180" si="711">AS94-AN94</f>
        <v>0</v>
      </c>
      <c r="AT180" s="384">
        <f t="shared" ref="AT180" si="712">AT94-AO94</f>
        <v>0</v>
      </c>
      <c r="AU180" s="384">
        <f t="shared" ref="AU180" si="713">AU94-AP94</f>
        <v>0</v>
      </c>
    </row>
    <row r="181" spans="1:48" ht="16.2" customHeight="1" x14ac:dyDescent="0.3">
      <c r="A181" s="161"/>
      <c r="B181" s="382" t="s">
        <v>319</v>
      </c>
      <c r="Q181" s="384">
        <f t="shared" ref="Q181:U181" si="714">Q96-L96</f>
        <v>-4.3229689278334871E-2</v>
      </c>
      <c r="R181" s="384"/>
      <c r="S181" s="384">
        <f t="shared" si="714"/>
        <v>2.6563781125539754E-2</v>
      </c>
      <c r="T181" s="384">
        <f t="shared" si="714"/>
        <v>6.6354626897605851E-2</v>
      </c>
      <c r="U181" s="384">
        <f t="shared" si="714"/>
        <v>0.11154167548484295</v>
      </c>
      <c r="V181" s="384">
        <f>V96-Q96</f>
        <v>4.9999999999999989E-2</v>
      </c>
      <c r="W181" s="384"/>
      <c r="X181" s="384">
        <f t="shared" ref="X181:AA181" si="715">X96-S96</f>
        <v>2.0000000000000018E-2</v>
      </c>
      <c r="Y181" s="384">
        <f t="shared" si="715"/>
        <v>-1.0000000000000009E-2</v>
      </c>
      <c r="Z181" s="384">
        <f t="shared" si="715"/>
        <v>-5.0000000000000044E-3</v>
      </c>
      <c r="AA181" s="384">
        <f t="shared" si="715"/>
        <v>-5.0000000000000044E-3</v>
      </c>
      <c r="AB181" s="384"/>
      <c r="AC181" s="384">
        <f t="shared" ref="AC181" si="716">AC96-X96</f>
        <v>0</v>
      </c>
      <c r="AD181" s="384">
        <f t="shared" ref="AD181" si="717">AD96-Y96</f>
        <v>-2.0000000000000018E-2</v>
      </c>
      <c r="AE181" s="384">
        <f t="shared" ref="AE181" si="718">AE96-Z96</f>
        <v>0</v>
      </c>
      <c r="AF181" s="384">
        <f t="shared" ref="AF181" si="719">AF96-AA96</f>
        <v>0</v>
      </c>
      <c r="AG181" s="384"/>
      <c r="AH181" s="384">
        <f t="shared" ref="AH181" si="720">AH96-AC96</f>
        <v>-2.0000000000000018E-3</v>
      </c>
      <c r="AI181" s="384">
        <f t="shared" ref="AI181" si="721">AI96-AD96</f>
        <v>-2.0000000000000018E-3</v>
      </c>
      <c r="AJ181" s="384">
        <f t="shared" ref="AJ181" si="722">AJ96-AE96</f>
        <v>-2.0000000000000018E-2</v>
      </c>
      <c r="AK181" s="384">
        <f t="shared" ref="AK181" si="723">AK96-AF96</f>
        <v>-2.0000000000000018E-3</v>
      </c>
      <c r="AL181" s="384"/>
      <c r="AM181" s="384">
        <f t="shared" ref="AM181" si="724">AM96-AH96</f>
        <v>0</v>
      </c>
      <c r="AN181" s="384">
        <f t="shared" ref="AN181" si="725">AN96-AI96</f>
        <v>0</v>
      </c>
      <c r="AO181" s="384">
        <f t="shared" ref="AO181" si="726">AO96-AJ96</f>
        <v>0</v>
      </c>
      <c r="AP181" s="384">
        <f t="shared" ref="AP181" si="727">AP96-AK96</f>
        <v>0</v>
      </c>
      <c r="AQ181" s="384"/>
      <c r="AR181" s="384">
        <f t="shared" ref="AR181" si="728">AR96-AM96</f>
        <v>0</v>
      </c>
      <c r="AS181" s="384">
        <f t="shared" ref="AS181" si="729">AS96-AN96</f>
        <v>0</v>
      </c>
      <c r="AT181" s="384">
        <f t="shared" ref="AT181" si="730">AT96-AO96</f>
        <v>0</v>
      </c>
      <c r="AU181" s="384">
        <f t="shared" ref="AU181" si="731">AU96-AP96</f>
        <v>0</v>
      </c>
    </row>
    <row r="182" spans="1:48" ht="14.55" customHeight="1" x14ac:dyDescent="0.3">
      <c r="A182" s="161"/>
      <c r="B182" s="382" t="s">
        <v>320</v>
      </c>
      <c r="Q182" s="384">
        <f t="shared" ref="Q182:U182" si="732">Q98-L98</f>
        <v>-5.6134797444197491E-3</v>
      </c>
      <c r="R182" s="384"/>
      <c r="S182" s="384">
        <f t="shared" si="732"/>
        <v>1.6279115038060621E-4</v>
      </c>
      <c r="T182" s="384">
        <f t="shared" si="732"/>
        <v>5.0139473649204631E-3</v>
      </c>
      <c r="U182" s="384">
        <f t="shared" si="732"/>
        <v>1.4893713799812251E-2</v>
      </c>
      <c r="V182" s="384">
        <f>V98-Q98</f>
        <v>0</v>
      </c>
      <c r="W182" s="384"/>
      <c r="X182" s="384">
        <f t="shared" ref="X182:AA182" si="733">X98-S98</f>
        <v>0</v>
      </c>
      <c r="Y182" s="384">
        <f t="shared" si="733"/>
        <v>0</v>
      </c>
      <c r="Z182" s="384">
        <f t="shared" si="733"/>
        <v>-4.9999999999999975E-3</v>
      </c>
      <c r="AA182" s="384">
        <f t="shared" si="733"/>
        <v>0</v>
      </c>
      <c r="AB182" s="384"/>
      <c r="AC182" s="384">
        <f t="shared" ref="AC182" si="734">AC98-X98</f>
        <v>0</v>
      </c>
      <c r="AD182" s="384">
        <f t="shared" ref="AD182" si="735">AD98-Y98</f>
        <v>0</v>
      </c>
      <c r="AE182" s="384">
        <f t="shared" ref="AE182" si="736">AE98-Z98</f>
        <v>-5.000000000000001E-3</v>
      </c>
      <c r="AF182" s="384">
        <f t="shared" ref="AF182" si="737">AF98-AA98</f>
        <v>0</v>
      </c>
      <c r="AG182" s="384"/>
      <c r="AH182" s="384">
        <f t="shared" ref="AH182" si="738">AH98-AC98</f>
        <v>-1.9999999999999983E-3</v>
      </c>
      <c r="AI182" s="384">
        <f t="shared" ref="AI182" si="739">AI98-AD98</f>
        <v>-2.0000000000000018E-3</v>
      </c>
      <c r="AJ182" s="384">
        <f t="shared" ref="AJ182" si="740">AJ98-AE98</f>
        <v>-6.0000000000000019E-3</v>
      </c>
      <c r="AK182" s="384">
        <f t="shared" ref="AK182" si="741">AK98-AF98</f>
        <v>-1.9999999999999983E-3</v>
      </c>
      <c r="AL182" s="384"/>
      <c r="AM182" s="384">
        <f t="shared" ref="AM182" si="742">AM98-AH98</f>
        <v>0</v>
      </c>
      <c r="AN182" s="384">
        <f t="shared" ref="AN182" si="743">AN98-AI98</f>
        <v>0</v>
      </c>
      <c r="AO182" s="384">
        <f t="shared" ref="AO182" si="744">AO98-AJ98</f>
        <v>0</v>
      </c>
      <c r="AP182" s="384">
        <f t="shared" ref="AP182" si="745">AP98-AK98</f>
        <v>0</v>
      </c>
      <c r="AQ182" s="384"/>
      <c r="AR182" s="384">
        <f t="shared" ref="AR182" si="746">AR98-AM98</f>
        <v>0</v>
      </c>
      <c r="AS182" s="384">
        <f t="shared" ref="AS182" si="747">AS98-AN98</f>
        <v>0</v>
      </c>
      <c r="AT182" s="384">
        <f t="shared" ref="AT182" si="748">AT98-AO98</f>
        <v>0</v>
      </c>
      <c r="AU182" s="384">
        <f t="shared" ref="AU182" si="749">AU98-AP98</f>
        <v>0</v>
      </c>
    </row>
    <row r="183" spans="1:48" ht="14.55" customHeight="1" x14ac:dyDescent="0.3">
      <c r="A183" s="161"/>
      <c r="B183" s="382" t="s">
        <v>321</v>
      </c>
      <c r="Q183" s="384">
        <f t="shared" ref="Q183:U183" si="750">Q101-L101</f>
        <v>-4.5175814670814843E-3</v>
      </c>
      <c r="R183" s="384"/>
      <c r="S183" s="384">
        <f t="shared" si="750"/>
        <v>-1.2605124458150846E-3</v>
      </c>
      <c r="T183" s="384">
        <f t="shared" si="750"/>
        <v>-2.780006809811171E-3</v>
      </c>
      <c r="U183" s="384">
        <f t="shared" si="750"/>
        <v>-4.0374511378418465E-3</v>
      </c>
      <c r="V183" s="384">
        <f>V101-Q101</f>
        <v>0</v>
      </c>
      <c r="W183" s="384"/>
      <c r="X183" s="384">
        <f t="shared" ref="X183:AA183" si="751">X101-S101</f>
        <v>0</v>
      </c>
      <c r="Y183" s="384">
        <f t="shared" si="751"/>
        <v>0</v>
      </c>
      <c r="Z183" s="384">
        <f t="shared" si="751"/>
        <v>-4.9999999999999975E-3</v>
      </c>
      <c r="AA183" s="384">
        <f t="shared" si="751"/>
        <v>-4.9999999999999975E-3</v>
      </c>
      <c r="AB183" s="384"/>
      <c r="AC183" s="384">
        <f t="shared" ref="AC183" si="752">AC101-X101</f>
        <v>-3.0000000000000027E-3</v>
      </c>
      <c r="AD183" s="384">
        <f t="shared" ref="AD183" si="753">AD101-Y101</f>
        <v>0</v>
      </c>
      <c r="AE183" s="384">
        <f t="shared" ref="AE183" si="754">AE101-Z101</f>
        <v>0</v>
      </c>
      <c r="AF183" s="384">
        <f t="shared" ref="AF183" si="755">AF101-AA101</f>
        <v>0</v>
      </c>
      <c r="AG183" s="384"/>
      <c r="AH183" s="384">
        <f t="shared" ref="AH183" si="756">AH101-AC101</f>
        <v>-2.0000000000000018E-3</v>
      </c>
      <c r="AI183" s="384">
        <f t="shared" ref="AI183" si="757">AI101-AD101</f>
        <v>-2.0000000000000018E-3</v>
      </c>
      <c r="AJ183" s="384">
        <f t="shared" ref="AJ183" si="758">AJ101-AE101</f>
        <v>-2.0000000000000018E-3</v>
      </c>
      <c r="AK183" s="384">
        <f t="shared" ref="AK183" si="759">AK101-AF101</f>
        <v>-2.0000000000000018E-3</v>
      </c>
      <c r="AL183" s="384"/>
      <c r="AM183" s="384">
        <f t="shared" ref="AM183" si="760">AM101-AH101</f>
        <v>0</v>
      </c>
      <c r="AN183" s="384">
        <f t="shared" ref="AN183" si="761">AN101-AI101</f>
        <v>0</v>
      </c>
      <c r="AO183" s="384">
        <f t="shared" ref="AO183" si="762">AO101-AJ101</f>
        <v>0</v>
      </c>
      <c r="AP183" s="384">
        <f t="shared" ref="AP183" si="763">AP101-AK101</f>
        <v>0</v>
      </c>
      <c r="AQ183" s="384"/>
      <c r="AR183" s="384">
        <f t="shared" ref="AR183" si="764">AR101-AM101</f>
        <v>0</v>
      </c>
      <c r="AS183" s="384">
        <f t="shared" ref="AS183" si="765">AS101-AN101</f>
        <v>0</v>
      </c>
      <c r="AT183" s="384">
        <f t="shared" ref="AT183" si="766">AT101-AO101</f>
        <v>0</v>
      </c>
      <c r="AU183" s="384">
        <f t="shared" ref="AU183" si="767">AU101-AP101</f>
        <v>0</v>
      </c>
    </row>
    <row r="184" spans="1:48" ht="14.55" customHeight="1" x14ac:dyDescent="0.3">
      <c r="A184" s="161"/>
    </row>
    <row r="185" spans="1:48" s="8" customFormat="1" x14ac:dyDescent="0.3">
      <c r="A185" s="161"/>
      <c r="B185" s="382" t="s">
        <v>322</v>
      </c>
      <c r="Q185" s="384">
        <f t="shared" ref="Q185:T185" si="768">Q111-L111</f>
        <v>-7.3337522717080939E-2</v>
      </c>
      <c r="R185" s="384"/>
      <c r="S185" s="384">
        <f t="shared" si="768"/>
        <v>-8.2275015567009335E-3</v>
      </c>
      <c r="T185" s="384">
        <f t="shared" si="768"/>
        <v>2.1961732903702735E-2</v>
      </c>
      <c r="U185" s="384">
        <f>U111-P111</f>
        <v>3.1106851202291286E-2</v>
      </c>
      <c r="V185" s="384">
        <f t="shared" ref="V185:AU185" si="769">V111-Q111</f>
        <v>3.0000000000000027E-2</v>
      </c>
      <c r="W185" s="384"/>
      <c r="X185" s="384">
        <f t="shared" si="769"/>
        <v>1.5000000000000013E-2</v>
      </c>
      <c r="Y185" s="384">
        <f t="shared" si="769"/>
        <v>0</v>
      </c>
      <c r="Z185" s="384">
        <f t="shared" si="769"/>
        <v>-5.0000000000000044E-3</v>
      </c>
      <c r="AA185" s="384">
        <f t="shared" si="769"/>
        <v>-3.0000000000000027E-2</v>
      </c>
      <c r="AB185" s="384"/>
      <c r="AC185" s="384">
        <f t="shared" si="769"/>
        <v>0</v>
      </c>
      <c r="AD185" s="384">
        <f t="shared" si="769"/>
        <v>0</v>
      </c>
      <c r="AE185" s="384">
        <f t="shared" si="769"/>
        <v>-2.0000000000000018E-2</v>
      </c>
      <c r="AF185" s="384">
        <f t="shared" si="769"/>
        <v>0</v>
      </c>
      <c r="AG185" s="384"/>
      <c r="AH185" s="384">
        <f t="shared" si="769"/>
        <v>0</v>
      </c>
      <c r="AI185" s="384">
        <f t="shared" si="769"/>
        <v>0</v>
      </c>
      <c r="AJ185" s="384">
        <f t="shared" si="769"/>
        <v>-1.0000000000000009E-2</v>
      </c>
      <c r="AK185" s="384">
        <f t="shared" si="769"/>
        <v>0</v>
      </c>
      <c r="AL185" s="384"/>
      <c r="AM185" s="384">
        <f t="shared" si="769"/>
        <v>0</v>
      </c>
      <c r="AN185" s="384">
        <f t="shared" si="769"/>
        <v>0</v>
      </c>
      <c r="AO185" s="384">
        <f t="shared" si="769"/>
        <v>0</v>
      </c>
      <c r="AP185" s="384">
        <f t="shared" si="769"/>
        <v>0</v>
      </c>
      <c r="AQ185" s="384"/>
      <c r="AR185" s="384">
        <f t="shared" si="769"/>
        <v>0</v>
      </c>
      <c r="AS185" s="384">
        <f t="shared" si="769"/>
        <v>0</v>
      </c>
      <c r="AT185" s="384">
        <f t="shared" si="769"/>
        <v>0</v>
      </c>
      <c r="AU185" s="384">
        <f t="shared" si="769"/>
        <v>0</v>
      </c>
    </row>
    <row r="186" spans="1:48" s="8" customFormat="1" x14ac:dyDescent="0.3">
      <c r="A186" s="161"/>
      <c r="B186" s="382" t="s">
        <v>323</v>
      </c>
      <c r="Q186" s="384">
        <f t="shared" ref="Q186:T186" si="770">Q113-L113</f>
        <v>-1.0844701708009816E-3</v>
      </c>
      <c r="R186" s="384"/>
      <c r="S186" s="384">
        <f t="shared" si="770"/>
        <v>-2.5553392161973866E-3</v>
      </c>
      <c r="T186" s="384">
        <f t="shared" si="770"/>
        <v>-1.2309816148434665E-2</v>
      </c>
      <c r="U186" s="384">
        <f>U113-P113</f>
        <v>5.2264096219557514E-2</v>
      </c>
      <c r="V186" s="384">
        <f t="shared" ref="V186:AU186" si="771">V113-Q113</f>
        <v>0.04</v>
      </c>
      <c r="W186" s="384"/>
      <c r="X186" s="384">
        <f t="shared" si="771"/>
        <v>0.02</v>
      </c>
      <c r="Y186" s="384">
        <f t="shared" si="771"/>
        <v>0</v>
      </c>
      <c r="Z186" s="384">
        <f t="shared" si="771"/>
        <v>-5.000000000000001E-3</v>
      </c>
      <c r="AA186" s="384">
        <f t="shared" si="771"/>
        <v>-0.03</v>
      </c>
      <c r="AB186" s="384"/>
      <c r="AC186" s="384">
        <f t="shared" si="771"/>
        <v>-0.02</v>
      </c>
      <c r="AD186" s="384">
        <f t="shared" si="771"/>
        <v>0</v>
      </c>
      <c r="AE186" s="384">
        <f t="shared" si="771"/>
        <v>0</v>
      </c>
      <c r="AF186" s="384">
        <f t="shared" si="771"/>
        <v>-0.02</v>
      </c>
      <c r="AG186" s="384"/>
      <c r="AH186" s="384">
        <f t="shared" si="771"/>
        <v>-2.9999999999999992E-3</v>
      </c>
      <c r="AI186" s="384">
        <f t="shared" si="771"/>
        <v>0</v>
      </c>
      <c r="AJ186" s="384">
        <f t="shared" si="771"/>
        <v>0</v>
      </c>
      <c r="AK186" s="384">
        <f t="shared" si="771"/>
        <v>-4.0000000000000001E-3</v>
      </c>
      <c r="AL186" s="384"/>
      <c r="AM186" s="384">
        <f t="shared" si="771"/>
        <v>0</v>
      </c>
      <c r="AN186" s="384">
        <f t="shared" si="771"/>
        <v>0</v>
      </c>
      <c r="AO186" s="384">
        <f t="shared" si="771"/>
        <v>0</v>
      </c>
      <c r="AP186" s="384">
        <f t="shared" si="771"/>
        <v>0</v>
      </c>
      <c r="AQ186" s="384"/>
      <c r="AR186" s="384">
        <f t="shared" si="771"/>
        <v>0</v>
      </c>
      <c r="AS186" s="384">
        <f t="shared" si="771"/>
        <v>0</v>
      </c>
      <c r="AT186" s="384">
        <f t="shared" si="771"/>
        <v>0</v>
      </c>
      <c r="AU186" s="384">
        <f t="shared" si="771"/>
        <v>0</v>
      </c>
    </row>
    <row r="187" spans="1:48" s="8" customFormat="1" x14ac:dyDescent="0.3">
      <c r="A187" s="161"/>
      <c r="B187" s="382" t="s">
        <v>324</v>
      </c>
      <c r="Q187" s="384">
        <f t="shared" ref="Q187:T187" si="772">Q116-L116</f>
        <v>2.3693128623915273E-3</v>
      </c>
      <c r="R187" s="384"/>
      <c r="S187" s="384">
        <f t="shared" si="772"/>
        <v>1.9882391779431439E-3</v>
      </c>
      <c r="T187" s="384">
        <f t="shared" si="772"/>
        <v>-8.1949465585923805E-4</v>
      </c>
      <c r="U187" s="384">
        <f>U116-P116</f>
        <v>-2.2101675866256984E-3</v>
      </c>
      <c r="V187" s="384">
        <f t="shared" ref="V187:AU187" si="773">V116-Q116</f>
        <v>0</v>
      </c>
      <c r="W187" s="384"/>
      <c r="X187" s="384">
        <f t="shared" si="773"/>
        <v>0</v>
      </c>
      <c r="Y187" s="384">
        <f t="shared" si="773"/>
        <v>0</v>
      </c>
      <c r="Z187" s="384">
        <f t="shared" si="773"/>
        <v>0</v>
      </c>
      <c r="AA187" s="384">
        <f t="shared" si="773"/>
        <v>0</v>
      </c>
      <c r="AB187" s="384"/>
      <c r="AC187" s="384">
        <f t="shared" si="773"/>
        <v>0</v>
      </c>
      <c r="AD187" s="384">
        <f t="shared" si="773"/>
        <v>0</v>
      </c>
      <c r="AE187" s="384">
        <f t="shared" si="773"/>
        <v>0</v>
      </c>
      <c r="AF187" s="384">
        <f t="shared" si="773"/>
        <v>0</v>
      </c>
      <c r="AG187" s="384"/>
      <c r="AH187" s="384">
        <f t="shared" si="773"/>
        <v>0</v>
      </c>
      <c r="AI187" s="384">
        <f t="shared" si="773"/>
        <v>0</v>
      </c>
      <c r="AJ187" s="384">
        <f t="shared" si="773"/>
        <v>0</v>
      </c>
      <c r="AK187" s="384">
        <f t="shared" si="773"/>
        <v>0</v>
      </c>
      <c r="AL187" s="384"/>
      <c r="AM187" s="384">
        <f t="shared" si="773"/>
        <v>0</v>
      </c>
      <c r="AN187" s="384">
        <f t="shared" si="773"/>
        <v>0</v>
      </c>
      <c r="AO187" s="384">
        <f t="shared" si="773"/>
        <v>0</v>
      </c>
      <c r="AP187" s="384">
        <f t="shared" si="773"/>
        <v>0</v>
      </c>
      <c r="AQ187" s="384"/>
      <c r="AR187" s="384">
        <f t="shared" si="773"/>
        <v>0</v>
      </c>
      <c r="AS187" s="384">
        <f t="shared" si="773"/>
        <v>0</v>
      </c>
      <c r="AT187" s="384">
        <f t="shared" si="773"/>
        <v>0</v>
      </c>
      <c r="AU187" s="384">
        <f t="shared" si="773"/>
        <v>0</v>
      </c>
    </row>
    <row r="188" spans="1:48" s="8" customFormat="1" x14ac:dyDescent="0.3">
      <c r="A188" s="161"/>
    </row>
    <row r="189" spans="1:48" s="8" customFormat="1" x14ac:dyDescent="0.3">
      <c r="A189" s="161"/>
    </row>
    <row r="190" spans="1:48" x14ac:dyDescent="0.3">
      <c r="A190" s="161"/>
    </row>
    <row r="191" spans="1:48" x14ac:dyDescent="0.3">
      <c r="A191" s="161"/>
    </row>
    <row r="192" spans="1:48" x14ac:dyDescent="0.3">
      <c r="A192" s="161"/>
      <c r="AC192" s="50"/>
      <c r="AD192" s="50"/>
      <c r="AE192" s="50"/>
      <c r="AF192" s="50"/>
      <c r="AG192" s="51"/>
      <c r="AH192" s="50"/>
      <c r="AI192" s="50"/>
      <c r="AJ192" s="50"/>
      <c r="AK192" s="50"/>
      <c r="AL192" s="51"/>
      <c r="AM192" s="50"/>
      <c r="AN192" s="50"/>
      <c r="AO192" s="50"/>
      <c r="AP192" s="50"/>
      <c r="AQ192" s="51"/>
      <c r="AR192" s="50"/>
      <c r="AS192" s="50"/>
      <c r="AT192" s="50"/>
      <c r="AU192" s="50"/>
      <c r="AV192" s="51"/>
    </row>
    <row r="193" spans="1:48" s="23" customFormat="1" x14ac:dyDescent="0.3">
      <c r="A193" s="161"/>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row>
    <row r="194" spans="1:48" x14ac:dyDescent="0.3">
      <c r="A194" s="161"/>
      <c r="AC194" s="427"/>
      <c r="AD194" s="427"/>
      <c r="AE194" s="427"/>
      <c r="AF194" s="427"/>
      <c r="AG194" s="427"/>
      <c r="AH194" s="427"/>
      <c r="AI194" s="427"/>
      <c r="AJ194" s="427"/>
      <c r="AK194" s="427"/>
      <c r="AL194" s="427"/>
      <c r="AM194" s="427"/>
      <c r="AN194" s="427"/>
      <c r="AO194" s="427"/>
      <c r="AP194" s="427"/>
      <c r="AQ194" s="427"/>
      <c r="AR194" s="427"/>
      <c r="AS194" s="427"/>
      <c r="AT194" s="427"/>
      <c r="AU194" s="427"/>
      <c r="AV194" s="427"/>
    </row>
    <row r="195" spans="1:48" x14ac:dyDescent="0.3">
      <c r="A195" s="161"/>
      <c r="AE195" s="1"/>
      <c r="AF195" s="1"/>
      <c r="AG195" s="1"/>
      <c r="AJ195" s="1"/>
      <c r="AK195" s="1"/>
      <c r="AL195" s="1"/>
      <c r="AO195" s="1"/>
      <c r="AP195" s="1"/>
      <c r="AQ195" s="1"/>
      <c r="AT195" s="1"/>
      <c r="AU195" s="1"/>
      <c r="AV195" s="1"/>
    </row>
    <row r="196" spans="1:48" x14ac:dyDescent="0.3">
      <c r="A196" s="161"/>
    </row>
    <row r="197" spans="1:48" x14ac:dyDescent="0.3">
      <c r="A197" s="161"/>
    </row>
    <row r="198" spans="1:48" x14ac:dyDescent="0.3">
      <c r="A198" s="161"/>
    </row>
    <row r="199" spans="1:48" x14ac:dyDescent="0.3">
      <c r="A199" s="161"/>
    </row>
    <row r="200" spans="1:48" x14ac:dyDescent="0.3">
      <c r="A200" s="161"/>
    </row>
    <row r="201" spans="1:48" x14ac:dyDescent="0.3">
      <c r="A201" s="161"/>
    </row>
    <row r="202" spans="1:48" x14ac:dyDescent="0.3">
      <c r="A202" s="161"/>
    </row>
    <row r="203" spans="1:48" x14ac:dyDescent="0.3">
      <c r="A203" s="161"/>
    </row>
    <row r="204" spans="1:48" x14ac:dyDescent="0.3">
      <c r="A204" s="161"/>
    </row>
    <row r="205" spans="1:48" ht="15.75" customHeight="1" x14ac:dyDescent="0.3">
      <c r="A205" s="161"/>
    </row>
    <row r="206" spans="1:48" x14ac:dyDescent="0.3">
      <c r="A206" s="161"/>
    </row>
    <row r="219" s="23" customFormat="1" x14ac:dyDescent="0.3"/>
    <row r="221" s="23" customFormat="1" x14ac:dyDescent="0.3"/>
    <row r="222" s="23" customFormat="1" x14ac:dyDescent="0.3"/>
    <row r="223" s="23" customFormat="1" x14ac:dyDescent="0.3"/>
    <row r="224" s="23" customFormat="1" x14ac:dyDescent="0.3"/>
    <row r="225" spans="2:7" s="23" customFormat="1" x14ac:dyDescent="0.3"/>
    <row r="226" spans="2:7" s="23" customFormat="1" x14ac:dyDescent="0.3"/>
    <row r="227" spans="2:7" s="23" customFormat="1" x14ac:dyDescent="0.3"/>
    <row r="228" spans="2:7" s="23" customFormat="1" x14ac:dyDescent="0.3"/>
    <row r="230" spans="2:7" x14ac:dyDescent="0.3">
      <c r="B230" s="7"/>
      <c r="C230" s="7"/>
      <c r="D230" s="4"/>
      <c r="E230" s="4"/>
      <c r="F230" s="4"/>
      <c r="G230" s="4"/>
    </row>
    <row r="270" s="23" customFormat="1" x14ac:dyDescent="0.3"/>
    <row r="271" s="23" customFormat="1" x14ac:dyDescent="0.3"/>
    <row r="272" s="23" customFormat="1" x14ac:dyDescent="0.3"/>
    <row r="281" spans="4:48" s="23" customFormat="1" x14ac:dyDescent="0.3"/>
    <row r="282" spans="4:48" s="23" customFormat="1" x14ac:dyDescent="0.3"/>
    <row r="283" spans="4:48" s="23" customFormat="1" x14ac:dyDescent="0.3"/>
    <row r="285" spans="4:48" s="63" customFormat="1" x14ac:dyDescent="0.3"/>
    <row r="286" spans="4:48" x14ac:dyDescent="0.3">
      <c r="D286" s="10"/>
      <c r="E286" s="10"/>
      <c r="F286" s="10"/>
      <c r="G286" s="10"/>
      <c r="H286" s="10"/>
      <c r="I286" s="10"/>
      <c r="J286" s="10"/>
      <c r="K286" s="10"/>
      <c r="L286" s="10"/>
      <c r="M286" s="10"/>
      <c r="N286" s="10"/>
      <c r="O286" s="10"/>
      <c r="P286" s="10"/>
      <c r="Q286" s="10"/>
      <c r="R286" s="10"/>
      <c r="S286" s="10"/>
      <c r="T286" s="10"/>
      <c r="U286" s="10"/>
      <c r="V286" s="10"/>
      <c r="W286" s="10"/>
      <c r="X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4:48" x14ac:dyDescent="0.3">
      <c r="D287" s="163"/>
      <c r="E287" s="5"/>
      <c r="F287" s="5"/>
      <c r="G287" s="5"/>
      <c r="H287" s="5"/>
      <c r="I287" s="5"/>
      <c r="J287" s="5"/>
      <c r="K287" s="5"/>
      <c r="L287" s="5"/>
      <c r="M287" s="5"/>
      <c r="N287" s="5"/>
      <c r="O287" s="5"/>
      <c r="P287" s="5"/>
      <c r="Q287" s="5"/>
      <c r="R287" s="5"/>
      <c r="S287" s="5"/>
      <c r="T287" s="5"/>
      <c r="U287" s="5"/>
      <c r="V287" s="5"/>
      <c r="W287" s="5"/>
      <c r="X287" s="5"/>
      <c r="AC287" s="5"/>
      <c r="AD287" s="5"/>
      <c r="AE287" s="5"/>
      <c r="AF287" s="5"/>
      <c r="AG287" s="5"/>
      <c r="AH287" s="5"/>
      <c r="AI287" s="5"/>
      <c r="AJ287" s="5"/>
      <c r="AK287" s="5"/>
      <c r="AL287" s="5"/>
      <c r="AM287" s="5"/>
      <c r="AN287" s="5"/>
      <c r="AO287" s="5"/>
      <c r="AP287" s="5"/>
      <c r="AQ287" s="5"/>
      <c r="AR287" s="5"/>
      <c r="AS287" s="5"/>
      <c r="AT287" s="5"/>
      <c r="AU287" s="5"/>
      <c r="AV287" s="5"/>
    </row>
    <row r="288" spans="4:48" x14ac:dyDescent="0.3">
      <c r="D288" s="164"/>
    </row>
    <row r="289" spans="4:48" x14ac:dyDescent="0.3">
      <c r="D289" s="164"/>
    </row>
    <row r="290" spans="4:48" x14ac:dyDescent="0.3">
      <c r="D290" s="164"/>
    </row>
    <row r="291" spans="4:48" x14ac:dyDescent="0.3">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3" spans="4:48" ht="15" customHeight="1" x14ac:dyDescent="0.3"/>
    <row r="295" spans="4:48" x14ac:dyDescent="0.3">
      <c r="D295" s="163"/>
    </row>
    <row r="296" spans="4:48" x14ac:dyDescent="0.3">
      <c r="D296" s="164"/>
    </row>
    <row r="297" spans="4:48" x14ac:dyDescent="0.3">
      <c r="D297" s="164"/>
    </row>
    <row r="298" spans="4:48" x14ac:dyDescent="0.3">
      <c r="D298" s="164"/>
    </row>
    <row r="299" spans="4:48" x14ac:dyDescent="0.3">
      <c r="D299" s="164"/>
    </row>
    <row r="300" spans="4:48" x14ac:dyDescent="0.3">
      <c r="D300" s="164"/>
    </row>
    <row r="301" spans="4:48" x14ac:dyDescent="0.3">
      <c r="D301" s="164"/>
    </row>
    <row r="302" spans="4:48" x14ac:dyDescent="0.3">
      <c r="D302" s="164"/>
    </row>
    <row r="303" spans="4:48" x14ac:dyDescent="0.3">
      <c r="D303" s="164"/>
    </row>
    <row r="304" spans="4:48" x14ac:dyDescent="0.3">
      <c r="D304" s="164"/>
    </row>
    <row r="305" spans="4:4" x14ac:dyDescent="0.3">
      <c r="D305" s="164"/>
    </row>
    <row r="306" spans="4:4" x14ac:dyDescent="0.3">
      <c r="D306" s="164"/>
    </row>
    <row r="307" spans="4:4" x14ac:dyDescent="0.3">
      <c r="D307" s="164"/>
    </row>
    <row r="308" spans="4:4" x14ac:dyDescent="0.3">
      <c r="D308" s="164"/>
    </row>
    <row r="309" spans="4:4" x14ac:dyDescent="0.3">
      <c r="D309" s="164"/>
    </row>
    <row r="310" spans="4:4" x14ac:dyDescent="0.3">
      <c r="D310" s="164"/>
    </row>
    <row r="311" spans="4:4" x14ac:dyDescent="0.3">
      <c r="D311" s="164"/>
    </row>
    <row r="312" spans="4:4" x14ac:dyDescent="0.3">
      <c r="D312" s="164"/>
    </row>
    <row r="313" spans="4:4" x14ac:dyDescent="0.3">
      <c r="D313" s="164"/>
    </row>
    <row r="314" spans="4:4" x14ac:dyDescent="0.3">
      <c r="D314" s="164"/>
    </row>
    <row r="315" spans="4:4" x14ac:dyDescent="0.3">
      <c r="D315" s="164"/>
    </row>
    <row r="316" spans="4:4" x14ac:dyDescent="0.3">
      <c r="D316" s="164"/>
    </row>
  </sheetData>
  <dataConsolidate/>
  <mergeCells count="61">
    <mergeCell ref="B162:C162"/>
    <mergeCell ref="B163:C163"/>
    <mergeCell ref="B165:C165"/>
    <mergeCell ref="B172:C172"/>
    <mergeCell ref="B158:C158"/>
    <mergeCell ref="B155:C155"/>
    <mergeCell ref="B156:C156"/>
    <mergeCell ref="B143:C143"/>
    <mergeCell ref="B144:C144"/>
    <mergeCell ref="B145:C145"/>
    <mergeCell ref="B150:C150"/>
    <mergeCell ref="B151:C151"/>
    <mergeCell ref="B157:C157"/>
    <mergeCell ref="B142:C142"/>
    <mergeCell ref="B93:C93"/>
    <mergeCell ref="B107:C107"/>
    <mergeCell ref="B108:C108"/>
    <mergeCell ref="B110:C110"/>
    <mergeCell ref="B122:C122"/>
    <mergeCell ref="B123:C123"/>
    <mergeCell ref="B125:C125"/>
    <mergeCell ref="B132:C132"/>
    <mergeCell ref="B138:C138"/>
    <mergeCell ref="B140:C140"/>
    <mergeCell ref="B141:C141"/>
    <mergeCell ref="B152:C152"/>
    <mergeCell ref="B153:C153"/>
    <mergeCell ref="B154:C154"/>
    <mergeCell ref="B92:C92"/>
    <mergeCell ref="B50:C50"/>
    <mergeCell ref="B54:C54"/>
    <mergeCell ref="B55:C55"/>
    <mergeCell ref="B59:C59"/>
    <mergeCell ref="B60:C60"/>
    <mergeCell ref="B73:C73"/>
    <mergeCell ref="B74:C74"/>
    <mergeCell ref="B78:C78"/>
    <mergeCell ref="B83:C83"/>
    <mergeCell ref="B87:C87"/>
    <mergeCell ref="B88:C88"/>
    <mergeCell ref="B7:C7"/>
    <mergeCell ref="B8:C8"/>
    <mergeCell ref="B9:C9"/>
    <mergeCell ref="B16:C16"/>
    <mergeCell ref="B45:C45"/>
    <mergeCell ref="B23:C23"/>
    <mergeCell ref="B24:C24"/>
    <mergeCell ref="B25:C25"/>
    <mergeCell ref="B30:C30"/>
    <mergeCell ref="B31:C31"/>
    <mergeCell ref="B32:C32"/>
    <mergeCell ref="B33:C33"/>
    <mergeCell ref="B38:C38"/>
    <mergeCell ref="B39:C39"/>
    <mergeCell ref="B40:C40"/>
    <mergeCell ref="B41:C41"/>
    <mergeCell ref="A3:A4"/>
    <mergeCell ref="B3:C3"/>
    <mergeCell ref="B4:C4"/>
    <mergeCell ref="B5:C5"/>
    <mergeCell ref="B6:C6"/>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38" max="16383" man="1"/>
  </rowBreaks>
  <ignoredErrors>
    <ignoredError sqref="W90 W92"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IS (After Changes)</vt:lpstr>
      <vt:lpstr>BS (After Changes)</vt:lpstr>
      <vt:lpstr>CFS (After Changes)</vt:lpstr>
      <vt:lpstr>Charts (After Changes)</vt:lpstr>
      <vt:lpstr>Valuation (After Changes)</vt:lpstr>
      <vt:lpstr>IS (Before Changes)</vt:lpstr>
      <vt:lpstr>BS (Before Changes)</vt:lpstr>
      <vt:lpstr>CFS (Before Changes) </vt:lpstr>
      <vt:lpstr>IS 3Q2022</vt:lpstr>
      <vt:lpstr>BS 3Q2022</vt:lpstr>
      <vt:lpstr>CFS 3Q2022</vt:lpstr>
      <vt:lpstr>IS 4Q Change</vt:lpstr>
      <vt:lpstr>BS 4Q Change</vt:lpstr>
      <vt:lpstr>CFS 4Q Change</vt:lpstr>
      <vt:lpstr>Charts (Before Changes)</vt:lpstr>
      <vt:lpstr>Valuation (Before Changes)</vt:lpstr>
      <vt:lpstr>IS (Changes)</vt:lpstr>
      <vt:lpstr>BS (Changes)</vt:lpstr>
      <vt:lpstr>CFS (Changes)</vt:lpstr>
      <vt:lpstr>'BS (After Changes)'!Print_Area</vt:lpstr>
      <vt:lpstr>'BS (Before Changes)'!Print_Area</vt:lpstr>
      <vt:lpstr>'BS (Changes)'!Print_Area</vt:lpstr>
      <vt:lpstr>'BS 3Q2022'!Print_Area</vt:lpstr>
      <vt:lpstr>'BS 4Q Change'!Print_Area</vt:lpstr>
      <vt:lpstr>'CFS (After Changes)'!Print_Area</vt:lpstr>
      <vt:lpstr>'CFS (Before Changes) '!Print_Area</vt:lpstr>
      <vt:lpstr>'CFS (Changes)'!Print_Area</vt:lpstr>
      <vt:lpstr>'CFS 3Q2022'!Print_Area</vt:lpstr>
      <vt:lpstr>'CFS 4Q Change'!Print_Area</vt:lpstr>
      <vt:lpstr>'IS (After Changes)'!Print_Area</vt:lpstr>
      <vt:lpstr>'IS (Before Changes)'!Print_Area</vt:lpstr>
      <vt:lpstr>'IS (Changes)'!Print_Area</vt:lpstr>
      <vt:lpstr>'IS 3Q2022'!Print_Area</vt:lpstr>
      <vt:lpstr>'IS 4Q Change'!Print_Area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KR862</cp:lastModifiedBy>
  <cp:lastPrinted>2015-01-03T01:11:29Z</cp:lastPrinted>
  <dcterms:created xsi:type="dcterms:W3CDTF">2014-10-18T18:34:10Z</dcterms:created>
  <dcterms:modified xsi:type="dcterms:W3CDTF">2023-01-29T02:04:39Z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