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2.xml" ContentType="application/vnd.ms-excel.person+xml"/>
  <Override PartName="/xl/persons/person1.xml" ContentType="application/vnd.ms-excel.person+xml"/>
  <Override PartName="/xl/persons/person5.xml" ContentType="application/vnd.ms-excel.person+xml"/>
  <Override PartName="/xl/persons/person4.xml" ContentType="application/vnd.ms-excel.person+xml"/>
  <Override PartName="/xl/persons/person3.xml" ContentType="application/vnd.ms-excel.person+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d.docs.live.net/b70f68a84880d4b9/Documents/Financial Modeling/Starbucks/"/>
    </mc:Choice>
  </mc:AlternateContent>
  <xr:revisionPtr revIDLastSave="1338" documentId="13_ncr:1_{04A85132-1A24-4626-94DB-531402A29AE2}" xr6:coauthVersionLast="47" xr6:coauthVersionMax="47" xr10:uidLastSave="{2C0005E1-15DF-43F7-9AA7-7F3DCF256054}"/>
  <bookViews>
    <workbookView xWindow="-108" yWindow="-108" windowWidth="23256" windowHeight="12456" tabRatio="767" xr2:uid="{00000000-000D-0000-FFFF-FFFF00000000}"/>
  </bookViews>
  <sheets>
    <sheet name="Income Statement &amp; Segments" sheetId="41" r:id="rId1"/>
    <sheet name="Balance Sheet" sheetId="42" r:id="rId2"/>
    <sheet name="Cash Flow Statement" sheetId="43" r:id="rId3"/>
    <sheet name="Valuation" sheetId="44" r:id="rId4"/>
    <sheet name="Forecast Thesis" sheetId="45" r:id="rId5"/>
  </sheets>
  <externalReferences>
    <externalReference r:id="rId6"/>
  </externalReferences>
  <definedNames>
    <definedName name="_xlnm._FilterDatabase" localSheetId="0" hidden="1">'Income Statement &amp; Segments'!$B$1:$B$315</definedName>
    <definedName name="DATA">#REF!</definedName>
    <definedName name="DATA2">#REF!</definedName>
    <definedName name="_xlnm.Print_Area" localSheetId="1">'Balance Sheet'!$B$3:$AB$56</definedName>
    <definedName name="_xlnm.Print_Area" localSheetId="2">'Cash Flow Statement'!$B$3:$AB$57</definedName>
    <definedName name="_xlnm.Print_Area" localSheetId="0">'Income Statement &amp; Segments'!$B$1:$AB$315</definedName>
  </definedNames>
  <calcPr calcId="191029"/>
</workbook>
</file>

<file path=xl/calcChain.xml><?xml version="1.0" encoding="utf-8"?>
<calcChain xmlns="http://schemas.openxmlformats.org/spreadsheetml/2006/main">
  <c r="AL57" i="43" l="1"/>
  <c r="AL65" i="43"/>
  <c r="AL64" i="43"/>
  <c r="F29" i="44" l="1"/>
  <c r="F19" i="44"/>
  <c r="F15" i="44"/>
  <c r="F13" i="44"/>
  <c r="F36" i="44" l="1"/>
  <c r="F18" i="44"/>
  <c r="F17" i="44"/>
  <c r="F7" i="44"/>
  <c r="F8" i="44" s="1"/>
  <c r="F16" i="44" s="1"/>
  <c r="F20" i="44" s="1"/>
  <c r="F31" i="44"/>
  <c r="AG44" i="43" l="1"/>
  <c r="AL44" i="43"/>
  <c r="AB44" i="43"/>
  <c r="AV44" i="43"/>
  <c r="AQ44" i="43"/>
  <c r="F32" i="44"/>
  <c r="F34" i="44" l="1"/>
  <c r="F35" i="44"/>
  <c r="F37" i="44" l="1"/>
  <c r="F38" i="44" s="1"/>
  <c r="C30" i="44" l="1"/>
  <c r="AV42" i="43"/>
  <c r="AQ42" i="43"/>
  <c r="AL42" i="43"/>
  <c r="AG42" i="43"/>
  <c r="AB42" i="43"/>
  <c r="W42" i="43"/>
  <c r="R42" i="43"/>
  <c r="M42" i="43"/>
  <c r="H42" i="43"/>
  <c r="AU42" i="43"/>
  <c r="AT42" i="43"/>
  <c r="AS42" i="43"/>
  <c r="AR42" i="43"/>
  <c r="AP42" i="43"/>
  <c r="AO42" i="43"/>
  <c r="AN42" i="43"/>
  <c r="AM42" i="43"/>
  <c r="AK42" i="43"/>
  <c r="AJ42" i="43"/>
  <c r="AI42" i="43"/>
  <c r="AH42" i="43"/>
  <c r="AF42" i="43"/>
  <c r="AE42" i="43"/>
  <c r="AD42" i="43"/>
  <c r="AC42" i="43"/>
  <c r="AA42" i="43"/>
  <c r="Z42" i="43"/>
  <c r="Y42" i="43"/>
  <c r="X42" i="43"/>
  <c r="G42" i="43"/>
  <c r="F42" i="43"/>
  <c r="E42" i="43"/>
  <c r="D42" i="43"/>
  <c r="L42" i="43"/>
  <c r="K42" i="43"/>
  <c r="J42" i="43"/>
  <c r="I42" i="43"/>
  <c r="Q42" i="43"/>
  <c r="P42" i="43"/>
  <c r="O42" i="43"/>
  <c r="N42" i="43"/>
  <c r="S42" i="43"/>
  <c r="T42" i="43"/>
  <c r="U42" i="43"/>
  <c r="V42" i="43"/>
  <c r="AM56" i="43" l="1"/>
  <c r="AP56" i="43" s="1"/>
  <c r="AH56" i="43"/>
  <c r="AC56" i="43"/>
  <c r="AA56" i="43"/>
  <c r="AV58" i="43"/>
  <c r="AQ58" i="43"/>
  <c r="AL63" i="43"/>
  <c r="AL62" i="43"/>
  <c r="AU46" i="42"/>
  <c r="AT46" i="42"/>
  <c r="AS46" i="42"/>
  <c r="AR46" i="42"/>
  <c r="AP46" i="42"/>
  <c r="AO46" i="42"/>
  <c r="AN46" i="42"/>
  <c r="AM46" i="42"/>
  <c r="AK46" i="42"/>
  <c r="AJ46" i="42"/>
  <c r="AI46" i="42"/>
  <c r="AH46" i="42"/>
  <c r="AF46" i="42"/>
  <c r="AE46" i="42"/>
  <c r="AD46" i="42"/>
  <c r="AC46" i="42"/>
  <c r="AK154" i="41"/>
  <c r="AC173" i="41"/>
  <c r="AD173" i="41" s="1"/>
  <c r="AE173" i="41" s="1"/>
  <c r="AF173" i="41" s="1"/>
  <c r="AH173" i="41" s="1"/>
  <c r="AI173" i="41" s="1"/>
  <c r="AJ173" i="41" s="1"/>
  <c r="AK173" i="41" s="1"/>
  <c r="AM173" i="41" s="1"/>
  <c r="AN173" i="41" s="1"/>
  <c r="AO173" i="41" s="1"/>
  <c r="AP173" i="41" s="1"/>
  <c r="AR173" i="41" s="1"/>
  <c r="AS173" i="41" s="1"/>
  <c r="AT173" i="41" s="1"/>
  <c r="AU173" i="41" s="1"/>
  <c r="Z167" i="41"/>
  <c r="AA167" i="41" s="1"/>
  <c r="AC167" i="41" s="1"/>
  <c r="Y167" i="41"/>
  <c r="X129" i="41"/>
  <c r="Y129" i="41" s="1"/>
  <c r="Z129" i="41" s="1"/>
  <c r="AA129" i="41" s="1"/>
  <c r="AC129" i="41" s="1"/>
  <c r="AD129" i="41" s="1"/>
  <c r="AE129" i="41" s="1"/>
  <c r="AF129" i="41" s="1"/>
  <c r="AH129" i="41" s="1"/>
  <c r="AI129" i="41" s="1"/>
  <c r="AJ129" i="41" s="1"/>
  <c r="AK129" i="41" s="1"/>
  <c r="AM129" i="41" s="1"/>
  <c r="AN129" i="41" s="1"/>
  <c r="AO129" i="41" s="1"/>
  <c r="AP129" i="41" s="1"/>
  <c r="AR129" i="41" s="1"/>
  <c r="AS129" i="41" s="1"/>
  <c r="AT129" i="41" s="1"/>
  <c r="AU129" i="41" s="1"/>
  <c r="AN56" i="43" l="1"/>
  <c r="AO56" i="43"/>
  <c r="AA145" i="41"/>
  <c r="Z145" i="41"/>
  <c r="Y145" i="41"/>
  <c r="AK56" i="43"/>
  <c r="AJ56" i="43"/>
  <c r="AI56" i="43"/>
  <c r="AF56" i="43"/>
  <c r="AE56" i="43"/>
  <c r="AD56" i="43"/>
  <c r="Z56" i="43"/>
  <c r="Y56" i="43"/>
  <c r="AU20" i="43"/>
  <c r="AT20" i="43"/>
  <c r="AS20" i="43"/>
  <c r="AR20" i="43"/>
  <c r="AP20" i="43"/>
  <c r="AO20" i="43"/>
  <c r="AN20" i="43"/>
  <c r="AM20" i="43"/>
  <c r="AK20" i="43"/>
  <c r="AJ20" i="43"/>
  <c r="AI20" i="43"/>
  <c r="AH20" i="43"/>
  <c r="AF20" i="43"/>
  <c r="AE20" i="43"/>
  <c r="AD20" i="43"/>
  <c r="AC20" i="43"/>
  <c r="AA20" i="43"/>
  <c r="Z20" i="43"/>
  <c r="Y20" i="43"/>
  <c r="AA46" i="42" l="1"/>
  <c r="Z46" i="42"/>
  <c r="Y46" i="42"/>
  <c r="X46" i="42"/>
  <c r="AR53" i="42"/>
  <c r="AP53" i="42"/>
  <c r="AU53" i="42" s="1"/>
  <c r="AO53" i="42"/>
  <c r="AT53" i="42" s="1"/>
  <c r="AN53" i="42"/>
  <c r="AS53" i="42" s="1"/>
  <c r="AM53" i="42"/>
  <c r="AU155" i="41"/>
  <c r="AT155" i="41"/>
  <c r="AS155" i="41"/>
  <c r="AR155" i="41"/>
  <c r="AP155" i="41"/>
  <c r="AO155" i="41"/>
  <c r="AN155" i="41"/>
  <c r="AM155" i="41"/>
  <c r="AJ155" i="41"/>
  <c r="AI155" i="41"/>
  <c r="AA155" i="41"/>
  <c r="Z155" i="41"/>
  <c r="Y155" i="41"/>
  <c r="X155" i="41"/>
  <c r="AF155" i="41"/>
  <c r="AE155" i="41"/>
  <c r="AD155" i="41"/>
  <c r="AC155" i="41"/>
  <c r="AB154" i="41"/>
  <c r="AV154" i="41"/>
  <c r="AQ154" i="41"/>
  <c r="AV38" i="43" l="1"/>
  <c r="AQ38" i="43"/>
  <c r="AL38" i="43"/>
  <c r="AG38" i="43"/>
  <c r="AB38" i="43"/>
  <c r="AV36" i="43"/>
  <c r="AV32" i="43"/>
  <c r="AV31" i="43"/>
  <c r="AV30" i="43"/>
  <c r="AQ36" i="43"/>
  <c r="AQ32" i="43"/>
  <c r="AQ31" i="43"/>
  <c r="AQ30" i="43"/>
  <c r="AL36" i="43"/>
  <c r="AL32" i="43"/>
  <c r="AL31" i="43"/>
  <c r="AL30" i="43"/>
  <c r="AG36" i="43"/>
  <c r="AG32" i="43"/>
  <c r="AG31" i="43"/>
  <c r="AG30" i="43"/>
  <c r="AB36" i="43"/>
  <c r="AB32" i="43"/>
  <c r="AB31" i="43"/>
  <c r="AB30" i="43"/>
  <c r="AV13" i="43"/>
  <c r="AV11" i="43"/>
  <c r="AQ13" i="43"/>
  <c r="AQ11" i="43"/>
  <c r="AL13" i="43"/>
  <c r="AL11" i="43"/>
  <c r="AG13" i="43"/>
  <c r="AG11" i="43"/>
  <c r="AB13" i="43"/>
  <c r="AB11" i="43"/>
  <c r="V54" i="42"/>
  <c r="AF61" i="42"/>
  <c r="X165" i="41"/>
  <c r="Y165" i="41" s="1"/>
  <c r="Z165" i="41" s="1"/>
  <c r="AV104" i="41"/>
  <c r="AQ104" i="41"/>
  <c r="AL104" i="41"/>
  <c r="AG104" i="41"/>
  <c r="AB104" i="41"/>
  <c r="W75" i="41"/>
  <c r="AU34" i="43"/>
  <c r="AV34" i="43" s="1"/>
  <c r="AT34" i="43"/>
  <c r="AS34" i="43"/>
  <c r="AR34" i="43"/>
  <c r="AP34" i="43"/>
  <c r="AO34" i="43"/>
  <c r="AN34" i="43"/>
  <c r="AM34" i="43"/>
  <c r="AQ34" i="43" s="1"/>
  <c r="AJ34" i="43"/>
  <c r="AI34" i="43"/>
  <c r="AH34" i="43"/>
  <c r="AF34" i="43"/>
  <c r="AE34" i="43"/>
  <c r="AD34" i="43"/>
  <c r="AC34" i="43"/>
  <c r="AA34" i="43"/>
  <c r="Z34" i="43"/>
  <c r="Y34" i="43"/>
  <c r="X34" i="43"/>
  <c r="AL20" i="43"/>
  <c r="AG20" i="43"/>
  <c r="AV29" i="42"/>
  <c r="AV25" i="42"/>
  <c r="AQ29" i="42"/>
  <c r="AQ25" i="42"/>
  <c r="AL29" i="42"/>
  <c r="AL25" i="42"/>
  <c r="AG29" i="42"/>
  <c r="AG25" i="42"/>
  <c r="AB29" i="42"/>
  <c r="AB25" i="42"/>
  <c r="X40" i="42"/>
  <c r="Y40" i="42" s="1"/>
  <c r="Z40" i="42" s="1"/>
  <c r="AA40" i="42" s="1"/>
  <c r="AC40" i="42" s="1"/>
  <c r="AD40" i="42" s="1"/>
  <c r="AE40" i="42" s="1"/>
  <c r="AF40" i="42" s="1"/>
  <c r="X39" i="42"/>
  <c r="Y39" i="42" s="1"/>
  <c r="Z39" i="42" s="1"/>
  <c r="AA39" i="42" s="1"/>
  <c r="X34" i="42"/>
  <c r="Y34" i="42" s="1"/>
  <c r="Z34" i="42" s="1"/>
  <c r="AA34" i="42" s="1"/>
  <c r="AU60" i="42"/>
  <c r="AS60" i="42"/>
  <c r="AR60" i="42"/>
  <c r="AP60" i="42"/>
  <c r="AO60" i="42"/>
  <c r="AN60" i="42"/>
  <c r="AM60" i="42"/>
  <c r="AK60" i="42"/>
  <c r="AJ60" i="42"/>
  <c r="AI60" i="42"/>
  <c r="AH60" i="42"/>
  <c r="AF60" i="42"/>
  <c r="AE60" i="42"/>
  <c r="AD60" i="42"/>
  <c r="AC60" i="42"/>
  <c r="AA60" i="42"/>
  <c r="Y60" i="42"/>
  <c r="X60" i="42"/>
  <c r="X31" i="42" s="1"/>
  <c r="Y31" i="42" s="1"/>
  <c r="Z31" i="42" s="1"/>
  <c r="AD59" i="42"/>
  <c r="Z60" i="42" s="1"/>
  <c r="X33" i="42"/>
  <c r="Y33" i="42" s="1"/>
  <c r="Z33" i="42" s="1"/>
  <c r="AA33" i="42" s="1"/>
  <c r="X27" i="42"/>
  <c r="X19" i="43" s="1"/>
  <c r="X24" i="42"/>
  <c r="Y24" i="42" s="1"/>
  <c r="Z24" i="42" s="1"/>
  <c r="AA24" i="42" s="1"/>
  <c r="X23" i="42"/>
  <c r="Y23" i="42" s="1"/>
  <c r="X19" i="42"/>
  <c r="Y19" i="42" s="1"/>
  <c r="Z19" i="42" s="1"/>
  <c r="AA19" i="42" s="1"/>
  <c r="X18" i="42"/>
  <c r="Y18" i="42" s="1"/>
  <c r="Z18" i="42" s="1"/>
  <c r="AA18" i="42" s="1"/>
  <c r="X32" i="42"/>
  <c r="Y32" i="42" s="1"/>
  <c r="Z32" i="42" s="1"/>
  <c r="AA32" i="42" s="1"/>
  <c r="AC32" i="42" s="1"/>
  <c r="AD32" i="42" s="1"/>
  <c r="AE32" i="42" s="1"/>
  <c r="AF32" i="42" s="1"/>
  <c r="AG32" i="42" s="1"/>
  <c r="Y26" i="42"/>
  <c r="Z26" i="42" s="1"/>
  <c r="AA26" i="42" s="1"/>
  <c r="X26" i="42"/>
  <c r="Y15" i="42"/>
  <c r="Z15" i="42" s="1"/>
  <c r="AA15" i="42" s="1"/>
  <c r="X15" i="42"/>
  <c r="X13" i="42"/>
  <c r="Y13" i="42" s="1"/>
  <c r="X10" i="42"/>
  <c r="X17" i="43" s="1"/>
  <c r="X35" i="41"/>
  <c r="Y35" i="41" s="1"/>
  <c r="X69" i="41"/>
  <c r="AG170" i="41"/>
  <c r="AG172" i="41" s="1"/>
  <c r="AV168" i="41"/>
  <c r="AV170" i="41" s="1"/>
  <c r="AQ168" i="41"/>
  <c r="AQ170" i="41" s="1"/>
  <c r="AL168" i="41"/>
  <c r="AL170" i="41" s="1"/>
  <c r="AG168" i="41"/>
  <c r="AB168" i="41"/>
  <c r="AB170" i="41" s="1"/>
  <c r="AB172" i="41" s="1"/>
  <c r="X168" i="41"/>
  <c r="X170" i="41" s="1"/>
  <c r="X172" i="41" s="1"/>
  <c r="X125" i="41"/>
  <c r="Y125" i="41" s="1"/>
  <c r="X26" i="41"/>
  <c r="Y26" i="41" s="1"/>
  <c r="AU16" i="41"/>
  <c r="AT16" i="41"/>
  <c r="AS16" i="41"/>
  <c r="AS136" i="41" s="1"/>
  <c r="AR16" i="41"/>
  <c r="AR136" i="41" s="1"/>
  <c r="AP16" i="41"/>
  <c r="AP136" i="41" s="1"/>
  <c r="AO16" i="41"/>
  <c r="AO9" i="43" s="1"/>
  <c r="AO10" i="43" s="1"/>
  <c r="AN16" i="41"/>
  <c r="AN136" i="41" s="1"/>
  <c r="AM16" i="41"/>
  <c r="AM136" i="41" s="1"/>
  <c r="AK16" i="41"/>
  <c r="AJ16" i="41"/>
  <c r="AI16" i="41"/>
  <c r="AH16" i="41"/>
  <c r="AH136" i="41" s="1"/>
  <c r="AF16" i="41"/>
  <c r="AF136" i="41" s="1"/>
  <c r="AE16" i="41"/>
  <c r="AE9" i="43" s="1"/>
  <c r="AE10" i="43" s="1"/>
  <c r="AD16" i="41"/>
  <c r="AD9" i="43" s="1"/>
  <c r="AD10" i="43" s="1"/>
  <c r="AC16" i="41"/>
  <c r="AC9" i="43" s="1"/>
  <c r="AC10" i="43" s="1"/>
  <c r="AA16" i="41"/>
  <c r="AA9" i="43" s="1"/>
  <c r="AA10" i="43" s="1"/>
  <c r="Z16" i="41"/>
  <c r="Y16" i="41"/>
  <c r="Y136" i="41" s="1"/>
  <c r="X16" i="41"/>
  <c r="S15" i="41"/>
  <c r="AB130" i="41"/>
  <c r="AB131" i="41" s="1"/>
  <c r="AG130" i="41"/>
  <c r="AG131" i="41" s="1"/>
  <c r="AL130" i="41"/>
  <c r="AL131" i="41" s="1"/>
  <c r="AQ130" i="41"/>
  <c r="AQ131" i="41" s="1"/>
  <c r="AV130" i="41"/>
  <c r="AV131" i="41" s="1"/>
  <c r="X128" i="41"/>
  <c r="X126" i="41"/>
  <c r="AV118" i="41"/>
  <c r="AV120" i="41" s="1"/>
  <c r="AV121" i="41" s="1"/>
  <c r="AQ118" i="41"/>
  <c r="AQ120" i="41" s="1"/>
  <c r="AQ121" i="41" s="1"/>
  <c r="AL118" i="41"/>
  <c r="AL120" i="41" s="1"/>
  <c r="AL121" i="41" s="1"/>
  <c r="AG118" i="41"/>
  <c r="AG120" i="41" s="1"/>
  <c r="AG121" i="41" s="1"/>
  <c r="AB118" i="41"/>
  <c r="AB120" i="41" s="1"/>
  <c r="AB121" i="41" s="1"/>
  <c r="AA123" i="41"/>
  <c r="AF123" i="41" s="1"/>
  <c r="Z123" i="41"/>
  <c r="AE123" i="41" s="1"/>
  <c r="Y123" i="41"/>
  <c r="AD123" i="41" s="1"/>
  <c r="X123" i="41"/>
  <c r="AC123" i="41" s="1"/>
  <c r="Y108" i="41"/>
  <c r="Z108" i="41"/>
  <c r="AA108" i="41"/>
  <c r="X108" i="41"/>
  <c r="Z88" i="41"/>
  <c r="AE88" i="41" s="1"/>
  <c r="AJ88" i="41" s="1"/>
  <c r="AO88" i="41" s="1"/>
  <c r="Y88" i="41"/>
  <c r="AD88" i="41" s="1"/>
  <c r="AA88" i="41"/>
  <c r="AF88" i="41" s="1"/>
  <c r="AK88" i="41" s="1"/>
  <c r="X88" i="41"/>
  <c r="Y55" i="41"/>
  <c r="AD55" i="41" s="1"/>
  <c r="Z55" i="41"/>
  <c r="AE55" i="41" s="1"/>
  <c r="AA55" i="41"/>
  <c r="AF55" i="41" s="1"/>
  <c r="X55" i="41"/>
  <c r="AC55" i="41" s="1"/>
  <c r="F51" i="42"/>
  <c r="E51" i="42"/>
  <c r="D51" i="42"/>
  <c r="L51" i="42"/>
  <c r="K51" i="42"/>
  <c r="J51" i="42"/>
  <c r="Y51" i="42" s="1"/>
  <c r="I51" i="42"/>
  <c r="X51" i="42" s="1"/>
  <c r="Q51" i="42"/>
  <c r="P51" i="42"/>
  <c r="O51" i="42"/>
  <c r="N51" i="42"/>
  <c r="S51" i="42"/>
  <c r="T51" i="42"/>
  <c r="U51" i="42"/>
  <c r="V51" i="42"/>
  <c r="F49" i="42"/>
  <c r="E49" i="42"/>
  <c r="D49" i="42"/>
  <c r="L49" i="42"/>
  <c r="K49" i="42"/>
  <c r="Z49" i="42" s="1"/>
  <c r="J49" i="42"/>
  <c r="Y49" i="42" s="1"/>
  <c r="I49" i="42"/>
  <c r="Q49" i="42"/>
  <c r="P49" i="42"/>
  <c r="O49" i="42"/>
  <c r="N49" i="42"/>
  <c r="S49" i="42"/>
  <c r="T49" i="42"/>
  <c r="U49" i="42"/>
  <c r="V49" i="42"/>
  <c r="V172" i="41"/>
  <c r="V124" i="41"/>
  <c r="V116" i="41"/>
  <c r="V113" i="41"/>
  <c r="AA113" i="41" s="1"/>
  <c r="V111" i="41"/>
  <c r="AA111" i="41" s="1"/>
  <c r="V109" i="41"/>
  <c r="V96" i="41"/>
  <c r="AA96" i="41" s="1"/>
  <c r="AA181" i="41" s="1"/>
  <c r="V89" i="41"/>
  <c r="V63" i="41"/>
  <c r="V56" i="41"/>
  <c r="V55" i="42"/>
  <c r="V46" i="42"/>
  <c r="V37" i="42"/>
  <c r="V28" i="42"/>
  <c r="AA49" i="42" l="1"/>
  <c r="Y10" i="42"/>
  <c r="Y17" i="43" s="1"/>
  <c r="X28" i="42"/>
  <c r="Y22" i="41" s="1"/>
  <c r="X22" i="41"/>
  <c r="AB34" i="43"/>
  <c r="AA51" i="42"/>
  <c r="AF51" i="42" s="1"/>
  <c r="AF52" i="42" s="1"/>
  <c r="AB40" i="42"/>
  <c r="X49" i="42"/>
  <c r="AC49" i="42" s="1"/>
  <c r="AA31" i="42"/>
  <c r="AB16" i="41"/>
  <c r="Y69" i="41"/>
  <c r="AA186" i="41"/>
  <c r="AF113" i="41"/>
  <c r="AK113" i="41" s="1"/>
  <c r="AP113" i="41" s="1"/>
  <c r="AU113" i="41" s="1"/>
  <c r="AU186" i="41" s="1"/>
  <c r="AD51" i="42"/>
  <c r="AD52" i="42" s="1"/>
  <c r="AB26" i="42"/>
  <c r="AC26" i="42"/>
  <c r="AD26" i="42" s="1"/>
  <c r="AE26" i="42" s="1"/>
  <c r="AF26" i="42" s="1"/>
  <c r="Y28" i="42"/>
  <c r="Z28" i="42" s="1"/>
  <c r="Z50" i="42"/>
  <c r="AC18" i="42"/>
  <c r="AD18" i="42" s="1"/>
  <c r="AE18" i="42" s="1"/>
  <c r="AF18" i="42" s="1"/>
  <c r="AB18" i="42"/>
  <c r="Y50" i="42"/>
  <c r="X52" i="42"/>
  <c r="Y21" i="43"/>
  <c r="Z23" i="42"/>
  <c r="AB24" i="42"/>
  <c r="AC24" i="42"/>
  <c r="AD24" i="42" s="1"/>
  <c r="AE24" i="42" s="1"/>
  <c r="AF24" i="42" s="1"/>
  <c r="AB39" i="42"/>
  <c r="AC39" i="42"/>
  <c r="AD39" i="42" s="1"/>
  <c r="AE39" i="42" s="1"/>
  <c r="AF39" i="42" s="1"/>
  <c r="AC19" i="42"/>
  <c r="AD19" i="42" s="1"/>
  <c r="AE19" i="42" s="1"/>
  <c r="AF19" i="42" s="1"/>
  <c r="AB19" i="42"/>
  <c r="AH40" i="42"/>
  <c r="AI40" i="42" s="1"/>
  <c r="AJ40" i="42" s="1"/>
  <c r="AK40" i="42" s="1"/>
  <c r="AG40" i="42"/>
  <c r="Y52" i="42"/>
  <c r="AD49" i="42"/>
  <c r="AA50" i="42"/>
  <c r="AC34" i="42"/>
  <c r="AD34" i="42" s="1"/>
  <c r="AE34" i="42" s="1"/>
  <c r="AF34" i="42" s="1"/>
  <c r="AB34" i="42"/>
  <c r="AC33" i="42"/>
  <c r="AD33" i="42" s="1"/>
  <c r="AE33" i="42" s="1"/>
  <c r="AF33" i="42" s="1"/>
  <c r="AB33" i="42"/>
  <c r="AE49" i="42"/>
  <c r="AC15" i="42"/>
  <c r="AD15" i="42" s="1"/>
  <c r="AE15" i="42" s="1"/>
  <c r="AF15" i="42" s="1"/>
  <c r="AB15" i="42"/>
  <c r="AA165" i="41"/>
  <c r="Z168" i="41"/>
  <c r="Z170" i="41" s="1"/>
  <c r="Z18" i="41" s="1"/>
  <c r="AF111" i="41"/>
  <c r="AA185" i="41"/>
  <c r="AF49" i="42"/>
  <c r="AC51" i="42"/>
  <c r="Y168" i="41"/>
  <c r="Y170" i="41" s="1"/>
  <c r="Y18" i="41" s="1"/>
  <c r="AQ16" i="41"/>
  <c r="Z51" i="42"/>
  <c r="AE51" i="42" s="1"/>
  <c r="AE52" i="42" s="1"/>
  <c r="Z13" i="42"/>
  <c r="AF96" i="41"/>
  <c r="AK96" i="41" s="1"/>
  <c r="AA116" i="41"/>
  <c r="AL16" i="41"/>
  <c r="V145" i="41"/>
  <c r="Z10" i="42"/>
  <c r="Y27" i="42"/>
  <c r="AV16" i="41"/>
  <c r="AG16" i="41"/>
  <c r="V52" i="42"/>
  <c r="X21" i="43"/>
  <c r="AH32" i="42"/>
  <c r="AI32" i="42" s="1"/>
  <c r="AJ32" i="42" s="1"/>
  <c r="AK32" i="42" s="1"/>
  <c r="AB32" i="42"/>
  <c r="AV20" i="43"/>
  <c r="AQ20" i="43"/>
  <c r="AK34" i="43"/>
  <c r="AL154" i="41"/>
  <c r="AK155" i="41"/>
  <c r="AJ61" i="42"/>
  <c r="AG34" i="43"/>
  <c r="AC31" i="42"/>
  <c r="AB31" i="42"/>
  <c r="AT136" i="41"/>
  <c r="AO136" i="41"/>
  <c r="AE136" i="41"/>
  <c r="X136" i="41"/>
  <c r="Z35" i="41"/>
  <c r="AA35" i="41" s="1"/>
  <c r="AC35" i="41" s="1"/>
  <c r="AB35" i="41"/>
  <c r="X18" i="41"/>
  <c r="X28" i="41"/>
  <c r="AV172" i="41"/>
  <c r="AQ172" i="41"/>
  <c r="AU136" i="41"/>
  <c r="Z26" i="41"/>
  <c r="AA26" i="41" s="1"/>
  <c r="AI136" i="41"/>
  <c r="AL172" i="41"/>
  <c r="AA63" i="41"/>
  <c r="Y9" i="43"/>
  <c r="Y10" i="43" s="1"/>
  <c r="AR9" i="43"/>
  <c r="AS9" i="43"/>
  <c r="AS10" i="43" s="1"/>
  <c r="AT9" i="43"/>
  <c r="AT10" i="43" s="1"/>
  <c r="AU9" i="43"/>
  <c r="AU10" i="43" s="1"/>
  <c r="AM9" i="43"/>
  <c r="AN9" i="43"/>
  <c r="AN10" i="43" s="1"/>
  <c r="AP9" i="43"/>
  <c r="AP10" i="43" s="1"/>
  <c r="AJ136" i="41"/>
  <c r="AH9" i="43"/>
  <c r="AI9" i="43"/>
  <c r="AI10" i="43" s="1"/>
  <c r="AJ9" i="43"/>
  <c r="AJ10" i="43" s="1"/>
  <c r="AK9" i="43"/>
  <c r="AK10" i="43" s="1"/>
  <c r="AF9" i="43"/>
  <c r="AF10" i="43" s="1"/>
  <c r="AG10" i="43" s="1"/>
  <c r="AC136" i="41"/>
  <c r="AD136" i="41"/>
  <c r="Z9" i="43"/>
  <c r="Z10" i="43" s="1"/>
  <c r="Z136" i="41"/>
  <c r="X9" i="43"/>
  <c r="AA136" i="41"/>
  <c r="AK136" i="41"/>
  <c r="AC108" i="41"/>
  <c r="AH108" i="41" s="1"/>
  <c r="AA7" i="41"/>
  <c r="AA135" i="41" s="1"/>
  <c r="AP88" i="41"/>
  <c r="AK55" i="41"/>
  <c r="AE108" i="41"/>
  <c r="AD108" i="41"/>
  <c r="AI88" i="41"/>
  <c r="AI123" i="41"/>
  <c r="AH123" i="41"/>
  <c r="AH55" i="41"/>
  <c r="AT88" i="41"/>
  <c r="AK123" i="41"/>
  <c r="AI55" i="41"/>
  <c r="AJ55" i="41"/>
  <c r="Z7" i="41"/>
  <c r="Z135" i="41" s="1"/>
  <c r="X7" i="41"/>
  <c r="Y7" i="41"/>
  <c r="Y135" i="41" s="1"/>
  <c r="AF108" i="41"/>
  <c r="AA112" i="41"/>
  <c r="AC88" i="41"/>
  <c r="AJ123" i="41"/>
  <c r="AA110" i="41"/>
  <c r="Z125" i="41"/>
  <c r="Y128" i="41"/>
  <c r="Z128" i="41" s="1"/>
  <c r="Y126" i="41"/>
  <c r="Z126" i="41" s="1"/>
  <c r="V50" i="42"/>
  <c r="S57" i="43"/>
  <c r="N57" i="43"/>
  <c r="I57" i="43"/>
  <c r="D57" i="43"/>
  <c r="S54" i="43"/>
  <c r="N54" i="43"/>
  <c r="I54" i="43"/>
  <c r="D54" i="43"/>
  <c r="T47" i="43"/>
  <c r="Q47" i="43"/>
  <c r="P47" i="43"/>
  <c r="O47" i="43"/>
  <c r="G47" i="43"/>
  <c r="F47" i="43"/>
  <c r="D47" i="43"/>
  <c r="H40" i="43"/>
  <c r="U38" i="43"/>
  <c r="T38" i="43"/>
  <c r="O38" i="43"/>
  <c r="P38" i="43" s="1"/>
  <c r="J38" i="43"/>
  <c r="D38" i="43"/>
  <c r="E38" i="43" s="1"/>
  <c r="F38" i="43" s="1"/>
  <c r="G38" i="43" s="1"/>
  <c r="S37" i="43"/>
  <c r="D37" i="43"/>
  <c r="T36" i="43"/>
  <c r="U36" i="43" s="1"/>
  <c r="V36" i="43" s="1"/>
  <c r="O36" i="43"/>
  <c r="P36" i="43" s="1"/>
  <c r="Q36" i="43" s="1"/>
  <c r="J36" i="43"/>
  <c r="K36" i="43" s="1"/>
  <c r="E36" i="43"/>
  <c r="F36" i="43" s="1"/>
  <c r="G36" i="43" s="1"/>
  <c r="T35" i="43"/>
  <c r="O35" i="43"/>
  <c r="J35" i="43"/>
  <c r="E35" i="43"/>
  <c r="F35" i="43" s="1"/>
  <c r="T34" i="43"/>
  <c r="P34" i="43"/>
  <c r="Q34" i="43" s="1"/>
  <c r="O34" i="43"/>
  <c r="J34" i="43"/>
  <c r="E34" i="43"/>
  <c r="T33" i="43"/>
  <c r="U33" i="43" s="1"/>
  <c r="V33" i="43" s="1"/>
  <c r="O33" i="43"/>
  <c r="P33" i="43" s="1"/>
  <c r="Q33" i="43" s="1"/>
  <c r="J33" i="43"/>
  <c r="K33" i="43" s="1"/>
  <c r="L33" i="43" s="1"/>
  <c r="E33" i="43"/>
  <c r="F33" i="43" s="1"/>
  <c r="T32" i="43"/>
  <c r="U32" i="43" s="1"/>
  <c r="V32" i="43" s="1"/>
  <c r="O32" i="43"/>
  <c r="P32" i="43" s="1"/>
  <c r="J32" i="43"/>
  <c r="K32" i="43" s="1"/>
  <c r="F32" i="43"/>
  <c r="G32" i="43" s="1"/>
  <c r="E32" i="43"/>
  <c r="T31" i="43"/>
  <c r="U31" i="43" s="1"/>
  <c r="O31" i="43"/>
  <c r="I31" i="43"/>
  <c r="G31" i="43"/>
  <c r="H31" i="43" s="1"/>
  <c r="U30" i="43"/>
  <c r="V30" i="43" s="1"/>
  <c r="N30" i="43"/>
  <c r="O30" i="43" s="1"/>
  <c r="P30" i="43" s="1"/>
  <c r="Q30" i="43" s="1"/>
  <c r="J30" i="43"/>
  <c r="L30" i="43" s="1"/>
  <c r="F30" i="43"/>
  <c r="G30" i="43" s="1"/>
  <c r="T29" i="43"/>
  <c r="U29" i="43" s="1"/>
  <c r="V29" i="43" s="1"/>
  <c r="O29" i="43"/>
  <c r="J29" i="43"/>
  <c r="E29" i="43"/>
  <c r="U26" i="43"/>
  <c r="V26" i="43" s="1"/>
  <c r="T26" i="43"/>
  <c r="O26" i="43"/>
  <c r="P26" i="43" s="1"/>
  <c r="Q26" i="43" s="1"/>
  <c r="J26" i="43"/>
  <c r="K26" i="43" s="1"/>
  <c r="E26" i="43"/>
  <c r="F26" i="43" s="1"/>
  <c r="T25" i="43"/>
  <c r="O25" i="43"/>
  <c r="P25" i="43" s="1"/>
  <c r="J25" i="43"/>
  <c r="K25" i="43" s="1"/>
  <c r="L25" i="43" s="1"/>
  <c r="E25" i="43"/>
  <c r="S24" i="43"/>
  <c r="S27" i="43" s="1"/>
  <c r="N24" i="43"/>
  <c r="N27" i="43" s="1"/>
  <c r="I24" i="43"/>
  <c r="I27" i="43" s="1"/>
  <c r="D24" i="43"/>
  <c r="D27" i="43" s="1"/>
  <c r="D22" i="43"/>
  <c r="S21" i="43"/>
  <c r="N21" i="43"/>
  <c r="O21" i="43" s="1"/>
  <c r="P21" i="43" s="1"/>
  <c r="Q21" i="43" s="1"/>
  <c r="J21" i="43"/>
  <c r="K21" i="43" s="1"/>
  <c r="L21" i="43" s="1"/>
  <c r="I21" i="43"/>
  <c r="F21" i="43"/>
  <c r="G21" i="43" s="1"/>
  <c r="E21" i="43"/>
  <c r="T20" i="43"/>
  <c r="U20" i="43" s="1"/>
  <c r="V20" i="43" s="1"/>
  <c r="O20" i="43"/>
  <c r="P20" i="43" s="1"/>
  <c r="Q20" i="43" s="1"/>
  <c r="R20" i="43" s="1"/>
  <c r="J20" i="43"/>
  <c r="K20" i="43" s="1"/>
  <c r="L20" i="43" s="1"/>
  <c r="M20" i="43" s="1"/>
  <c r="F20" i="43"/>
  <c r="G20" i="43" s="1"/>
  <c r="H20" i="43" s="1"/>
  <c r="T19" i="43"/>
  <c r="U19" i="43" s="1"/>
  <c r="V19" i="43" s="1"/>
  <c r="O19" i="43"/>
  <c r="P19" i="43" s="1"/>
  <c r="J19" i="43"/>
  <c r="K19" i="43" s="1"/>
  <c r="L19" i="43" s="1"/>
  <c r="E19" i="43"/>
  <c r="T18" i="43"/>
  <c r="U18" i="43" s="1"/>
  <c r="V18" i="43" s="1"/>
  <c r="O18" i="43"/>
  <c r="P18" i="43" s="1"/>
  <c r="Q18" i="43" s="1"/>
  <c r="J18" i="43"/>
  <c r="K18" i="43" s="1"/>
  <c r="L18" i="43" s="1"/>
  <c r="M18" i="43" s="1"/>
  <c r="E18" i="43"/>
  <c r="F18" i="43" s="1"/>
  <c r="G18" i="43" s="1"/>
  <c r="S17" i="43"/>
  <c r="T17" i="43" s="1"/>
  <c r="U17" i="43" s="1"/>
  <c r="V17" i="43" s="1"/>
  <c r="O17" i="43"/>
  <c r="P17" i="43" s="1"/>
  <c r="Q17" i="43" s="1"/>
  <c r="J17" i="43"/>
  <c r="K17" i="43" s="1"/>
  <c r="L17" i="43" s="1"/>
  <c r="E17" i="43"/>
  <c r="F17" i="43" s="1"/>
  <c r="T16" i="43"/>
  <c r="U16" i="43" s="1"/>
  <c r="V16" i="43" s="1"/>
  <c r="O16" i="43"/>
  <c r="P16" i="43" s="1"/>
  <c r="Q16" i="43" s="1"/>
  <c r="R16" i="43" s="1"/>
  <c r="J16" i="43"/>
  <c r="K16" i="43" s="1"/>
  <c r="L16" i="43" s="1"/>
  <c r="M16" i="43" s="1"/>
  <c r="E16" i="43"/>
  <c r="F16" i="43" s="1"/>
  <c r="G16" i="43" s="1"/>
  <c r="T15" i="43"/>
  <c r="U15" i="43" s="1"/>
  <c r="V15" i="43" s="1"/>
  <c r="O15" i="43"/>
  <c r="K15" i="43"/>
  <c r="L15" i="43" s="1"/>
  <c r="J15" i="43"/>
  <c r="E15" i="43"/>
  <c r="F15" i="43" s="1"/>
  <c r="U13" i="43"/>
  <c r="T13" i="43"/>
  <c r="O13" i="43"/>
  <c r="P13" i="43" s="1"/>
  <c r="N13" i="43"/>
  <c r="I13" i="43"/>
  <c r="J13" i="43" s="1"/>
  <c r="E13" i="43"/>
  <c r="T12" i="43"/>
  <c r="U12" i="43" s="1"/>
  <c r="V12" i="43" s="1"/>
  <c r="O12" i="43"/>
  <c r="P12" i="43" s="1"/>
  <c r="Q12" i="43" s="1"/>
  <c r="J12" i="43"/>
  <c r="E12" i="43"/>
  <c r="F12" i="43" s="1"/>
  <c r="T11" i="43"/>
  <c r="U11" i="43" s="1"/>
  <c r="O11" i="43"/>
  <c r="P11" i="43" s="1"/>
  <c r="Q11" i="43" s="1"/>
  <c r="R11" i="43" s="1"/>
  <c r="J11" i="43"/>
  <c r="K11" i="43" s="1"/>
  <c r="L11" i="43" s="1"/>
  <c r="M11" i="43" s="1"/>
  <c r="F11" i="43"/>
  <c r="G11" i="43" s="1"/>
  <c r="H11" i="43" s="1"/>
  <c r="E11" i="43"/>
  <c r="T10" i="43"/>
  <c r="O10" i="43"/>
  <c r="L10" i="43"/>
  <c r="J10" i="43"/>
  <c r="K10" i="43" s="1"/>
  <c r="E10" i="43"/>
  <c r="U9" i="43"/>
  <c r="V9" i="43" s="1"/>
  <c r="T9" i="43"/>
  <c r="P9" i="43"/>
  <c r="Q9" i="43" s="1"/>
  <c r="O9" i="43"/>
  <c r="J9" i="43"/>
  <c r="E9" i="43"/>
  <c r="F9" i="43" s="1"/>
  <c r="G9" i="43" s="1"/>
  <c r="T8" i="43"/>
  <c r="O8" i="43"/>
  <c r="J8" i="43"/>
  <c r="F8" i="43"/>
  <c r="G8" i="43" s="1"/>
  <c r="H8" i="43" s="1"/>
  <c r="E8" i="43"/>
  <c r="T7" i="43"/>
  <c r="P7" i="43"/>
  <c r="Q7" i="43" s="1"/>
  <c r="Q56" i="42" s="1"/>
  <c r="O7" i="43"/>
  <c r="O56" i="42" s="1"/>
  <c r="J7" i="43"/>
  <c r="J56" i="42" s="1"/>
  <c r="E7" i="43"/>
  <c r="E56" i="42" s="1"/>
  <c r="L6" i="43"/>
  <c r="W66" i="42"/>
  <c r="AB66" i="42" s="1"/>
  <c r="AG66" i="42" s="1"/>
  <c r="AL66" i="42" s="1"/>
  <c r="AQ66" i="42" s="1"/>
  <c r="AV66" i="42" s="1"/>
  <c r="T63" i="42"/>
  <c r="Q63" i="42"/>
  <c r="P63" i="42"/>
  <c r="O63" i="42"/>
  <c r="G63" i="42"/>
  <c r="F63" i="42"/>
  <c r="D63" i="42"/>
  <c r="S56" i="42"/>
  <c r="N56" i="42"/>
  <c r="I56" i="42"/>
  <c r="U55" i="42"/>
  <c r="T55" i="42"/>
  <c r="S55" i="42"/>
  <c r="Q55" i="42"/>
  <c r="P55" i="42"/>
  <c r="O55" i="42"/>
  <c r="N55" i="42"/>
  <c r="L55" i="42"/>
  <c r="K55" i="42"/>
  <c r="J55" i="42"/>
  <c r="I55" i="42"/>
  <c r="G55" i="42"/>
  <c r="F55" i="42"/>
  <c r="E55" i="42"/>
  <c r="D55" i="42"/>
  <c r="U54" i="42"/>
  <c r="T54" i="42"/>
  <c r="S54" i="42"/>
  <c r="Q54" i="42"/>
  <c r="P54" i="42"/>
  <c r="O54" i="42"/>
  <c r="N54" i="42"/>
  <c r="L54" i="42"/>
  <c r="K54" i="42"/>
  <c r="J54" i="42"/>
  <c r="I54" i="42"/>
  <c r="G54" i="42"/>
  <c r="F54" i="42"/>
  <c r="E54" i="42"/>
  <c r="D54" i="42"/>
  <c r="S50" i="42"/>
  <c r="U46" i="42"/>
  <c r="U50" i="42" s="1"/>
  <c r="T46" i="42"/>
  <c r="T50" i="42" s="1"/>
  <c r="S46" i="42"/>
  <c r="S52" i="42" s="1"/>
  <c r="Q46" i="42"/>
  <c r="P46" i="42"/>
  <c r="O46" i="42"/>
  <c r="N46" i="42"/>
  <c r="L46" i="42"/>
  <c r="K46" i="42"/>
  <c r="K52" i="42" s="1"/>
  <c r="J46" i="42"/>
  <c r="J52" i="42" s="1"/>
  <c r="I46" i="42"/>
  <c r="I50" i="42" s="1"/>
  <c r="G46" i="42"/>
  <c r="F46" i="42"/>
  <c r="F50" i="42" s="1"/>
  <c r="E46" i="42"/>
  <c r="E52" i="42" s="1"/>
  <c r="D46" i="42"/>
  <c r="D50" i="42" s="1"/>
  <c r="L41" i="42"/>
  <c r="R40" i="42"/>
  <c r="M40" i="42"/>
  <c r="H40" i="42"/>
  <c r="W39" i="42"/>
  <c r="R39" i="42"/>
  <c r="M39" i="42"/>
  <c r="H39" i="42"/>
  <c r="R38" i="42"/>
  <c r="M38" i="42"/>
  <c r="H38" i="42"/>
  <c r="U37" i="42"/>
  <c r="U41" i="42" s="1"/>
  <c r="T37" i="42"/>
  <c r="T41" i="42" s="1"/>
  <c r="S37" i="42"/>
  <c r="S41" i="42" s="1"/>
  <c r="Q37" i="42"/>
  <c r="Q41" i="42" s="1"/>
  <c r="Q62" i="42" s="1"/>
  <c r="P37" i="42"/>
  <c r="P41" i="42" s="1"/>
  <c r="O37" i="42"/>
  <c r="O41" i="42" s="1"/>
  <c r="O62" i="42" s="1"/>
  <c r="N37" i="42"/>
  <c r="N41" i="42" s="1"/>
  <c r="L37" i="42"/>
  <c r="M37" i="42" s="1"/>
  <c r="K37" i="42"/>
  <c r="K41" i="42" s="1"/>
  <c r="J37" i="42"/>
  <c r="J41" i="42" s="1"/>
  <c r="I37" i="42"/>
  <c r="I41" i="42" s="1"/>
  <c r="G37" i="42"/>
  <c r="G41" i="42" s="1"/>
  <c r="F37" i="42"/>
  <c r="F41" i="42" s="1"/>
  <c r="E37" i="42"/>
  <c r="E41" i="42" s="1"/>
  <c r="D37" i="42"/>
  <c r="D41" i="42" s="1"/>
  <c r="D62" i="42" s="1"/>
  <c r="W34" i="42"/>
  <c r="R34" i="42"/>
  <c r="M34" i="42"/>
  <c r="H34" i="42"/>
  <c r="W33" i="42"/>
  <c r="R33" i="42"/>
  <c r="M33" i="42"/>
  <c r="H33" i="42"/>
  <c r="W32" i="42"/>
  <c r="R32" i="42"/>
  <c r="M32" i="42"/>
  <c r="H32" i="42"/>
  <c r="W31" i="42"/>
  <c r="R31" i="42"/>
  <c r="M31" i="42"/>
  <c r="H31" i="42"/>
  <c r="Q30" i="42"/>
  <c r="Q35" i="42" s="1"/>
  <c r="P30" i="42"/>
  <c r="P35" i="42" s="1"/>
  <c r="O30" i="42"/>
  <c r="O35" i="42" s="1"/>
  <c r="G30" i="42"/>
  <c r="G35" i="42" s="1"/>
  <c r="F30" i="42"/>
  <c r="F35" i="42" s="1"/>
  <c r="D30" i="42"/>
  <c r="D35" i="42" s="1"/>
  <c r="W29" i="42"/>
  <c r="R29" i="42"/>
  <c r="M29" i="42"/>
  <c r="H29" i="42"/>
  <c r="W28" i="42"/>
  <c r="V63" i="42"/>
  <c r="U28" i="42"/>
  <c r="U47" i="43" s="1"/>
  <c r="S28" i="42"/>
  <c r="S47" i="43" s="1"/>
  <c r="R28" i="42"/>
  <c r="N28" i="42"/>
  <c r="O145" i="41" s="1"/>
  <c r="L28" i="42"/>
  <c r="L63" i="42" s="1"/>
  <c r="K28" i="42"/>
  <c r="K63" i="42" s="1"/>
  <c r="J28" i="42"/>
  <c r="I28" i="42"/>
  <c r="I145" i="41" s="1"/>
  <c r="H28" i="42"/>
  <c r="E28" i="42"/>
  <c r="R27" i="42"/>
  <c r="M27" i="42"/>
  <c r="H27" i="42"/>
  <c r="R26" i="42"/>
  <c r="M26" i="42"/>
  <c r="H26" i="42"/>
  <c r="T25" i="42"/>
  <c r="U25" i="42" s="1"/>
  <c r="V25" i="42" s="1"/>
  <c r="X20" i="43" s="1"/>
  <c r="AB20" i="43" s="1"/>
  <c r="R25" i="42"/>
  <c r="M25" i="42"/>
  <c r="H25" i="42"/>
  <c r="W24" i="42"/>
  <c r="R24" i="42"/>
  <c r="M24" i="42"/>
  <c r="H24" i="42"/>
  <c r="W23" i="42"/>
  <c r="R23" i="42"/>
  <c r="M23" i="42"/>
  <c r="H23" i="42"/>
  <c r="R22" i="42"/>
  <c r="M22" i="42"/>
  <c r="H22" i="42"/>
  <c r="W19" i="42"/>
  <c r="R19" i="42"/>
  <c r="M19" i="42"/>
  <c r="H19" i="42"/>
  <c r="W18" i="42"/>
  <c r="R18" i="42"/>
  <c r="M18" i="42"/>
  <c r="H18" i="42"/>
  <c r="R17" i="42"/>
  <c r="M17" i="42"/>
  <c r="H17" i="42"/>
  <c r="R16" i="42"/>
  <c r="M16" i="42"/>
  <c r="H16" i="42"/>
  <c r="R15" i="42"/>
  <c r="M15" i="42"/>
  <c r="H15" i="42"/>
  <c r="R14" i="42"/>
  <c r="M14" i="42"/>
  <c r="H14" i="42"/>
  <c r="W13" i="42"/>
  <c r="R13" i="42"/>
  <c r="M13" i="42"/>
  <c r="H13" i="42"/>
  <c r="R12" i="42"/>
  <c r="M12" i="42"/>
  <c r="H12" i="42"/>
  <c r="R10" i="42"/>
  <c r="M10" i="42"/>
  <c r="H10" i="42"/>
  <c r="R9" i="42"/>
  <c r="M9" i="42"/>
  <c r="H9" i="42"/>
  <c r="R8" i="42"/>
  <c r="M8" i="42"/>
  <c r="H8" i="42"/>
  <c r="R7" i="42"/>
  <c r="M7" i="42"/>
  <c r="H7" i="42"/>
  <c r="U172" i="41"/>
  <c r="U28" i="41" s="1"/>
  <c r="T172" i="41"/>
  <c r="Q172" i="41"/>
  <c r="P172" i="41"/>
  <c r="O172" i="41"/>
  <c r="N172" i="41"/>
  <c r="N28" i="41" s="1"/>
  <c r="K172" i="41"/>
  <c r="K28" i="41" s="1"/>
  <c r="T171" i="41"/>
  <c r="Q171" i="41"/>
  <c r="F171" i="41"/>
  <c r="F28" i="41" s="1"/>
  <c r="E171" i="41"/>
  <c r="E28" i="41" s="1"/>
  <c r="V168" i="41"/>
  <c r="U168" i="41"/>
  <c r="U170" i="41" s="1"/>
  <c r="U18" i="41" s="1"/>
  <c r="T168" i="41"/>
  <c r="T170" i="41" s="1"/>
  <c r="Q168" i="41"/>
  <c r="Q170" i="41" s="1"/>
  <c r="Q18" i="41" s="1"/>
  <c r="P168" i="41"/>
  <c r="P170" i="41" s="1"/>
  <c r="O168" i="41"/>
  <c r="O170" i="41" s="1"/>
  <c r="O18" i="41" s="1"/>
  <c r="N168" i="41"/>
  <c r="N170" i="41" s="1"/>
  <c r="N18" i="41" s="1"/>
  <c r="L168" i="41"/>
  <c r="L170" i="41" s="1"/>
  <c r="L173" i="41" s="1"/>
  <c r="J168" i="41"/>
  <c r="J170" i="41" s="1"/>
  <c r="I168" i="41"/>
  <c r="I170" i="41" s="1"/>
  <c r="F168" i="41"/>
  <c r="F170" i="41" s="1"/>
  <c r="E168" i="41"/>
  <c r="E170" i="41" s="1"/>
  <c r="E173" i="41" s="1"/>
  <c r="H167" i="41"/>
  <c r="H166" i="41"/>
  <c r="S165" i="41"/>
  <c r="S168" i="41" s="1"/>
  <c r="S170" i="41" s="1"/>
  <c r="G165" i="41"/>
  <c r="D165" i="41"/>
  <c r="D164" i="41"/>
  <c r="H164" i="41" s="1"/>
  <c r="K163" i="41"/>
  <c r="K168" i="41" s="1"/>
  <c r="K170" i="41" s="1"/>
  <c r="G163" i="41"/>
  <c r="D163" i="41"/>
  <c r="F161" i="41"/>
  <c r="E161" i="41"/>
  <c r="E158" i="41"/>
  <c r="D157" i="41"/>
  <c r="D158" i="41" s="1"/>
  <c r="U155" i="41"/>
  <c r="Q155" i="41"/>
  <c r="Q151" i="41" s="1"/>
  <c r="P155" i="41"/>
  <c r="P151" i="41" s="1"/>
  <c r="O155" i="41"/>
  <c r="O152" i="41" s="1"/>
  <c r="N155" i="41"/>
  <c r="N152" i="41" s="1"/>
  <c r="L155" i="41"/>
  <c r="L151" i="41" s="1"/>
  <c r="K155" i="41"/>
  <c r="K152" i="41" s="1"/>
  <c r="J155" i="41"/>
  <c r="J151" i="41" s="1"/>
  <c r="I155" i="41"/>
  <c r="I151" i="41" s="1"/>
  <c r="G155" i="41"/>
  <c r="E155" i="41"/>
  <c r="V154" i="41"/>
  <c r="V155" i="41" s="1"/>
  <c r="T154" i="41"/>
  <c r="S154" i="41"/>
  <c r="R154" i="41"/>
  <c r="M154" i="41"/>
  <c r="F154" i="41"/>
  <c r="H154" i="41" s="1"/>
  <c r="V153" i="41"/>
  <c r="U152" i="41"/>
  <c r="T152" i="41"/>
  <c r="S152" i="41"/>
  <c r="U151" i="41"/>
  <c r="T151" i="41"/>
  <c r="S151" i="41"/>
  <c r="U145" i="41"/>
  <c r="T145" i="41"/>
  <c r="S145" i="41"/>
  <c r="Q145" i="41"/>
  <c r="P145" i="41"/>
  <c r="F145" i="41"/>
  <c r="E145" i="41"/>
  <c r="U136" i="41"/>
  <c r="T136" i="41"/>
  <c r="S136" i="41"/>
  <c r="Q136" i="41"/>
  <c r="P136" i="41"/>
  <c r="O136" i="41"/>
  <c r="N136" i="41"/>
  <c r="L136" i="41"/>
  <c r="K136" i="41"/>
  <c r="J136" i="41"/>
  <c r="I136" i="41"/>
  <c r="F136" i="41"/>
  <c r="E136" i="41"/>
  <c r="D136" i="41"/>
  <c r="U135" i="41"/>
  <c r="T135" i="41"/>
  <c r="S135" i="41"/>
  <c r="Q135" i="41"/>
  <c r="P135" i="41"/>
  <c r="O135" i="41"/>
  <c r="N135" i="41"/>
  <c r="L135" i="41"/>
  <c r="K135" i="41"/>
  <c r="J135" i="41"/>
  <c r="I135" i="41"/>
  <c r="F135" i="41"/>
  <c r="E135" i="41"/>
  <c r="D135" i="41"/>
  <c r="U134" i="41"/>
  <c r="T134" i="41"/>
  <c r="S134" i="41"/>
  <c r="Q134" i="41"/>
  <c r="P134" i="41"/>
  <c r="O134" i="41"/>
  <c r="N134" i="41"/>
  <c r="L134" i="41"/>
  <c r="K134" i="41"/>
  <c r="J134" i="41"/>
  <c r="I134" i="41"/>
  <c r="F134" i="41"/>
  <c r="E134" i="41"/>
  <c r="D134" i="41"/>
  <c r="U133" i="41"/>
  <c r="T133" i="41"/>
  <c r="S133" i="41"/>
  <c r="Q133" i="41"/>
  <c r="P133" i="41"/>
  <c r="O133" i="41"/>
  <c r="N133" i="41"/>
  <c r="L133" i="41"/>
  <c r="K133" i="41"/>
  <c r="J133" i="41"/>
  <c r="I133" i="41"/>
  <c r="F133" i="41"/>
  <c r="E133" i="41"/>
  <c r="D133" i="41"/>
  <c r="U130" i="41"/>
  <c r="U131" i="41" s="1"/>
  <c r="T130" i="41"/>
  <c r="T131" i="41" s="1"/>
  <c r="S130" i="41"/>
  <c r="S131" i="41" s="1"/>
  <c r="Q130" i="41"/>
  <c r="Q131" i="41" s="1"/>
  <c r="P130" i="41"/>
  <c r="P131" i="41" s="1"/>
  <c r="O130" i="41"/>
  <c r="O131" i="41" s="1"/>
  <c r="N130" i="41"/>
  <c r="N131" i="41" s="1"/>
  <c r="L130" i="41"/>
  <c r="L131" i="41" s="1"/>
  <c r="K130" i="41"/>
  <c r="K131" i="41" s="1"/>
  <c r="J130" i="41"/>
  <c r="J131" i="41" s="1"/>
  <c r="I130" i="41"/>
  <c r="I131" i="41" s="1"/>
  <c r="F130" i="41"/>
  <c r="F131" i="41" s="1"/>
  <c r="E130" i="41"/>
  <c r="E131" i="41" s="1"/>
  <c r="D130" i="41"/>
  <c r="D131" i="41" s="1"/>
  <c r="R129" i="41"/>
  <c r="M129" i="41"/>
  <c r="W128" i="41"/>
  <c r="R128" i="41"/>
  <c r="M128" i="41"/>
  <c r="R127" i="41"/>
  <c r="M127" i="41"/>
  <c r="W126" i="41"/>
  <c r="R126" i="41"/>
  <c r="M126" i="41"/>
  <c r="G126" i="41"/>
  <c r="G130" i="41" s="1"/>
  <c r="G131" i="41" s="1"/>
  <c r="W125" i="41"/>
  <c r="R125" i="41"/>
  <c r="M125" i="41"/>
  <c r="U124" i="41"/>
  <c r="T124" i="41"/>
  <c r="S124" i="41"/>
  <c r="Q124" i="41"/>
  <c r="P124" i="41"/>
  <c r="O124" i="41"/>
  <c r="N124" i="41"/>
  <c r="L124" i="41"/>
  <c r="K124" i="41"/>
  <c r="J124" i="41"/>
  <c r="I124" i="41"/>
  <c r="W123" i="41"/>
  <c r="R123" i="41"/>
  <c r="M123" i="41"/>
  <c r="H123" i="41"/>
  <c r="W119" i="41"/>
  <c r="R119" i="41"/>
  <c r="M119" i="41"/>
  <c r="H119" i="41"/>
  <c r="U118" i="41"/>
  <c r="U120" i="41" s="1"/>
  <c r="U121" i="41" s="1"/>
  <c r="T118" i="41"/>
  <c r="T120" i="41" s="1"/>
  <c r="T121" i="41" s="1"/>
  <c r="S118" i="41"/>
  <c r="S120" i="41" s="1"/>
  <c r="S121" i="41" s="1"/>
  <c r="Q118" i="41"/>
  <c r="Q120" i="41" s="1"/>
  <c r="Q121" i="41" s="1"/>
  <c r="P118" i="41"/>
  <c r="P120" i="41" s="1"/>
  <c r="P121" i="41" s="1"/>
  <c r="O118" i="41"/>
  <c r="O120" i="41" s="1"/>
  <c r="O121" i="41" s="1"/>
  <c r="N118" i="41"/>
  <c r="N120" i="41" s="1"/>
  <c r="N121" i="41" s="1"/>
  <c r="L118" i="41"/>
  <c r="L120" i="41" s="1"/>
  <c r="L121" i="41" s="1"/>
  <c r="K118" i="41"/>
  <c r="K120" i="41" s="1"/>
  <c r="K121" i="41" s="1"/>
  <c r="J118" i="41"/>
  <c r="J120" i="41" s="1"/>
  <c r="J121" i="41" s="1"/>
  <c r="I118" i="41"/>
  <c r="I120" i="41" s="1"/>
  <c r="I121" i="41" s="1"/>
  <c r="G118" i="41"/>
  <c r="G120" i="41" s="1"/>
  <c r="G121" i="41" s="1"/>
  <c r="F118" i="41"/>
  <c r="F120" i="41" s="1"/>
  <c r="F121" i="41" s="1"/>
  <c r="E118" i="41"/>
  <c r="E120" i="41" s="1"/>
  <c r="E121" i="41" s="1"/>
  <c r="D118" i="41"/>
  <c r="D120" i="41" s="1"/>
  <c r="D121" i="41" s="1"/>
  <c r="V117" i="41"/>
  <c r="X117" i="41" s="1"/>
  <c r="Y117" i="41" s="1"/>
  <c r="R117" i="41"/>
  <c r="M117" i="41"/>
  <c r="H117" i="41"/>
  <c r="U116" i="41"/>
  <c r="T116" i="41"/>
  <c r="S116" i="41"/>
  <c r="Q116" i="41"/>
  <c r="P116" i="41"/>
  <c r="O116" i="41"/>
  <c r="N116" i="41"/>
  <c r="L116" i="41"/>
  <c r="K116" i="41"/>
  <c r="J116" i="41"/>
  <c r="I116" i="41"/>
  <c r="G116" i="41"/>
  <c r="F116" i="41"/>
  <c r="E116" i="41"/>
  <c r="D116" i="41"/>
  <c r="R115" i="41"/>
  <c r="M115" i="41"/>
  <c r="H115" i="41"/>
  <c r="W114" i="41"/>
  <c r="R114" i="41"/>
  <c r="M114" i="41"/>
  <c r="H114" i="41"/>
  <c r="U113" i="41"/>
  <c r="T113" i="41"/>
  <c r="S113" i="41"/>
  <c r="Q113" i="41"/>
  <c r="P113" i="41"/>
  <c r="O113" i="41"/>
  <c r="N113" i="41"/>
  <c r="L113" i="41"/>
  <c r="K113" i="41"/>
  <c r="J113" i="41"/>
  <c r="I113" i="41"/>
  <c r="G113" i="41"/>
  <c r="F113" i="41"/>
  <c r="E113" i="41"/>
  <c r="D113" i="41"/>
  <c r="R112" i="41"/>
  <c r="M112" i="41"/>
  <c r="H112" i="41"/>
  <c r="U111" i="41"/>
  <c r="T111" i="41"/>
  <c r="S111" i="41"/>
  <c r="Q111" i="41"/>
  <c r="P111" i="41"/>
  <c r="O111" i="41"/>
  <c r="N111" i="41"/>
  <c r="L111" i="41"/>
  <c r="K111" i="41"/>
  <c r="J111" i="41"/>
  <c r="I111" i="41"/>
  <c r="G111" i="41"/>
  <c r="F111" i="41"/>
  <c r="E111" i="41"/>
  <c r="D111" i="41"/>
  <c r="R110" i="41"/>
  <c r="M110" i="41"/>
  <c r="H110" i="41"/>
  <c r="U109" i="41"/>
  <c r="T109" i="41"/>
  <c r="S109" i="41"/>
  <c r="Q109" i="41"/>
  <c r="P109" i="41"/>
  <c r="O109" i="41"/>
  <c r="N109" i="41"/>
  <c r="L109" i="41"/>
  <c r="K109" i="41"/>
  <c r="J109" i="41"/>
  <c r="I109" i="41"/>
  <c r="W108" i="41"/>
  <c r="R108" i="41"/>
  <c r="M108" i="41"/>
  <c r="H108" i="41"/>
  <c r="W104" i="41"/>
  <c r="R104" i="41"/>
  <c r="M104" i="41"/>
  <c r="H104" i="41"/>
  <c r="U103" i="41"/>
  <c r="T103" i="41"/>
  <c r="S103" i="41"/>
  <c r="Q103" i="41"/>
  <c r="P103" i="41"/>
  <c r="O103" i="41"/>
  <c r="N103" i="41"/>
  <c r="L103" i="41"/>
  <c r="K103" i="41"/>
  <c r="J103" i="41"/>
  <c r="I103" i="41"/>
  <c r="G103" i="41"/>
  <c r="F103" i="41"/>
  <c r="E103" i="41"/>
  <c r="D103" i="41"/>
  <c r="V102" i="41"/>
  <c r="R102" i="41"/>
  <c r="M102" i="41"/>
  <c r="H102" i="41"/>
  <c r="R100" i="41"/>
  <c r="M100" i="41"/>
  <c r="H100" i="41"/>
  <c r="R99" i="41"/>
  <c r="M99" i="41"/>
  <c r="H99" i="41"/>
  <c r="R97" i="41"/>
  <c r="M97" i="41"/>
  <c r="H97" i="41"/>
  <c r="U96" i="41"/>
  <c r="T96" i="41"/>
  <c r="S96" i="41"/>
  <c r="Q96" i="41"/>
  <c r="P96" i="41"/>
  <c r="O96" i="41"/>
  <c r="N96" i="41"/>
  <c r="L96" i="41"/>
  <c r="K96" i="41"/>
  <c r="J96" i="41"/>
  <c r="I96" i="41"/>
  <c r="G96" i="41"/>
  <c r="F96" i="41"/>
  <c r="E96" i="41"/>
  <c r="D96" i="41"/>
  <c r="R95" i="41"/>
  <c r="M95" i="41"/>
  <c r="H95" i="41"/>
  <c r="R93" i="41"/>
  <c r="M93" i="41"/>
  <c r="H93" i="41"/>
  <c r="U92" i="41"/>
  <c r="U98" i="41" s="1"/>
  <c r="T92" i="41"/>
  <c r="S92" i="41"/>
  <c r="S98" i="41" s="1"/>
  <c r="Q92" i="41"/>
  <c r="Q101" i="41" s="1"/>
  <c r="P92" i="41"/>
  <c r="P98" i="41" s="1"/>
  <c r="O92" i="41"/>
  <c r="O98" i="41" s="1"/>
  <c r="N92" i="41"/>
  <c r="N98" i="41" s="1"/>
  <c r="L92" i="41"/>
  <c r="L101" i="41" s="1"/>
  <c r="K92" i="41"/>
  <c r="K101" i="41" s="1"/>
  <c r="J92" i="41"/>
  <c r="J98" i="41" s="1"/>
  <c r="I92" i="41"/>
  <c r="I94" i="41" s="1"/>
  <c r="G92" i="41"/>
  <c r="F92" i="41"/>
  <c r="E92" i="41"/>
  <c r="E98" i="41" s="1"/>
  <c r="D92" i="41"/>
  <c r="V91" i="41"/>
  <c r="U91" i="41"/>
  <c r="T91" i="41"/>
  <c r="S91" i="41"/>
  <c r="Q91" i="41"/>
  <c r="P91" i="41"/>
  <c r="O91" i="41"/>
  <c r="N91" i="41"/>
  <c r="N90" i="41"/>
  <c r="L90" i="41"/>
  <c r="K90" i="41"/>
  <c r="J90" i="41"/>
  <c r="I90" i="41"/>
  <c r="G90" i="41"/>
  <c r="F90" i="41"/>
  <c r="E90" i="41"/>
  <c r="D90" i="41"/>
  <c r="U89" i="41"/>
  <c r="T89" i="41"/>
  <c r="S89" i="41"/>
  <c r="Q89" i="41"/>
  <c r="P89" i="41"/>
  <c r="O89" i="41"/>
  <c r="N89" i="41"/>
  <c r="L89" i="41"/>
  <c r="K89" i="41"/>
  <c r="J89" i="41"/>
  <c r="I89" i="41"/>
  <c r="W88" i="41"/>
  <c r="R88" i="41"/>
  <c r="M88" i="41"/>
  <c r="H88" i="41"/>
  <c r="R87" i="41"/>
  <c r="M87" i="41"/>
  <c r="H87" i="41"/>
  <c r="N85" i="41"/>
  <c r="N86" i="41" s="1"/>
  <c r="L85" i="41"/>
  <c r="L86" i="41" s="1"/>
  <c r="K85" i="41"/>
  <c r="K86" i="41" s="1"/>
  <c r="J85" i="41"/>
  <c r="J86" i="41" s="1"/>
  <c r="I85" i="41"/>
  <c r="I86" i="41" s="1"/>
  <c r="G85" i="41"/>
  <c r="G86" i="41" s="1"/>
  <c r="F85" i="41"/>
  <c r="F86" i="41" s="1"/>
  <c r="E85" i="41"/>
  <c r="E86" i="41" s="1"/>
  <c r="D85" i="41"/>
  <c r="D86" i="41" s="1"/>
  <c r="W84" i="41"/>
  <c r="R84" i="41"/>
  <c r="K84" i="41"/>
  <c r="J84" i="41"/>
  <c r="I84" i="41"/>
  <c r="G84" i="41"/>
  <c r="F84" i="41"/>
  <c r="E84" i="41"/>
  <c r="D84" i="41"/>
  <c r="S83" i="41"/>
  <c r="T83" i="41" s="1"/>
  <c r="T85" i="41" s="1"/>
  <c r="T86" i="41" s="1"/>
  <c r="Y86" i="41" s="1"/>
  <c r="AD86" i="41" s="1"/>
  <c r="AI86" i="41" s="1"/>
  <c r="AN86" i="41" s="1"/>
  <c r="AS86" i="41" s="1"/>
  <c r="R83" i="41"/>
  <c r="O83" i="41"/>
  <c r="M83" i="41"/>
  <c r="H83" i="41"/>
  <c r="U79" i="41"/>
  <c r="T79" i="41"/>
  <c r="S79" i="41"/>
  <c r="Q79" i="41"/>
  <c r="P79" i="41"/>
  <c r="O79" i="41"/>
  <c r="N79" i="41"/>
  <c r="L79" i="41"/>
  <c r="K79" i="41"/>
  <c r="J79" i="41"/>
  <c r="I79" i="41"/>
  <c r="R78" i="41"/>
  <c r="M78" i="41"/>
  <c r="H78" i="41"/>
  <c r="N76" i="41"/>
  <c r="N77" i="41" s="1"/>
  <c r="L76" i="41"/>
  <c r="L77" i="41" s="1"/>
  <c r="K76" i="41"/>
  <c r="K77" i="41" s="1"/>
  <c r="J76" i="41"/>
  <c r="J77" i="41" s="1"/>
  <c r="I76" i="41"/>
  <c r="I77" i="41" s="1"/>
  <c r="G76" i="41"/>
  <c r="G77" i="41" s="1"/>
  <c r="F76" i="41"/>
  <c r="F77" i="41" s="1"/>
  <c r="E76" i="41"/>
  <c r="E77" i="41" s="1"/>
  <c r="R75" i="41"/>
  <c r="L75" i="41"/>
  <c r="L91" i="41" s="1"/>
  <c r="K75" i="41"/>
  <c r="J75" i="41"/>
  <c r="I75" i="41"/>
  <c r="G75" i="41"/>
  <c r="F75" i="41"/>
  <c r="E75" i="41"/>
  <c r="D75" i="41"/>
  <c r="O74" i="41"/>
  <c r="M74" i="41"/>
  <c r="H74" i="41"/>
  <c r="U70" i="41"/>
  <c r="T70" i="41"/>
  <c r="S70" i="41"/>
  <c r="Q70" i="41"/>
  <c r="P70" i="41"/>
  <c r="O70" i="41"/>
  <c r="N70" i="41"/>
  <c r="L70" i="41"/>
  <c r="K70" i="41"/>
  <c r="J70" i="41"/>
  <c r="I70" i="41"/>
  <c r="H70" i="41"/>
  <c r="G70" i="41"/>
  <c r="F70" i="41"/>
  <c r="E70" i="41"/>
  <c r="D70" i="41"/>
  <c r="W69" i="41"/>
  <c r="U63" i="41"/>
  <c r="T63" i="41"/>
  <c r="S63" i="41"/>
  <c r="Q63" i="41"/>
  <c r="V176" i="41" s="1"/>
  <c r="P63" i="41"/>
  <c r="O63" i="41"/>
  <c r="N63" i="41"/>
  <c r="L63" i="41"/>
  <c r="K63" i="41"/>
  <c r="J63" i="41"/>
  <c r="I63" i="41"/>
  <c r="G63" i="41"/>
  <c r="F63" i="41"/>
  <c r="E63" i="41"/>
  <c r="D63" i="41"/>
  <c r="U59" i="41"/>
  <c r="T59" i="41"/>
  <c r="S59" i="41"/>
  <c r="S68" i="41" s="1"/>
  <c r="X68" i="41" s="1"/>
  <c r="Q59" i="41"/>
  <c r="Q68" i="41" s="1"/>
  <c r="P59" i="41"/>
  <c r="P68" i="41" s="1"/>
  <c r="O59" i="41"/>
  <c r="O61" i="41" s="1"/>
  <c r="N59" i="41"/>
  <c r="L59" i="41"/>
  <c r="L68" i="41" s="1"/>
  <c r="K59" i="41"/>
  <c r="J59" i="41"/>
  <c r="I59" i="41"/>
  <c r="G59" i="41"/>
  <c r="G68" i="41" s="1"/>
  <c r="F59" i="41"/>
  <c r="E59" i="41"/>
  <c r="E68" i="41" s="1"/>
  <c r="D59" i="41"/>
  <c r="V58" i="41"/>
  <c r="U58" i="41"/>
  <c r="T58" i="41"/>
  <c r="S58" i="41"/>
  <c r="Q58" i="41"/>
  <c r="P58" i="41"/>
  <c r="O58" i="41"/>
  <c r="N58" i="41"/>
  <c r="N57" i="41"/>
  <c r="L57" i="41"/>
  <c r="K57" i="41"/>
  <c r="J57" i="41"/>
  <c r="I57" i="41"/>
  <c r="G57" i="41"/>
  <c r="F57" i="41"/>
  <c r="E57" i="41"/>
  <c r="D57" i="41"/>
  <c r="U56" i="41"/>
  <c r="T56" i="41"/>
  <c r="S56" i="41"/>
  <c r="Q56" i="41"/>
  <c r="P56" i="41"/>
  <c r="O56" i="41"/>
  <c r="N56" i="41"/>
  <c r="L56" i="41"/>
  <c r="K56" i="41"/>
  <c r="J56" i="41"/>
  <c r="I56" i="41"/>
  <c r="W55" i="41"/>
  <c r="N52" i="41"/>
  <c r="N53" i="41" s="1"/>
  <c r="L52" i="41"/>
  <c r="L53" i="41" s="1"/>
  <c r="K52" i="41"/>
  <c r="K53" i="41" s="1"/>
  <c r="J52" i="41"/>
  <c r="J53" i="41" s="1"/>
  <c r="I52" i="41"/>
  <c r="I53" i="41" s="1"/>
  <c r="G52" i="41"/>
  <c r="G53" i="41" s="1"/>
  <c r="F52" i="41"/>
  <c r="F53" i="41" s="1"/>
  <c r="E52" i="41"/>
  <c r="E53" i="41" s="1"/>
  <c r="D52" i="41"/>
  <c r="D53" i="41" s="1"/>
  <c r="W51" i="41"/>
  <c r="K51" i="41"/>
  <c r="J51" i="41"/>
  <c r="I51" i="41"/>
  <c r="G51" i="41"/>
  <c r="F51" i="41"/>
  <c r="E51" i="41"/>
  <c r="D51" i="41"/>
  <c r="S50" i="41"/>
  <c r="O50" i="41"/>
  <c r="O52" i="41" s="1"/>
  <c r="O53" i="41" s="1"/>
  <c r="U46" i="41"/>
  <c r="T46" i="41"/>
  <c r="S46" i="41"/>
  <c r="Q46" i="41"/>
  <c r="P46" i="41"/>
  <c r="O46" i="41"/>
  <c r="N46" i="41"/>
  <c r="L46" i="41"/>
  <c r="K46" i="41"/>
  <c r="J46" i="41"/>
  <c r="I46" i="41"/>
  <c r="R45" i="41"/>
  <c r="H45" i="41"/>
  <c r="N43" i="41"/>
  <c r="N44" i="41" s="1"/>
  <c r="L43" i="41"/>
  <c r="L44" i="41" s="1"/>
  <c r="K43" i="41"/>
  <c r="K44" i="41" s="1"/>
  <c r="J43" i="41"/>
  <c r="J44" i="41" s="1"/>
  <c r="I43" i="41"/>
  <c r="I44" i="41" s="1"/>
  <c r="G43" i="41"/>
  <c r="G44" i="41" s="1"/>
  <c r="F43" i="41"/>
  <c r="F44" i="41" s="1"/>
  <c r="E43" i="41"/>
  <c r="E44" i="41" s="1"/>
  <c r="W42" i="41"/>
  <c r="L42" i="41"/>
  <c r="L58" i="41" s="1"/>
  <c r="K42" i="41"/>
  <c r="J42" i="41"/>
  <c r="I42" i="41"/>
  <c r="G42" i="41"/>
  <c r="F42" i="41"/>
  <c r="E42" i="41"/>
  <c r="D42" i="41"/>
  <c r="O41" i="41"/>
  <c r="Q37" i="41"/>
  <c r="G37" i="41"/>
  <c r="L35" i="41"/>
  <c r="N35" i="41" s="1"/>
  <c r="R35" i="41" s="1"/>
  <c r="H35" i="41"/>
  <c r="S28" i="41"/>
  <c r="P28" i="41"/>
  <c r="O28" i="41"/>
  <c r="L28" i="41"/>
  <c r="J28" i="41"/>
  <c r="I28" i="41"/>
  <c r="G28" i="41"/>
  <c r="D28" i="41"/>
  <c r="R26" i="41"/>
  <c r="M26" i="41"/>
  <c r="G26" i="41"/>
  <c r="R24" i="41"/>
  <c r="M24" i="41"/>
  <c r="G24" i="41"/>
  <c r="W22" i="41"/>
  <c r="R22" i="41"/>
  <c r="M22" i="41"/>
  <c r="G22" i="41"/>
  <c r="G145" i="41" s="1"/>
  <c r="R21" i="41"/>
  <c r="M21" i="41"/>
  <c r="G21" i="41"/>
  <c r="W20" i="41"/>
  <c r="R20" i="41"/>
  <c r="M20" i="41"/>
  <c r="G20" i="41"/>
  <c r="P18" i="41"/>
  <c r="W16" i="41"/>
  <c r="R16" i="41"/>
  <c r="M16" i="41"/>
  <c r="G16" i="41"/>
  <c r="G136" i="41" s="1"/>
  <c r="U15" i="41"/>
  <c r="T15" i="41"/>
  <c r="Q15" i="41"/>
  <c r="P15" i="41"/>
  <c r="O15" i="41"/>
  <c r="N15" i="41"/>
  <c r="L15" i="41"/>
  <c r="K15" i="41"/>
  <c r="J15" i="41"/>
  <c r="I15" i="41"/>
  <c r="H15" i="41"/>
  <c r="F15" i="41"/>
  <c r="E15" i="41"/>
  <c r="D15" i="41"/>
  <c r="W14" i="41"/>
  <c r="R14" i="41"/>
  <c r="M14" i="41"/>
  <c r="G14" i="41"/>
  <c r="R13" i="41"/>
  <c r="M13" i="41"/>
  <c r="G13" i="41"/>
  <c r="R12" i="41"/>
  <c r="M12" i="41"/>
  <c r="G12" i="41"/>
  <c r="R11" i="41"/>
  <c r="M11" i="41"/>
  <c r="G11" i="41"/>
  <c r="R10" i="41"/>
  <c r="M10" i="41"/>
  <c r="G10" i="41"/>
  <c r="R9" i="41"/>
  <c r="M9" i="41"/>
  <c r="G9" i="41"/>
  <c r="U8" i="41"/>
  <c r="U47" i="42" s="1"/>
  <c r="T8" i="41"/>
  <c r="T47" i="42" s="1"/>
  <c r="S8" i="41"/>
  <c r="S47" i="42" s="1"/>
  <c r="Q8" i="41"/>
  <c r="Q47" i="42" s="1"/>
  <c r="P8" i="41"/>
  <c r="P47" i="42" s="1"/>
  <c r="O8" i="41"/>
  <c r="O47" i="42" s="1"/>
  <c r="N8" i="41"/>
  <c r="N47" i="42" s="1"/>
  <c r="L8" i="41"/>
  <c r="L47" i="42" s="1"/>
  <c r="K8" i="41"/>
  <c r="K47" i="42" s="1"/>
  <c r="J8" i="41"/>
  <c r="I8" i="41"/>
  <c r="I47" i="42" s="1"/>
  <c r="H8" i="41"/>
  <c r="F8" i="41"/>
  <c r="F47" i="42" s="1"/>
  <c r="F48" i="42" s="1"/>
  <c r="E8" i="41"/>
  <c r="E47" i="42" s="1"/>
  <c r="D8" i="41"/>
  <c r="D47" i="42" s="1"/>
  <c r="D48" i="42" s="1"/>
  <c r="W7" i="41"/>
  <c r="R7" i="41"/>
  <c r="M7" i="41"/>
  <c r="G7" i="41"/>
  <c r="G135" i="41" s="1"/>
  <c r="R6" i="41"/>
  <c r="M6" i="41"/>
  <c r="G6" i="41"/>
  <c r="G134" i="41" s="1"/>
  <c r="R5" i="41"/>
  <c r="M5" i="41"/>
  <c r="G5" i="41"/>
  <c r="G133" i="41" s="1"/>
  <c r="J145" i="41" l="1"/>
  <c r="AK51" i="42"/>
  <c r="AA168" i="41"/>
  <c r="AA170" i="41" s="1"/>
  <c r="AA18" i="41" s="1"/>
  <c r="AC165" i="41"/>
  <c r="J24" i="43"/>
  <c r="W30" i="43"/>
  <c r="K176" i="41"/>
  <c r="I30" i="42"/>
  <c r="I35" i="42" s="1"/>
  <c r="I42" i="42" s="1"/>
  <c r="H37" i="42"/>
  <c r="H41" i="42" s="1"/>
  <c r="O24" i="43"/>
  <c r="P24" i="43" s="1"/>
  <c r="AI49" i="42"/>
  <c r="AI50" i="42" s="1"/>
  <c r="X50" i="42"/>
  <c r="I181" i="41"/>
  <c r="X54" i="42"/>
  <c r="J50" i="42"/>
  <c r="K29" i="43"/>
  <c r="L29" i="43" s="1"/>
  <c r="P31" i="43"/>
  <c r="Q31" i="43" s="1"/>
  <c r="Q57" i="43"/>
  <c r="AH51" i="42"/>
  <c r="AC52" i="42"/>
  <c r="AA52" i="42"/>
  <c r="D52" i="42"/>
  <c r="E54" i="43"/>
  <c r="H47" i="43"/>
  <c r="M15" i="43"/>
  <c r="L178" i="41"/>
  <c r="J176" i="41"/>
  <c r="N187" i="41"/>
  <c r="K186" i="41"/>
  <c r="K181" i="41"/>
  <c r="J181" i="41"/>
  <c r="P181" i="41"/>
  <c r="J185" i="41"/>
  <c r="AF186" i="41"/>
  <c r="N186" i="41"/>
  <c r="P187" i="41"/>
  <c r="O186" i="41"/>
  <c r="Q187" i="41"/>
  <c r="I185" i="41"/>
  <c r="P186" i="41"/>
  <c r="Q186" i="41"/>
  <c r="AP186" i="41"/>
  <c r="AK186" i="41"/>
  <c r="L176" i="41"/>
  <c r="AR56" i="43"/>
  <c r="AS56" i="43" s="1"/>
  <c r="AT56" i="43" s="1"/>
  <c r="AU56" i="43" s="1"/>
  <c r="AA172" i="41"/>
  <c r="AA28" i="41" s="1"/>
  <c r="Z172" i="41"/>
  <c r="Z28" i="41" s="1"/>
  <c r="X14" i="41"/>
  <c r="Z69" i="41"/>
  <c r="Y14" i="41"/>
  <c r="AA22" i="41"/>
  <c r="Z22" i="41"/>
  <c r="V11" i="43"/>
  <c r="W11" i="43" s="1"/>
  <c r="Q19" i="43"/>
  <c r="R19" i="43" s="1"/>
  <c r="L36" i="43"/>
  <c r="M36" i="43" s="1"/>
  <c r="G33" i="43"/>
  <c r="H33" i="43" s="1"/>
  <c r="R35" i="43"/>
  <c r="F7" i="43"/>
  <c r="L32" i="43"/>
  <c r="M32" i="43" s="1"/>
  <c r="AA28" i="42"/>
  <c r="K48" i="42"/>
  <c r="Z47" i="42"/>
  <c r="AE47" i="42" s="1"/>
  <c r="S187" i="41"/>
  <c r="X116" i="41"/>
  <c r="K50" i="42"/>
  <c r="N22" i="43"/>
  <c r="T24" i="43"/>
  <c r="AF116" i="41"/>
  <c r="AF115" i="41" s="1"/>
  <c r="AA187" i="41"/>
  <c r="AG26" i="42"/>
  <c r="AH26" i="42"/>
  <c r="AI26" i="42" s="1"/>
  <c r="AJ26" i="42" s="1"/>
  <c r="AK26" i="42" s="1"/>
  <c r="AE55" i="42"/>
  <c r="V38" i="43"/>
  <c r="W38" i="43" s="1"/>
  <c r="Q181" i="41"/>
  <c r="K185" i="41"/>
  <c r="S186" i="41"/>
  <c r="X113" i="41"/>
  <c r="U187" i="41"/>
  <c r="Z116" i="41"/>
  <c r="H165" i="41"/>
  <c r="Y54" i="42"/>
  <c r="AD54" i="42" s="1"/>
  <c r="K7" i="43"/>
  <c r="L7" i="43" s="1"/>
  <c r="L56" i="42" s="1"/>
  <c r="T21" i="43"/>
  <c r="U21" i="43" s="1"/>
  <c r="V21" i="43" s="1"/>
  <c r="P35" i="43"/>
  <c r="Q35" i="43" s="1"/>
  <c r="AR10" i="43"/>
  <c r="AV10" i="43" s="1"/>
  <c r="AV9" i="43"/>
  <c r="AG9" i="43"/>
  <c r="AF50" i="42"/>
  <c r="AC50" i="42"/>
  <c r="AG19" i="42"/>
  <c r="AH19" i="42"/>
  <c r="AI19" i="42" s="1"/>
  <c r="AJ19" i="42" s="1"/>
  <c r="AK19" i="42" s="1"/>
  <c r="R26" i="43"/>
  <c r="L185" i="41"/>
  <c r="Y113" i="41"/>
  <c r="T186" i="41"/>
  <c r="Z54" i="42"/>
  <c r="W13" i="43"/>
  <c r="E57" i="43"/>
  <c r="AA13" i="42"/>
  <c r="AI51" i="42"/>
  <c r="Z111" i="41"/>
  <c r="U185" i="41"/>
  <c r="H163" i="41"/>
  <c r="R21" i="43"/>
  <c r="T187" i="41"/>
  <c r="Y116" i="41"/>
  <c r="N185" i="41"/>
  <c r="Z113" i="41"/>
  <c r="U186" i="41"/>
  <c r="I187" i="41"/>
  <c r="F52" i="42"/>
  <c r="AA54" i="42"/>
  <c r="X55" i="42"/>
  <c r="X16" i="42" s="1"/>
  <c r="X8" i="43" s="1"/>
  <c r="H9" i="43"/>
  <c r="V13" i="43"/>
  <c r="W32" i="43"/>
  <c r="F34" i="43"/>
  <c r="H34" i="43" s="1"/>
  <c r="AB18" i="41"/>
  <c r="Z52" i="42"/>
  <c r="AO51" i="42"/>
  <c r="AO52" i="42" s="1"/>
  <c r="AF185" i="41"/>
  <c r="AK111" i="41"/>
  <c r="AP111" i="41" s="1"/>
  <c r="AU111" i="41" s="1"/>
  <c r="AU185" i="41" s="1"/>
  <c r="AG34" i="42"/>
  <c r="AH34" i="42"/>
  <c r="AI34" i="42" s="1"/>
  <c r="AJ34" i="42" s="1"/>
  <c r="AK34" i="42" s="1"/>
  <c r="AH39" i="42"/>
  <c r="AI39" i="42" s="1"/>
  <c r="AJ39" i="42" s="1"/>
  <c r="AK39" i="42" s="1"/>
  <c r="AG39" i="42"/>
  <c r="AH18" i="42"/>
  <c r="AI18" i="42" s="1"/>
  <c r="AJ18" i="42" s="1"/>
  <c r="AK18" i="42" s="1"/>
  <c r="AG18" i="42"/>
  <c r="AH49" i="42"/>
  <c r="AH50" i="42" s="1"/>
  <c r="O185" i="41"/>
  <c r="J187" i="41"/>
  <c r="I52" i="42"/>
  <c r="AC54" i="42"/>
  <c r="AH54" i="42" s="1"/>
  <c r="Y55" i="42"/>
  <c r="Y16" i="42" s="1"/>
  <c r="Y8" i="43" s="1"/>
  <c r="X56" i="42"/>
  <c r="J54" i="43"/>
  <c r="V31" i="43"/>
  <c r="W31" i="43" s="1"/>
  <c r="AF181" i="41"/>
  <c r="AK49" i="42"/>
  <c r="AK50" i="42" s="1"/>
  <c r="V187" i="41"/>
  <c r="AM49" i="42"/>
  <c r="AM50" i="42" s="1"/>
  <c r="AE50" i="42"/>
  <c r="AI55" i="42"/>
  <c r="S48" i="42"/>
  <c r="I176" i="41"/>
  <c r="P185" i="41"/>
  <c r="I186" i="41"/>
  <c r="K187" i="41"/>
  <c r="F155" i="41"/>
  <c r="H155" i="41" s="1"/>
  <c r="S30" i="42"/>
  <c r="S35" i="42" s="1"/>
  <c r="S42" i="42" s="1"/>
  <c r="Z55" i="42"/>
  <c r="Z16" i="42" s="1"/>
  <c r="Z8" i="43" s="1"/>
  <c r="S63" i="42"/>
  <c r="K9" i="43"/>
  <c r="L9" i="43" s="1"/>
  <c r="G15" i="43"/>
  <c r="H15" i="43" s="1"/>
  <c r="E24" i="43"/>
  <c r="F24" i="43" s="1"/>
  <c r="AH10" i="43"/>
  <c r="AL10" i="43" s="1"/>
  <c r="AL9" i="43"/>
  <c r="Y172" i="41"/>
  <c r="Y28" i="41" s="1"/>
  <c r="AB28" i="41" s="1"/>
  <c r="Y19" i="43"/>
  <c r="Z27" i="42"/>
  <c r="AB26" i="41"/>
  <c r="AJ51" i="42"/>
  <c r="AH24" i="42"/>
  <c r="AI24" i="42" s="1"/>
  <c r="AJ24" i="42" s="1"/>
  <c r="AK24" i="42" s="1"/>
  <c r="AG24" i="42"/>
  <c r="AM10" i="43"/>
  <c r="AQ10" i="43" s="1"/>
  <c r="AQ9" i="43"/>
  <c r="T48" i="42"/>
  <c r="Q185" i="41"/>
  <c r="J186" i="41"/>
  <c r="L187" i="41"/>
  <c r="T52" i="42"/>
  <c r="AE54" i="42"/>
  <c r="AJ54" i="42" s="1"/>
  <c r="AA55" i="42"/>
  <c r="R7" i="43"/>
  <c r="H36" i="43"/>
  <c r="Z17" i="43"/>
  <c r="AA10" i="42"/>
  <c r="V185" i="41"/>
  <c r="AM40" i="42"/>
  <c r="AN40" i="42" s="1"/>
  <c r="AO40" i="42" s="1"/>
  <c r="AP40" i="42" s="1"/>
  <c r="AL40" i="42"/>
  <c r="AJ49" i="42"/>
  <c r="AJ50" i="42" s="1"/>
  <c r="I48" i="42"/>
  <c r="X47" i="42"/>
  <c r="AF55" i="42"/>
  <c r="U48" i="42"/>
  <c r="S185" i="41"/>
  <c r="X111" i="41"/>
  <c r="U52" i="42"/>
  <c r="AF54" i="42"/>
  <c r="AC55" i="42"/>
  <c r="AH55" i="42" s="1"/>
  <c r="Z29" i="43"/>
  <c r="AA115" i="41"/>
  <c r="V186" i="41"/>
  <c r="AD50" i="42"/>
  <c r="AO49" i="42"/>
  <c r="AO50" i="42" s="1"/>
  <c r="AG15" i="42"/>
  <c r="AH15" i="42"/>
  <c r="AI15" i="42" s="1"/>
  <c r="AJ15" i="42" s="1"/>
  <c r="AK15" i="42" s="1"/>
  <c r="AH33" i="42"/>
  <c r="AI33" i="42" s="1"/>
  <c r="AJ33" i="42" s="1"/>
  <c r="AG33" i="42"/>
  <c r="Y111" i="41"/>
  <c r="T185" i="41"/>
  <c r="L186" i="41"/>
  <c r="O187" i="41"/>
  <c r="N145" i="41"/>
  <c r="R67" i="42"/>
  <c r="AD55" i="42"/>
  <c r="T57" i="43"/>
  <c r="K38" i="43"/>
  <c r="L38" i="43" s="1"/>
  <c r="X135" i="41"/>
  <c r="AB7" i="41"/>
  <c r="X10" i="43"/>
  <c r="AB10" i="43" s="1"/>
  <c r="AB9" i="43"/>
  <c r="Z21" i="43"/>
  <c r="AA23" i="42"/>
  <c r="AM32" i="42"/>
  <c r="AN32" i="42" s="1"/>
  <c r="AO32" i="42" s="1"/>
  <c r="AP32" i="42" s="1"/>
  <c r="AL32" i="42"/>
  <c r="AL34" i="43"/>
  <c r="AD31" i="42"/>
  <c r="X98" i="41"/>
  <c r="S182" i="41"/>
  <c r="Z117" i="41"/>
  <c r="Q178" i="41"/>
  <c r="N176" i="41"/>
  <c r="L181" i="41"/>
  <c r="O176" i="41"/>
  <c r="J182" i="41"/>
  <c r="N181" i="41"/>
  <c r="G168" i="41"/>
  <c r="G170" i="41" s="1"/>
  <c r="G173" i="41" s="1"/>
  <c r="Z98" i="41"/>
  <c r="U182" i="41"/>
  <c r="T71" i="41"/>
  <c r="P176" i="41"/>
  <c r="O181" i="41"/>
  <c r="AF63" i="41"/>
  <c r="AA176" i="41"/>
  <c r="Q176" i="41"/>
  <c r="Q28" i="41"/>
  <c r="R28" i="41" s="1"/>
  <c r="AD35" i="41"/>
  <c r="AE35" i="41" s="1"/>
  <c r="AF35" i="41" s="1"/>
  <c r="AH35" i="41" s="1"/>
  <c r="X63" i="41"/>
  <c r="S176" i="41"/>
  <c r="Y63" i="41"/>
  <c r="T176" i="41"/>
  <c r="O182" i="41"/>
  <c r="S181" i="41"/>
  <c r="X96" i="41"/>
  <c r="AP96" i="41"/>
  <c r="AK181" i="41"/>
  <c r="U176" i="41"/>
  <c r="Z63" i="41"/>
  <c r="Y96" i="41"/>
  <c r="T181" i="41"/>
  <c r="Q183" i="41"/>
  <c r="Z96" i="41"/>
  <c r="U181" i="41"/>
  <c r="V181" i="41"/>
  <c r="AK33" i="42"/>
  <c r="H55" i="42"/>
  <c r="R30" i="42"/>
  <c r="R35" i="42" s="1"/>
  <c r="T30" i="42"/>
  <c r="T35" i="42" s="1"/>
  <c r="U30" i="42"/>
  <c r="U35" i="42" s="1"/>
  <c r="O42" i="42"/>
  <c r="AC26" i="41"/>
  <c r="K71" i="41"/>
  <c r="K72" i="41" s="1"/>
  <c r="O151" i="41"/>
  <c r="L18" i="41"/>
  <c r="I91" i="41"/>
  <c r="N151" i="41"/>
  <c r="G58" i="41"/>
  <c r="R109" i="41"/>
  <c r="K151" i="41"/>
  <c r="R96" i="41"/>
  <c r="R111" i="41"/>
  <c r="M35" i="41"/>
  <c r="R103" i="41"/>
  <c r="H118" i="41"/>
  <c r="H120" i="41" s="1"/>
  <c r="H121" i="41" s="1"/>
  <c r="U83" i="41"/>
  <c r="V83" i="41" s="1"/>
  <c r="R113" i="41"/>
  <c r="F91" i="41"/>
  <c r="G151" i="41"/>
  <c r="G91" i="41"/>
  <c r="M116" i="41"/>
  <c r="O101" i="41"/>
  <c r="K105" i="41"/>
  <c r="K106" i="41" s="1"/>
  <c r="M113" i="41"/>
  <c r="S101" i="41"/>
  <c r="L105" i="41"/>
  <c r="L106" i="41" s="1"/>
  <c r="E105" i="41"/>
  <c r="E106" i="41" s="1"/>
  <c r="R116" i="41"/>
  <c r="T28" i="41"/>
  <c r="T173" i="41"/>
  <c r="S85" i="41"/>
  <c r="S86" i="41" s="1"/>
  <c r="X86" i="41" s="1"/>
  <c r="AC86" i="41" s="1"/>
  <c r="AH86" i="41" s="1"/>
  <c r="AM86" i="41" s="1"/>
  <c r="AR86" i="41" s="1"/>
  <c r="E58" i="41"/>
  <c r="R124" i="41"/>
  <c r="P50" i="41"/>
  <c r="P52" i="41" s="1"/>
  <c r="P53" i="41" s="1"/>
  <c r="P74" i="41"/>
  <c r="Q74" i="41" s="1"/>
  <c r="Q90" i="41" s="1"/>
  <c r="K94" i="41"/>
  <c r="E65" i="41"/>
  <c r="L94" i="41"/>
  <c r="Q65" i="41"/>
  <c r="G152" i="41"/>
  <c r="O90" i="41"/>
  <c r="P65" i="41"/>
  <c r="E18" i="41"/>
  <c r="N173" i="41"/>
  <c r="I58" i="41"/>
  <c r="U71" i="41"/>
  <c r="U72" i="41" s="1"/>
  <c r="P152" i="41"/>
  <c r="K61" i="41"/>
  <c r="M75" i="41"/>
  <c r="O76" i="41"/>
  <c r="O77" i="41" s="1"/>
  <c r="I71" i="41"/>
  <c r="I72" i="41" s="1"/>
  <c r="H84" i="41"/>
  <c r="P61" i="41"/>
  <c r="E91" i="41"/>
  <c r="E151" i="41"/>
  <c r="F173" i="41"/>
  <c r="F18" i="41"/>
  <c r="S173" i="41"/>
  <c r="S18" i="41"/>
  <c r="I173" i="41"/>
  <c r="I18" i="41"/>
  <c r="J173" i="41"/>
  <c r="J18" i="41"/>
  <c r="V152" i="41"/>
  <c r="V30" i="41"/>
  <c r="R91" i="41"/>
  <c r="H103" i="41"/>
  <c r="AO123" i="41"/>
  <c r="AJ108" i="41"/>
  <c r="L37" i="41"/>
  <c r="G61" i="41"/>
  <c r="T68" i="41"/>
  <c r="Y68" i="41" s="1"/>
  <c r="J94" i="41"/>
  <c r="J105" i="41"/>
  <c r="J106" i="41" s="1"/>
  <c r="AM108" i="41"/>
  <c r="AP123" i="41"/>
  <c r="AH88" i="41"/>
  <c r="AH7" i="41" s="1"/>
  <c r="AC7" i="41"/>
  <c r="AO55" i="41"/>
  <c r="AN123" i="41"/>
  <c r="I152" i="41"/>
  <c r="M155" i="41"/>
  <c r="N94" i="41"/>
  <c r="N180" i="41" s="1"/>
  <c r="N105" i="41"/>
  <c r="N106" i="41" s="1"/>
  <c r="R118" i="41"/>
  <c r="R120" i="41" s="1"/>
  <c r="R121" i="41" s="1"/>
  <c r="J152" i="41"/>
  <c r="W154" i="41"/>
  <c r="H168" i="41"/>
  <c r="AF110" i="41"/>
  <c r="AF112" i="41"/>
  <c r="AK108" i="41"/>
  <c r="AE7" i="41"/>
  <c r="AE135" i="41" s="1"/>
  <c r="U173" i="41"/>
  <c r="AA128" i="41"/>
  <c r="AC128" i="41" s="1"/>
  <c r="AP55" i="41"/>
  <c r="I61" i="41"/>
  <c r="R18" i="41"/>
  <c r="O105" i="41"/>
  <c r="O106" i="41" s="1"/>
  <c r="H28" i="41"/>
  <c r="S61" i="41"/>
  <c r="S105" i="41"/>
  <c r="S106" i="41" s="1"/>
  <c r="S94" i="41"/>
  <c r="K98" i="41"/>
  <c r="P182" i="41" s="1"/>
  <c r="J101" i="41"/>
  <c r="AN55" i="41"/>
  <c r="AM55" i="41"/>
  <c r="AN88" i="41"/>
  <c r="K58" i="41"/>
  <c r="H17" i="41"/>
  <c r="H141" i="41" s="1"/>
  <c r="G71" i="41"/>
  <c r="G72" i="41" s="1"/>
  <c r="L98" i="41"/>
  <c r="R130" i="41"/>
  <c r="R131" i="41" s="1"/>
  <c r="E152" i="41"/>
  <c r="AA125" i="41"/>
  <c r="AI108" i="41"/>
  <c r="AI7" i="41" s="1"/>
  <c r="AI135" i="41" s="1"/>
  <c r="AF7" i="41"/>
  <c r="AF135" i="41" s="1"/>
  <c r="O94" i="41"/>
  <c r="T18" i="41"/>
  <c r="AD7" i="41"/>
  <c r="AD135" i="41" s="1"/>
  <c r="AM123" i="41"/>
  <c r="D58" i="41"/>
  <c r="R8" i="41"/>
  <c r="M28" i="41"/>
  <c r="J58" i="41"/>
  <c r="S71" i="41"/>
  <c r="S72" i="41" s="1"/>
  <c r="N101" i="41"/>
  <c r="P173" i="41"/>
  <c r="AA126" i="41"/>
  <c r="AC126" i="41" s="1"/>
  <c r="AU88" i="41"/>
  <c r="K173" i="41"/>
  <c r="K18" i="41"/>
  <c r="G15" i="41"/>
  <c r="G51" i="42"/>
  <c r="G52" i="42" s="1"/>
  <c r="G49" i="42"/>
  <c r="G50" i="42" s="1"/>
  <c r="R15" i="41"/>
  <c r="J17" i="41"/>
  <c r="J141" i="41" s="1"/>
  <c r="J47" i="42"/>
  <c r="E17" i="41"/>
  <c r="E141" i="41" s="1"/>
  <c r="F17" i="41"/>
  <c r="F141" i="41" s="1"/>
  <c r="U17" i="41"/>
  <c r="U19" i="41" s="1"/>
  <c r="V170" i="41"/>
  <c r="V173" i="41" s="1"/>
  <c r="W117" i="41"/>
  <c r="W102" i="41"/>
  <c r="W112" i="41"/>
  <c r="W115" i="41"/>
  <c r="W58" i="41"/>
  <c r="W67" i="42"/>
  <c r="S56" i="43"/>
  <c r="S53" i="43"/>
  <c r="S140" i="41"/>
  <c r="S17" i="41"/>
  <c r="T53" i="43"/>
  <c r="T140" i="41"/>
  <c r="T17" i="41"/>
  <c r="D56" i="43"/>
  <c r="D53" i="43"/>
  <c r="D17" i="41"/>
  <c r="G8" i="41"/>
  <c r="I56" i="43"/>
  <c r="I53" i="43"/>
  <c r="I140" i="41"/>
  <c r="I17" i="41"/>
  <c r="K140" i="41"/>
  <c r="K17" i="41"/>
  <c r="F58" i="41"/>
  <c r="H51" i="41"/>
  <c r="J56" i="43"/>
  <c r="J140" i="41"/>
  <c r="L17" i="41"/>
  <c r="P41" i="41"/>
  <c r="O43" i="41"/>
  <c r="O44" i="41" s="1"/>
  <c r="U65" i="41"/>
  <c r="U61" i="41"/>
  <c r="Z61" i="41" s="1"/>
  <c r="AE61" i="41" s="1"/>
  <c r="AJ61" i="41" s="1"/>
  <c r="AO61" i="41" s="1"/>
  <c r="U68" i="41"/>
  <c r="Z68" i="41" s="1"/>
  <c r="M8" i="41"/>
  <c r="N56" i="43"/>
  <c r="N53" i="43"/>
  <c r="N140" i="41"/>
  <c r="N17" i="41"/>
  <c r="M15" i="41"/>
  <c r="O140" i="41"/>
  <c r="O17" i="41"/>
  <c r="T50" i="41"/>
  <c r="S52" i="41"/>
  <c r="S53" i="41" s="1"/>
  <c r="X53" i="41" s="1"/>
  <c r="AC53" i="41" s="1"/>
  <c r="AH53" i="41" s="1"/>
  <c r="AM53" i="41" s="1"/>
  <c r="P17" i="41"/>
  <c r="P140" i="41"/>
  <c r="Q140" i="41"/>
  <c r="Q17" i="41"/>
  <c r="D71" i="41"/>
  <c r="D68" i="41"/>
  <c r="H59" i="41"/>
  <c r="D65" i="41"/>
  <c r="J91" i="41"/>
  <c r="M84" i="41"/>
  <c r="D105" i="41"/>
  <c r="D94" i="41"/>
  <c r="I180" i="41" s="1"/>
  <c r="D101" i="41"/>
  <c r="D98" i="41"/>
  <c r="H111" i="41"/>
  <c r="U140" i="41"/>
  <c r="F71" i="41"/>
  <c r="F68" i="41"/>
  <c r="F65" i="41"/>
  <c r="F94" i="41"/>
  <c r="F105" i="41"/>
  <c r="F106" i="41" s="1"/>
  <c r="F101" i="41"/>
  <c r="K183" i="41" s="1"/>
  <c r="F98" i="41"/>
  <c r="H42" i="41"/>
  <c r="G105" i="41"/>
  <c r="G106" i="41" s="1"/>
  <c r="G98" i="41"/>
  <c r="G101" i="41"/>
  <c r="L183" i="41" s="1"/>
  <c r="G94" i="41"/>
  <c r="H92" i="41"/>
  <c r="H98" i="41" s="1"/>
  <c r="W109" i="41"/>
  <c r="W26" i="41"/>
  <c r="J71" i="41"/>
  <c r="J68" i="41"/>
  <c r="J178" i="41" s="1"/>
  <c r="J61" i="41"/>
  <c r="H113" i="41"/>
  <c r="D61" i="41"/>
  <c r="L71" i="41"/>
  <c r="L65" i="41"/>
  <c r="L61" i="41"/>
  <c r="F61" i="41"/>
  <c r="N68" i="41"/>
  <c r="N65" i="41"/>
  <c r="N61" i="41"/>
  <c r="J65" i="41"/>
  <c r="J177" i="41" s="1"/>
  <c r="O68" i="41"/>
  <c r="O178" i="41" s="1"/>
  <c r="O71" i="41"/>
  <c r="O65" i="41"/>
  <c r="M96" i="41"/>
  <c r="M103" i="41"/>
  <c r="M130" i="41"/>
  <c r="M131" i="41" s="1"/>
  <c r="O57" i="41"/>
  <c r="N71" i="41"/>
  <c r="S65" i="41"/>
  <c r="I101" i="41"/>
  <c r="I105" i="41"/>
  <c r="M92" i="41"/>
  <c r="M98" i="41" s="1"/>
  <c r="I98" i="41"/>
  <c r="T65" i="41"/>
  <c r="P71" i="41"/>
  <c r="Q71" i="41"/>
  <c r="T72" i="41"/>
  <c r="W15" i="42"/>
  <c r="Q61" i="41"/>
  <c r="Q175" i="41" s="1"/>
  <c r="P105" i="41"/>
  <c r="P94" i="41"/>
  <c r="R92" i="41"/>
  <c r="R98" i="41" s="1"/>
  <c r="P101" i="41"/>
  <c r="P183" i="41" s="1"/>
  <c r="W129" i="41"/>
  <c r="T61" i="41"/>
  <c r="Y61" i="41" s="1"/>
  <c r="AD61" i="41" s="1"/>
  <c r="AI61" i="41" s="1"/>
  <c r="AN61" i="41" s="1"/>
  <c r="W91" i="41"/>
  <c r="AB75" i="41" s="1"/>
  <c r="W35" i="41"/>
  <c r="G65" i="41"/>
  <c r="I68" i="41"/>
  <c r="T105" i="41"/>
  <c r="T94" i="41"/>
  <c r="T101" i="41"/>
  <c r="T98" i="41"/>
  <c r="V135" i="41"/>
  <c r="I65" i="41"/>
  <c r="H75" i="41"/>
  <c r="D91" i="41"/>
  <c r="U101" i="41"/>
  <c r="U94" i="41"/>
  <c r="U105" i="41"/>
  <c r="U106" i="41" s="1"/>
  <c r="H96" i="41"/>
  <c r="K68" i="41"/>
  <c r="P178" i="41" s="1"/>
  <c r="K65" i="41"/>
  <c r="E61" i="41"/>
  <c r="E71" i="41"/>
  <c r="P83" i="41"/>
  <c r="O85" i="41"/>
  <c r="O86" i="41" s="1"/>
  <c r="E101" i="41"/>
  <c r="E94" i="41"/>
  <c r="M109" i="41"/>
  <c r="M111" i="41"/>
  <c r="M118" i="41"/>
  <c r="M120" i="41" s="1"/>
  <c r="M121" i="41" s="1"/>
  <c r="Q105" i="41"/>
  <c r="Q106" i="41" s="1"/>
  <c r="Q94" i="41"/>
  <c r="W124" i="41"/>
  <c r="I62" i="42"/>
  <c r="K91" i="41"/>
  <c r="Q98" i="41"/>
  <c r="H116" i="41"/>
  <c r="M124" i="41"/>
  <c r="L152" i="41"/>
  <c r="W19" i="43"/>
  <c r="W27" i="42"/>
  <c r="T62" i="42"/>
  <c r="T42" i="42"/>
  <c r="H54" i="42"/>
  <c r="T22" i="43"/>
  <c r="U7" i="43"/>
  <c r="V7" i="43" s="1"/>
  <c r="V56" i="42" s="1"/>
  <c r="T56" i="42"/>
  <c r="Y56" i="42" s="1"/>
  <c r="R9" i="43"/>
  <c r="Q53" i="43"/>
  <c r="Q152" i="41"/>
  <c r="F62" i="42"/>
  <c r="F42" i="42"/>
  <c r="V136" i="41"/>
  <c r="D168" i="41"/>
  <c r="D170" i="41" s="1"/>
  <c r="W17" i="43"/>
  <c r="W10" i="42"/>
  <c r="G42" i="42"/>
  <c r="G62" i="42"/>
  <c r="L52" i="42"/>
  <c r="L48" i="42"/>
  <c r="L50" i="42"/>
  <c r="N52" i="42"/>
  <c r="N48" i="42"/>
  <c r="N50" i="42"/>
  <c r="F13" i="43"/>
  <c r="G13" i="43" s="1"/>
  <c r="E22" i="43"/>
  <c r="H17" i="43"/>
  <c r="G17" i="43"/>
  <c r="E47" i="43"/>
  <c r="E63" i="42"/>
  <c r="E30" i="42"/>
  <c r="E35" i="42" s="1"/>
  <c r="E42" i="42" s="1"/>
  <c r="O52" i="42"/>
  <c r="O48" i="42"/>
  <c r="O50" i="42"/>
  <c r="P48" i="42"/>
  <c r="P52" i="42"/>
  <c r="P50" i="42"/>
  <c r="R155" i="41"/>
  <c r="Q48" i="42"/>
  <c r="Q50" i="42"/>
  <c r="Q52" i="42"/>
  <c r="O173" i="41"/>
  <c r="J47" i="43"/>
  <c r="J63" i="42"/>
  <c r="J30" i="42"/>
  <c r="J35" i="42" s="1"/>
  <c r="J42" i="42" s="1"/>
  <c r="K47" i="43"/>
  <c r="K62" i="42"/>
  <c r="K30" i="42"/>
  <c r="K35" i="42" s="1"/>
  <c r="K42" i="42" s="1"/>
  <c r="K145" i="41"/>
  <c r="L47" i="43"/>
  <c r="L30" i="42"/>
  <c r="L35" i="42" s="1"/>
  <c r="L42" i="42" s="1"/>
  <c r="L62" i="42"/>
  <c r="M28" i="42"/>
  <c r="L145" i="41"/>
  <c r="E62" i="42"/>
  <c r="W155" i="41"/>
  <c r="N62" i="42"/>
  <c r="N63" i="42"/>
  <c r="N30" i="42"/>
  <c r="N35" i="42" s="1"/>
  <c r="N47" i="43"/>
  <c r="J62" i="42"/>
  <c r="U53" i="43"/>
  <c r="R8" i="43"/>
  <c r="P8" i="43"/>
  <c r="Q8" i="43" s="1"/>
  <c r="K13" i="43"/>
  <c r="L13" i="43" s="1"/>
  <c r="J22" i="43"/>
  <c r="P15" i="43"/>
  <c r="Q15" i="43" s="1"/>
  <c r="K24" i="43"/>
  <c r="J27" i="43"/>
  <c r="Q173" i="41"/>
  <c r="W20" i="43"/>
  <c r="W25" i="42"/>
  <c r="D42" i="42"/>
  <c r="U10" i="43"/>
  <c r="T54" i="43"/>
  <c r="O53" i="43"/>
  <c r="W9" i="43"/>
  <c r="T56" i="43"/>
  <c r="U25" i="43"/>
  <c r="H30" i="42"/>
  <c r="H35" i="42" s="1"/>
  <c r="O22" i="43"/>
  <c r="O55" i="43" s="1"/>
  <c r="U8" i="43"/>
  <c r="V8" i="43" s="1"/>
  <c r="F53" i="43"/>
  <c r="G12" i="43"/>
  <c r="H12" i="43" s="1"/>
  <c r="H53" i="43" s="1"/>
  <c r="Q13" i="43"/>
  <c r="R13" i="43" s="1"/>
  <c r="H18" i="43"/>
  <c r="P62" i="42"/>
  <c r="P42" i="42"/>
  <c r="P56" i="42"/>
  <c r="W29" i="43"/>
  <c r="W40" i="42"/>
  <c r="U42" i="42"/>
  <c r="M21" i="43"/>
  <c r="I22" i="43"/>
  <c r="I55" i="43" s="1"/>
  <c r="M9" i="43"/>
  <c r="F57" i="43"/>
  <c r="G34" i="43"/>
  <c r="G57" i="43" s="1"/>
  <c r="W26" i="42"/>
  <c r="Q42" i="42"/>
  <c r="W63" i="42"/>
  <c r="R37" i="42"/>
  <c r="R41" i="42" s="1"/>
  <c r="E50" i="42"/>
  <c r="E48" i="42"/>
  <c r="F19" i="43"/>
  <c r="G19" i="43" s="1"/>
  <c r="H19" i="43"/>
  <c r="H21" i="43"/>
  <c r="R47" i="43"/>
  <c r="S62" i="42"/>
  <c r="U63" i="42"/>
  <c r="F10" i="43"/>
  <c r="R18" i="43"/>
  <c r="E56" i="43"/>
  <c r="G26" i="43"/>
  <c r="H26" i="43" s="1"/>
  <c r="G35" i="43"/>
  <c r="H35" i="43" s="1"/>
  <c r="W36" i="43"/>
  <c r="M41" i="42"/>
  <c r="U62" i="42"/>
  <c r="L54" i="43"/>
  <c r="L56" i="43"/>
  <c r="M25" i="43"/>
  <c r="Q38" i="43"/>
  <c r="R38" i="43"/>
  <c r="V47" i="43"/>
  <c r="N42" i="42"/>
  <c r="K8" i="43"/>
  <c r="L8" i="43" s="1"/>
  <c r="M10" i="43"/>
  <c r="O56" i="43"/>
  <c r="E37" i="43"/>
  <c r="F29" i="43"/>
  <c r="R33" i="43"/>
  <c r="W47" i="43"/>
  <c r="O54" i="43"/>
  <c r="Q25" i="43"/>
  <c r="P56" i="43"/>
  <c r="L26" i="43"/>
  <c r="M26" i="43" s="1"/>
  <c r="I47" i="43"/>
  <c r="I63" i="42"/>
  <c r="R12" i="43"/>
  <c r="P53" i="43"/>
  <c r="E53" i="43"/>
  <c r="R17" i="43"/>
  <c r="K56" i="43"/>
  <c r="K35" i="43"/>
  <c r="L35" i="43" s="1"/>
  <c r="S22" i="43"/>
  <c r="S55" i="43" s="1"/>
  <c r="D39" i="43"/>
  <c r="D41" i="43" s="1"/>
  <c r="K34" i="43"/>
  <c r="P29" i="43"/>
  <c r="R34" i="43"/>
  <c r="K54" i="43"/>
  <c r="K12" i="43"/>
  <c r="J53" i="43"/>
  <c r="M19" i="43"/>
  <c r="I37" i="43"/>
  <c r="J31" i="43"/>
  <c r="K31" i="43" s="1"/>
  <c r="H32" i="43"/>
  <c r="P57" i="43"/>
  <c r="T37" i="43"/>
  <c r="H30" i="43"/>
  <c r="U35" i="43"/>
  <c r="V35" i="43" s="1"/>
  <c r="J57" i="43"/>
  <c r="M30" i="43"/>
  <c r="U34" i="43"/>
  <c r="U37" i="43" s="1"/>
  <c r="O57" i="43"/>
  <c r="N37" i="43"/>
  <c r="N39" i="43" s="1"/>
  <c r="R30" i="43"/>
  <c r="M33" i="43"/>
  <c r="O37" i="43"/>
  <c r="Q32" i="43"/>
  <c r="R32" i="43" s="1"/>
  <c r="H16" i="43"/>
  <c r="M17" i="43"/>
  <c r="R36" i="43"/>
  <c r="H38" i="43"/>
  <c r="P10" i="43"/>
  <c r="F25" i="43"/>
  <c r="H57" i="43" l="1"/>
  <c r="O27" i="43"/>
  <c r="AM54" i="42"/>
  <c r="M8" i="43"/>
  <c r="AM51" i="42"/>
  <c r="AM52" i="42" s="1"/>
  <c r="AH52" i="42"/>
  <c r="AA56" i="42"/>
  <c r="E27" i="43"/>
  <c r="G18" i="41"/>
  <c r="AD165" i="41"/>
  <c r="AC168" i="41"/>
  <c r="AC170" i="41" s="1"/>
  <c r="AT51" i="42"/>
  <c r="AT52" i="42" s="1"/>
  <c r="AJ52" i="42"/>
  <c r="R31" i="43"/>
  <c r="AP51" i="42"/>
  <c r="AK52" i="42"/>
  <c r="M29" i="43"/>
  <c r="AN49" i="42"/>
  <c r="AN51" i="42"/>
  <c r="AI52" i="42"/>
  <c r="I178" i="41"/>
  <c r="AR53" i="41"/>
  <c r="I177" i="41"/>
  <c r="N175" i="41"/>
  <c r="I182" i="41"/>
  <c r="Q182" i="41"/>
  <c r="I183" i="41"/>
  <c r="J175" i="41"/>
  <c r="Z14" i="41"/>
  <c r="AA69" i="41"/>
  <c r="AB69" i="41" s="1"/>
  <c r="AB22" i="41"/>
  <c r="AC145" i="41"/>
  <c r="AD145" i="41" s="1"/>
  <c r="AE145" i="41" s="1"/>
  <c r="AF145" i="41" s="1"/>
  <c r="AH145" i="41" s="1"/>
  <c r="AI145" i="41" s="1"/>
  <c r="AJ145" i="41" s="1"/>
  <c r="AK145" i="41" s="1"/>
  <c r="AM145" i="41" s="1"/>
  <c r="AN145" i="41" s="1"/>
  <c r="AO145" i="41" s="1"/>
  <c r="AP145" i="41" s="1"/>
  <c r="AR145" i="41" s="1"/>
  <c r="AS145" i="41" s="1"/>
  <c r="AT145" i="41" s="1"/>
  <c r="AU145" i="41" s="1"/>
  <c r="AD56" i="42"/>
  <c r="AI56" i="42" s="1"/>
  <c r="AM55" i="42"/>
  <c r="AE48" i="42"/>
  <c r="U56" i="43"/>
  <c r="V25" i="43"/>
  <c r="AC135" i="41"/>
  <c r="AG7" i="41"/>
  <c r="X185" i="41"/>
  <c r="AC111" i="41"/>
  <c r="X110" i="41"/>
  <c r="AM19" i="42"/>
  <c r="AN19" i="42" s="1"/>
  <c r="AO19" i="42" s="1"/>
  <c r="AP19" i="42" s="1"/>
  <c r="AL19" i="42"/>
  <c r="AI54" i="42"/>
  <c r="Z19" i="43"/>
  <c r="AA27" i="42"/>
  <c r="AK54" i="42"/>
  <c r="AP54" i="42" s="1"/>
  <c r="AE111" i="41"/>
  <c r="Z185" i="41"/>
  <c r="Z110" i="41"/>
  <c r="AR40" i="42"/>
  <c r="AS40" i="42" s="1"/>
  <c r="AT40" i="42" s="1"/>
  <c r="AU40" i="42" s="1"/>
  <c r="AV40" i="42" s="1"/>
  <c r="AQ40" i="42"/>
  <c r="AM26" i="42"/>
  <c r="AN26" i="42" s="1"/>
  <c r="AO26" i="42" s="1"/>
  <c r="AP26" i="42" s="1"/>
  <c r="AL26" i="42"/>
  <c r="M7" i="43"/>
  <c r="J55" i="43"/>
  <c r="N177" i="41"/>
  <c r="L182" i="41"/>
  <c r="AJ47" i="42"/>
  <c r="AJ48" i="42" s="1"/>
  <c r="AC10" i="42"/>
  <c r="AA17" i="43"/>
  <c r="AB10" i="42"/>
  <c r="Z186" i="41"/>
  <c r="AE113" i="41"/>
  <c r="Z112" i="41"/>
  <c r="AR49" i="42"/>
  <c r="AR50" i="42" s="1"/>
  <c r="AM33" i="42"/>
  <c r="AN33" i="42" s="1"/>
  <c r="AO33" i="42" s="1"/>
  <c r="AP33" i="42" s="1"/>
  <c r="AL33" i="42"/>
  <c r="K56" i="42"/>
  <c r="P180" i="41"/>
  <c r="N178" i="41"/>
  <c r="AD111" i="41"/>
  <c r="Y185" i="41"/>
  <c r="Y110" i="41"/>
  <c r="AB17" i="43"/>
  <c r="AE116" i="41"/>
  <c r="Z187" i="41"/>
  <c r="Z115" i="41"/>
  <c r="AG35" i="41"/>
  <c r="AC153" i="41" s="1"/>
  <c r="AB28" i="42"/>
  <c r="AB67" i="42" s="1"/>
  <c r="AC28" i="42"/>
  <c r="AA29" i="43"/>
  <c r="AB29" i="43" s="1"/>
  <c r="U57" i="43"/>
  <c r="V34" i="43"/>
  <c r="W34" i="43" s="1"/>
  <c r="AM18" i="42"/>
  <c r="AN18" i="42" s="1"/>
  <c r="AO18" i="42" s="1"/>
  <c r="AP18" i="42" s="1"/>
  <c r="AL18" i="42"/>
  <c r="AF187" i="41"/>
  <c r="AK116" i="41"/>
  <c r="AP116" i="41" s="1"/>
  <c r="AU116" i="41" s="1"/>
  <c r="AU187" i="41" s="1"/>
  <c r="AN54" i="42"/>
  <c r="S39" i="43"/>
  <c r="K177" i="41"/>
  <c r="L175" i="41"/>
  <c r="AD116" i="41"/>
  <c r="Y187" i="41"/>
  <c r="Y115" i="41"/>
  <c r="X112" i="41"/>
  <c r="AC113" i="41"/>
  <c r="X186" i="41"/>
  <c r="T27" i="43"/>
  <c r="U24" i="43"/>
  <c r="V24" i="43" s="1"/>
  <c r="F56" i="42"/>
  <c r="G7" i="43"/>
  <c r="U54" i="43"/>
  <c r="V10" i="43"/>
  <c r="V54" i="43" s="1"/>
  <c r="Q180" i="41"/>
  <c r="F151" i="41"/>
  <c r="X151" i="41" s="1"/>
  <c r="X30" i="41" s="1"/>
  <c r="AA16" i="42"/>
  <c r="AK55" i="42"/>
  <c r="AP55" i="42" s="1"/>
  <c r="AU55" i="42" s="1"/>
  <c r="AL24" i="42"/>
  <c r="AM24" i="42"/>
  <c r="AN24" i="42" s="1"/>
  <c r="AO24" i="42" s="1"/>
  <c r="AP24" i="42" s="1"/>
  <c r="X7" i="43"/>
  <c r="AM39" i="42"/>
  <c r="AN39" i="42" s="1"/>
  <c r="AO39" i="42" s="1"/>
  <c r="AP39" i="42" s="1"/>
  <c r="AL39" i="42"/>
  <c r="AO54" i="42"/>
  <c r="AH135" i="41"/>
  <c r="F152" i="41"/>
  <c r="X152" i="41" s="1"/>
  <c r="X31" i="41" s="1"/>
  <c r="Y31" i="41" s="1"/>
  <c r="Z31" i="41" s="1"/>
  <c r="AA31" i="41" s="1"/>
  <c r="AC31" i="41" s="1"/>
  <c r="AD31" i="41" s="1"/>
  <c r="AE31" i="41" s="1"/>
  <c r="AF31" i="41" s="1"/>
  <c r="M38" i="43"/>
  <c r="AT54" i="42"/>
  <c r="AP49" i="42"/>
  <c r="AP50" i="42" s="1"/>
  <c r="AN55" i="42"/>
  <c r="AM34" i="42"/>
  <c r="AN34" i="42" s="1"/>
  <c r="AO34" i="42" s="1"/>
  <c r="AP34" i="42" s="1"/>
  <c r="AL34" i="42"/>
  <c r="Z48" i="42"/>
  <c r="AO47" i="42"/>
  <c r="AO48" i="42" s="1"/>
  <c r="M54" i="43"/>
  <c r="J48" i="42"/>
  <c r="Y47" i="42"/>
  <c r="P175" i="41"/>
  <c r="AL15" i="42"/>
  <c r="AM15" i="42"/>
  <c r="AN15" i="42" s="1"/>
  <c r="AO15" i="42" s="1"/>
  <c r="AP15" i="42" s="1"/>
  <c r="AC56" i="42"/>
  <c r="AH56" i="42" s="1"/>
  <c r="X48" i="42"/>
  <c r="AT49" i="42"/>
  <c r="AT50" i="42" s="1"/>
  <c r="AR54" i="42"/>
  <c r="AD113" i="41"/>
  <c r="Y186" i="41"/>
  <c r="Y112" i="41"/>
  <c r="AF56" i="42"/>
  <c r="AK56" i="42" s="1"/>
  <c r="AP56" i="42"/>
  <c r="AU56" i="42" s="1"/>
  <c r="AJ55" i="42"/>
  <c r="AC13" i="42"/>
  <c r="AB13" i="42"/>
  <c r="T39" i="43"/>
  <c r="O177" i="41"/>
  <c r="J183" i="41"/>
  <c r="J180" i="41"/>
  <c r="AA21" i="43"/>
  <c r="AB21" i="43" s="1"/>
  <c r="AB23" i="42"/>
  <c r="AC23" i="42"/>
  <c r="AR55" i="42"/>
  <c r="AC16" i="42"/>
  <c r="AK185" i="41"/>
  <c r="AP185" i="41"/>
  <c r="AC47" i="42"/>
  <c r="AC116" i="41"/>
  <c r="X187" i="41"/>
  <c r="X115" i="41"/>
  <c r="W21" i="43"/>
  <c r="AR32" i="42"/>
  <c r="AS32" i="42" s="1"/>
  <c r="AT32" i="42" s="1"/>
  <c r="AU32" i="42" s="1"/>
  <c r="AV32" i="42" s="1"/>
  <c r="AQ32" i="42"/>
  <c r="AE31" i="42"/>
  <c r="T175" i="41"/>
  <c r="S180" i="41"/>
  <c r="X94" i="41"/>
  <c r="Q177" i="41"/>
  <c r="T178" i="41"/>
  <c r="L180" i="41"/>
  <c r="AI35" i="41"/>
  <c r="AJ35" i="41" s="1"/>
  <c r="AK35" i="41" s="1"/>
  <c r="AM35" i="41" s="1"/>
  <c r="X61" i="41"/>
  <c r="AC61" i="41" s="1"/>
  <c r="AH61" i="41" s="1"/>
  <c r="AM61" i="41" s="1"/>
  <c r="S175" i="41"/>
  <c r="X101" i="41"/>
  <c r="S183" i="41"/>
  <c r="AP181" i="41"/>
  <c r="AU96" i="41"/>
  <c r="AU181" i="41" s="1"/>
  <c r="Z182" i="41"/>
  <c r="AE98" i="41"/>
  <c r="U177" i="41"/>
  <c r="Z65" i="41"/>
  <c r="K175" i="41"/>
  <c r="K180" i="41"/>
  <c r="AB84" i="41"/>
  <c r="K182" i="41"/>
  <c r="T182" i="41"/>
  <c r="Y98" i="41"/>
  <c r="S177" i="41"/>
  <c r="X65" i="41"/>
  <c r="X181" i="41"/>
  <c r="AC96" i="41"/>
  <c r="AA75" i="41"/>
  <c r="X75" i="41"/>
  <c r="AG75" i="41"/>
  <c r="Y75" i="41"/>
  <c r="Z75" i="41"/>
  <c r="AC63" i="41"/>
  <c r="X176" i="41"/>
  <c r="T183" i="41"/>
  <c r="Y101" i="41"/>
  <c r="O183" i="41"/>
  <c r="O175" i="41"/>
  <c r="Z176" i="41"/>
  <c r="AE63" i="41"/>
  <c r="T180" i="41"/>
  <c r="Y94" i="41"/>
  <c r="O180" i="41"/>
  <c r="I175" i="41"/>
  <c r="Z181" i="41"/>
  <c r="AE96" i="41"/>
  <c r="AA117" i="41"/>
  <c r="U180" i="41"/>
  <c r="Z94" i="41"/>
  <c r="AC68" i="41"/>
  <c r="X178" i="41"/>
  <c r="T177" i="41"/>
  <c r="Y65" i="41"/>
  <c r="K178" i="41"/>
  <c r="L177" i="41"/>
  <c r="U178" i="41"/>
  <c r="Y176" i="41"/>
  <c r="AD63" i="41"/>
  <c r="AF176" i="41"/>
  <c r="AK63" i="41"/>
  <c r="Z101" i="41"/>
  <c r="U183" i="41"/>
  <c r="U175" i="41"/>
  <c r="N183" i="41"/>
  <c r="P177" i="41"/>
  <c r="AD96" i="41"/>
  <c r="Y181" i="41"/>
  <c r="N182" i="41"/>
  <c r="S178" i="41"/>
  <c r="AC98" i="41"/>
  <c r="X182" i="41"/>
  <c r="R42" i="42"/>
  <c r="H42" i="42"/>
  <c r="AD26" i="41"/>
  <c r="AE26" i="41" s="1"/>
  <c r="R74" i="41"/>
  <c r="S74" i="41"/>
  <c r="S76" i="41" s="1"/>
  <c r="S77" i="41" s="1"/>
  <c r="X77" i="41" s="1"/>
  <c r="AC77" i="41" s="1"/>
  <c r="AH77" i="41" s="1"/>
  <c r="AM77" i="41" s="1"/>
  <c r="AR77" i="41" s="1"/>
  <c r="U85" i="41"/>
  <c r="U86" i="41" s="1"/>
  <c r="Z86" i="41" s="1"/>
  <c r="AE86" i="41" s="1"/>
  <c r="AJ86" i="41" s="1"/>
  <c r="AO86" i="41" s="1"/>
  <c r="AT86" i="41" s="1"/>
  <c r="P57" i="41"/>
  <c r="K137" i="41"/>
  <c r="R101" i="41"/>
  <c r="H91" i="41"/>
  <c r="R53" i="43"/>
  <c r="M91" i="41"/>
  <c r="H23" i="41"/>
  <c r="H143" i="41" s="1"/>
  <c r="Q76" i="41"/>
  <c r="Q77" i="41" s="1"/>
  <c r="I137" i="41"/>
  <c r="P43" i="41"/>
  <c r="P44" i="41" s="1"/>
  <c r="Q52" i="41"/>
  <c r="Q53" i="41" s="1"/>
  <c r="H58" i="41"/>
  <c r="M18" i="41"/>
  <c r="R17" i="41"/>
  <c r="R23" i="41" s="1"/>
  <c r="AD128" i="41"/>
  <c r="AE128" i="41" s="1"/>
  <c r="P76" i="41"/>
  <c r="P77" i="41" s="1"/>
  <c r="AC125" i="41"/>
  <c r="AS123" i="41"/>
  <c r="AS55" i="41"/>
  <c r="AR108" i="41"/>
  <c r="AK115" i="41"/>
  <c r="AK110" i="41"/>
  <c r="AK112" i="41"/>
  <c r="AP108" i="41"/>
  <c r="AO108" i="41"/>
  <c r="AO7" i="41" s="1"/>
  <c r="AO135" i="41" s="1"/>
  <c r="AK7" i="41"/>
  <c r="AK135" i="41" s="1"/>
  <c r="AT123" i="41"/>
  <c r="AU55" i="41"/>
  <c r="AJ7" i="41"/>
  <c r="AJ135" i="41" s="1"/>
  <c r="AT55" i="41"/>
  <c r="T137" i="41"/>
  <c r="AN108" i="41"/>
  <c r="AN7" i="41" s="1"/>
  <c r="AN135" i="41" s="1"/>
  <c r="AS88" i="41"/>
  <c r="AM88" i="41"/>
  <c r="S137" i="41"/>
  <c r="AR123" i="41"/>
  <c r="AR55" i="41"/>
  <c r="AU123" i="41"/>
  <c r="AD126" i="41"/>
  <c r="F19" i="41"/>
  <c r="F142" i="41" s="1"/>
  <c r="F23" i="41"/>
  <c r="F143" i="41" s="1"/>
  <c r="U23" i="41"/>
  <c r="U143" i="41" s="1"/>
  <c r="U141" i="41"/>
  <c r="M56" i="43"/>
  <c r="E19" i="41"/>
  <c r="E142" i="41" s="1"/>
  <c r="E23" i="41"/>
  <c r="E143" i="41" s="1"/>
  <c r="J23" i="41"/>
  <c r="J143" i="41" s="1"/>
  <c r="G17" i="41"/>
  <c r="G137" i="41" s="1"/>
  <c r="G47" i="42"/>
  <c r="G48" i="42" s="1"/>
  <c r="J19" i="41"/>
  <c r="J142" i="41" s="1"/>
  <c r="V18" i="41"/>
  <c r="W116" i="41"/>
  <c r="W113" i="41"/>
  <c r="V57" i="43"/>
  <c r="W33" i="43"/>
  <c r="F27" i="43"/>
  <c r="G24" i="43"/>
  <c r="H13" i="43"/>
  <c r="W83" i="41"/>
  <c r="V85" i="41"/>
  <c r="V86" i="41" s="1"/>
  <c r="AA86" i="41" s="1"/>
  <c r="AF86" i="41" s="1"/>
  <c r="AK86" i="41" s="1"/>
  <c r="AP86" i="41" s="1"/>
  <c r="AU86" i="41" s="1"/>
  <c r="Q141" i="41"/>
  <c r="Q23" i="41"/>
  <c r="Q19" i="41"/>
  <c r="L140" i="41"/>
  <c r="S141" i="41"/>
  <c r="S23" i="41"/>
  <c r="S19" i="41"/>
  <c r="P54" i="43"/>
  <c r="R10" i="43"/>
  <c r="R54" i="43" s="1"/>
  <c r="Q10" i="43"/>
  <c r="K37" i="43"/>
  <c r="L31" i="43"/>
  <c r="M31" i="43" s="1"/>
  <c r="E40" i="43"/>
  <c r="D6" i="42"/>
  <c r="N137" i="41"/>
  <c r="N72" i="41"/>
  <c r="I39" i="43"/>
  <c r="W8" i="43"/>
  <c r="W16" i="42"/>
  <c r="D173" i="41"/>
  <c r="D18" i="41"/>
  <c r="H18" i="41" s="1"/>
  <c r="H19" i="41" s="1"/>
  <c r="O137" i="41"/>
  <c r="O72" i="41"/>
  <c r="I141" i="41"/>
  <c r="I23" i="41"/>
  <c r="I19" i="41"/>
  <c r="Q85" i="41"/>
  <c r="Q86" i="41" s="1"/>
  <c r="P90" i="41"/>
  <c r="P85" i="41"/>
  <c r="P86" i="41" s="1"/>
  <c r="L137" i="41"/>
  <c r="L72" i="41"/>
  <c r="P141" i="41"/>
  <c r="P23" i="41"/>
  <c r="P19" i="41"/>
  <c r="M140" i="41"/>
  <c r="M17" i="41"/>
  <c r="D141" i="41"/>
  <c r="D23" i="41"/>
  <c r="K57" i="43"/>
  <c r="L34" i="43"/>
  <c r="L57" i="43" s="1"/>
  <c r="N55" i="43"/>
  <c r="K22" i="43"/>
  <c r="L24" i="43"/>
  <c r="K27" i="43"/>
  <c r="M47" i="43"/>
  <c r="M67" i="42"/>
  <c r="U22" i="43"/>
  <c r="U56" i="42"/>
  <c r="E72" i="41"/>
  <c r="E137" i="41"/>
  <c r="J137" i="41"/>
  <c r="J72" i="41"/>
  <c r="L141" i="41"/>
  <c r="L23" i="41"/>
  <c r="L25" i="41" s="1"/>
  <c r="L27" i="41" s="1"/>
  <c r="L19" i="41"/>
  <c r="M30" i="42"/>
  <c r="M35" i="42" s="1"/>
  <c r="M42" i="42" s="1"/>
  <c r="U27" i="43"/>
  <c r="U39" i="43" s="1"/>
  <c r="R15" i="43"/>
  <c r="T52" i="41"/>
  <c r="T53" i="41" s="1"/>
  <c r="Y53" i="41" s="1"/>
  <c r="AD53" i="41" s="1"/>
  <c r="AI53" i="41" s="1"/>
  <c r="AN53" i="41" s="1"/>
  <c r="U50" i="41"/>
  <c r="G53" i="43"/>
  <c r="M35" i="43"/>
  <c r="K53" i="43"/>
  <c r="L12" i="43"/>
  <c r="M12" i="43"/>
  <c r="M53" i="43" s="1"/>
  <c r="M34" i="43"/>
  <c r="M57" i="43" s="1"/>
  <c r="W10" i="43"/>
  <c r="T55" i="43"/>
  <c r="H94" i="41"/>
  <c r="R94" i="41"/>
  <c r="R82" i="41"/>
  <c r="M101" i="41"/>
  <c r="M94" i="41"/>
  <c r="H105" i="41"/>
  <c r="H106" i="41" s="1"/>
  <c r="D106" i="41"/>
  <c r="R140" i="41"/>
  <c r="T141" i="41"/>
  <c r="T23" i="41"/>
  <c r="T19" i="41"/>
  <c r="Q56" i="43"/>
  <c r="R25" i="43"/>
  <c r="R56" i="43" s="1"/>
  <c r="P22" i="43"/>
  <c r="T106" i="41"/>
  <c r="Q137" i="41"/>
  <c r="Q72" i="41"/>
  <c r="I106" i="41"/>
  <c r="M105" i="41"/>
  <c r="M106" i="41" s="1"/>
  <c r="W110" i="41"/>
  <c r="V118" i="41"/>
  <c r="J37" i="43"/>
  <c r="J39" i="43" s="1"/>
  <c r="H101" i="41"/>
  <c r="P106" i="41"/>
  <c r="R105" i="41"/>
  <c r="R106" i="41" s="1"/>
  <c r="U142" i="41"/>
  <c r="U29" i="41"/>
  <c r="U34" i="41" s="1"/>
  <c r="U137" i="41"/>
  <c r="O39" i="43"/>
  <c r="F37" i="43"/>
  <c r="G29" i="43"/>
  <c r="G10" i="43"/>
  <c r="F54" i="43"/>
  <c r="F22" i="43"/>
  <c r="M13" i="43"/>
  <c r="F137" i="41"/>
  <c r="F72" i="41"/>
  <c r="N141" i="41"/>
  <c r="N23" i="41"/>
  <c r="N19" i="41"/>
  <c r="R57" i="43"/>
  <c r="E39" i="43"/>
  <c r="Q24" i="43"/>
  <c r="Q27" i="43" s="1"/>
  <c r="P27" i="43"/>
  <c r="P137" i="41"/>
  <c r="P72" i="41"/>
  <c r="O141" i="41"/>
  <c r="O23" i="41"/>
  <c r="O19" i="41"/>
  <c r="K141" i="41"/>
  <c r="K19" i="41"/>
  <c r="K23" i="41"/>
  <c r="P37" i="43"/>
  <c r="Q29" i="43"/>
  <c r="Q37" i="43" s="1"/>
  <c r="F56" i="43"/>
  <c r="G25" i="43"/>
  <c r="G56" i="43" s="1"/>
  <c r="D72" i="41"/>
  <c r="D137" i="41"/>
  <c r="H71" i="41"/>
  <c r="H72" i="41" s="1"/>
  <c r="Q41" i="41"/>
  <c r="AL35" i="41" l="1"/>
  <c r="AH153" i="41" s="1"/>
  <c r="AH155" i="41" s="1"/>
  <c r="AN52" i="42"/>
  <c r="AS51" i="42"/>
  <c r="AS52" i="42" s="1"/>
  <c r="AM56" i="42"/>
  <c r="AR56" i="42" s="1"/>
  <c r="AN50" i="42"/>
  <c r="AS49" i="42"/>
  <c r="AS50" i="42" s="1"/>
  <c r="AU51" i="42"/>
  <c r="AU52" i="42" s="1"/>
  <c r="AP52" i="42"/>
  <c r="AE165" i="41"/>
  <c r="AD168" i="41"/>
  <c r="AD170" i="41" s="1"/>
  <c r="AR51" i="42"/>
  <c r="AR52" i="42" s="1"/>
  <c r="AS54" i="42"/>
  <c r="AN56" i="42"/>
  <c r="AS56" i="42" s="1"/>
  <c r="AC172" i="41"/>
  <c r="AC28" i="41" s="1"/>
  <c r="AC18" i="41"/>
  <c r="AH31" i="41"/>
  <c r="AI31" i="41" s="1"/>
  <c r="AJ31" i="41" s="1"/>
  <c r="AK31" i="41" s="1"/>
  <c r="AM31" i="41" s="1"/>
  <c r="AN31" i="41" s="1"/>
  <c r="AO31" i="41" s="1"/>
  <c r="AP31" i="41" s="1"/>
  <c r="AR31" i="41" s="1"/>
  <c r="AS31" i="41" s="1"/>
  <c r="AT31" i="41" s="1"/>
  <c r="AU31" i="41" s="1"/>
  <c r="AS53" i="41"/>
  <c r="T74" i="41"/>
  <c r="S90" i="41"/>
  <c r="AA14" i="41"/>
  <c r="AC69" i="41"/>
  <c r="AC22" i="41"/>
  <c r="X33" i="43"/>
  <c r="Y30" i="41"/>
  <c r="AR34" i="42"/>
  <c r="AS34" i="42" s="1"/>
  <c r="AT34" i="42" s="1"/>
  <c r="AU34" i="42" s="1"/>
  <c r="AV34" i="42" s="1"/>
  <c r="AQ34" i="42"/>
  <c r="AI116" i="41"/>
  <c r="AN116" i="41" s="1"/>
  <c r="AS116" i="41" s="1"/>
  <c r="AS187" i="41" s="1"/>
  <c r="AD187" i="41"/>
  <c r="AD115" i="41"/>
  <c r="AJ111" i="41"/>
  <c r="AO111" i="41" s="1"/>
  <c r="AT111" i="41" s="1"/>
  <c r="AT185" i="41" s="1"/>
  <c r="AE185" i="41"/>
  <c r="AE110" i="41"/>
  <c r="G56" i="42"/>
  <c r="H7" i="43"/>
  <c r="H56" i="42" s="1"/>
  <c r="AA19" i="43"/>
  <c r="AB19" i="43" s="1"/>
  <c r="AC27" i="42"/>
  <c r="AB27" i="42"/>
  <c r="P39" i="43"/>
  <c r="AS55" i="42"/>
  <c r="AQ24" i="42"/>
  <c r="AR24" i="42"/>
  <c r="AS24" i="42" s="1"/>
  <c r="AT24" i="42" s="1"/>
  <c r="AU24" i="42" s="1"/>
  <c r="AV24" i="42" s="1"/>
  <c r="AT47" i="42"/>
  <c r="AT48" i="42" s="1"/>
  <c r="AQ26" i="42"/>
  <c r="AR26" i="42"/>
  <c r="AS26" i="42" s="1"/>
  <c r="AT26" i="42" s="1"/>
  <c r="AU26" i="42" s="1"/>
  <c r="AV26" i="42" s="1"/>
  <c r="AU54" i="42"/>
  <c r="AC21" i="43"/>
  <c r="AD23" i="42"/>
  <c r="AH116" i="41"/>
  <c r="AM116" i="41" s="1"/>
  <c r="AC187" i="41"/>
  <c r="AC115" i="41"/>
  <c r="AI113" i="41"/>
  <c r="AN113" i="41" s="1"/>
  <c r="AS113" i="41" s="1"/>
  <c r="AS186" i="41" s="1"/>
  <c r="AD112" i="41"/>
  <c r="Y48" i="42"/>
  <c r="AD47" i="42"/>
  <c r="AD185" i="41"/>
  <c r="AI111" i="41"/>
  <c r="AN111" i="41" s="1"/>
  <c r="AS111" i="41" s="1"/>
  <c r="AS185" i="41" s="1"/>
  <c r="AD110" i="41"/>
  <c r="AJ113" i="41"/>
  <c r="AO113" i="41" s="1"/>
  <c r="AT113" i="41" s="1"/>
  <c r="AT186" i="41" s="1"/>
  <c r="AE186" i="41"/>
  <c r="AE112" i="41"/>
  <c r="AR15" i="42"/>
  <c r="AS15" i="42" s="1"/>
  <c r="AT15" i="42" s="1"/>
  <c r="AU15" i="42" s="1"/>
  <c r="AV15" i="42" s="1"/>
  <c r="AQ15" i="42"/>
  <c r="AC48" i="42"/>
  <c r="AH47" i="42"/>
  <c r="AH48" i="42" s="1"/>
  <c r="AD186" i="41"/>
  <c r="AA8" i="43"/>
  <c r="AB8" i="43" s="1"/>
  <c r="AB16" i="42"/>
  <c r="AR39" i="42"/>
  <c r="AS39" i="42" s="1"/>
  <c r="AT39" i="42" s="1"/>
  <c r="AU39" i="42" s="1"/>
  <c r="AV39" i="42" s="1"/>
  <c r="AQ39" i="42"/>
  <c r="M22" i="43"/>
  <c r="X127" i="41"/>
  <c r="X130" i="41" s="1"/>
  <c r="X131" i="41" s="1"/>
  <c r="X114" i="41"/>
  <c r="X118" i="41" s="1"/>
  <c r="X120" i="41" s="1"/>
  <c r="X121" i="41" s="1"/>
  <c r="X66" i="41"/>
  <c r="X99" i="41"/>
  <c r="P55" i="43"/>
  <c r="AC186" i="41"/>
  <c r="AH113" i="41"/>
  <c r="AM113" i="41" s="1"/>
  <c r="AC112" i="41"/>
  <c r="AD28" i="42"/>
  <c r="AD22" i="41"/>
  <c r="AC29" i="43"/>
  <c r="AR19" i="42"/>
  <c r="AS19" i="42" s="1"/>
  <c r="AT19" i="42" s="1"/>
  <c r="AU19" i="42" s="1"/>
  <c r="AV19" i="42" s="1"/>
  <c r="AQ19" i="42"/>
  <c r="AE187" i="41"/>
  <c r="AJ116" i="41"/>
  <c r="AO116" i="41" s="1"/>
  <c r="AT116" i="41" s="1"/>
  <c r="AT187" i="41" s="1"/>
  <c r="AE115" i="41"/>
  <c r="AL7" i="41"/>
  <c r="AP187" i="41"/>
  <c r="AK187" i="41"/>
  <c r="AO55" i="42"/>
  <c r="AM47" i="42"/>
  <c r="AM48" i="42" s="1"/>
  <c r="Z56" i="42"/>
  <c r="AD10" i="42"/>
  <c r="AC17" i="43"/>
  <c r="AC185" i="41"/>
  <c r="AH111" i="41"/>
  <c r="AM111" i="41" s="1"/>
  <c r="AC110" i="41"/>
  <c r="AR18" i="42"/>
  <c r="AS18" i="42" s="1"/>
  <c r="AT18" i="42" s="1"/>
  <c r="AU18" i="42" s="1"/>
  <c r="AV18" i="42" s="1"/>
  <c r="AQ18" i="42"/>
  <c r="AQ33" i="42"/>
  <c r="AR33" i="42"/>
  <c r="AS33" i="42" s="1"/>
  <c r="AT33" i="42" s="1"/>
  <c r="AU33" i="42" s="1"/>
  <c r="AC8" i="43"/>
  <c r="AD13" i="42"/>
  <c r="AE13" i="42" s="1"/>
  <c r="AF13" i="42" s="1"/>
  <c r="AU49" i="42"/>
  <c r="AU50" i="42" s="1"/>
  <c r="AF31" i="42"/>
  <c r="AC178" i="41"/>
  <c r="AH68" i="41"/>
  <c r="AH96" i="41"/>
  <c r="AC181" i="41"/>
  <c r="AE65" i="41"/>
  <c r="Z177" i="41"/>
  <c r="AN35" i="41"/>
  <c r="AO35" i="41" s="1"/>
  <c r="AP35" i="41" s="1"/>
  <c r="AR35" i="41" s="1"/>
  <c r="AC117" i="41"/>
  <c r="AB14" i="41"/>
  <c r="AP63" i="41"/>
  <c r="AK176" i="41"/>
  <c r="AD181" i="41"/>
  <c r="AI96" i="41"/>
  <c r="AE68" i="41"/>
  <c r="Z178" i="41"/>
  <c r="AJ96" i="41"/>
  <c r="AE181" i="41"/>
  <c r="AC65" i="41"/>
  <c r="X177" i="41"/>
  <c r="AE182" i="41"/>
  <c r="AJ98" i="41"/>
  <c r="AD68" i="41"/>
  <c r="Y178" i="41"/>
  <c r="AH98" i="41"/>
  <c r="AC182" i="41"/>
  <c r="Z30" i="41"/>
  <c r="Y33" i="43"/>
  <c r="Y57" i="43" s="1"/>
  <c r="AD101" i="41"/>
  <c r="Y183" i="41"/>
  <c r="X175" i="41"/>
  <c r="AD98" i="41"/>
  <c r="AI98" i="41" s="1"/>
  <c r="Y182" i="41"/>
  <c r="X180" i="41"/>
  <c r="AC94" i="41"/>
  <c r="AE94" i="41"/>
  <c r="Z180" i="41"/>
  <c r="Z175" i="41"/>
  <c r="AD65" i="41"/>
  <c r="Y177" i="41"/>
  <c r="AD94" i="41"/>
  <c r="Y180" i="41"/>
  <c r="AC176" i="41"/>
  <c r="AH63" i="41"/>
  <c r="AL75" i="41"/>
  <c r="AF75" i="41"/>
  <c r="AE75" i="41"/>
  <c r="AD75" i="41"/>
  <c r="AC75" i="41"/>
  <c r="AD176" i="41"/>
  <c r="AI63" i="41"/>
  <c r="AA84" i="41"/>
  <c r="AA91" i="41" s="1"/>
  <c r="X84" i="41"/>
  <c r="X83" i="41" s="1"/>
  <c r="Y84" i="41"/>
  <c r="Y91" i="41" s="1"/>
  <c r="Z84" i="41"/>
  <c r="Z91" i="41" s="1"/>
  <c r="AG84" i="41"/>
  <c r="AC101" i="41"/>
  <c r="X183" i="41"/>
  <c r="Y175" i="41"/>
  <c r="Z183" i="41"/>
  <c r="AE101" i="41"/>
  <c r="AE176" i="41"/>
  <c r="AJ63" i="41"/>
  <c r="AF26" i="41"/>
  <c r="AH26" i="41" s="1"/>
  <c r="H25" i="41"/>
  <c r="H27" i="41" s="1"/>
  <c r="H32" i="41" s="1"/>
  <c r="F29" i="41"/>
  <c r="F34" i="41" s="1"/>
  <c r="R19" i="41"/>
  <c r="R141" i="41"/>
  <c r="D19" i="41"/>
  <c r="D142" i="41" s="1"/>
  <c r="E25" i="41"/>
  <c r="E27" i="41" s="1"/>
  <c r="E32" i="41" s="1"/>
  <c r="E29" i="41"/>
  <c r="E34" i="41" s="1"/>
  <c r="AP110" i="41"/>
  <c r="AP112" i="41"/>
  <c r="AU108" i="41"/>
  <c r="AU7" i="41" s="1"/>
  <c r="AU135" i="41" s="1"/>
  <c r="AP115" i="41"/>
  <c r="F25" i="41"/>
  <c r="F27" i="41" s="1"/>
  <c r="F32" i="41" s="1"/>
  <c r="AF128" i="41"/>
  <c r="AH128" i="41" s="1"/>
  <c r="AD125" i="41"/>
  <c r="AR88" i="41"/>
  <c r="AR7" i="41" s="1"/>
  <c r="AM7" i="41"/>
  <c r="AT108" i="41"/>
  <c r="AN115" i="41"/>
  <c r="AN110" i="41"/>
  <c r="AS108" i="41"/>
  <c r="AP7" i="41"/>
  <c r="AP135" i="41" s="1"/>
  <c r="AE126" i="41"/>
  <c r="AF126" i="41" s="1"/>
  <c r="G19" i="41"/>
  <c r="G142" i="41" s="1"/>
  <c r="G23" i="41"/>
  <c r="G25" i="41" s="1"/>
  <c r="G27" i="41" s="1"/>
  <c r="G141" i="41"/>
  <c r="J29" i="41"/>
  <c r="J34" i="41" s="1"/>
  <c r="J25" i="41"/>
  <c r="J27" i="41" s="1"/>
  <c r="J33" i="41" s="1"/>
  <c r="U25" i="41"/>
  <c r="U27" i="41" s="1"/>
  <c r="U33" i="41" s="1"/>
  <c r="V28" i="41"/>
  <c r="W18" i="41"/>
  <c r="V120" i="41"/>
  <c r="W57" i="43"/>
  <c r="L33" i="41"/>
  <c r="L32" i="41"/>
  <c r="G27" i="43"/>
  <c r="L27" i="43"/>
  <c r="M24" i="43"/>
  <c r="M27" i="43" s="1"/>
  <c r="H24" i="43"/>
  <c r="K55" i="43"/>
  <c r="D46" i="43"/>
  <c r="D48" i="43" s="1"/>
  <c r="D11" i="42"/>
  <c r="D20" i="42" s="1"/>
  <c r="E41" i="43"/>
  <c r="R29" i="43"/>
  <c r="R37" i="43" s="1"/>
  <c r="T143" i="41"/>
  <c r="T25" i="41"/>
  <c r="T27" i="41" s="1"/>
  <c r="S41" i="41"/>
  <c r="Q57" i="41"/>
  <c r="M37" i="43"/>
  <c r="S142" i="41"/>
  <c r="S29" i="41"/>
  <c r="S34" i="41" s="1"/>
  <c r="R24" i="43"/>
  <c r="R27" i="43" s="1"/>
  <c r="Q43" i="41"/>
  <c r="Q44" i="41" s="1"/>
  <c r="K142" i="41"/>
  <c r="K29" i="41"/>
  <c r="K34" i="41" s="1"/>
  <c r="K147" i="41" s="1"/>
  <c r="R65" i="42"/>
  <c r="R64" i="42" s="1"/>
  <c r="R142" i="41"/>
  <c r="R29" i="41"/>
  <c r="I142" i="41"/>
  <c r="I29" i="41"/>
  <c r="I34" i="41" s="1"/>
  <c r="S143" i="41"/>
  <c r="S25" i="41"/>
  <c r="S27" i="41" s="1"/>
  <c r="G54" i="43"/>
  <c r="G22" i="43"/>
  <c r="H10" i="43"/>
  <c r="W111" i="41"/>
  <c r="W118" i="41"/>
  <c r="R25" i="41"/>
  <c r="R27" i="41" s="1"/>
  <c r="R143" i="41"/>
  <c r="I143" i="41"/>
  <c r="I25" i="41"/>
  <c r="I27" i="41" s="1"/>
  <c r="H142" i="41"/>
  <c r="H29" i="41"/>
  <c r="H34" i="41" s="1"/>
  <c r="O142" i="41"/>
  <c r="O29" i="41"/>
  <c r="O34" i="41" s="1"/>
  <c r="G37" i="43"/>
  <c r="G39" i="43" s="1"/>
  <c r="H29" i="43"/>
  <c r="H37" i="43" s="1"/>
  <c r="D143" i="41"/>
  <c r="D25" i="41"/>
  <c r="D27" i="41" s="1"/>
  <c r="L37" i="43"/>
  <c r="F39" i="43"/>
  <c r="K39" i="43"/>
  <c r="H25" i="43"/>
  <c r="H56" i="43" s="1"/>
  <c r="U74" i="41"/>
  <c r="T90" i="41"/>
  <c r="T76" i="41"/>
  <c r="T77" i="41" s="1"/>
  <c r="Y77" i="41" s="1"/>
  <c r="AD77" i="41" s="1"/>
  <c r="AI77" i="41" s="1"/>
  <c r="AN77" i="41" s="1"/>
  <c r="AS77" i="41" s="1"/>
  <c r="L53" i="43"/>
  <c r="L22" i="43"/>
  <c r="U55" i="43"/>
  <c r="M141" i="41"/>
  <c r="M23" i="41"/>
  <c r="M19" i="41"/>
  <c r="L142" i="41"/>
  <c r="L29" i="41"/>
  <c r="L34" i="41" s="1"/>
  <c r="O143" i="41"/>
  <c r="O25" i="41"/>
  <c r="O27" i="41" s="1"/>
  <c r="N142" i="41"/>
  <c r="N29" i="41"/>
  <c r="N34" i="41" s="1"/>
  <c r="Q54" i="43"/>
  <c r="Q22" i="43"/>
  <c r="N143" i="41"/>
  <c r="N25" i="41"/>
  <c r="N27" i="41" s="1"/>
  <c r="U52" i="41"/>
  <c r="U53" i="41" s="1"/>
  <c r="Z53" i="41" s="1"/>
  <c r="AE53" i="41" s="1"/>
  <c r="AJ53" i="41" s="1"/>
  <c r="AO53" i="41" s="1"/>
  <c r="V50" i="41"/>
  <c r="P142" i="41"/>
  <c r="P29" i="41"/>
  <c r="P34" i="41" s="1"/>
  <c r="U147" i="41" s="1"/>
  <c r="Q142" i="41"/>
  <c r="Q29" i="41"/>
  <c r="Q34" i="41" s="1"/>
  <c r="R22" i="43"/>
  <c r="R55" i="43" s="1"/>
  <c r="K143" i="41"/>
  <c r="K25" i="41"/>
  <c r="K27" i="41" s="1"/>
  <c r="T29" i="41"/>
  <c r="T34" i="41" s="1"/>
  <c r="T142" i="41"/>
  <c r="P143" i="41"/>
  <c r="P25" i="41"/>
  <c r="P27" i="41" s="1"/>
  <c r="Q143" i="41"/>
  <c r="Q25" i="41"/>
  <c r="Q27" i="41" s="1"/>
  <c r="H33" i="41" l="1"/>
  <c r="H36" i="41" s="1"/>
  <c r="AD18" i="41"/>
  <c r="AD172" i="41"/>
  <c r="AD28" i="41" s="1"/>
  <c r="AF165" i="41"/>
  <c r="AE168" i="41"/>
  <c r="AE170" i="41" s="1"/>
  <c r="AG26" i="41"/>
  <c r="AO112" i="41"/>
  <c r="E33" i="41"/>
  <c r="AT53" i="41"/>
  <c r="AO115" i="41"/>
  <c r="AN112" i="41"/>
  <c r="AO110" i="41"/>
  <c r="AR113" i="41"/>
  <c r="AM112" i="41"/>
  <c r="AR111" i="41"/>
  <c r="AM110" i="41"/>
  <c r="AR116" i="41"/>
  <c r="AM115" i="41"/>
  <c r="X12" i="41"/>
  <c r="AC14" i="41"/>
  <c r="AD69" i="41"/>
  <c r="AT55" i="42"/>
  <c r="AI186" i="41"/>
  <c r="AN186" i="41"/>
  <c r="AI112" i="41"/>
  <c r="AH186" i="41"/>
  <c r="AM186" i="41"/>
  <c r="AH112" i="41"/>
  <c r="AH187" i="41"/>
  <c r="AM187" i="41"/>
  <c r="AH115" i="41"/>
  <c r="AE28" i="42"/>
  <c r="AE22" i="41"/>
  <c r="AD29" i="43"/>
  <c r="AD16" i="42"/>
  <c r="AD8" i="43" s="1"/>
  <c r="Q55" i="43"/>
  <c r="AJ186" i="41"/>
  <c r="AO186" i="41"/>
  <c r="AJ112" i="41"/>
  <c r="AH185" i="41"/>
  <c r="AM185" i="41"/>
  <c r="AH110" i="41"/>
  <c r="AI185" i="41"/>
  <c r="AN185" i="41"/>
  <c r="AI110" i="41"/>
  <c r="AD21" i="43"/>
  <c r="AE23" i="42"/>
  <c r="AI187" i="41"/>
  <c r="AN187" i="41"/>
  <c r="AI115" i="41"/>
  <c r="AO187" i="41"/>
  <c r="AJ187" i="41"/>
  <c r="AJ115" i="41"/>
  <c r="AD27" i="42"/>
  <c r="AC19" i="43"/>
  <c r="AJ185" i="41"/>
  <c r="AO185" i="41"/>
  <c r="AJ110" i="41"/>
  <c r="M39" i="43"/>
  <c r="AH13" i="42"/>
  <c r="AI13" i="42" s="1"/>
  <c r="AJ13" i="42" s="1"/>
  <c r="AK13" i="42" s="1"/>
  <c r="AG13" i="42"/>
  <c r="AE10" i="42"/>
  <c r="AD17" i="43"/>
  <c r="AD48" i="42"/>
  <c r="AE56" i="42"/>
  <c r="AJ56" i="42" s="1"/>
  <c r="AR47" i="42"/>
  <c r="AR48" i="42" s="1"/>
  <c r="AI47" i="42"/>
  <c r="AI48" i="42" s="1"/>
  <c r="D29" i="41"/>
  <c r="D34" i="41" s="1"/>
  <c r="I147" i="41" s="1"/>
  <c r="AQ35" i="41"/>
  <c r="AM153" i="41" s="1"/>
  <c r="L39" i="43"/>
  <c r="AM135" i="41"/>
  <c r="AQ7" i="41"/>
  <c r="AV33" i="42"/>
  <c r="X57" i="43"/>
  <c r="X58" i="43" s="1"/>
  <c r="Y58" i="43" s="1"/>
  <c r="Z58" i="43" s="1"/>
  <c r="AR135" i="41"/>
  <c r="AH31" i="42"/>
  <c r="AG31" i="42"/>
  <c r="AP176" i="41"/>
  <c r="AU63" i="41"/>
  <c r="AU176" i="41" s="1"/>
  <c r="AN98" i="41"/>
  <c r="AI182" i="41"/>
  <c r="AE183" i="41"/>
  <c r="AJ101" i="41"/>
  <c r="AH65" i="41"/>
  <c r="AC177" i="41"/>
  <c r="AS35" i="41"/>
  <c r="AT35" i="41" s="1"/>
  <c r="AU35" i="41" s="1"/>
  <c r="AD182" i="41"/>
  <c r="AE175" i="41"/>
  <c r="X85" i="41"/>
  <c r="X87" i="41" s="1"/>
  <c r="Y83" i="41"/>
  <c r="AD175" i="41"/>
  <c r="AD183" i="41"/>
  <c r="AI101" i="41"/>
  <c r="AO96" i="41"/>
  <c r="AT96" i="41" s="1"/>
  <c r="AT181" i="41" s="1"/>
  <c r="AJ181" i="41"/>
  <c r="AJ65" i="41"/>
  <c r="AE177" i="41"/>
  <c r="AO63" i="41"/>
  <c r="AT63" i="41" s="1"/>
  <c r="AT176" i="41" s="1"/>
  <c r="AJ176" i="41"/>
  <c r="AD177" i="41"/>
  <c r="AI65" i="41"/>
  <c r="AJ94" i="41"/>
  <c r="AO94" i="41" s="1"/>
  <c r="AE180" i="41"/>
  <c r="AN63" i="41"/>
  <c r="AI176" i="41"/>
  <c r="O147" i="41"/>
  <c r="AA30" i="41"/>
  <c r="Z33" i="43"/>
  <c r="Z57" i="43" s="1"/>
  <c r="AJ68" i="41"/>
  <c r="AE178" i="41"/>
  <c r="AM96" i="41"/>
  <c r="AH181" i="41"/>
  <c r="AI68" i="41"/>
  <c r="AD178" i="41"/>
  <c r="AI94" i="41"/>
  <c r="AD180" i="41"/>
  <c r="AH101" i="41"/>
  <c r="AC183" i="41"/>
  <c r="AK75" i="41"/>
  <c r="AI75" i="41"/>
  <c r="AH75" i="41"/>
  <c r="AJ75" i="41"/>
  <c r="AN96" i="41"/>
  <c r="AI181" i="41"/>
  <c r="X91" i="41"/>
  <c r="AD117" i="41"/>
  <c r="AL84" i="41"/>
  <c r="AD84" i="41"/>
  <c r="AD91" i="41" s="1"/>
  <c r="AC84" i="41"/>
  <c r="AC91" i="41" s="1"/>
  <c r="AF84" i="41"/>
  <c r="AF91" i="41" s="1"/>
  <c r="AE84" i="41"/>
  <c r="AE91" i="41" s="1"/>
  <c r="AH176" i="41"/>
  <c r="AM63" i="41"/>
  <c r="AH94" i="41"/>
  <c r="AC180" i="41"/>
  <c r="AM98" i="41"/>
  <c r="AR98" i="41" s="1"/>
  <c r="AR182" i="41" s="1"/>
  <c r="AH182" i="41"/>
  <c r="AM68" i="41"/>
  <c r="AR68" i="41" s="1"/>
  <c r="AR178" i="41" s="1"/>
  <c r="AH178" i="41"/>
  <c r="AO98" i="41"/>
  <c r="AT98" i="41" s="1"/>
  <c r="AT182" i="41" s="1"/>
  <c r="AJ182" i="41"/>
  <c r="AC175" i="41"/>
  <c r="AE125" i="41"/>
  <c r="AF125" i="41" s="1"/>
  <c r="AI26" i="41"/>
  <c r="J147" i="41"/>
  <c r="AI128" i="41"/>
  <c r="AJ128" i="41" s="1"/>
  <c r="AS110" i="41"/>
  <c r="AS112" i="41"/>
  <c r="AS115" i="41"/>
  <c r="AS7" i="41"/>
  <c r="AS135" i="41" s="1"/>
  <c r="AU112" i="41"/>
  <c r="AU115" i="41"/>
  <c r="AU110" i="41"/>
  <c r="G143" i="41"/>
  <c r="AT112" i="41"/>
  <c r="AT115" i="41"/>
  <c r="AT110" i="41"/>
  <c r="AT7" i="41"/>
  <c r="AT135" i="41" s="1"/>
  <c r="G29" i="41"/>
  <c r="G34" i="41" s="1"/>
  <c r="L147" i="41" s="1"/>
  <c r="F33" i="41"/>
  <c r="AH126" i="41"/>
  <c r="AI126" i="41" s="1"/>
  <c r="J146" i="41"/>
  <c r="U32" i="41"/>
  <c r="S147" i="41"/>
  <c r="J32" i="41"/>
  <c r="W28" i="41"/>
  <c r="W120" i="41"/>
  <c r="V121" i="41"/>
  <c r="W87" i="41"/>
  <c r="I32" i="41"/>
  <c r="I33" i="41"/>
  <c r="P32" i="41"/>
  <c r="P33" i="41"/>
  <c r="T33" i="41"/>
  <c r="T32" i="41"/>
  <c r="D53" i="42"/>
  <c r="D43" i="42"/>
  <c r="H54" i="43"/>
  <c r="H22" i="43"/>
  <c r="M55" i="43" s="1"/>
  <c r="R39" i="43"/>
  <c r="W7" i="43"/>
  <c r="N32" i="41"/>
  <c r="R30" i="41"/>
  <c r="R32" i="41" s="1"/>
  <c r="N33" i="41"/>
  <c r="R31" i="41"/>
  <c r="R33" i="41" s="1"/>
  <c r="Q33" i="41"/>
  <c r="Q146" i="41" s="1"/>
  <c r="Q32" i="41"/>
  <c r="K32" i="41"/>
  <c r="K33" i="41"/>
  <c r="M142" i="41"/>
  <c r="M29" i="41"/>
  <c r="M65" i="42"/>
  <c r="M64" i="42" s="1"/>
  <c r="P147" i="41"/>
  <c r="M25" i="41"/>
  <c r="M27" i="41" s="1"/>
  <c r="M30" i="41" s="1"/>
  <c r="M143" i="41"/>
  <c r="F40" i="43"/>
  <c r="F41" i="43" s="1"/>
  <c r="E6" i="42"/>
  <c r="Q39" i="43"/>
  <c r="O32" i="41"/>
  <c r="O33" i="41"/>
  <c r="O146" i="41" s="1"/>
  <c r="T147" i="41"/>
  <c r="D33" i="41"/>
  <c r="D32" i="41"/>
  <c r="H27" i="43"/>
  <c r="Q147" i="41"/>
  <c r="L55" i="43"/>
  <c r="V52" i="41"/>
  <c r="V53" i="41" s="1"/>
  <c r="AA53" i="41" s="1"/>
  <c r="AF53" i="41" s="1"/>
  <c r="AK53" i="41" s="1"/>
  <c r="AP53" i="41" s="1"/>
  <c r="W50" i="41"/>
  <c r="V74" i="41"/>
  <c r="X74" i="41" s="1"/>
  <c r="U90" i="41"/>
  <c r="T41" i="41"/>
  <c r="S57" i="41"/>
  <c r="N147" i="41"/>
  <c r="U76" i="41"/>
  <c r="U77" i="41" s="1"/>
  <c r="Z77" i="41" s="1"/>
  <c r="AE77" i="41" s="1"/>
  <c r="AJ77" i="41" s="1"/>
  <c r="AO77" i="41" s="1"/>
  <c r="AT77" i="41" s="1"/>
  <c r="S33" i="41"/>
  <c r="S32" i="41"/>
  <c r="S43" i="41"/>
  <c r="S44" i="41" s="1"/>
  <c r="X44" i="41" s="1"/>
  <c r="AC44" i="41" s="1"/>
  <c r="AH44" i="41" s="1"/>
  <c r="G32" i="41"/>
  <c r="G33" i="41"/>
  <c r="L146" i="41" s="1"/>
  <c r="AE172" i="41" l="1"/>
  <c r="AE28" i="41" s="1"/>
  <c r="AE18" i="41"/>
  <c r="H39" i="43"/>
  <c r="H41" i="43" s="1"/>
  <c r="AH165" i="41"/>
  <c r="AF168" i="41"/>
  <c r="AF170" i="41" s="1"/>
  <c r="AR44" i="41"/>
  <c r="AM44" i="41"/>
  <c r="AU53" i="41"/>
  <c r="AR187" i="41"/>
  <c r="AR115" i="41"/>
  <c r="AR185" i="41"/>
  <c r="AR110" i="41"/>
  <c r="AR186" i="41"/>
  <c r="AR112" i="41"/>
  <c r="AV7" i="41"/>
  <c r="AD14" i="41"/>
  <c r="AE69" i="41"/>
  <c r="AL13" i="42"/>
  <c r="AM13" i="42"/>
  <c r="AN13" i="42" s="1"/>
  <c r="AO13" i="42" s="1"/>
  <c r="AP13" i="42" s="1"/>
  <c r="AO56" i="42"/>
  <c r="AT56" i="42" s="1"/>
  <c r="AJ180" i="41"/>
  <c r="AE27" i="42"/>
  <c r="AD19" i="43"/>
  <c r="AF23" i="42"/>
  <c r="AE21" i="43"/>
  <c r="AF28" i="42"/>
  <c r="AE16" i="42"/>
  <c r="AE8" i="43" s="1"/>
  <c r="AE29" i="43"/>
  <c r="AF22" i="41"/>
  <c r="AG22" i="41" s="1"/>
  <c r="AF10" i="42"/>
  <c r="AE17" i="43"/>
  <c r="AN47" i="42"/>
  <c r="AN48" i="42" s="1"/>
  <c r="AV35" i="41"/>
  <c r="AI31" i="42"/>
  <c r="AN176" i="41"/>
  <c r="AS63" i="41"/>
  <c r="AS176" i="41" s="1"/>
  <c r="AI180" i="41"/>
  <c r="AN94" i="41"/>
  <c r="AO181" i="41"/>
  <c r="AH175" i="41"/>
  <c r="AM94" i="41"/>
  <c r="AH180" i="41"/>
  <c r="AS96" i="41"/>
  <c r="AS181" i="41" s="1"/>
  <c r="AN181" i="41"/>
  <c r="AO180" i="41"/>
  <c r="AT94" i="41"/>
  <c r="AT180" i="41" s="1"/>
  <c r="AN101" i="41"/>
  <c r="AS101" i="41" s="1"/>
  <c r="AS183" i="41" s="1"/>
  <c r="AI183" i="41"/>
  <c r="AH177" i="41"/>
  <c r="AM65" i="41"/>
  <c r="AM176" i="41"/>
  <c r="AR63" i="41"/>
  <c r="AR176" i="41" s="1"/>
  <c r="AN68" i="41"/>
  <c r="AI178" i="41"/>
  <c r="AJ183" i="41"/>
  <c r="AO101" i="41"/>
  <c r="AE117" i="41"/>
  <c r="AI177" i="41"/>
  <c r="AN65" i="41"/>
  <c r="AS61" i="41"/>
  <c r="AS175" i="41" s="1"/>
  <c r="AI175" i="41"/>
  <c r="AM182" i="41"/>
  <c r="AR96" i="41"/>
  <c r="AR181" i="41" s="1"/>
  <c r="AM181" i="41"/>
  <c r="AO182" i="41"/>
  <c r="Y85" i="41"/>
  <c r="Y87" i="41" s="1"/>
  <c r="Z83" i="41"/>
  <c r="AM101" i="41"/>
  <c r="AH183" i="41"/>
  <c r="AO68" i="41"/>
  <c r="AJ178" i="41"/>
  <c r="AS98" i="41"/>
  <c r="AS182" i="41" s="1"/>
  <c r="AN182" i="41"/>
  <c r="AO176" i="41"/>
  <c r="AJ175" i="41"/>
  <c r="AT61" i="41"/>
  <c r="AT175" i="41" s="1"/>
  <c r="AO65" i="41"/>
  <c r="AJ177" i="41"/>
  <c r="AM178" i="41"/>
  <c r="AK84" i="41"/>
  <c r="AK91" i="41" s="1"/>
  <c r="AI84" i="41"/>
  <c r="AI91" i="41" s="1"/>
  <c r="AH84" i="41"/>
  <c r="AH91" i="41" s="1"/>
  <c r="AJ84" i="41"/>
  <c r="AJ91" i="41" s="1"/>
  <c r="AA33" i="43"/>
  <c r="AC30" i="41"/>
  <c r="AH125" i="41"/>
  <c r="AJ26" i="41"/>
  <c r="AK128" i="41"/>
  <c r="K146" i="41"/>
  <c r="AJ126" i="41"/>
  <c r="Y74" i="41"/>
  <c r="Y76" i="41" s="1"/>
  <c r="Y78" i="41" s="1"/>
  <c r="X76" i="41"/>
  <c r="X78" i="41" s="1"/>
  <c r="X90" i="41"/>
  <c r="N146" i="41"/>
  <c r="P146" i="41"/>
  <c r="S146" i="41"/>
  <c r="R34" i="41"/>
  <c r="W121" i="41"/>
  <c r="V76" i="41"/>
  <c r="I40" i="43"/>
  <c r="M40" i="43"/>
  <c r="E46" i="43"/>
  <c r="E48" i="43" s="1"/>
  <c r="E11" i="42"/>
  <c r="E20" i="42" s="1"/>
  <c r="E144" i="41"/>
  <c r="M32" i="41"/>
  <c r="G40" i="43"/>
  <c r="G41" i="43" s="1"/>
  <c r="G6" i="42" s="1"/>
  <c r="F6" i="42"/>
  <c r="W12" i="41"/>
  <c r="W66" i="41"/>
  <c r="W127" i="41"/>
  <c r="V130" i="41"/>
  <c r="U41" i="41"/>
  <c r="T57" i="41"/>
  <c r="T43" i="41"/>
  <c r="T44" i="41" s="1"/>
  <c r="Y44" i="41" s="1"/>
  <c r="AD44" i="41" s="1"/>
  <c r="AI44" i="41" s="1"/>
  <c r="T146" i="41"/>
  <c r="U146" i="41"/>
  <c r="W74" i="41"/>
  <c r="W90" i="41" s="1"/>
  <c r="V90" i="41"/>
  <c r="R36" i="41"/>
  <c r="W99" i="41"/>
  <c r="W6" i="41"/>
  <c r="I146" i="41"/>
  <c r="M31" i="41"/>
  <c r="M33" i="41" s="1"/>
  <c r="AF172" i="41" l="1"/>
  <c r="AF28" i="41" s="1"/>
  <c r="AG28" i="41" s="1"/>
  <c r="AF18" i="41"/>
  <c r="AG18" i="41" s="1"/>
  <c r="AI165" i="41"/>
  <c r="AH168" i="41"/>
  <c r="AH170" i="41" s="1"/>
  <c r="AN44" i="41"/>
  <c r="AS44" i="41" s="1"/>
  <c r="AE14" i="41"/>
  <c r="AF69" i="41"/>
  <c r="AG69" i="41" s="1"/>
  <c r="AB33" i="43"/>
  <c r="AB57" i="43" s="1"/>
  <c r="AA57" i="43"/>
  <c r="AA58" i="43" s="1"/>
  <c r="AN175" i="41"/>
  <c r="AR13" i="42"/>
  <c r="AS13" i="42" s="1"/>
  <c r="AT13" i="42" s="1"/>
  <c r="AU13" i="42" s="1"/>
  <c r="AV13" i="42" s="1"/>
  <c r="AQ13" i="42"/>
  <c r="AF27" i="42"/>
  <c r="AE19" i="43"/>
  <c r="AH10" i="42"/>
  <c r="AF17" i="43"/>
  <c r="AG17" i="43" s="1"/>
  <c r="AG10" i="42"/>
  <c r="AG28" i="42"/>
  <c r="AG67" i="42" s="1"/>
  <c r="AH28" i="42"/>
  <c r="AF16" i="42"/>
  <c r="AF29" i="43"/>
  <c r="AG29" i="43" s="1"/>
  <c r="AH22" i="41"/>
  <c r="AS47" i="42"/>
  <c r="AS48" i="42" s="1"/>
  <c r="AG21" i="43"/>
  <c r="AO175" i="41"/>
  <c r="AF21" i="43"/>
  <c r="AH23" i="42"/>
  <c r="AG23" i="42"/>
  <c r="AJ31" i="42"/>
  <c r="AM180" i="41"/>
  <c r="AR94" i="41"/>
  <c r="AR180" i="41" s="1"/>
  <c r="AS65" i="41"/>
  <c r="AS177" i="41" s="1"/>
  <c r="AN177" i="41"/>
  <c r="AT68" i="41"/>
  <c r="AT178" i="41" s="1"/>
  <c r="AO178" i="41"/>
  <c r="AR101" i="41"/>
  <c r="AR183" i="41" s="1"/>
  <c r="AM183" i="41"/>
  <c r="AD30" i="41"/>
  <c r="AC33" i="43"/>
  <c r="AC57" i="43" s="1"/>
  <c r="Z85" i="41"/>
  <c r="Z87" i="41" s="1"/>
  <c r="AA83" i="41"/>
  <c r="AA85" i="41" s="1"/>
  <c r="AA87" i="41" s="1"/>
  <c r="AN180" i="41"/>
  <c r="AS94" i="41"/>
  <c r="AS180" i="41" s="1"/>
  <c r="AM177" i="41"/>
  <c r="AR65" i="41"/>
  <c r="AR177" i="41" s="1"/>
  <c r="AT65" i="41"/>
  <c r="AT177" i="41" s="1"/>
  <c r="AO177" i="41"/>
  <c r="Y90" i="41"/>
  <c r="AM175" i="41"/>
  <c r="AR61" i="41"/>
  <c r="AR175" i="41" s="1"/>
  <c r="AN183" i="41"/>
  <c r="AT101" i="41"/>
  <c r="AT183" i="41" s="1"/>
  <c r="AO183" i="41"/>
  <c r="AS68" i="41"/>
  <c r="AS178" i="41" s="1"/>
  <c r="AN178" i="41"/>
  <c r="AF117" i="41"/>
  <c r="AI125" i="41"/>
  <c r="AK26" i="41"/>
  <c r="AM26" i="41" s="1"/>
  <c r="AM128" i="41"/>
  <c r="X95" i="41"/>
  <c r="X79" i="41"/>
  <c r="X92" i="41"/>
  <c r="Y95" i="41"/>
  <c r="Y79" i="41"/>
  <c r="Y92" i="41"/>
  <c r="Z74" i="41"/>
  <c r="Z76" i="41" s="1"/>
  <c r="Z78" i="41" s="1"/>
  <c r="AK126" i="41"/>
  <c r="W54" i="41"/>
  <c r="W130" i="41"/>
  <c r="V131" i="41"/>
  <c r="M146" i="41"/>
  <c r="M36" i="41"/>
  <c r="R146" i="41"/>
  <c r="V41" i="41"/>
  <c r="V43" i="41" s="1"/>
  <c r="V44" i="41" s="1"/>
  <c r="AA44" i="41" s="1"/>
  <c r="AF44" i="41" s="1"/>
  <c r="AK44" i="41" s="1"/>
  <c r="U57" i="41"/>
  <c r="U43" i="41"/>
  <c r="U44" i="41" s="1"/>
  <c r="Z44" i="41" s="1"/>
  <c r="AE44" i="41" s="1"/>
  <c r="AJ44" i="41" s="1"/>
  <c r="I41" i="43"/>
  <c r="M41" i="43"/>
  <c r="M34" i="41"/>
  <c r="V134" i="41"/>
  <c r="F46" i="43"/>
  <c r="F48" i="43" s="1"/>
  <c r="F11" i="42"/>
  <c r="F20" i="42" s="1"/>
  <c r="F144" i="41"/>
  <c r="E53" i="42"/>
  <c r="E43" i="42"/>
  <c r="G46" i="43"/>
  <c r="G48" i="43" s="1"/>
  <c r="G11" i="42"/>
  <c r="G20" i="42" s="1"/>
  <c r="H6" i="42"/>
  <c r="G144" i="41"/>
  <c r="AB58" i="43" l="1"/>
  <c r="AC58" i="43"/>
  <c r="AT44" i="41"/>
  <c r="AO44" i="41"/>
  <c r="AJ165" i="41"/>
  <c r="AI168" i="41"/>
  <c r="AI170" i="41" s="1"/>
  <c r="AU44" i="41"/>
  <c r="AP44" i="41"/>
  <c r="AH172" i="41"/>
  <c r="AH28" i="41" s="1"/>
  <c r="AH18" i="41"/>
  <c r="AF14" i="41"/>
  <c r="AG14" i="41" s="1"/>
  <c r="AH69" i="41"/>
  <c r="AF8" i="43"/>
  <c r="AG8" i="43" s="1"/>
  <c r="AG16" i="42"/>
  <c r="AI28" i="42"/>
  <c r="AH16" i="42"/>
  <c r="AH8" i="43" s="1"/>
  <c r="AH29" i="43"/>
  <c r="AI22" i="41"/>
  <c r="AL26" i="41"/>
  <c r="AF19" i="43"/>
  <c r="AG19" i="43" s="1"/>
  <c r="AH27" i="42"/>
  <c r="AG27" i="42"/>
  <c r="AI23" i="42"/>
  <c r="AH21" i="43"/>
  <c r="AI10" i="42"/>
  <c r="AH17" i="43"/>
  <c r="AK31" i="42"/>
  <c r="AE30" i="41"/>
  <c r="AD33" i="43"/>
  <c r="AD57" i="43" s="1"/>
  <c r="AH117" i="41"/>
  <c r="AB83" i="41"/>
  <c r="AC83" i="41"/>
  <c r="AJ125" i="41"/>
  <c r="AN26" i="41"/>
  <c r="AN128" i="41"/>
  <c r="Z95" i="41"/>
  <c r="Z79" i="41"/>
  <c r="Z92" i="41"/>
  <c r="AA74" i="41"/>
  <c r="Z90" i="41"/>
  <c r="AM126" i="41"/>
  <c r="AN126" i="41" s="1"/>
  <c r="Y100" i="41"/>
  <c r="Y93" i="41"/>
  <c r="Y97" i="41"/>
  <c r="X97" i="41"/>
  <c r="X100" i="41"/>
  <c r="X93" i="41"/>
  <c r="W131" i="41"/>
  <c r="F53" i="42"/>
  <c r="F43" i="42"/>
  <c r="W41" i="41"/>
  <c r="V57" i="41"/>
  <c r="AB58" i="41" s="1"/>
  <c r="M147" i="41"/>
  <c r="R147" i="41"/>
  <c r="H46" i="43"/>
  <c r="H48" i="43" s="1"/>
  <c r="H11" i="42"/>
  <c r="H20" i="42" s="1"/>
  <c r="G53" i="42"/>
  <c r="G43" i="42"/>
  <c r="N40" i="43"/>
  <c r="R40" i="43"/>
  <c r="J40" i="43"/>
  <c r="J41" i="43" s="1"/>
  <c r="I6" i="42"/>
  <c r="AI18" i="41" l="1"/>
  <c r="AI172" i="41"/>
  <c r="AI28" i="41" s="1"/>
  <c r="AK165" i="41"/>
  <c r="AJ168" i="41"/>
  <c r="AJ170" i="41" s="1"/>
  <c r="AD58" i="43"/>
  <c r="AB51" i="41"/>
  <c r="AB42" i="41"/>
  <c r="AB139" i="41"/>
  <c r="AH14" i="41"/>
  <c r="AI69" i="41"/>
  <c r="AJ28" i="42"/>
  <c r="AI16" i="42"/>
  <c r="AI8" i="43" s="1"/>
  <c r="AI29" i="43"/>
  <c r="AJ22" i="41"/>
  <c r="AJ10" i="42"/>
  <c r="AI17" i="43"/>
  <c r="AJ23" i="42"/>
  <c r="AI21" i="43"/>
  <c r="AI27" i="42"/>
  <c r="AH19" i="43"/>
  <c r="AM31" i="42"/>
  <c r="AL31" i="42"/>
  <c r="AD83" i="41"/>
  <c r="AE83" i="41" s="1"/>
  <c r="AE85" i="41" s="1"/>
  <c r="AE87" i="41" s="1"/>
  <c r="AD85" i="41"/>
  <c r="AD87" i="41" s="1"/>
  <c r="AC85" i="41"/>
  <c r="AC87" i="41" s="1"/>
  <c r="AI117" i="41"/>
  <c r="AF30" i="41"/>
  <c r="AE33" i="43"/>
  <c r="AE57" i="43" s="1"/>
  <c r="AE58" i="43" s="1"/>
  <c r="AA76" i="41"/>
  <c r="AB74" i="41"/>
  <c r="AK125" i="41"/>
  <c r="AO26" i="41"/>
  <c r="AP26" i="41" s="1"/>
  <c r="AO128" i="41"/>
  <c r="X103" i="41"/>
  <c r="X105" i="41" s="1"/>
  <c r="X106" i="41" s="1"/>
  <c r="Z100" i="41"/>
  <c r="Z93" i="41"/>
  <c r="Z97" i="41"/>
  <c r="AC74" i="41"/>
  <c r="AA90" i="41"/>
  <c r="AO126" i="41"/>
  <c r="I46" i="43"/>
  <c r="I48" i="43" s="1"/>
  <c r="I11" i="42"/>
  <c r="I20" i="42" s="1"/>
  <c r="I144" i="41"/>
  <c r="K40" i="43"/>
  <c r="K41" i="43" s="1"/>
  <c r="J6" i="42"/>
  <c r="H53" i="42"/>
  <c r="H43" i="42"/>
  <c r="W45" i="41"/>
  <c r="V46" i="41"/>
  <c r="V59" i="41"/>
  <c r="N41" i="43"/>
  <c r="R41" i="43"/>
  <c r="AJ18" i="41" l="1"/>
  <c r="AJ172" i="41"/>
  <c r="AJ28" i="41" s="1"/>
  <c r="AM165" i="41"/>
  <c r="AK168" i="41"/>
  <c r="AK170" i="41" s="1"/>
  <c r="AI14" i="41"/>
  <c r="AJ69" i="41"/>
  <c r="AK23" i="42"/>
  <c r="AJ21" i="43"/>
  <c r="AK28" i="42"/>
  <c r="AJ16" i="42"/>
  <c r="AJ8" i="43" s="1"/>
  <c r="AK22" i="41"/>
  <c r="AL22" i="41" s="1"/>
  <c r="AJ29" i="43"/>
  <c r="AF83" i="41"/>
  <c r="AG83" i="41" s="1"/>
  <c r="AK10" i="42"/>
  <c r="AJ17" i="43"/>
  <c r="AJ27" i="42"/>
  <c r="AI19" i="43"/>
  <c r="AQ26" i="41"/>
  <c r="AN31" i="42"/>
  <c r="AF33" i="43"/>
  <c r="AH30" i="41"/>
  <c r="X51" i="41"/>
  <c r="X50" i="41" s="1"/>
  <c r="Z51" i="41"/>
  <c r="Y51" i="41"/>
  <c r="AA51" i="41"/>
  <c r="AA42" i="41"/>
  <c r="X42" i="41"/>
  <c r="X41" i="41" s="1"/>
  <c r="Y42" i="41"/>
  <c r="Z42" i="41"/>
  <c r="AJ117" i="41"/>
  <c r="AB90" i="41"/>
  <c r="AM125" i="41"/>
  <c r="AR26" i="41"/>
  <c r="AP128" i="41"/>
  <c r="AR128" i="41" s="1"/>
  <c r="V61" i="41"/>
  <c r="AA61" i="41" s="1"/>
  <c r="AF61" i="41" s="1"/>
  <c r="AK61" i="41" s="1"/>
  <c r="AP61" i="41" s="1"/>
  <c r="V68" i="41"/>
  <c r="AA68" i="41" s="1"/>
  <c r="V65" i="41"/>
  <c r="AP126" i="41"/>
  <c r="AC76" i="41"/>
  <c r="AC78" i="41" s="1"/>
  <c r="AD74" i="41"/>
  <c r="AD76" i="41" s="1"/>
  <c r="AD78" i="41" s="1"/>
  <c r="AC90" i="41"/>
  <c r="W46" i="41"/>
  <c r="W59" i="41"/>
  <c r="W62" i="41"/>
  <c r="W10" i="41"/>
  <c r="W5" i="41"/>
  <c r="W8" i="41" s="1"/>
  <c r="V8" i="41"/>
  <c r="I53" i="42"/>
  <c r="I43" i="42"/>
  <c r="J46" i="43"/>
  <c r="J48" i="43" s="1"/>
  <c r="J11" i="42"/>
  <c r="J20" i="42" s="1"/>
  <c r="J144" i="41"/>
  <c r="W40" i="43"/>
  <c r="S40" i="43"/>
  <c r="O40" i="43"/>
  <c r="O41" i="43" s="1"/>
  <c r="N6" i="42"/>
  <c r="L40" i="43"/>
  <c r="L41" i="43" s="1"/>
  <c r="L6" i="42" s="1"/>
  <c r="K6" i="42"/>
  <c r="AL28" i="41" l="1"/>
  <c r="AN165" i="41"/>
  <c r="AM168" i="41"/>
  <c r="AM170" i="41" s="1"/>
  <c r="AK18" i="41"/>
  <c r="AK172" i="41"/>
  <c r="AK28" i="41" s="1"/>
  <c r="AL18" i="41"/>
  <c r="AF85" i="41"/>
  <c r="AF87" i="41" s="1"/>
  <c r="AJ14" i="41"/>
  <c r="AK69" i="41"/>
  <c r="AL69" i="41" s="1"/>
  <c r="AM28" i="42"/>
  <c r="AL28" i="42"/>
  <c r="AL67" i="42" s="1"/>
  <c r="AK16" i="42"/>
  <c r="AM22" i="41"/>
  <c r="AK29" i="43"/>
  <c r="AL29" i="43" s="1"/>
  <c r="AK21" i="43"/>
  <c r="AL21" i="43" s="1"/>
  <c r="AL23" i="42"/>
  <c r="AM23" i="42"/>
  <c r="AK27" i="42"/>
  <c r="AJ19" i="43"/>
  <c r="AH83" i="41"/>
  <c r="AM10" i="42"/>
  <c r="AL10" i="42"/>
  <c r="AK17" i="43"/>
  <c r="AL17" i="43" s="1"/>
  <c r="AG33" i="43"/>
  <c r="AG57" i="43" s="1"/>
  <c r="AF57" i="43"/>
  <c r="AF58" i="43" s="1"/>
  <c r="AO31" i="42"/>
  <c r="AK117" i="41"/>
  <c r="Y41" i="41"/>
  <c r="X43" i="41"/>
  <c r="X45" i="41" s="1"/>
  <c r="Y50" i="41"/>
  <c r="X52" i="41"/>
  <c r="X54" i="41" s="1"/>
  <c r="X57" i="41"/>
  <c r="V178" i="41"/>
  <c r="AI30" i="41"/>
  <c r="AH33" i="43"/>
  <c r="AH57" i="43" s="1"/>
  <c r="V175" i="41"/>
  <c r="V177" i="41"/>
  <c r="AA65" i="41"/>
  <c r="AN125" i="41"/>
  <c r="AS26" i="41"/>
  <c r="AS128" i="41"/>
  <c r="AT128" i="41" s="1"/>
  <c r="AD95" i="41"/>
  <c r="AD79" i="41"/>
  <c r="AD92" i="41"/>
  <c r="AE74" i="41"/>
  <c r="AE76" i="41" s="1"/>
  <c r="AE78" i="41" s="1"/>
  <c r="AD90" i="41"/>
  <c r="AC95" i="41"/>
  <c r="AC92" i="41"/>
  <c r="AI83" i="41"/>
  <c r="AI85" i="41" s="1"/>
  <c r="AI87" i="41" s="1"/>
  <c r="AH85" i="41"/>
  <c r="AH87" i="41" s="1"/>
  <c r="AR126" i="41"/>
  <c r="V47" i="42"/>
  <c r="V53" i="43"/>
  <c r="X53" i="43" s="1"/>
  <c r="V56" i="43"/>
  <c r="W63" i="41"/>
  <c r="W140" i="41"/>
  <c r="L46" i="43"/>
  <c r="L48" i="43" s="1"/>
  <c r="L11" i="42"/>
  <c r="L20" i="42" s="1"/>
  <c r="M6" i="42"/>
  <c r="L144" i="41"/>
  <c r="W64" i="41"/>
  <c r="W11" i="41"/>
  <c r="K46" i="43"/>
  <c r="K48" i="43" s="1"/>
  <c r="K11" i="42"/>
  <c r="K20" i="42" s="1"/>
  <c r="K144" i="41"/>
  <c r="N46" i="43"/>
  <c r="N48" i="43" s="1"/>
  <c r="N11" i="42"/>
  <c r="N20" i="42" s="1"/>
  <c r="N144" i="41"/>
  <c r="P40" i="43"/>
  <c r="P41" i="43" s="1"/>
  <c r="O6" i="42"/>
  <c r="V140" i="41"/>
  <c r="S41" i="43"/>
  <c r="W67" i="41"/>
  <c r="W13" i="41"/>
  <c r="V70" i="41"/>
  <c r="W60" i="41"/>
  <c r="J53" i="42"/>
  <c r="J43" i="42"/>
  <c r="AC53" i="43" l="1"/>
  <c r="Y53" i="43"/>
  <c r="Z53" i="43" s="1"/>
  <c r="AA53" i="43" s="1"/>
  <c r="AM18" i="41"/>
  <c r="AM172" i="41"/>
  <c r="AM28" i="41" s="1"/>
  <c r="AO165" i="41"/>
  <c r="AN168" i="41"/>
  <c r="AN170" i="41" s="1"/>
  <c r="AG58" i="43"/>
  <c r="AH58" i="43"/>
  <c r="AK14" i="41"/>
  <c r="AL14" i="41" s="1"/>
  <c r="AM69" i="41"/>
  <c r="AK8" i="43"/>
  <c r="AL8" i="43" s="1"/>
  <c r="AL16" i="42"/>
  <c r="AM17" i="43"/>
  <c r="AN10" i="42"/>
  <c r="AN28" i="42"/>
  <c r="AM16" i="42"/>
  <c r="AM8" i="43" s="1"/>
  <c r="AN22" i="41"/>
  <c r="AM29" i="43"/>
  <c r="V48" i="42"/>
  <c r="AF47" i="42"/>
  <c r="AA47" i="42"/>
  <c r="AK19" i="43"/>
  <c r="AL19" i="43" s="1"/>
  <c r="AL27" i="42"/>
  <c r="AM27" i="42"/>
  <c r="AN23" i="42"/>
  <c r="AM21" i="43"/>
  <c r="AP31" i="42"/>
  <c r="AJ30" i="41"/>
  <c r="AI33" i="43"/>
  <c r="AI57" i="43" s="1"/>
  <c r="X6" i="41"/>
  <c r="X59" i="41"/>
  <c r="Y52" i="41"/>
  <c r="Y54" i="41" s="1"/>
  <c r="Z50" i="41"/>
  <c r="Z52" i="41" s="1"/>
  <c r="Z54" i="41" s="1"/>
  <c r="Y57" i="41"/>
  <c r="AF65" i="41"/>
  <c r="AA177" i="41"/>
  <c r="X5" i="41"/>
  <c r="X133" i="41" s="1"/>
  <c r="X46" i="41"/>
  <c r="X62" i="41"/>
  <c r="AF68" i="41"/>
  <c r="AA178" i="41"/>
  <c r="AA175" i="41"/>
  <c r="Y43" i="41"/>
  <c r="Y45" i="41" s="1"/>
  <c r="Z41" i="41"/>
  <c r="AM117" i="41"/>
  <c r="AO125" i="41"/>
  <c r="AT26" i="41"/>
  <c r="AU128" i="41"/>
  <c r="AS126" i="41"/>
  <c r="AT126" i="41" s="1"/>
  <c r="AE95" i="41"/>
  <c r="AE79" i="41"/>
  <c r="AE92" i="41"/>
  <c r="AF74" i="41"/>
  <c r="AG74" i="41" s="1"/>
  <c r="AG90" i="41" s="1"/>
  <c r="AE90" i="41"/>
  <c r="AD97" i="41"/>
  <c r="AD100" i="41"/>
  <c r="AD93" i="41"/>
  <c r="AJ83" i="41"/>
  <c r="AJ85" i="41" s="1"/>
  <c r="AJ87" i="41" s="1"/>
  <c r="AC100" i="41"/>
  <c r="AC93" i="41"/>
  <c r="AC97" i="41"/>
  <c r="W65" i="41"/>
  <c r="W68" i="41"/>
  <c r="V71" i="41"/>
  <c r="K53" i="42"/>
  <c r="K43" i="42"/>
  <c r="N53" i="42"/>
  <c r="N43" i="42"/>
  <c r="W9" i="41"/>
  <c r="V15" i="41"/>
  <c r="W8" i="42"/>
  <c r="M46" i="43"/>
  <c r="M48" i="43" s="1"/>
  <c r="M11" i="42"/>
  <c r="M20" i="42" s="1"/>
  <c r="M43" i="42" s="1"/>
  <c r="L53" i="42"/>
  <c r="L43" i="42"/>
  <c r="W25" i="43"/>
  <c r="T40" i="43"/>
  <c r="T41" i="43" s="1"/>
  <c r="S6" i="42"/>
  <c r="W12" i="43"/>
  <c r="W70" i="41"/>
  <c r="W61" i="41"/>
  <c r="O46" i="43"/>
  <c r="O48" i="43" s="1"/>
  <c r="O11" i="42"/>
  <c r="O20" i="42" s="1"/>
  <c r="O144" i="41"/>
  <c r="Q40" i="43"/>
  <c r="Q41" i="43" s="1"/>
  <c r="Q6" i="42" s="1"/>
  <c r="P6" i="42"/>
  <c r="AD53" i="43" l="1"/>
  <c r="AE53" i="43" s="1"/>
  <c r="AF53" i="43" s="1"/>
  <c r="AH53" i="43"/>
  <c r="AN18" i="41"/>
  <c r="AN172" i="41"/>
  <c r="AN28" i="41" s="1"/>
  <c r="AP165" i="41"/>
  <c r="AO168" i="41"/>
  <c r="AO170" i="41" s="1"/>
  <c r="X10" i="41"/>
  <c r="AI58" i="43"/>
  <c r="AM14" i="41"/>
  <c r="AN69" i="41"/>
  <c r="AO28" i="42"/>
  <c r="AN16" i="42"/>
  <c r="AN8" i="43" s="1"/>
  <c r="AO22" i="41"/>
  <c r="AN29" i="43"/>
  <c r="AA48" i="42"/>
  <c r="AO10" i="42"/>
  <c r="AN17" i="43"/>
  <c r="X134" i="41"/>
  <c r="AF48" i="42"/>
  <c r="AK47" i="42"/>
  <c r="AK48" i="42" s="1"/>
  <c r="AN27" i="42"/>
  <c r="AM19" i="43"/>
  <c r="X8" i="41"/>
  <c r="AO23" i="42"/>
  <c r="AN21" i="43"/>
  <c r="AR31" i="42"/>
  <c r="AQ31" i="42"/>
  <c r="Z43" i="41"/>
  <c r="Z45" i="41" s="1"/>
  <c r="AA41" i="41"/>
  <c r="AA43" i="41"/>
  <c r="AA45" i="41" s="1"/>
  <c r="Y46" i="41"/>
  <c r="Y62" i="41"/>
  <c r="Y10" i="41" s="1"/>
  <c r="Y5" i="41"/>
  <c r="Y133" i="41" s="1"/>
  <c r="AF175" i="41"/>
  <c r="Z6" i="41"/>
  <c r="Z134" i="41" s="1"/>
  <c r="AF178" i="41"/>
  <c r="AK68" i="41"/>
  <c r="AA50" i="41"/>
  <c r="AA52" i="41" s="1"/>
  <c r="AA54" i="41" s="1"/>
  <c r="Z57" i="41"/>
  <c r="Y6" i="41"/>
  <c r="Y134" i="41" s="1"/>
  <c r="Y59" i="41"/>
  <c r="X64" i="41"/>
  <c r="X67" i="41"/>
  <c r="AK65" i="41"/>
  <c r="AF177" i="41"/>
  <c r="X8" i="42"/>
  <c r="X15" i="43" s="1"/>
  <c r="AN117" i="41"/>
  <c r="AK30" i="41"/>
  <c r="AJ33" i="43"/>
  <c r="AJ57" i="43" s="1"/>
  <c r="AF76" i="41"/>
  <c r="AP125" i="41"/>
  <c r="AU26" i="41"/>
  <c r="AV26" i="41" s="1"/>
  <c r="AE97" i="41"/>
  <c r="AE100" i="41"/>
  <c r="AE93" i="41"/>
  <c r="AH74" i="41"/>
  <c r="AF90" i="41"/>
  <c r="AU126" i="41"/>
  <c r="AK83" i="41"/>
  <c r="V72" i="41"/>
  <c r="W71" i="41"/>
  <c r="W15" i="41"/>
  <c r="V17" i="41"/>
  <c r="W56" i="43"/>
  <c r="W15" i="43"/>
  <c r="U40" i="43"/>
  <c r="U41" i="43" s="1"/>
  <c r="T6" i="42"/>
  <c r="S46" i="43"/>
  <c r="S48" i="43" s="1"/>
  <c r="S11" i="42"/>
  <c r="S20" i="42" s="1"/>
  <c r="S144" i="41"/>
  <c r="O53" i="42"/>
  <c r="O43" i="42"/>
  <c r="Q46" i="43"/>
  <c r="Q48" i="43" s="1"/>
  <c r="R6" i="42"/>
  <c r="Q11" i="42"/>
  <c r="Q20" i="42" s="1"/>
  <c r="Q144" i="41"/>
  <c r="W14" i="42"/>
  <c r="W35" i="43"/>
  <c r="V37" i="43"/>
  <c r="W22" i="42"/>
  <c r="V30" i="42"/>
  <c r="P46" i="43"/>
  <c r="P48" i="43" s="1"/>
  <c r="P144" i="41"/>
  <c r="P11" i="42"/>
  <c r="P20" i="42" s="1"/>
  <c r="W9" i="42"/>
  <c r="X11" i="41" l="1"/>
  <c r="X13" i="41"/>
  <c r="AO18" i="41"/>
  <c r="AO172" i="41"/>
  <c r="AO28" i="41" s="1"/>
  <c r="AR165" i="41"/>
  <c r="AP168" i="41"/>
  <c r="AP170" i="41" s="1"/>
  <c r="AI53" i="43"/>
  <c r="AJ53" i="43" s="1"/>
  <c r="AK53" i="43" s="1"/>
  <c r="AJ58" i="43"/>
  <c r="AB45" i="41"/>
  <c r="AB46" i="41" s="1"/>
  <c r="X25" i="43"/>
  <c r="X140" i="41"/>
  <c r="Z59" i="41"/>
  <c r="AB59" i="41" s="1"/>
  <c r="AN14" i="41"/>
  <c r="AO69" i="41"/>
  <c r="AP10" i="42"/>
  <c r="AO17" i="43"/>
  <c r="AP47" i="42"/>
  <c r="AP48" i="42" s="1"/>
  <c r="X12" i="43"/>
  <c r="AO27" i="42"/>
  <c r="AN19" i="43"/>
  <c r="AP23" i="42"/>
  <c r="AO21" i="43"/>
  <c r="AK175" i="41"/>
  <c r="AP28" i="42"/>
  <c r="AO16" i="42"/>
  <c r="AO8" i="43" s="1"/>
  <c r="AO29" i="43"/>
  <c r="AP22" i="41"/>
  <c r="AQ22" i="41" s="1"/>
  <c r="AS31" i="42"/>
  <c r="AP65" i="41"/>
  <c r="AK177" i="41"/>
  <c r="AU61" i="41"/>
  <c r="AU175" i="41" s="1"/>
  <c r="AP175" i="41"/>
  <c r="AK33" i="43"/>
  <c r="AK57" i="43" s="1"/>
  <c r="AM30" i="41"/>
  <c r="Y67" i="41"/>
  <c r="Y13" i="41" s="1"/>
  <c r="Y64" i="41"/>
  <c r="Y11" i="41" s="1"/>
  <c r="Y8" i="41"/>
  <c r="Y140" i="41" s="1"/>
  <c r="AO117" i="41"/>
  <c r="AA6" i="41"/>
  <c r="AA59" i="41"/>
  <c r="AB54" i="41"/>
  <c r="AB50" i="41"/>
  <c r="AA57" i="41"/>
  <c r="AG58" i="41" s="1"/>
  <c r="AP68" i="41"/>
  <c r="AU68" i="41" s="1"/>
  <c r="AU178" i="41" s="1"/>
  <c r="AK178" i="41"/>
  <c r="AA46" i="41"/>
  <c r="AA62" i="41"/>
  <c r="Z67" i="41"/>
  <c r="Z13" i="41" s="1"/>
  <c r="Z64" i="41"/>
  <c r="Z11" i="41" s="1"/>
  <c r="AB41" i="41"/>
  <c r="Z62" i="41"/>
  <c r="Z10" i="41" s="1"/>
  <c r="Z46" i="41"/>
  <c r="Z5" i="41"/>
  <c r="Z133" i="41"/>
  <c r="AK85" i="41"/>
  <c r="AK87" i="41" s="1"/>
  <c r="AL83" i="41"/>
  <c r="AR125" i="41"/>
  <c r="AS125" i="41" s="1"/>
  <c r="AI74" i="41"/>
  <c r="AI76" i="41" s="1"/>
  <c r="AI78" i="41" s="1"/>
  <c r="AH76" i="41"/>
  <c r="AH78" i="41" s="1"/>
  <c r="AH90" i="41"/>
  <c r="W72" i="41"/>
  <c r="V19" i="41"/>
  <c r="W16" i="43"/>
  <c r="W18" i="43"/>
  <c r="W30" i="42"/>
  <c r="V141" i="41"/>
  <c r="V35" i="42"/>
  <c r="W17" i="41"/>
  <c r="W37" i="42"/>
  <c r="W37" i="43"/>
  <c r="S53" i="42"/>
  <c r="S43" i="42"/>
  <c r="P53" i="42"/>
  <c r="P43" i="42"/>
  <c r="V40" i="43"/>
  <c r="U6" i="42"/>
  <c r="Q53" i="42"/>
  <c r="Q43" i="42"/>
  <c r="R46" i="43"/>
  <c r="R48" i="43" s="1"/>
  <c r="R11" i="42"/>
  <c r="R20" i="42" s="1"/>
  <c r="R43" i="42" s="1"/>
  <c r="T46" i="43"/>
  <c r="T48" i="43" s="1"/>
  <c r="T144" i="41"/>
  <c r="T11" i="42"/>
  <c r="T20" i="42" s="1"/>
  <c r="AQ28" i="41" l="1"/>
  <c r="AP18" i="41"/>
  <c r="AP172" i="41"/>
  <c r="AP28" i="41" s="1"/>
  <c r="AS165" i="41"/>
  <c r="AR168" i="41"/>
  <c r="AR170" i="41" s="1"/>
  <c r="AQ18" i="41"/>
  <c r="AB62" i="41"/>
  <c r="AB63" i="41" s="1"/>
  <c r="AM53" i="43"/>
  <c r="AK58" i="43"/>
  <c r="AL58" i="43" s="1"/>
  <c r="AG139" i="41"/>
  <c r="AO14" i="41"/>
  <c r="AP69" i="41"/>
  <c r="AQ69" i="41" s="1"/>
  <c r="AP21" i="43"/>
  <c r="AQ21" i="43" s="1"/>
  <c r="AR23" i="42"/>
  <c r="AQ23" i="42"/>
  <c r="AQ28" i="42"/>
  <c r="AQ67" i="42" s="1"/>
  <c r="AR28" i="42"/>
  <c r="AP16" i="42"/>
  <c r="AP29" i="43"/>
  <c r="AQ29" i="43" s="1"/>
  <c r="AR22" i="41"/>
  <c r="X35" i="43"/>
  <c r="X37" i="42" s="1"/>
  <c r="AA134" i="41"/>
  <c r="AB6" i="41"/>
  <c r="Z8" i="41"/>
  <c r="AQ10" i="42"/>
  <c r="AR10" i="42"/>
  <c r="AP17" i="43"/>
  <c r="AQ17" i="43" s="1"/>
  <c r="AP27" i="42"/>
  <c r="AO19" i="43"/>
  <c r="AU47" i="42"/>
  <c r="AU48" i="42" s="1"/>
  <c r="AL33" i="43"/>
  <c r="AT31" i="42"/>
  <c r="AP178" i="41"/>
  <c r="Y12" i="43"/>
  <c r="Y25" i="43"/>
  <c r="Y8" i="42"/>
  <c r="Y15" i="43" s="1"/>
  <c r="AG42" i="41"/>
  <c r="AG51" i="41"/>
  <c r="AP117" i="41"/>
  <c r="AN30" i="41"/>
  <c r="AM33" i="43"/>
  <c r="AM57" i="43" s="1"/>
  <c r="Z25" i="43"/>
  <c r="Z12" i="43"/>
  <c r="AA67" i="41"/>
  <c r="AB67" i="41" s="1"/>
  <c r="AB68" i="41" s="1"/>
  <c r="AA64" i="41"/>
  <c r="AB64" i="41" s="1"/>
  <c r="AB65" i="41" s="1"/>
  <c r="AU65" i="41"/>
  <c r="AU177" i="41" s="1"/>
  <c r="AP177" i="41"/>
  <c r="AT125" i="41"/>
  <c r="AH95" i="41"/>
  <c r="AH92" i="41"/>
  <c r="AI79" i="41"/>
  <c r="AI95" i="41"/>
  <c r="AI92" i="41"/>
  <c r="AJ74" i="41"/>
  <c r="AJ76" i="41" s="1"/>
  <c r="AJ78" i="41" s="1"/>
  <c r="AI90" i="41"/>
  <c r="V142" i="41"/>
  <c r="W19" i="41"/>
  <c r="W141" i="41"/>
  <c r="W35" i="42"/>
  <c r="U46" i="43"/>
  <c r="U48" i="43" s="1"/>
  <c r="U144" i="41"/>
  <c r="U11" i="42"/>
  <c r="U20" i="42" s="1"/>
  <c r="T53" i="42"/>
  <c r="T43" i="42"/>
  <c r="AN53" i="43" l="1"/>
  <c r="AO53" i="43" s="1"/>
  <c r="AP53" i="43" s="1"/>
  <c r="AR172" i="41"/>
  <c r="AR28" i="41" s="1"/>
  <c r="AR18" i="41"/>
  <c r="AT165" i="41"/>
  <c r="AS168" i="41"/>
  <c r="AS170" i="41" s="1"/>
  <c r="Z8" i="42"/>
  <c r="Z15" i="43" s="1"/>
  <c r="Z140" i="41"/>
  <c r="Y35" i="43"/>
  <c r="Y37" i="42" s="1"/>
  <c r="AP14" i="41"/>
  <c r="AQ14" i="41" s="1"/>
  <c r="AR69" i="41"/>
  <c r="AS10" i="42"/>
  <c r="AR17" i="43"/>
  <c r="X37" i="43"/>
  <c r="AS23" i="42"/>
  <c r="AR21" i="43"/>
  <c r="AP19" i="43"/>
  <c r="AQ19" i="43" s="1"/>
  <c r="AQ27" i="42"/>
  <c r="AR27" i="42"/>
  <c r="AP8" i="43"/>
  <c r="AQ8" i="43" s="1"/>
  <c r="AQ16" i="42"/>
  <c r="AS28" i="42"/>
  <c r="AR16" i="42"/>
  <c r="AR8" i="43" s="1"/>
  <c r="AR29" i="43"/>
  <c r="AS22" i="41"/>
  <c r="AU31" i="42"/>
  <c r="AD51" i="41"/>
  <c r="AF51" i="41"/>
  <c r="AE51" i="41"/>
  <c r="AC51" i="41"/>
  <c r="AD42" i="41"/>
  <c r="AC42" i="41"/>
  <c r="AC41" i="41" s="1"/>
  <c r="AF42" i="41"/>
  <c r="AE42" i="41"/>
  <c r="Y37" i="43"/>
  <c r="Z35" i="43"/>
  <c r="AR117" i="41"/>
  <c r="AO30" i="41"/>
  <c r="AN33" i="43"/>
  <c r="AN57" i="43" s="1"/>
  <c r="AU125" i="41"/>
  <c r="AK74" i="41"/>
  <c r="AJ90" i="41"/>
  <c r="AH97" i="41"/>
  <c r="AH100" i="41"/>
  <c r="AH93" i="41"/>
  <c r="AJ95" i="41"/>
  <c r="AJ79" i="41"/>
  <c r="AJ92" i="41"/>
  <c r="AI97" i="41"/>
  <c r="AI100" i="41"/>
  <c r="AI93" i="41"/>
  <c r="W142" i="41"/>
  <c r="W65" i="42"/>
  <c r="W21" i="41"/>
  <c r="V23" i="41"/>
  <c r="V143" i="41" s="1"/>
  <c r="U53" i="42"/>
  <c r="U43" i="42"/>
  <c r="AS18" i="41" l="1"/>
  <c r="AS172" i="41"/>
  <c r="AS28" i="41" s="1"/>
  <c r="AU165" i="41"/>
  <c r="AU168" i="41" s="1"/>
  <c r="AU170" i="41" s="1"/>
  <c r="AT168" i="41"/>
  <c r="AT170" i="41" s="1"/>
  <c r="AR53" i="43"/>
  <c r="AS53" i="43" s="1"/>
  <c r="AT53" i="43" s="1"/>
  <c r="AU53" i="43" s="1"/>
  <c r="AR14" i="41"/>
  <c r="AS69" i="41"/>
  <c r="AT28" i="42"/>
  <c r="AS16" i="42"/>
  <c r="AS8" i="43" s="1"/>
  <c r="AT22" i="41"/>
  <c r="AS29" i="43"/>
  <c r="AS27" i="42"/>
  <c r="AR19" i="43"/>
  <c r="AT10" i="42"/>
  <c r="AS17" i="43"/>
  <c r="AT23" i="42"/>
  <c r="AS21" i="43"/>
  <c r="AV31" i="42"/>
  <c r="AD41" i="41"/>
  <c r="AD43" i="41" s="1"/>
  <c r="AD45" i="41" s="1"/>
  <c r="AC43" i="41"/>
  <c r="AC45" i="41" s="1"/>
  <c r="AP30" i="41"/>
  <c r="AO33" i="43"/>
  <c r="AO57" i="43" s="1"/>
  <c r="AC58" i="41"/>
  <c r="AC50" i="41"/>
  <c r="AE58" i="41"/>
  <c r="AS117" i="41"/>
  <c r="AF58" i="41"/>
  <c r="Z37" i="43"/>
  <c r="AD58" i="41"/>
  <c r="Z37" i="42"/>
  <c r="AK76" i="41"/>
  <c r="AL74" i="41"/>
  <c r="AJ97" i="41"/>
  <c r="AJ100" i="41"/>
  <c r="AJ93" i="41"/>
  <c r="AK90" i="41"/>
  <c r="AQ91" i="41" s="1"/>
  <c r="W64" i="42"/>
  <c r="V25" i="41"/>
  <c r="W23" i="41"/>
  <c r="AT172" i="41" l="1"/>
  <c r="AT28" i="41" s="1"/>
  <c r="AT18" i="41"/>
  <c r="AU18" i="41"/>
  <c r="AU172" i="41"/>
  <c r="AU28" i="41" s="1"/>
  <c r="AS14" i="41"/>
  <c r="AT69" i="41"/>
  <c r="AU10" i="42"/>
  <c r="AT17" i="43"/>
  <c r="AT27" i="42"/>
  <c r="AS19" i="43"/>
  <c r="AU28" i="42"/>
  <c r="AT16" i="42"/>
  <c r="AT8" i="43" s="1"/>
  <c r="AT29" i="43"/>
  <c r="AU22" i="41"/>
  <c r="AV22" i="41" s="1"/>
  <c r="AU23" i="42"/>
  <c r="AT21" i="43"/>
  <c r="AD50" i="41"/>
  <c r="AD52" i="41" s="1"/>
  <c r="AD54" i="41" s="1"/>
  <c r="AC52" i="41"/>
  <c r="AC54" i="41" s="1"/>
  <c r="AC57" i="41"/>
  <c r="AT117" i="41"/>
  <c r="AP33" i="43"/>
  <c r="AR30" i="41"/>
  <c r="AR33" i="43" s="1"/>
  <c r="AD5" i="41"/>
  <c r="AD133" i="41" s="1"/>
  <c r="AD62" i="41"/>
  <c r="AD10" i="41" s="1"/>
  <c r="AD46" i="41"/>
  <c r="AQ75" i="41"/>
  <c r="AQ84" i="41"/>
  <c r="AC5" i="41"/>
  <c r="AC133" i="41" s="1"/>
  <c r="AC46" i="41"/>
  <c r="AC62" i="41"/>
  <c r="AE41" i="41"/>
  <c r="AL90" i="41"/>
  <c r="W24" i="41"/>
  <c r="V29" i="41"/>
  <c r="V6" i="43"/>
  <c r="V27" i="41"/>
  <c r="AC10" i="41" l="1"/>
  <c r="AV28" i="41"/>
  <c r="AV18" i="41"/>
  <c r="AT14" i="41"/>
  <c r="AU69" i="41"/>
  <c r="AV69" i="41" s="1"/>
  <c r="AU27" i="42"/>
  <c r="AT19" i="43"/>
  <c r="AU21" i="43"/>
  <c r="AV21" i="43" s="1"/>
  <c r="AV23" i="42"/>
  <c r="AV10" i="42"/>
  <c r="AU17" i="43"/>
  <c r="AV17" i="43" s="1"/>
  <c r="AV28" i="42"/>
  <c r="AV67" i="42" s="1"/>
  <c r="AU16" i="42"/>
  <c r="AU29" i="43"/>
  <c r="AV29" i="43" s="1"/>
  <c r="AQ33" i="43"/>
  <c r="AQ57" i="43" s="1"/>
  <c r="AP57" i="43"/>
  <c r="AF41" i="41"/>
  <c r="AF43" i="41" s="1"/>
  <c r="AF45" i="41" s="1"/>
  <c r="AS30" i="41"/>
  <c r="AS33" i="43" s="1"/>
  <c r="AR57" i="43"/>
  <c r="AU117" i="41"/>
  <c r="AO84" i="41"/>
  <c r="AN84" i="41"/>
  <c r="AM84" i="41"/>
  <c r="AP84" i="41"/>
  <c r="AM75" i="41"/>
  <c r="AM74" i="41" s="1"/>
  <c r="AO75" i="41"/>
  <c r="AN75" i="41"/>
  <c r="AP75" i="41"/>
  <c r="AD6" i="41"/>
  <c r="AD134" i="41" s="1"/>
  <c r="AD59" i="41"/>
  <c r="AC6" i="41"/>
  <c r="AC59" i="41"/>
  <c r="AE43" i="41"/>
  <c r="AE45" i="41" s="1"/>
  <c r="AE50" i="41"/>
  <c r="AE52" i="41" s="1"/>
  <c r="AE54" i="41" s="1"/>
  <c r="AD57" i="41"/>
  <c r="V34" i="41"/>
  <c r="V22" i="43"/>
  <c r="V55" i="43" s="1"/>
  <c r="W6" i="43"/>
  <c r="W143" i="41"/>
  <c r="W29" i="41"/>
  <c r="V33" i="41"/>
  <c r="V32" i="41"/>
  <c r="W25" i="41"/>
  <c r="AU14" i="41" l="1"/>
  <c r="AV14" i="41" s="1"/>
  <c r="AC134" i="41"/>
  <c r="AP91" i="41"/>
  <c r="AU19" i="43"/>
  <c r="AV19" i="43" s="1"/>
  <c r="AV27" i="42"/>
  <c r="AN91" i="41"/>
  <c r="AU8" i="43"/>
  <c r="AV8" i="43" s="1"/>
  <c r="AV16" i="42"/>
  <c r="AD8" i="41"/>
  <c r="AO91" i="41"/>
  <c r="AM91" i="41"/>
  <c r="AM83" i="41"/>
  <c r="AD64" i="41"/>
  <c r="AD11" i="41" s="1"/>
  <c r="AD60" i="41"/>
  <c r="AD9" i="41" s="1"/>
  <c r="AD67" i="41"/>
  <c r="AD13" i="41" s="1"/>
  <c r="AC8" i="41"/>
  <c r="AC140" i="41" s="1"/>
  <c r="AE5" i="41"/>
  <c r="AE46" i="41"/>
  <c r="AE62" i="41"/>
  <c r="AG45" i="41"/>
  <c r="AC64" i="41"/>
  <c r="AC67" i="41"/>
  <c r="AC60" i="41"/>
  <c r="AT30" i="41"/>
  <c r="AT33" i="43" s="1"/>
  <c r="AS57" i="43"/>
  <c r="AE6" i="41"/>
  <c r="AE134" i="41" s="1"/>
  <c r="AE59" i="41"/>
  <c r="AF46" i="41"/>
  <c r="AF62" i="41"/>
  <c r="AF50" i="41"/>
  <c r="AF52" i="41"/>
  <c r="AF54" i="41" s="1"/>
  <c r="AE57" i="41"/>
  <c r="AN74" i="41"/>
  <c r="AM76" i="41"/>
  <c r="AM78" i="41" s="1"/>
  <c r="AG41" i="41"/>
  <c r="V146" i="41"/>
  <c r="W22" i="43"/>
  <c r="W27" i="41"/>
  <c r="V147" i="41"/>
  <c r="W38" i="42"/>
  <c r="V41" i="42"/>
  <c r="AC13" i="41" l="1"/>
  <c r="AC11" i="41"/>
  <c r="AE10" i="41"/>
  <c r="AG62" i="41"/>
  <c r="AG63" i="41" s="1"/>
  <c r="AC9" i="41"/>
  <c r="AD12" i="43"/>
  <c r="AD140" i="41"/>
  <c r="AD8" i="42"/>
  <c r="AD25" i="43"/>
  <c r="AE8" i="41"/>
  <c r="AE12" i="43" s="1"/>
  <c r="AM95" i="41"/>
  <c r="AN76" i="41"/>
  <c r="AN78" i="41" s="1"/>
  <c r="AO74" i="41"/>
  <c r="AC12" i="43"/>
  <c r="AC8" i="42"/>
  <c r="AC25" i="43"/>
  <c r="AD22" i="42"/>
  <c r="AD9" i="42"/>
  <c r="AU30" i="41"/>
  <c r="AT57" i="43"/>
  <c r="AF6" i="41"/>
  <c r="AF134" i="41" s="1"/>
  <c r="AF59" i="41"/>
  <c r="AG59" i="41" s="1"/>
  <c r="AG54" i="41"/>
  <c r="AE64" i="41"/>
  <c r="AE11" i="41" s="1"/>
  <c r="AE60" i="41"/>
  <c r="AE9" i="41" s="1"/>
  <c r="AE67" i="41"/>
  <c r="AE13" i="41" s="1"/>
  <c r="AC22" i="42"/>
  <c r="AC9" i="42"/>
  <c r="AG50" i="41"/>
  <c r="AF57" i="41"/>
  <c r="AL58" i="41" s="1"/>
  <c r="AG46" i="41"/>
  <c r="AN83" i="41"/>
  <c r="AM85" i="41"/>
  <c r="AM87" i="41" s="1"/>
  <c r="AM92" i="41" s="1"/>
  <c r="AM90" i="41"/>
  <c r="AE133" i="41"/>
  <c r="W31" i="41"/>
  <c r="W34" i="41" s="1"/>
  <c r="W30" i="41"/>
  <c r="W32" i="41" s="1"/>
  <c r="W55" i="43"/>
  <c r="W41" i="42"/>
  <c r="V42" i="42"/>
  <c r="V62" i="42"/>
  <c r="AL139" i="41" l="1"/>
  <c r="AE25" i="43"/>
  <c r="AE140" i="41"/>
  <c r="AE8" i="42"/>
  <c r="AE15" i="43" s="1"/>
  <c r="AD18" i="43"/>
  <c r="AG6" i="41"/>
  <c r="AC30" i="42"/>
  <c r="AC35" i="42" s="1"/>
  <c r="AU33" i="43"/>
  <c r="AU57" i="43" s="1"/>
  <c r="AE22" i="42"/>
  <c r="AE18" i="43" s="1"/>
  <c r="AE9" i="42"/>
  <c r="AE16" i="43" s="1"/>
  <c r="AO76" i="41"/>
  <c r="AO78" i="41" s="1"/>
  <c r="AP74" i="41"/>
  <c r="AN95" i="41"/>
  <c r="AN79" i="41"/>
  <c r="AO83" i="41"/>
  <c r="AN90" i="41"/>
  <c r="AF60" i="41"/>
  <c r="AG60" i="41" s="1"/>
  <c r="AF64" i="41"/>
  <c r="AG64" i="41" s="1"/>
  <c r="AG65" i="41" s="1"/>
  <c r="AF67" i="41"/>
  <c r="AG67" i="41" s="1"/>
  <c r="AG68" i="41" s="1"/>
  <c r="AD30" i="42"/>
  <c r="AD35" i="42" s="1"/>
  <c r="AN85" i="41"/>
  <c r="AN87" i="41" s="1"/>
  <c r="AN92" i="41" s="1"/>
  <c r="AD15" i="43"/>
  <c r="AM97" i="41"/>
  <c r="AM100" i="41"/>
  <c r="AM93" i="41"/>
  <c r="AL51" i="41"/>
  <c r="AL42" i="41"/>
  <c r="AD16" i="43"/>
  <c r="W42" i="42"/>
  <c r="W62" i="42"/>
  <c r="W33" i="41"/>
  <c r="W147" i="41"/>
  <c r="AG61" i="41" l="1"/>
  <c r="AV33" i="43"/>
  <c r="AV57" i="43" s="1"/>
  <c r="AJ42" i="41"/>
  <c r="AH42" i="41"/>
  <c r="AH41" i="41" s="1"/>
  <c r="AK42" i="41"/>
  <c r="AI42" i="41"/>
  <c r="AO85" i="41"/>
  <c r="AO87" i="41" s="1"/>
  <c r="AO92" i="41" s="1"/>
  <c r="AP83" i="41"/>
  <c r="AP85" i="41" s="1"/>
  <c r="AP87" i="41" s="1"/>
  <c r="AO90" i="41"/>
  <c r="AK51" i="41"/>
  <c r="AI51" i="41"/>
  <c r="AJ51" i="41"/>
  <c r="AH51" i="41"/>
  <c r="AP76" i="41"/>
  <c r="AN100" i="41"/>
  <c r="AN97" i="41"/>
  <c r="AN93" i="41"/>
  <c r="AO95" i="41"/>
  <c r="AO79" i="41"/>
  <c r="AE30" i="42"/>
  <c r="AE35" i="42" s="1"/>
  <c r="W146" i="41"/>
  <c r="W36" i="41"/>
  <c r="W12" i="42"/>
  <c r="W17" i="42"/>
  <c r="W7" i="42"/>
  <c r="AJ58" i="41" l="1"/>
  <c r="AP90" i="41"/>
  <c r="AO100" i="41"/>
  <c r="AO93" i="41"/>
  <c r="AO97" i="41"/>
  <c r="AH50" i="41"/>
  <c r="AH58" i="41"/>
  <c r="AI41" i="41"/>
  <c r="AI43" i="41" s="1"/>
  <c r="AI45" i="41" s="1"/>
  <c r="AH43" i="41"/>
  <c r="AH45" i="41" s="1"/>
  <c r="AI58" i="41"/>
  <c r="AK58" i="41"/>
  <c r="W26" i="43"/>
  <c r="V27" i="43"/>
  <c r="W24" i="43"/>
  <c r="AH46" i="41" l="1"/>
  <c r="AH62" i="41"/>
  <c r="AH5" i="41"/>
  <c r="AH133" i="41" s="1"/>
  <c r="AJ41" i="41"/>
  <c r="AJ43" i="41" s="1"/>
  <c r="AJ45" i="41" s="1"/>
  <c r="AV91" i="41"/>
  <c r="AI50" i="41"/>
  <c r="AI52" i="41"/>
  <c r="AI54" i="41" s="1"/>
  <c r="AH57" i="41"/>
  <c r="AH52" i="41"/>
  <c r="AH54" i="41" s="1"/>
  <c r="AI5" i="41"/>
  <c r="AI133" i="41" s="1"/>
  <c r="AI62" i="41"/>
  <c r="AI10" i="41" s="1"/>
  <c r="AI46" i="41"/>
  <c r="W27" i="43"/>
  <c r="V39" i="43"/>
  <c r="AH10" i="41" l="1"/>
  <c r="AI6" i="41"/>
  <c r="AI134" i="41" s="1"/>
  <c r="AI59" i="41"/>
  <c r="AV75" i="41"/>
  <c r="AV84" i="41"/>
  <c r="AH6" i="41"/>
  <c r="AH59" i="41"/>
  <c r="AK41" i="41"/>
  <c r="AK43" i="41" s="1"/>
  <c r="AK45" i="41" s="1"/>
  <c r="AJ50" i="41"/>
  <c r="AJ52" i="41" s="1"/>
  <c r="AJ54" i="41" s="1"/>
  <c r="AI57" i="41"/>
  <c r="AJ62" i="41"/>
  <c r="AJ10" i="41" s="1"/>
  <c r="AJ46" i="41"/>
  <c r="AJ5" i="41"/>
  <c r="AJ133" i="41" s="1"/>
  <c r="V41" i="43"/>
  <c r="X40" i="43" s="1"/>
  <c r="W39" i="43"/>
  <c r="AI8" i="41" l="1"/>
  <c r="AI140" i="41" s="1"/>
  <c r="AH134" i="41"/>
  <c r="AH60" i="41"/>
  <c r="AH64" i="41"/>
  <c r="AH67" i="41"/>
  <c r="AK46" i="41"/>
  <c r="AK62" i="41"/>
  <c r="AL62" i="41" s="1"/>
  <c r="AL63" i="41" s="1"/>
  <c r="AS84" i="41"/>
  <c r="AS91" i="41" s="1"/>
  <c r="AR84" i="41"/>
  <c r="AU84" i="41"/>
  <c r="AU91" i="41" s="1"/>
  <c r="AT84" i="41"/>
  <c r="AJ6" i="41"/>
  <c r="AJ134" i="41" s="1"/>
  <c r="AJ59" i="41"/>
  <c r="AL41" i="41"/>
  <c r="AL45" i="41"/>
  <c r="AU75" i="41"/>
  <c r="AT75" i="41"/>
  <c r="AS75" i="41"/>
  <c r="AR75" i="41"/>
  <c r="AR74" i="41" s="1"/>
  <c r="AK50" i="41"/>
  <c r="AK52" i="41" s="1"/>
  <c r="AK54" i="41" s="1"/>
  <c r="AJ57" i="41"/>
  <c r="AI12" i="43"/>
  <c r="AH8" i="41"/>
  <c r="AH140" i="41" s="1"/>
  <c r="AI60" i="41"/>
  <c r="AI9" i="41" s="1"/>
  <c r="AI64" i="41"/>
  <c r="AI11" i="41" s="1"/>
  <c r="AI67" i="41"/>
  <c r="AI13" i="41" s="1"/>
  <c r="W41" i="43"/>
  <c r="AB40" i="43" s="1"/>
  <c r="V6" i="42"/>
  <c r="AI8" i="42" l="1"/>
  <c r="AI25" i="43"/>
  <c r="AH13" i="41"/>
  <c r="AH9" i="41"/>
  <c r="AH9" i="42" s="1"/>
  <c r="AH11" i="41"/>
  <c r="AJ8" i="41"/>
  <c r="AJ140" i="41" s="1"/>
  <c r="AT91" i="41"/>
  <c r="AK6" i="41"/>
  <c r="AK59" i="41"/>
  <c r="AL59" i="41" s="1"/>
  <c r="AL54" i="41"/>
  <c r="AR91" i="41"/>
  <c r="AR83" i="41"/>
  <c r="AI9" i="42"/>
  <c r="AI22" i="42"/>
  <c r="AL50" i="41"/>
  <c r="AK57" i="41"/>
  <c r="AQ58" i="41" s="1"/>
  <c r="AH8" i="42"/>
  <c r="AH12" i="43"/>
  <c r="AH25" i="43"/>
  <c r="AL46" i="41"/>
  <c r="AJ25" i="43"/>
  <c r="AR76" i="41"/>
  <c r="AR78" i="41" s="1"/>
  <c r="AS74" i="41"/>
  <c r="AJ60" i="41"/>
  <c r="AJ9" i="41" s="1"/>
  <c r="AJ67" i="41"/>
  <c r="AJ13" i="41" s="1"/>
  <c r="AJ64" i="41"/>
  <c r="AJ11" i="41" s="1"/>
  <c r="V144" i="41"/>
  <c r="X144" i="41" s="1"/>
  <c r="Y144" i="41" s="1"/>
  <c r="Z144" i="41" s="1"/>
  <c r="AA144" i="41" s="1"/>
  <c r="AC144" i="41" s="1"/>
  <c r="AD144" i="41" s="1"/>
  <c r="AE144" i="41" s="1"/>
  <c r="AF144" i="41" s="1"/>
  <c r="AH144" i="41" s="1"/>
  <c r="AI144" i="41" s="1"/>
  <c r="AJ144" i="41" s="1"/>
  <c r="AK144" i="41" s="1"/>
  <c r="AM144" i="41" s="1"/>
  <c r="AN144" i="41" s="1"/>
  <c r="AO144" i="41" s="1"/>
  <c r="AP144" i="41" s="1"/>
  <c r="AR144" i="41" s="1"/>
  <c r="AS144" i="41" s="1"/>
  <c r="AT144" i="41" s="1"/>
  <c r="AU144" i="41" s="1"/>
  <c r="V46" i="43"/>
  <c r="V11" i="42"/>
  <c r="W6" i="42"/>
  <c r="AH22" i="42" l="1"/>
  <c r="AH30" i="42" s="1"/>
  <c r="AH35" i="42" s="1"/>
  <c r="AJ12" i="43"/>
  <c r="AJ8" i="42"/>
  <c r="AJ15" i="43" s="1"/>
  <c r="AQ139" i="41"/>
  <c r="AI18" i="43"/>
  <c r="X21" i="41"/>
  <c r="AK134" i="41"/>
  <c r="AL6" i="41"/>
  <c r="AI16" i="43"/>
  <c r="AI15" i="43"/>
  <c r="AI30" i="42"/>
  <c r="AI35" i="42" s="1"/>
  <c r="AQ42" i="41"/>
  <c r="AQ51" i="41"/>
  <c r="AS83" i="41"/>
  <c r="AR85" i="41"/>
  <c r="AR87" i="41" s="1"/>
  <c r="AR92" i="41" s="1"/>
  <c r="AR90" i="41"/>
  <c r="AJ22" i="42"/>
  <c r="AJ18" i="43" s="1"/>
  <c r="AJ9" i="42"/>
  <c r="AJ16" i="43" s="1"/>
  <c r="AS76" i="41"/>
  <c r="AS78" i="41" s="1"/>
  <c r="AT74" i="41"/>
  <c r="AR95" i="41"/>
  <c r="AK64" i="41"/>
  <c r="AL64" i="41" s="1"/>
  <c r="AL65" i="41" s="1"/>
  <c r="AK60" i="41"/>
  <c r="AL60" i="41" s="1"/>
  <c r="AL61" i="41" s="1"/>
  <c r="AK67" i="41"/>
  <c r="AL67" i="41" s="1"/>
  <c r="AL68" i="41" s="1"/>
  <c r="V20" i="42"/>
  <c r="V53" i="42" s="1"/>
  <c r="W11" i="42"/>
  <c r="W46" i="43"/>
  <c r="V48" i="43"/>
  <c r="AP51" i="41" l="1"/>
  <c r="AO51" i="41"/>
  <c r="AN51" i="41"/>
  <c r="AM51" i="41"/>
  <c r="AM42" i="41"/>
  <c r="AM41" i="41" s="1"/>
  <c r="AO42" i="41"/>
  <c r="AN42" i="41"/>
  <c r="AP42" i="41"/>
  <c r="AJ30" i="42"/>
  <c r="AJ35" i="42" s="1"/>
  <c r="AR100" i="41"/>
  <c r="AR93" i="41"/>
  <c r="AR97" i="41"/>
  <c r="AT76" i="41"/>
  <c r="AT78" i="41" s="1"/>
  <c r="AU74" i="41"/>
  <c r="AU76" i="41"/>
  <c r="AS85" i="41"/>
  <c r="AS87" i="41" s="1"/>
  <c r="AS92" i="41" s="1"/>
  <c r="AT83" i="41"/>
  <c r="AS90" i="41"/>
  <c r="AS95" i="41"/>
  <c r="AS79" i="41"/>
  <c r="W48" i="43"/>
  <c r="W20" i="42"/>
  <c r="V43" i="42"/>
  <c r="AP58" i="41" l="1"/>
  <c r="AS97" i="41"/>
  <c r="AS93" i="41"/>
  <c r="AS100" i="41"/>
  <c r="AM58" i="41"/>
  <c r="AM50" i="41"/>
  <c r="AT95" i="41"/>
  <c r="AT79" i="41"/>
  <c r="AN58" i="41"/>
  <c r="AM57" i="41"/>
  <c r="AM43" i="41"/>
  <c r="AM45" i="41" s="1"/>
  <c r="AN41" i="41"/>
  <c r="AN43" i="41" s="1"/>
  <c r="AN45" i="41" s="1"/>
  <c r="AO58" i="41"/>
  <c r="AT85" i="41"/>
  <c r="AT87" i="41" s="1"/>
  <c r="AT92" i="41" s="1"/>
  <c r="AU83" i="41"/>
  <c r="AU90" i="41" s="1"/>
  <c r="AU85" i="41"/>
  <c r="AU87" i="41" s="1"/>
  <c r="AT90" i="41"/>
  <c r="W43" i="42"/>
  <c r="AM46" i="41" l="1"/>
  <c r="AM62" i="41"/>
  <c r="AM5" i="41"/>
  <c r="AM133" i="41"/>
  <c r="AM52" i="41"/>
  <c r="AM54" i="41" s="1"/>
  <c r="AN50" i="41"/>
  <c r="AN52" i="41"/>
  <c r="AN54" i="41" s="1"/>
  <c r="AN46" i="41"/>
  <c r="AN62" i="41"/>
  <c r="AN10" i="41" s="1"/>
  <c r="AN5" i="41"/>
  <c r="AT97" i="41"/>
  <c r="AT93" i="41"/>
  <c r="AT100" i="41"/>
  <c r="AO41" i="41"/>
  <c r="AO43" i="41"/>
  <c r="AO45" i="41" s="1"/>
  <c r="W95" i="41"/>
  <c r="V92" i="41"/>
  <c r="W78" i="41"/>
  <c r="W79" i="41" s="1"/>
  <c r="V133" i="41"/>
  <c r="V77" i="41"/>
  <c r="AA77" i="41" s="1"/>
  <c r="V79" i="41"/>
  <c r="AM10" i="41" l="1"/>
  <c r="AM6" i="41"/>
  <c r="AM8" i="41" s="1"/>
  <c r="AM140" i="41" s="1"/>
  <c r="AM59" i="41"/>
  <c r="AO50" i="41"/>
  <c r="AO52" i="41" s="1"/>
  <c r="AO54" i="41" s="1"/>
  <c r="AN57" i="41"/>
  <c r="AO57" i="41"/>
  <c r="AP41" i="41"/>
  <c r="AN133" i="41"/>
  <c r="AO46" i="41"/>
  <c r="AO62" i="41"/>
  <c r="AO10" i="41" s="1"/>
  <c r="AO5" i="41"/>
  <c r="AO133" i="41" s="1"/>
  <c r="AF77" i="41"/>
  <c r="AA78" i="41"/>
  <c r="AN59" i="41"/>
  <c r="AN6" i="41"/>
  <c r="AN134" i="41" s="1"/>
  <c r="V101" i="41"/>
  <c r="V98" i="41"/>
  <c r="V94" i="41"/>
  <c r="W97" i="41"/>
  <c r="W96" i="41"/>
  <c r="W92" i="41"/>
  <c r="W93" i="41"/>
  <c r="V103" i="41"/>
  <c r="AM134" i="41" l="1"/>
  <c r="AO6" i="41"/>
  <c r="AO134" i="41" s="1"/>
  <c r="AO59" i="41"/>
  <c r="AQ41" i="41"/>
  <c r="AN60" i="41"/>
  <c r="AN9" i="41" s="1"/>
  <c r="AN64" i="41"/>
  <c r="AN11" i="41" s="1"/>
  <c r="AN67" i="41"/>
  <c r="AN13" i="41" s="1"/>
  <c r="AN8" i="41"/>
  <c r="AN140" i="41" s="1"/>
  <c r="AP50" i="41"/>
  <c r="AP52" i="41" s="1"/>
  <c r="AP54" i="41" s="1"/>
  <c r="AQ54" i="41" s="1"/>
  <c r="AP43" i="41"/>
  <c r="AP45" i="41" s="1"/>
  <c r="V180" i="41"/>
  <c r="AA94" i="41"/>
  <c r="AK77" i="41"/>
  <c r="AF78" i="41"/>
  <c r="AO8" i="41"/>
  <c r="AO140" i="41" s="1"/>
  <c r="AM67" i="41"/>
  <c r="AM64" i="41"/>
  <c r="AM60" i="41"/>
  <c r="AA101" i="41"/>
  <c r="V183" i="41"/>
  <c r="AA95" i="41"/>
  <c r="AA10" i="41" s="1"/>
  <c r="AB10" i="41" s="1"/>
  <c r="AA79" i="41"/>
  <c r="AA92" i="41"/>
  <c r="AB92" i="41" s="1"/>
  <c r="AC79" i="41"/>
  <c r="AA5" i="41"/>
  <c r="AA98" i="41"/>
  <c r="V182" i="41"/>
  <c r="AM8" i="42"/>
  <c r="AM25" i="43"/>
  <c r="AM12" i="43"/>
  <c r="V105" i="41"/>
  <c r="W100" i="41"/>
  <c r="W103" i="41" s="1"/>
  <c r="W94" i="41"/>
  <c r="W98" i="41"/>
  <c r="W82" i="41"/>
  <c r="AM13" i="41" l="1"/>
  <c r="AM9" i="41"/>
  <c r="AM11" i="41"/>
  <c r="AA8" i="41"/>
  <c r="AA25" i="43" s="1"/>
  <c r="AB25" i="43" s="1"/>
  <c r="AB56" i="43" s="1"/>
  <c r="AB5" i="41"/>
  <c r="AB8" i="41" s="1"/>
  <c r="AB140" i="41" s="1"/>
  <c r="AF101" i="41"/>
  <c r="AA183" i="41"/>
  <c r="AN8" i="42"/>
  <c r="AN15" i="43" s="1"/>
  <c r="AN25" i="43"/>
  <c r="AN12" i="43"/>
  <c r="AA97" i="41"/>
  <c r="AA11" i="41" s="1"/>
  <c r="AB11" i="41" s="1"/>
  <c r="AA100" i="41"/>
  <c r="AA13" i="41" s="1"/>
  <c r="AB13" i="41" s="1"/>
  <c r="AA93" i="41"/>
  <c r="AP6" i="41"/>
  <c r="AP134" i="41" s="1"/>
  <c r="AP59" i="41"/>
  <c r="AQ59" i="41" s="1"/>
  <c r="AN22" i="42"/>
  <c r="AN9" i="42"/>
  <c r="AM9" i="42"/>
  <c r="AM22" i="42"/>
  <c r="AA182" i="41"/>
  <c r="AF98" i="41"/>
  <c r="AO25" i="43"/>
  <c r="AO12" i="43"/>
  <c r="AO8" i="42"/>
  <c r="AP62" i="41"/>
  <c r="AQ62" i="41" s="1"/>
  <c r="AP46" i="41"/>
  <c r="AQ45" i="41"/>
  <c r="AF95" i="41"/>
  <c r="AF10" i="41" s="1"/>
  <c r="AG10" i="41" s="1"/>
  <c r="AF92" i="41"/>
  <c r="AG92" i="41" s="1"/>
  <c r="AF79" i="41"/>
  <c r="AH79" i="41"/>
  <c r="AF5" i="41"/>
  <c r="AA133" i="41"/>
  <c r="AP77" i="41"/>
  <c r="AK78" i="41"/>
  <c r="AO67" i="41"/>
  <c r="AO13" i="41" s="1"/>
  <c r="AO60" i="41"/>
  <c r="AO9" i="41" s="1"/>
  <c r="AO64" i="41"/>
  <c r="AO11" i="41" s="1"/>
  <c r="AQ50" i="41"/>
  <c r="AP57" i="41"/>
  <c r="AV58" i="41" s="1"/>
  <c r="AV139" i="41" s="1"/>
  <c r="AA180" i="41"/>
  <c r="AF94" i="41"/>
  <c r="W101" i="41"/>
  <c r="V137" i="41"/>
  <c r="V106" i="41"/>
  <c r="W105" i="41"/>
  <c r="AA8" i="42" l="1"/>
  <c r="AQ63" i="41"/>
  <c r="AA12" i="43"/>
  <c r="AA35" i="43" s="1"/>
  <c r="AB35" i="43" s="1"/>
  <c r="AB37" i="43" s="1"/>
  <c r="AA140" i="41"/>
  <c r="AN16" i="43"/>
  <c r="AQ6" i="41"/>
  <c r="AO15" i="43"/>
  <c r="AN18" i="43"/>
  <c r="AF8" i="41"/>
  <c r="AG5" i="41"/>
  <c r="AG8" i="41" s="1"/>
  <c r="AG140" i="41" s="1"/>
  <c r="AU77" i="41"/>
  <c r="AU78" i="41" s="1"/>
  <c r="AP78" i="41"/>
  <c r="AQ46" i="41"/>
  <c r="AF133" i="41"/>
  <c r="AF100" i="41"/>
  <c r="AF13" i="41" s="1"/>
  <c r="AG13" i="41" s="1"/>
  <c r="AF97" i="41"/>
  <c r="AF11" i="41" s="1"/>
  <c r="AG11" i="41" s="1"/>
  <c r="AF93" i="41"/>
  <c r="AF9" i="41" s="1"/>
  <c r="AG9" i="41" s="1"/>
  <c r="AN30" i="42"/>
  <c r="AN35" i="42" s="1"/>
  <c r="AK98" i="41"/>
  <c r="AF182" i="41"/>
  <c r="AO22" i="42"/>
  <c r="AO18" i="43" s="1"/>
  <c r="AO9" i="42"/>
  <c r="AO16" i="43" s="1"/>
  <c r="AB8" i="42"/>
  <c r="AA15" i="43"/>
  <c r="AB15" i="43" s="1"/>
  <c r="AC15" i="43"/>
  <c r="AP67" i="41"/>
  <c r="AQ67" i="41" s="1"/>
  <c r="AQ68" i="41" s="1"/>
  <c r="AP64" i="41"/>
  <c r="AQ64" i="41" s="1"/>
  <c r="AQ65" i="41" s="1"/>
  <c r="AP60" i="41"/>
  <c r="AQ60" i="41" s="1"/>
  <c r="AQ61" i="41" s="1"/>
  <c r="AM30" i="42"/>
  <c r="AM35" i="42" s="1"/>
  <c r="AK94" i="41"/>
  <c r="AF180" i="41"/>
  <c r="AV51" i="41"/>
  <c r="AV42" i="41"/>
  <c r="AK95" i="41"/>
  <c r="AK10" i="41" s="1"/>
  <c r="AL10" i="41" s="1"/>
  <c r="AK79" i="41"/>
  <c r="AK92" i="41"/>
  <c r="AL92" i="41" s="1"/>
  <c r="AM79" i="41"/>
  <c r="AK5" i="41"/>
  <c r="AF183" i="41"/>
  <c r="AK101" i="41"/>
  <c r="W106" i="41"/>
  <c r="X14" i="42"/>
  <c r="Y7" i="43" s="1"/>
  <c r="AB12" i="43" l="1"/>
  <c r="AF25" i="43"/>
  <c r="AG25" i="43" s="1"/>
  <c r="AG56" i="43" s="1"/>
  <c r="AF140" i="41"/>
  <c r="AA37" i="42"/>
  <c r="AB37" i="42" s="1"/>
  <c r="AA37" i="43"/>
  <c r="AC35" i="43"/>
  <c r="AD35" i="43" s="1"/>
  <c r="AF8" i="42"/>
  <c r="AG8" i="42" s="1"/>
  <c r="AF12" i="43"/>
  <c r="AG12" i="43" s="1"/>
  <c r="AK8" i="41"/>
  <c r="AK25" i="43" s="1"/>
  <c r="AL25" i="43" s="1"/>
  <c r="AL56" i="43" s="1"/>
  <c r="AL5" i="41"/>
  <c r="AL8" i="41" s="1"/>
  <c r="AL140" i="41" s="1"/>
  <c r="AF9" i="42"/>
  <c r="AF22" i="42"/>
  <c r="AK97" i="41"/>
  <c r="AK11" i="41" s="1"/>
  <c r="AL11" i="41" s="1"/>
  <c r="AK100" i="41"/>
  <c r="AK13" i="41" s="1"/>
  <c r="AL13" i="41" s="1"/>
  <c r="AK93" i="41"/>
  <c r="AK9" i="41" s="1"/>
  <c r="AL9" i="41" s="1"/>
  <c r="AO30" i="42"/>
  <c r="AO35" i="42" s="1"/>
  <c r="AK183" i="41"/>
  <c r="AP101" i="41"/>
  <c r="AU101" i="41" s="1"/>
  <c r="AU183" i="41" s="1"/>
  <c r="AP94" i="41"/>
  <c r="AU94" i="41" s="1"/>
  <c r="AU180" i="41" s="1"/>
  <c r="AK180" i="41"/>
  <c r="AP98" i="41"/>
  <c r="AU98" i="41" s="1"/>
  <c r="AU182" i="41" s="1"/>
  <c r="AK182" i="41"/>
  <c r="AT51" i="41"/>
  <c r="AU51" i="41"/>
  <c r="AR51" i="41"/>
  <c r="AS51" i="41"/>
  <c r="AP79" i="41"/>
  <c r="AP95" i="41"/>
  <c r="AP10" i="41" s="1"/>
  <c r="AQ10" i="41" s="1"/>
  <c r="AP92" i="41"/>
  <c r="AQ92" i="41" s="1"/>
  <c r="AR79" i="41"/>
  <c r="AP5" i="41"/>
  <c r="AT42" i="41"/>
  <c r="AS42" i="41"/>
  <c r="AU42" i="41"/>
  <c r="AR42" i="41"/>
  <c r="AR41" i="41" s="1"/>
  <c r="AK133" i="41"/>
  <c r="AU79" i="41"/>
  <c r="AU95" i="41"/>
  <c r="AU92" i="41"/>
  <c r="AV92" i="41" s="1"/>
  <c r="Y127" i="41"/>
  <c r="Y114" i="41"/>
  <c r="Y99" i="41"/>
  <c r="Y66" i="41"/>
  <c r="Y14" i="42"/>
  <c r="AC37" i="42" l="1"/>
  <c r="AF15" i="43"/>
  <c r="AG15" i="43" s="1"/>
  <c r="AH15" i="43"/>
  <c r="AK12" i="43"/>
  <c r="AL12" i="43" s="1"/>
  <c r="AK140" i="41"/>
  <c r="AK8" i="42"/>
  <c r="AM15" i="43" s="1"/>
  <c r="AC37" i="43"/>
  <c r="AF18" i="43"/>
  <c r="AH18" i="43"/>
  <c r="AP8" i="41"/>
  <c r="AQ5" i="41"/>
  <c r="AQ8" i="41" s="1"/>
  <c r="AQ140" i="41" s="1"/>
  <c r="AP133" i="41"/>
  <c r="AP93" i="41"/>
  <c r="AP9" i="41" s="1"/>
  <c r="AQ9" i="41" s="1"/>
  <c r="AP97" i="41"/>
  <c r="AP11" i="41" s="1"/>
  <c r="AQ11" i="41" s="1"/>
  <c r="AP100" i="41"/>
  <c r="AP13" i="41" s="1"/>
  <c r="AQ13" i="41" s="1"/>
  <c r="AK22" i="42"/>
  <c r="AK9" i="42"/>
  <c r="AP180" i="41"/>
  <c r="AD37" i="42"/>
  <c r="AS41" i="41"/>
  <c r="AR43" i="41"/>
  <c r="AR45" i="41" s="1"/>
  <c r="AS43" i="41"/>
  <c r="AS45" i="41" s="1"/>
  <c r="AK15" i="43"/>
  <c r="AL15" i="43" s="1"/>
  <c r="AS58" i="41"/>
  <c r="AP183" i="41"/>
  <c r="AP182" i="41"/>
  <c r="AR58" i="41"/>
  <c r="AR50" i="41"/>
  <c r="AF30" i="42"/>
  <c r="AF35" i="42" s="1"/>
  <c r="AG22" i="42"/>
  <c r="AG30" i="42" s="1"/>
  <c r="AG35" i="42" s="1"/>
  <c r="AU93" i="41"/>
  <c r="AU97" i="41"/>
  <c r="AU100" i="41"/>
  <c r="AU58" i="41"/>
  <c r="AG9" i="42"/>
  <c r="AF16" i="43"/>
  <c r="AH16" i="43"/>
  <c r="AE35" i="43"/>
  <c r="AD37" i="43"/>
  <c r="AT58" i="41"/>
  <c r="Y103" i="41"/>
  <c r="Y130" i="41"/>
  <c r="Y131" i="41" s="1"/>
  <c r="Y12" i="41"/>
  <c r="Y118" i="41"/>
  <c r="Y120" i="41" s="1"/>
  <c r="Y121" i="41" s="1"/>
  <c r="Z7" i="43"/>
  <c r="AL8" i="42" l="1"/>
  <c r="AP25" i="43"/>
  <c r="AQ25" i="43" s="1"/>
  <c r="AQ56" i="43" s="1"/>
  <c r="AP140" i="41"/>
  <c r="AP8" i="42"/>
  <c r="AQ8" i="42" s="1"/>
  <c r="Y105" i="41"/>
  <c r="Y106" i="41" s="1"/>
  <c r="AK18" i="43"/>
  <c r="AL18" i="43" s="1"/>
  <c r="AM18" i="43"/>
  <c r="AP12" i="43"/>
  <c r="AQ12" i="43" s="1"/>
  <c r="Z99" i="41"/>
  <c r="Z103" i="41" s="1"/>
  <c r="Z105" i="41" s="1"/>
  <c r="Z106" i="41" s="1"/>
  <c r="AR46" i="41"/>
  <c r="AR62" i="41"/>
  <c r="AR5" i="41"/>
  <c r="AK16" i="43"/>
  <c r="AL16" i="43" s="1"/>
  <c r="AL9" i="42"/>
  <c r="AM16" i="43"/>
  <c r="AS5" i="41"/>
  <c r="AS46" i="41"/>
  <c r="AS62" i="41"/>
  <c r="AS10" i="41" s="1"/>
  <c r="AT41" i="41"/>
  <c r="AT43" i="41"/>
  <c r="AT45" i="41" s="1"/>
  <c r="AL22" i="42"/>
  <c r="AL30" i="42" s="1"/>
  <c r="AL35" i="42" s="1"/>
  <c r="AK30" i="42"/>
  <c r="AK35" i="42" s="1"/>
  <c r="AR52" i="41"/>
  <c r="AR54" i="41" s="1"/>
  <c r="AS50" i="41"/>
  <c r="AS52" i="41" s="1"/>
  <c r="AS54" i="41" s="1"/>
  <c r="AR57" i="41"/>
  <c r="AE37" i="42"/>
  <c r="AE37" i="43"/>
  <c r="AF35" i="43"/>
  <c r="AG35" i="43" s="1"/>
  <c r="AG37" i="43" s="1"/>
  <c r="AP9" i="42"/>
  <c r="AP22" i="42"/>
  <c r="AP18" i="43" s="1"/>
  <c r="Z114" i="41"/>
  <c r="Z66" i="41"/>
  <c r="Z127" i="41"/>
  <c r="Z14" i="42"/>
  <c r="AA7" i="43" s="1"/>
  <c r="AB7" i="43" s="1"/>
  <c r="AP15" i="43" l="1"/>
  <c r="AQ15" i="43" s="1"/>
  <c r="AR10" i="41"/>
  <c r="AQ18" i="43"/>
  <c r="AF37" i="43"/>
  <c r="AH35" i="43"/>
  <c r="AU41" i="41"/>
  <c r="AV41" i="41" s="1"/>
  <c r="AU43" i="41"/>
  <c r="AU45" i="41" s="1"/>
  <c r="AS133" i="41"/>
  <c r="AF37" i="42"/>
  <c r="AS57" i="41"/>
  <c r="AT50" i="41"/>
  <c r="AR6" i="41"/>
  <c r="AR134" i="41" s="1"/>
  <c r="AR59" i="41"/>
  <c r="AP30" i="42"/>
  <c r="AP35" i="42" s="1"/>
  <c r="AQ22" i="42"/>
  <c r="AQ30" i="42" s="1"/>
  <c r="AQ35" i="42" s="1"/>
  <c r="AR133" i="41"/>
  <c r="AT5" i="41"/>
  <c r="AT46" i="41"/>
  <c r="AT62" i="41"/>
  <c r="AT10" i="41" s="1"/>
  <c r="AS6" i="41"/>
  <c r="AS134" i="41" s="1"/>
  <c r="AS59" i="41"/>
  <c r="AP16" i="43"/>
  <c r="AQ16" i="43" s="1"/>
  <c r="AQ9" i="42"/>
  <c r="AA127" i="41"/>
  <c r="Z130" i="41"/>
  <c r="Z131" i="41" s="1"/>
  <c r="AA114" i="41"/>
  <c r="Z118" i="41"/>
  <c r="Z120" i="41" s="1"/>
  <c r="Z121" i="41" s="1"/>
  <c r="AA66" i="41"/>
  <c r="AB66" i="41" s="1"/>
  <c r="Z12" i="41"/>
  <c r="AA99" i="41"/>
  <c r="AA14" i="42"/>
  <c r="AC7" i="43" s="1"/>
  <c r="AV62" i="41" l="1"/>
  <c r="AR8" i="41"/>
  <c r="AR140" i="41" s="1"/>
  <c r="AS8" i="41"/>
  <c r="AS140" i="41" s="1"/>
  <c r="AG37" i="42"/>
  <c r="AS12" i="43"/>
  <c r="AS25" i="43"/>
  <c r="AS8" i="42"/>
  <c r="AU50" i="41"/>
  <c r="AU52" i="41" s="1"/>
  <c r="AU54" i="41" s="1"/>
  <c r="AT57" i="41"/>
  <c r="AV45" i="41"/>
  <c r="AU46" i="41"/>
  <c r="AU62" i="41"/>
  <c r="AU10" i="41" s="1"/>
  <c r="AV10" i="41" s="1"/>
  <c r="AU5" i="41"/>
  <c r="AV5" i="41" s="1"/>
  <c r="AT133" i="41"/>
  <c r="AR67" i="41"/>
  <c r="AR60" i="41"/>
  <c r="AR64" i="41"/>
  <c r="AH37" i="42"/>
  <c r="AI35" i="43"/>
  <c r="AH37" i="43"/>
  <c r="AT52" i="41"/>
  <c r="AT54" i="41" s="1"/>
  <c r="AS67" i="41"/>
  <c r="AS13" i="41" s="1"/>
  <c r="AS64" i="41"/>
  <c r="AS11" i="41" s="1"/>
  <c r="AS60" i="41"/>
  <c r="AS9" i="41" s="1"/>
  <c r="AA12" i="41"/>
  <c r="AB12" i="41" s="1"/>
  <c r="AC66" i="41"/>
  <c r="AA118" i="41"/>
  <c r="AA120" i="41" s="1"/>
  <c r="AA121" i="41" s="1"/>
  <c r="AC114" i="41"/>
  <c r="AC99" i="41"/>
  <c r="AA103" i="41"/>
  <c r="AC127" i="41"/>
  <c r="AA130" i="41"/>
  <c r="AA131" i="41" s="1"/>
  <c r="AB14" i="42"/>
  <c r="AC14" i="42"/>
  <c r="AD7" i="43" s="1"/>
  <c r="AV63" i="41" l="1"/>
  <c r="AR8" i="42"/>
  <c r="AR15" i="43" s="1"/>
  <c r="AR12" i="43"/>
  <c r="AR25" i="43"/>
  <c r="AR11" i="41"/>
  <c r="AR13" i="41"/>
  <c r="AR9" i="41"/>
  <c r="AR22" i="42" s="1"/>
  <c r="AR18" i="43" s="1"/>
  <c r="AA105" i="41"/>
  <c r="AA106" i="41" s="1"/>
  <c r="AB103" i="41"/>
  <c r="AB105" i="41" s="1"/>
  <c r="AB106" i="41" s="1"/>
  <c r="AU133" i="41"/>
  <c r="AU59" i="41"/>
  <c r="AU6" i="41"/>
  <c r="AU8" i="41" s="1"/>
  <c r="AU140" i="41" s="1"/>
  <c r="AS9" i="42"/>
  <c r="AS22" i="42"/>
  <c r="AU57" i="41"/>
  <c r="AV50" i="41"/>
  <c r="AT6" i="41"/>
  <c r="AT59" i="41"/>
  <c r="AV59" i="41" s="1"/>
  <c r="AT134" i="41"/>
  <c r="AV54" i="41"/>
  <c r="AV46" i="41"/>
  <c r="AI37" i="42"/>
  <c r="AJ35" i="43"/>
  <c r="AI37" i="43"/>
  <c r="AD114" i="41"/>
  <c r="AC118" i="41"/>
  <c r="AC120" i="41" s="1"/>
  <c r="AC121" i="41" s="1"/>
  <c r="AD99" i="41"/>
  <c r="AC103" i="41"/>
  <c r="AC12" i="41"/>
  <c r="AD66" i="41"/>
  <c r="AC70" i="41"/>
  <c r="AC71" i="41" s="1"/>
  <c r="AD127" i="41"/>
  <c r="AC130" i="41"/>
  <c r="AC131" i="41" s="1"/>
  <c r="AD14" i="42"/>
  <c r="AE7" i="43" s="1"/>
  <c r="AR9" i="42" l="1"/>
  <c r="AR16" i="43" s="1"/>
  <c r="AS15" i="43"/>
  <c r="AU134" i="41"/>
  <c r="AC105" i="41"/>
  <c r="AC106" i="41" s="1"/>
  <c r="AT8" i="41"/>
  <c r="AT140" i="41" s="1"/>
  <c r="AV6" i="41"/>
  <c r="AV8" i="41" s="1"/>
  <c r="AV140" i="41" s="1"/>
  <c r="AS18" i="43"/>
  <c r="AC15" i="41"/>
  <c r="AC17" i="41" s="1"/>
  <c r="AS30" i="42"/>
  <c r="AS35" i="42" s="1"/>
  <c r="AJ37" i="42"/>
  <c r="AJ37" i="43"/>
  <c r="AK35" i="43"/>
  <c r="AL35" i="43" s="1"/>
  <c r="AL37" i="43" s="1"/>
  <c r="AS16" i="43"/>
  <c r="AR30" i="42"/>
  <c r="AR35" i="42" s="1"/>
  <c r="AT67" i="41"/>
  <c r="AV67" i="41" s="1"/>
  <c r="AV68" i="41" s="1"/>
  <c r="AT60" i="41"/>
  <c r="AT64" i="41"/>
  <c r="AT12" i="43"/>
  <c r="AU8" i="42"/>
  <c r="AU12" i="43"/>
  <c r="AU25" i="43"/>
  <c r="AU64" i="41"/>
  <c r="AU11" i="41" s="1"/>
  <c r="AU60" i="41"/>
  <c r="AU9" i="41" s="1"/>
  <c r="AU67" i="41"/>
  <c r="AU13" i="41" s="1"/>
  <c r="AC72" i="41"/>
  <c r="AE99" i="41"/>
  <c r="AD103" i="41"/>
  <c r="AD105" i="41" s="1"/>
  <c r="AD106" i="41" s="1"/>
  <c r="AD12" i="41"/>
  <c r="AD15" i="41" s="1"/>
  <c r="AD17" i="41" s="1"/>
  <c r="AD141" i="41" s="1"/>
  <c r="AE66" i="41"/>
  <c r="AD70" i="41"/>
  <c r="AD71" i="41" s="1"/>
  <c r="AE127" i="41"/>
  <c r="AD130" i="41"/>
  <c r="AD131" i="41" s="1"/>
  <c r="AD118" i="41"/>
  <c r="AD120" i="41" s="1"/>
  <c r="AD121" i="41" s="1"/>
  <c r="AE114" i="41"/>
  <c r="AE14" i="42"/>
  <c r="AF7" i="43" s="1"/>
  <c r="AG7" i="43" s="1"/>
  <c r="AV64" i="41" l="1"/>
  <c r="AV65" i="41" s="1"/>
  <c r="AV60" i="41"/>
  <c r="AV61" i="41" s="1"/>
  <c r="AT8" i="42"/>
  <c r="AT15" i="43" s="1"/>
  <c r="AT25" i="43"/>
  <c r="AC19" i="41"/>
  <c r="AC142" i="41" s="1"/>
  <c r="AC141" i="41"/>
  <c r="AV25" i="43"/>
  <c r="AV56" i="43" s="1"/>
  <c r="AT11" i="41"/>
  <c r="AT9" i="41"/>
  <c r="AT22" i="42" s="1"/>
  <c r="AT18" i="43" s="1"/>
  <c r="AT13" i="41"/>
  <c r="AV13" i="41" s="1"/>
  <c r="AV11" i="41"/>
  <c r="AV12" i="43"/>
  <c r="AC137" i="41"/>
  <c r="AK37" i="43"/>
  <c r="AM35" i="43"/>
  <c r="AK37" i="42"/>
  <c r="AU15" i="43"/>
  <c r="AV15" i="43" s="1"/>
  <c r="AV8" i="42"/>
  <c r="AU9" i="42"/>
  <c r="AU22" i="42"/>
  <c r="AF127" i="41"/>
  <c r="AE130" i="41"/>
  <c r="AE131" i="41" s="1"/>
  <c r="AE12" i="41"/>
  <c r="AE15" i="41" s="1"/>
  <c r="AE17" i="41" s="1"/>
  <c r="AF66" i="41"/>
  <c r="AG66" i="41" s="1"/>
  <c r="AG70" i="41" s="1"/>
  <c r="AG71" i="41" s="1"/>
  <c r="AG72" i="41" s="1"/>
  <c r="AE70" i="41"/>
  <c r="AE71" i="41" s="1"/>
  <c r="AF99" i="41"/>
  <c r="AE103" i="41"/>
  <c r="AE105" i="41" s="1"/>
  <c r="AE106" i="41" s="1"/>
  <c r="AD137" i="41"/>
  <c r="AD72" i="41"/>
  <c r="AD19" i="41"/>
  <c r="AD142" i="41" s="1"/>
  <c r="AF114" i="41"/>
  <c r="AE118" i="41"/>
  <c r="AE120" i="41" s="1"/>
  <c r="AE121" i="41" s="1"/>
  <c r="AF14" i="42"/>
  <c r="AH7" i="43" s="1"/>
  <c r="AV9" i="41" l="1"/>
  <c r="AT9" i="42"/>
  <c r="AT16" i="43" s="1"/>
  <c r="AE19" i="41"/>
  <c r="AE142" i="41" s="1"/>
  <c r="AE141" i="41"/>
  <c r="AU18" i="43"/>
  <c r="AV18" i="43" s="1"/>
  <c r="AV22" i="42"/>
  <c r="AV30" i="42" s="1"/>
  <c r="AV35" i="42" s="1"/>
  <c r="AU30" i="42"/>
  <c r="AU35" i="42" s="1"/>
  <c r="AU16" i="43"/>
  <c r="AV9" i="42"/>
  <c r="AT30" i="42"/>
  <c r="AT35" i="42" s="1"/>
  <c r="AM37" i="42"/>
  <c r="AL37" i="42"/>
  <c r="AN35" i="43"/>
  <c r="AM37" i="43"/>
  <c r="AG14" i="42"/>
  <c r="AE72" i="41"/>
  <c r="AE137" i="41"/>
  <c r="AH66" i="41"/>
  <c r="AF12" i="41"/>
  <c r="AF15" i="41" s="1"/>
  <c r="AF17" i="41" s="1"/>
  <c r="AF70" i="41"/>
  <c r="AF71" i="41" s="1"/>
  <c r="AH127" i="41"/>
  <c r="AF130" i="41"/>
  <c r="AF131" i="41" s="1"/>
  <c r="AH99" i="41"/>
  <c r="AF103" i="41"/>
  <c r="AF105" i="41" s="1"/>
  <c r="AF106" i="41" s="1"/>
  <c r="AF118" i="41"/>
  <c r="AF120" i="41" s="1"/>
  <c r="AF121" i="41" s="1"/>
  <c r="AH114" i="41"/>
  <c r="AH14" i="42"/>
  <c r="AI7" i="43" s="1"/>
  <c r="AV16" i="43" l="1"/>
  <c r="AF19" i="41"/>
  <c r="AF142" i="41" s="1"/>
  <c r="AF141" i="41"/>
  <c r="AG103" i="41"/>
  <c r="AG105" i="41" s="1"/>
  <c r="AG106" i="41" s="1"/>
  <c r="AG12" i="41"/>
  <c r="AG15" i="41" s="1"/>
  <c r="AN37" i="42"/>
  <c r="AN37" i="43"/>
  <c r="AO35" i="43"/>
  <c r="AI99" i="41"/>
  <c r="AH103" i="41"/>
  <c r="AI66" i="41"/>
  <c r="AH12" i="41"/>
  <c r="AH70" i="41"/>
  <c r="AH71" i="41" s="1"/>
  <c r="AH118" i="41"/>
  <c r="AH120" i="41" s="1"/>
  <c r="AH121" i="41" s="1"/>
  <c r="AI114" i="41"/>
  <c r="AI127" i="41"/>
  <c r="AH130" i="41"/>
  <c r="AH131" i="41" s="1"/>
  <c r="AF72" i="41"/>
  <c r="AF137" i="41"/>
  <c r="AI14" i="42"/>
  <c r="AJ7" i="43" s="1"/>
  <c r="AH105" i="41" l="1"/>
  <c r="AH106" i="41" s="1"/>
  <c r="AG17" i="41"/>
  <c r="AH15" i="41"/>
  <c r="AH17" i="41" s="1"/>
  <c r="AO37" i="42"/>
  <c r="AO37" i="43"/>
  <c r="AP35" i="43"/>
  <c r="AQ35" i="43" s="1"/>
  <c r="AQ37" i="43" s="1"/>
  <c r="AI130" i="41"/>
  <c r="AI131" i="41" s="1"/>
  <c r="AJ127" i="41"/>
  <c r="AI12" i="41"/>
  <c r="AI15" i="41" s="1"/>
  <c r="AI17" i="41" s="1"/>
  <c r="AI141" i="41" s="1"/>
  <c r="AJ66" i="41"/>
  <c r="AI70" i="41"/>
  <c r="AI71" i="41" s="1"/>
  <c r="AI118" i="41"/>
  <c r="AI120" i="41" s="1"/>
  <c r="AI121" i="41" s="1"/>
  <c r="AJ114" i="41"/>
  <c r="AH72" i="41"/>
  <c r="AJ99" i="41"/>
  <c r="AI103" i="41"/>
  <c r="AI105" i="41" s="1"/>
  <c r="AI106" i="41" s="1"/>
  <c r="AJ14" i="42"/>
  <c r="AK7" i="43" s="1"/>
  <c r="AL7" i="43" s="1"/>
  <c r="AG19" i="41" l="1"/>
  <c r="AG141" i="41"/>
  <c r="AH19" i="41"/>
  <c r="AH142" i="41" s="1"/>
  <c r="AH141" i="41"/>
  <c r="AH137" i="41"/>
  <c r="AP37" i="42"/>
  <c r="AP37" i="43"/>
  <c r="AR35" i="43"/>
  <c r="AI19" i="41"/>
  <c r="AI142" i="41" s="1"/>
  <c r="AJ118" i="41"/>
  <c r="AJ120" i="41" s="1"/>
  <c r="AJ121" i="41" s="1"/>
  <c r="AK114" i="41"/>
  <c r="AK66" i="41"/>
  <c r="AJ12" i="41"/>
  <c r="AJ15" i="41" s="1"/>
  <c r="AJ17" i="41" s="1"/>
  <c r="AJ70" i="41"/>
  <c r="AJ71" i="41" s="1"/>
  <c r="AK127" i="41"/>
  <c r="AJ130" i="41"/>
  <c r="AJ131" i="41" s="1"/>
  <c r="AI137" i="41"/>
  <c r="AI72" i="41"/>
  <c r="AK99" i="41"/>
  <c r="AJ103" i="41"/>
  <c r="AJ105" i="41" s="1"/>
  <c r="AJ106" i="41" s="1"/>
  <c r="AK14" i="42"/>
  <c r="AM7" i="43" s="1"/>
  <c r="AL66" i="41" l="1"/>
  <c r="AL70" i="41" s="1"/>
  <c r="AL71" i="41" s="1"/>
  <c r="AL72" i="41" s="1"/>
  <c r="AJ19" i="41"/>
  <c r="AJ142" i="41" s="1"/>
  <c r="AJ141" i="41"/>
  <c r="AG65" i="42"/>
  <c r="AG64" i="42" s="1"/>
  <c r="AG142" i="41"/>
  <c r="AQ37" i="42"/>
  <c r="AR37" i="42"/>
  <c r="AR37" i="43"/>
  <c r="AS35" i="43"/>
  <c r="AL14" i="42"/>
  <c r="AM127" i="41"/>
  <c r="AK130" i="41"/>
  <c r="AK131" i="41" s="1"/>
  <c r="AK118" i="41"/>
  <c r="AK120" i="41" s="1"/>
  <c r="AK121" i="41" s="1"/>
  <c r="AM114" i="41"/>
  <c r="AJ72" i="41"/>
  <c r="AJ137" i="41"/>
  <c r="AM66" i="41"/>
  <c r="AK12" i="41"/>
  <c r="AK15" i="41" s="1"/>
  <c r="AK17" i="41" s="1"/>
  <c r="AK70" i="41"/>
  <c r="AK71" i="41" s="1"/>
  <c r="AM99" i="41"/>
  <c r="AK103" i="41"/>
  <c r="AK105" i="41" s="1"/>
  <c r="AK106" i="41" s="1"/>
  <c r="AM14" i="42"/>
  <c r="AN7" i="43" s="1"/>
  <c r="AK19" i="41" l="1"/>
  <c r="AK142" i="41" s="1"/>
  <c r="AK141" i="41"/>
  <c r="AL103" i="41"/>
  <c r="AL105" i="41" s="1"/>
  <c r="AL106" i="41" s="1"/>
  <c r="AL12" i="41"/>
  <c r="AL15" i="41" s="1"/>
  <c r="AL17" i="41" s="1"/>
  <c r="AS37" i="42"/>
  <c r="AT35" i="43"/>
  <c r="AS37" i="43"/>
  <c r="AM12" i="41"/>
  <c r="AN66" i="41"/>
  <c r="AM70" i="41"/>
  <c r="AM71" i="41" s="1"/>
  <c r="AM118" i="41"/>
  <c r="AM120" i="41" s="1"/>
  <c r="AM121" i="41" s="1"/>
  <c r="AN114" i="41"/>
  <c r="AK137" i="41"/>
  <c r="AK72" i="41"/>
  <c r="AN99" i="41"/>
  <c r="AM103" i="41"/>
  <c r="AN127" i="41"/>
  <c r="AM130" i="41"/>
  <c r="AM131" i="41" s="1"/>
  <c r="AN14" i="42"/>
  <c r="AO7" i="43" s="1"/>
  <c r="AL19" i="41" l="1"/>
  <c r="AL141" i="41"/>
  <c r="AM105" i="41"/>
  <c r="AM106" i="41" s="1"/>
  <c r="AM15" i="41"/>
  <c r="AM17" i="41" s="1"/>
  <c r="AU35" i="43"/>
  <c r="AU37" i="43" s="1"/>
  <c r="AT37" i="43"/>
  <c r="AT37" i="42"/>
  <c r="AN118" i="41"/>
  <c r="AN120" i="41" s="1"/>
  <c r="AN121" i="41" s="1"/>
  <c r="AO114" i="41"/>
  <c r="AN12" i="41"/>
  <c r="AN15" i="41" s="1"/>
  <c r="AN17" i="41" s="1"/>
  <c r="AN141" i="41" s="1"/>
  <c r="AO66" i="41"/>
  <c r="AN70" i="41"/>
  <c r="AN71" i="41" s="1"/>
  <c r="AO99" i="41"/>
  <c r="AN103" i="41"/>
  <c r="AN105" i="41" s="1"/>
  <c r="AN106" i="41" s="1"/>
  <c r="AM72" i="41"/>
  <c r="AN130" i="41"/>
  <c r="AN131" i="41" s="1"/>
  <c r="AO127" i="41"/>
  <c r="AO14" i="42"/>
  <c r="AP7" i="43" s="1"/>
  <c r="AQ7" i="43" s="1"/>
  <c r="AM19" i="41" l="1"/>
  <c r="AM142" i="41" s="1"/>
  <c r="AM141" i="41"/>
  <c r="AL65" i="42"/>
  <c r="AL64" i="42" s="1"/>
  <c r="AL142" i="41"/>
  <c r="AM137" i="41"/>
  <c r="AV35" i="43"/>
  <c r="AV37" i="43" s="1"/>
  <c r="AU37" i="42"/>
  <c r="AN72" i="41"/>
  <c r="AN137" i="41"/>
  <c r="AP66" i="41"/>
  <c r="AO12" i="41"/>
  <c r="AO15" i="41" s="1"/>
  <c r="AO17" i="41" s="1"/>
  <c r="AO70" i="41"/>
  <c r="AO71" i="41" s="1"/>
  <c r="AN19" i="41"/>
  <c r="AN142" i="41" s="1"/>
  <c r="AP99" i="41"/>
  <c r="AO103" i="41"/>
  <c r="AO105" i="41" s="1"/>
  <c r="AO106" i="41" s="1"/>
  <c r="AO118" i="41"/>
  <c r="AO120" i="41" s="1"/>
  <c r="AO121" i="41" s="1"/>
  <c r="AP114" i="41"/>
  <c r="AP127" i="41"/>
  <c r="AO130" i="41"/>
  <c r="AO131" i="41" s="1"/>
  <c r="AP14" i="42"/>
  <c r="AR7" i="43" s="1"/>
  <c r="AQ66" i="41" l="1"/>
  <c r="AQ70" i="41" s="1"/>
  <c r="AQ71" i="41" s="1"/>
  <c r="AQ72" i="41" s="1"/>
  <c r="AO19" i="41"/>
  <c r="AO142" i="41" s="1"/>
  <c r="AO141" i="41"/>
  <c r="AV37" i="42"/>
  <c r="AR66" i="41"/>
  <c r="AP12" i="41"/>
  <c r="AP15" i="41" s="1"/>
  <c r="AP17" i="41" s="1"/>
  <c r="AP70" i="41"/>
  <c r="AP71" i="41" s="1"/>
  <c r="AR127" i="41"/>
  <c r="AP130" i="41"/>
  <c r="AP131" i="41" s="1"/>
  <c r="AQ14" i="42"/>
  <c r="AO72" i="41"/>
  <c r="AO137" i="41"/>
  <c r="AR99" i="41"/>
  <c r="AP103" i="41"/>
  <c r="AP105" i="41" s="1"/>
  <c r="AP106" i="41" s="1"/>
  <c r="AP118" i="41"/>
  <c r="AP120" i="41" s="1"/>
  <c r="AP121" i="41" s="1"/>
  <c r="AR114" i="41"/>
  <c r="AR14" i="42"/>
  <c r="AS7" i="43" s="1"/>
  <c r="AP19" i="41" l="1"/>
  <c r="AP142" i="41" s="1"/>
  <c r="AP141" i="41"/>
  <c r="AQ103" i="41"/>
  <c r="AQ105" i="41" s="1"/>
  <c r="AQ106" i="41" s="1"/>
  <c r="AQ12" i="41"/>
  <c r="AQ15" i="41" s="1"/>
  <c r="AQ17" i="41" s="1"/>
  <c r="AP137" i="41"/>
  <c r="AP72" i="41"/>
  <c r="AR12" i="41"/>
  <c r="AS66" i="41"/>
  <c r="AR70" i="41"/>
  <c r="AR71" i="41" s="1"/>
  <c r="AS99" i="41"/>
  <c r="AR103" i="41"/>
  <c r="AR118" i="41"/>
  <c r="AR120" i="41" s="1"/>
  <c r="AR121" i="41" s="1"/>
  <c r="AS114" i="41"/>
  <c r="AS127" i="41"/>
  <c r="AS130" i="41" s="1"/>
  <c r="AS131" i="41" s="1"/>
  <c r="AR130" i="41"/>
  <c r="AR131" i="41" s="1"/>
  <c r="AS14" i="42"/>
  <c r="AT7" i="43" s="1"/>
  <c r="AQ19" i="41" l="1"/>
  <c r="AQ141" i="41"/>
  <c r="AR105" i="41"/>
  <c r="AR106" i="41" s="1"/>
  <c r="AR15" i="41"/>
  <c r="AR17" i="41" s="1"/>
  <c r="AT127" i="41"/>
  <c r="AT130" i="41" s="1"/>
  <c r="AT131" i="41" s="1"/>
  <c r="AS12" i="41"/>
  <c r="AS15" i="41" s="1"/>
  <c r="AS17" i="41" s="1"/>
  <c r="AS141" i="41" s="1"/>
  <c r="AT66" i="41"/>
  <c r="AS70" i="41"/>
  <c r="AS71" i="41" s="1"/>
  <c r="AS118" i="41"/>
  <c r="AS120" i="41" s="1"/>
  <c r="AS121" i="41" s="1"/>
  <c r="AT114" i="41"/>
  <c r="AR137" i="41"/>
  <c r="AR72" i="41"/>
  <c r="AT99" i="41"/>
  <c r="AS103" i="41"/>
  <c r="AS105" i="41" s="1"/>
  <c r="AS106" i="41" s="1"/>
  <c r="AT14" i="42"/>
  <c r="AU7" i="43" s="1"/>
  <c r="AV7" i="43" s="1"/>
  <c r="AR19" i="41" l="1"/>
  <c r="AR142" i="41" s="1"/>
  <c r="AR141" i="41"/>
  <c r="AQ65" i="42"/>
  <c r="AQ64" i="42" s="1"/>
  <c r="AQ142" i="41"/>
  <c r="AS72" i="41"/>
  <c r="AS137" i="41"/>
  <c r="AS19" i="41"/>
  <c r="AS142" i="41" s="1"/>
  <c r="AU99" i="41"/>
  <c r="AU103" i="41" s="1"/>
  <c r="AU105" i="41" s="1"/>
  <c r="AU106" i="41" s="1"/>
  <c r="AT103" i="41"/>
  <c r="AT118" i="41"/>
  <c r="AT120" i="41" s="1"/>
  <c r="AT121" i="41" s="1"/>
  <c r="AU114" i="41"/>
  <c r="AU118" i="41" s="1"/>
  <c r="AU120" i="41" s="1"/>
  <c r="AU121" i="41" s="1"/>
  <c r="AU127" i="41"/>
  <c r="AU130" i="41" s="1"/>
  <c r="AU131" i="41" s="1"/>
  <c r="AT12" i="41"/>
  <c r="AT15" i="41" s="1"/>
  <c r="AT17" i="41" s="1"/>
  <c r="AU66" i="41"/>
  <c r="AT70" i="41"/>
  <c r="AT71" i="41" s="1"/>
  <c r="AU14" i="42"/>
  <c r="AV14" i="42" s="1"/>
  <c r="AV66" i="41" l="1"/>
  <c r="AV70" i="41" s="1"/>
  <c r="AV71" i="41" s="1"/>
  <c r="AV72" i="41" s="1"/>
  <c r="AT19" i="41"/>
  <c r="AT142" i="41" s="1"/>
  <c r="AT141" i="41"/>
  <c r="AT105" i="41"/>
  <c r="AT106" i="41" s="1"/>
  <c r="AV103" i="41"/>
  <c r="AV105" i="41" s="1"/>
  <c r="AV106" i="41" s="1"/>
  <c r="AT72" i="41"/>
  <c r="AT137" i="41"/>
  <c r="AU12" i="41"/>
  <c r="AU15" i="41" s="1"/>
  <c r="AU17" i="41" s="1"/>
  <c r="AU70" i="41"/>
  <c r="AU71" i="41" s="1"/>
  <c r="AU19" i="41" l="1"/>
  <c r="AU142" i="41" s="1"/>
  <c r="AU141" i="41"/>
  <c r="AV12" i="41"/>
  <c r="AV15" i="41" s="1"/>
  <c r="AV17" i="41" s="1"/>
  <c r="AU72" i="41"/>
  <c r="AU137" i="41"/>
  <c r="AA60" i="41"/>
  <c r="AA70" i="41" s="1"/>
  <c r="AA71" i="41" s="1"/>
  <c r="Y60" i="41"/>
  <c r="Y70" i="41" s="1"/>
  <c r="Y71" i="41" s="1"/>
  <c r="X60" i="41"/>
  <c r="Z60" i="41"/>
  <c r="Z70" i="41" s="1"/>
  <c r="Z71" i="41" s="1"/>
  <c r="X70" i="41" l="1"/>
  <c r="X71" i="41" s="1"/>
  <c r="AB60" i="41"/>
  <c r="AV19" i="41"/>
  <c r="AV141" i="41"/>
  <c r="Z9" i="41"/>
  <c r="Z9" i="42" s="1"/>
  <c r="Y9" i="41"/>
  <c r="Y22" i="42" s="1"/>
  <c r="X9" i="41"/>
  <c r="Z72" i="41"/>
  <c r="X72" i="41"/>
  <c r="Y72" i="41"/>
  <c r="Y30" i="42"/>
  <c r="Y35" i="42" s="1"/>
  <c r="AA72" i="41"/>
  <c r="AA9" i="41"/>
  <c r="Z22" i="42" l="1"/>
  <c r="Z18" i="43" s="1"/>
  <c r="AB61" i="41"/>
  <c r="AB70" i="41"/>
  <c r="AB71" i="41" s="1"/>
  <c r="AB72" i="41" s="1"/>
  <c r="Y9" i="42"/>
  <c r="Z16" i="43" s="1"/>
  <c r="Z15" i="41"/>
  <c r="Z17" i="41" s="1"/>
  <c r="Z141" i="41" s="1"/>
  <c r="Y15" i="41"/>
  <c r="Y17" i="41" s="1"/>
  <c r="AV65" i="42"/>
  <c r="AV64" i="42" s="1"/>
  <c r="AV142" i="41"/>
  <c r="X15" i="41"/>
  <c r="X17" i="41" s="1"/>
  <c r="AB9" i="41"/>
  <c r="AB15" i="41" s="1"/>
  <c r="AB17" i="41" s="1"/>
  <c r="X22" i="42"/>
  <c r="Y18" i="43" s="1"/>
  <c r="X9" i="42"/>
  <c r="X16" i="43" s="1"/>
  <c r="AA9" i="42"/>
  <c r="AA15" i="41"/>
  <c r="AA17" i="41" s="1"/>
  <c r="AA141" i="41" s="1"/>
  <c r="AA22" i="42"/>
  <c r="Z30" i="42"/>
  <c r="Z35" i="42" s="1"/>
  <c r="Y19" i="41"/>
  <c r="Y142" i="41" s="1"/>
  <c r="Z19" i="41" l="1"/>
  <c r="Z142" i="41" s="1"/>
  <c r="Z137" i="41"/>
  <c r="AB19" i="41"/>
  <c r="AB141" i="41"/>
  <c r="X137" i="41"/>
  <c r="X141" i="41"/>
  <c r="Y137" i="41"/>
  <c r="Y141" i="41"/>
  <c r="X19" i="41"/>
  <c r="X142" i="41" s="1"/>
  <c r="X23" i="41"/>
  <c r="X24" i="41" s="1"/>
  <c r="X29" i="41" s="1"/>
  <c r="X34" i="41" s="1"/>
  <c r="AA18" i="43"/>
  <c r="AC18" i="43"/>
  <c r="AG18" i="43" s="1"/>
  <c r="X30" i="42"/>
  <c r="X35" i="42" s="1"/>
  <c r="X18" i="43"/>
  <c r="Y16" i="43"/>
  <c r="AB22" i="42"/>
  <c r="AB30" i="42" s="1"/>
  <c r="AB35" i="42" s="1"/>
  <c r="AA30" i="42"/>
  <c r="AA35" i="42" s="1"/>
  <c r="AA19" i="41"/>
  <c r="AA142" i="41" s="1"/>
  <c r="AA137" i="41"/>
  <c r="AA16" i="43"/>
  <c r="AB9" i="42"/>
  <c r="AC16" i="43"/>
  <c r="AG16" i="43" s="1"/>
  <c r="X147" i="41" l="1"/>
  <c r="AB18" i="43"/>
  <c r="AB65" i="42"/>
  <c r="AB64" i="42" s="1"/>
  <c r="AB142" i="41"/>
  <c r="X25" i="41"/>
  <c r="X6" i="43" s="1"/>
  <c r="X22" i="43" s="1"/>
  <c r="AB16" i="43"/>
  <c r="X27" i="41" l="1"/>
  <c r="X32" i="41" s="1"/>
  <c r="X38" i="42"/>
  <c r="X41" i="42" s="1"/>
  <c r="X55" i="43"/>
  <c r="X33" i="41" l="1"/>
  <c r="X146" i="41" s="1"/>
  <c r="X42" i="42"/>
  <c r="X17" i="42" l="1"/>
  <c r="X26" i="43" s="1"/>
  <c r="X7" i="42" l="1"/>
  <c r="X12" i="42"/>
  <c r="X24" i="43" l="1"/>
  <c r="X27" i="43" s="1"/>
  <c r="X39" i="43" s="1"/>
  <c r="X41" i="43" s="1"/>
  <c r="X6" i="42" s="1"/>
  <c r="Y40" i="43" l="1"/>
  <c r="X11" i="42" l="1"/>
  <c r="X20" i="42" s="1"/>
  <c r="X43" i="42" s="1"/>
  <c r="Y21" i="41"/>
  <c r="Y23" i="41" l="1"/>
  <c r="Y24" i="41" l="1"/>
  <c r="Y29" i="41" l="1"/>
  <c r="Y34" i="41" s="1"/>
  <c r="Y25" i="41"/>
  <c r="Y27" i="41" s="1"/>
  <c r="Y147" i="41" l="1"/>
  <c r="Y6" i="43"/>
  <c r="Y32" i="41"/>
  <c r="Y33" i="41"/>
  <c r="Y146" i="41" s="1"/>
  <c r="Y38" i="42" l="1"/>
  <c r="Y41" i="42" s="1"/>
  <c r="Y42" i="42" s="1"/>
  <c r="Y12" i="42" s="1"/>
  <c r="Y22" i="43"/>
  <c r="Y55" i="43" s="1"/>
  <c r="Y17" i="42" l="1"/>
  <c r="Y26" i="43" s="1"/>
  <c r="Y7" i="42"/>
  <c r="Y24" i="43" s="1"/>
  <c r="Y27" i="43" l="1"/>
  <c r="Y39" i="43" s="1"/>
  <c r="Y41" i="43" s="1"/>
  <c r="Y6" i="42" s="1"/>
  <c r="Z40" i="43" l="1"/>
  <c r="Y11" i="42"/>
  <c r="Y20" i="42" s="1"/>
  <c r="Y43" i="42" s="1"/>
  <c r="Z21" i="41"/>
  <c r="Z23" i="41" l="1"/>
  <c r="Z24" i="41" s="1"/>
  <c r="Z25" i="41" s="1"/>
  <c r="Z29" i="41" l="1"/>
  <c r="Z34" i="41" s="1"/>
  <c r="Z27" i="41"/>
  <c r="Z6" i="43"/>
  <c r="Z147" i="41" l="1"/>
  <c r="Z22" i="43"/>
  <c r="Z55" i="43" s="1"/>
  <c r="Z38" i="42"/>
  <c r="Z41" i="42" s="1"/>
  <c r="Z42" i="42" s="1"/>
  <c r="Z33" i="41"/>
  <c r="Z146" i="41" s="1"/>
  <c r="Z32" i="41"/>
  <c r="Z7" i="42" l="1"/>
  <c r="Z12" i="42"/>
  <c r="Z17" i="42"/>
  <c r="Z26" i="43" s="1"/>
  <c r="Z24" i="43" l="1"/>
  <c r="Z27" i="43" l="1"/>
  <c r="Z39" i="43" s="1"/>
  <c r="Z41" i="43" s="1"/>
  <c r="AA40" i="43" s="1"/>
  <c r="Z6" i="42" l="1"/>
  <c r="Z11" i="42" s="1"/>
  <c r="Z20" i="42" s="1"/>
  <c r="Z43" i="42" s="1"/>
  <c r="AA21" i="41" l="1"/>
  <c r="AA23" i="41" l="1"/>
  <c r="AA24" i="41" s="1"/>
  <c r="AB21" i="41"/>
  <c r="AA25" i="41" l="1"/>
  <c r="AA27" i="41" s="1"/>
  <c r="AB23" i="41"/>
  <c r="AA29" i="41"/>
  <c r="AA34" i="41" s="1"/>
  <c r="AB24" i="41"/>
  <c r="AA147" i="41" l="1"/>
  <c r="C11" i="44"/>
  <c r="C29" i="44" s="1"/>
  <c r="C31" i="44" s="1"/>
  <c r="C36" i="44" s="1"/>
  <c r="AB29" i="41"/>
  <c r="AB143" i="41"/>
  <c r="AA6" i="43"/>
  <c r="AB6" i="43" s="1"/>
  <c r="AB22" i="43" s="1"/>
  <c r="AB55" i="43" s="1"/>
  <c r="AB25" i="41"/>
  <c r="AB27" i="41" s="1"/>
  <c r="AB30" i="41" s="1"/>
  <c r="AB32" i="41" s="1"/>
  <c r="AA32" i="41"/>
  <c r="AA33" i="41"/>
  <c r="AA146" i="41" s="1"/>
  <c r="C38" i="44" l="1"/>
  <c r="C37" i="44"/>
  <c r="AA38" i="42"/>
  <c r="AA41" i="42" s="1"/>
  <c r="AA42" i="42" s="1"/>
  <c r="AA22" i="43"/>
  <c r="AA55" i="43" s="1"/>
  <c r="AB31" i="41"/>
  <c r="AB33" i="41" s="1"/>
  <c r="AB146" i="41" s="1"/>
  <c r="AB36" i="41" l="1"/>
  <c r="AB38" i="42"/>
  <c r="AB41" i="42" s="1"/>
  <c r="AB42" i="42" s="1"/>
  <c r="AB34" i="41"/>
  <c r="AB147" i="41" s="1"/>
  <c r="AA7" i="42"/>
  <c r="AA12" i="42"/>
  <c r="AB12" i="42" s="1"/>
  <c r="AA17" i="42"/>
  <c r="AA26" i="43" s="1"/>
  <c r="AB26" i="43" l="1"/>
  <c r="AB17" i="42"/>
  <c r="AB7" i="42"/>
  <c r="AA24" i="43"/>
  <c r="AB24" i="43" s="1"/>
  <c r="AB27" i="43" l="1"/>
  <c r="AB39" i="43" s="1"/>
  <c r="AB41" i="43" s="1"/>
  <c r="AG40" i="43" s="1"/>
  <c r="AA27" i="43"/>
  <c r="AA39" i="43" s="1"/>
  <c r="AA41" i="43" s="1"/>
  <c r="AC40" i="43" s="1"/>
  <c r="AA6" i="42" l="1"/>
  <c r="AC21" i="41" s="1"/>
  <c r="AC23" i="41" s="1"/>
  <c r="AA11" i="42" l="1"/>
  <c r="AA20" i="42" s="1"/>
  <c r="AA43" i="42" s="1"/>
  <c r="AB6" i="42"/>
  <c r="AB11" i="42" s="1"/>
  <c r="AB20" i="42" s="1"/>
  <c r="AB43" i="42" s="1"/>
  <c r="AC24" i="41"/>
  <c r="AC29" i="41" s="1"/>
  <c r="AC34" i="41" s="1"/>
  <c r="AC147" i="41" s="1"/>
  <c r="AC25" i="41" l="1"/>
  <c r="AC6" i="43" s="1"/>
  <c r="AC27" i="41" l="1"/>
  <c r="AC32" i="41" s="1"/>
  <c r="AC38" i="42"/>
  <c r="AC41" i="42" s="1"/>
  <c r="AC42" i="42" s="1"/>
  <c r="AC22" i="43"/>
  <c r="AC55" i="43" s="1"/>
  <c r="AC33" i="41" l="1"/>
  <c r="AC146" i="41" s="1"/>
  <c r="AC7" i="42"/>
  <c r="AC12" i="42"/>
  <c r="AC17" i="42"/>
  <c r="AC26" i="43" s="1"/>
  <c r="AC24" i="43" l="1"/>
  <c r="AC27" i="43" l="1"/>
  <c r="AC39" i="43" s="1"/>
  <c r="AC41" i="43" s="1"/>
  <c r="AC6" i="42" s="1"/>
  <c r="AD40" i="43" l="1"/>
  <c r="AC11" i="42"/>
  <c r="AC20" i="42" s="1"/>
  <c r="AC43" i="42" s="1"/>
  <c r="AD21" i="41"/>
  <c r="AD23" i="41" s="1"/>
  <c r="AD24" i="41" l="1"/>
  <c r="AD29" i="41" s="1"/>
  <c r="AD34" i="41" s="1"/>
  <c r="AD147" i="41" s="1"/>
  <c r="AD25" i="41" l="1"/>
  <c r="AD6" i="43" l="1"/>
  <c r="AD27" i="41"/>
  <c r="AD33" i="41" l="1"/>
  <c r="AD146" i="41" s="1"/>
  <c r="AD32" i="41"/>
  <c r="AD38" i="42"/>
  <c r="AD41" i="42" s="1"/>
  <c r="AD42" i="42" s="1"/>
  <c r="AD22" i="43"/>
  <c r="AD55" i="43" s="1"/>
  <c r="AD12" i="42" l="1"/>
  <c r="AD7" i="42"/>
  <c r="AD17" i="42"/>
  <c r="AD26" i="43" s="1"/>
  <c r="AD24" i="43" l="1"/>
  <c r="AD27" i="43" l="1"/>
  <c r="AD39" i="43" s="1"/>
  <c r="AD41" i="43" s="1"/>
  <c r="AD6" i="42" s="1"/>
  <c r="AE40" i="43" l="1"/>
  <c r="AD11" i="42"/>
  <c r="AD20" i="42" s="1"/>
  <c r="AD43" i="42" s="1"/>
  <c r="AE21" i="41"/>
  <c r="AE23" i="41" s="1"/>
  <c r="AE24" i="41" l="1"/>
  <c r="AE29" i="41" s="1"/>
  <c r="AE34" i="41" s="1"/>
  <c r="AE147" i="41" s="1"/>
  <c r="AE25" i="41" l="1"/>
  <c r="AE6" i="43" s="1"/>
  <c r="AE27" i="41" l="1"/>
  <c r="AE22" i="43"/>
  <c r="AE55" i="43" s="1"/>
  <c r="AE38" i="42"/>
  <c r="AE41" i="42" s="1"/>
  <c r="AE42" i="42" s="1"/>
  <c r="AE32" i="41"/>
  <c r="AE33" i="41"/>
  <c r="AE146" i="41" s="1"/>
  <c r="AE12" i="42" l="1"/>
  <c r="AE7" i="42"/>
  <c r="AE17" i="42"/>
  <c r="AE26" i="43" s="1"/>
  <c r="AE24" i="43" l="1"/>
  <c r="AE27" i="43" l="1"/>
  <c r="AE39" i="43" s="1"/>
  <c r="AE41" i="43" s="1"/>
  <c r="AE6" i="42" s="1"/>
  <c r="AF40" i="43" l="1"/>
  <c r="AF21" i="41"/>
  <c r="AE11" i="42"/>
  <c r="AE20" i="42" s="1"/>
  <c r="AE43" i="42" s="1"/>
  <c r="AF23" i="41" l="1"/>
  <c r="AF24" i="41" s="1"/>
  <c r="AG21" i="41"/>
  <c r="AG23" i="41" l="1"/>
  <c r="AF29" i="41"/>
  <c r="AF34" i="41" s="1"/>
  <c r="AF147" i="41" s="1"/>
  <c r="AG24" i="41"/>
  <c r="AF25" i="41"/>
  <c r="AG29" i="41" l="1"/>
  <c r="AG143" i="41"/>
  <c r="AG25" i="41"/>
  <c r="AG27" i="41" s="1"/>
  <c r="AF27" i="41"/>
  <c r="AF6" i="43"/>
  <c r="AG6" i="43" s="1"/>
  <c r="AG22" i="43" s="1"/>
  <c r="AG55" i="43" s="1"/>
  <c r="AG31" i="41" l="1"/>
  <c r="AG34" i="41" s="1"/>
  <c r="AG147" i="41" s="1"/>
  <c r="AG30" i="41"/>
  <c r="AG32" i="41" s="1"/>
  <c r="AF38" i="42"/>
  <c r="AF22" i="43"/>
  <c r="AF55" i="43" s="1"/>
  <c r="AF33" i="41"/>
  <c r="AF146" i="41" s="1"/>
  <c r="AF32" i="41"/>
  <c r="AG33" i="41" l="1"/>
  <c r="AG146" i="41" s="1"/>
  <c r="AG38" i="42"/>
  <c r="AG41" i="42" s="1"/>
  <c r="AG42" i="42" s="1"/>
  <c r="AF41" i="42"/>
  <c r="AF42" i="42" s="1"/>
  <c r="AG36" i="41" l="1"/>
  <c r="AF7" i="42"/>
  <c r="AF12" i="42"/>
  <c r="AG12" i="42" s="1"/>
  <c r="AF17" i="42"/>
  <c r="AF26" i="43" s="1"/>
  <c r="AG26" i="43" l="1"/>
  <c r="AG17" i="42"/>
  <c r="AG7" i="42"/>
  <c r="AF24" i="43"/>
  <c r="AG24" i="43" s="1"/>
  <c r="AG27" i="43" l="1"/>
  <c r="AG39" i="43" s="1"/>
  <c r="AG41" i="43" s="1"/>
  <c r="AL40" i="43" s="1"/>
  <c r="AF27" i="43"/>
  <c r="AF39" i="43" s="1"/>
  <c r="AF41" i="43" s="1"/>
  <c r="AF6" i="42" s="1"/>
  <c r="AH40" i="43" l="1"/>
  <c r="AH21" i="41"/>
  <c r="AG6" i="42"/>
  <c r="AG11" i="42" s="1"/>
  <c r="AG20" i="42" s="1"/>
  <c r="AG43" i="42" s="1"/>
  <c r="AF11" i="42"/>
  <c r="AF20" i="42" s="1"/>
  <c r="AF43" i="42" s="1"/>
  <c r="AH23" i="41" l="1"/>
  <c r="AH24" i="41" s="1"/>
  <c r="AH29" i="41" l="1"/>
  <c r="AH34" i="41" s="1"/>
  <c r="AH147" i="41" s="1"/>
  <c r="AH25" i="41"/>
  <c r="AH27" i="41" l="1"/>
  <c r="AH6" i="43"/>
  <c r="AH22" i="43" l="1"/>
  <c r="AH55" i="43" s="1"/>
  <c r="AH38" i="42"/>
  <c r="AH33" i="41"/>
  <c r="AH146" i="41" s="1"/>
  <c r="AH32" i="41"/>
  <c r="AH41" i="42" l="1"/>
  <c r="AH42" i="42" s="1"/>
  <c r="AH7" i="42" l="1"/>
  <c r="AH12" i="42"/>
  <c r="AH17" i="42"/>
  <c r="AH26" i="43" s="1"/>
  <c r="AH24" i="43" l="1"/>
  <c r="AH27" i="43" l="1"/>
  <c r="AH39" i="43" s="1"/>
  <c r="AH41" i="43" s="1"/>
  <c r="AI40" i="43" s="1"/>
  <c r="AH6" i="42" l="1"/>
  <c r="AI21" i="41" s="1"/>
  <c r="AH11" i="42" l="1"/>
  <c r="AH20" i="42" s="1"/>
  <c r="AH43" i="42" s="1"/>
  <c r="AI23" i="41"/>
  <c r="AI24" i="41" s="1"/>
  <c r="AI29" i="41" l="1"/>
  <c r="AI34" i="41" s="1"/>
  <c r="AI147" i="41" s="1"/>
  <c r="AI25" i="41"/>
  <c r="AI27" i="41" s="1"/>
  <c r="AI6" i="43" l="1"/>
  <c r="AI38" i="42" s="1"/>
  <c r="AI41" i="42" s="1"/>
  <c r="AI42" i="42" s="1"/>
  <c r="AI33" i="41"/>
  <c r="AI146" i="41" s="1"/>
  <c r="AI32" i="41"/>
  <c r="AI22" i="43" l="1"/>
  <c r="AI55" i="43" s="1"/>
  <c r="AI7" i="42"/>
  <c r="AI12" i="42"/>
  <c r="AI17" i="42"/>
  <c r="AI26" i="43" s="1"/>
  <c r="AI24" i="43" l="1"/>
  <c r="AI27" i="43" l="1"/>
  <c r="AI39" i="43" s="1"/>
  <c r="AI41" i="43" s="1"/>
  <c r="AJ40" i="43" s="1"/>
  <c r="AI6" i="42" l="1"/>
  <c r="AI11" i="42" s="1"/>
  <c r="AI20" i="42" s="1"/>
  <c r="AI43" i="42" s="1"/>
  <c r="AJ21" i="41" l="1"/>
  <c r="AJ23" i="41" s="1"/>
  <c r="AJ24" i="41" s="1"/>
  <c r="AJ25" i="41" s="1"/>
  <c r="AJ6" i="43" s="1"/>
  <c r="AJ29" i="41" l="1"/>
  <c r="AJ34" i="41" s="1"/>
  <c r="AJ147" i="41" s="1"/>
  <c r="AJ27" i="41"/>
  <c r="AJ32" i="41" s="1"/>
  <c r="AJ22" i="43"/>
  <c r="AJ55" i="43" s="1"/>
  <c r="AJ38" i="42"/>
  <c r="AJ41" i="42" s="1"/>
  <c r="AJ42" i="42" s="1"/>
  <c r="AJ33" i="41" l="1"/>
  <c r="AJ146" i="41" s="1"/>
  <c r="AJ7" i="42"/>
  <c r="AJ12" i="42"/>
  <c r="AJ17" i="42"/>
  <c r="AJ26" i="43" s="1"/>
  <c r="AJ24" i="43" l="1"/>
  <c r="AJ27" i="43" l="1"/>
  <c r="AJ39" i="43" s="1"/>
  <c r="AJ41" i="43" s="1"/>
  <c r="AJ6" i="42" s="1"/>
  <c r="AK40" i="43" l="1"/>
  <c r="AJ11" i="42"/>
  <c r="AJ20" i="42" s="1"/>
  <c r="AJ43" i="42" s="1"/>
  <c r="AK21" i="41"/>
  <c r="AK23" i="41" l="1"/>
  <c r="AK24" i="41" s="1"/>
  <c r="AL21" i="41"/>
  <c r="AL23" i="41" l="1"/>
  <c r="AK29" i="41"/>
  <c r="AK34" i="41" s="1"/>
  <c r="AK147" i="41" s="1"/>
  <c r="AL24" i="41"/>
  <c r="AK25" i="41"/>
  <c r="AL29" i="41" l="1"/>
  <c r="AL143" i="41"/>
  <c r="AL25" i="41"/>
  <c r="AL27" i="41" s="1"/>
  <c r="AK6" i="43"/>
  <c r="AL6" i="43" s="1"/>
  <c r="AL22" i="43" s="1"/>
  <c r="AL55" i="43" s="1"/>
  <c r="AK27" i="41"/>
  <c r="AL31" i="41" l="1"/>
  <c r="AL30" i="41"/>
  <c r="AL32" i="41" s="1"/>
  <c r="AK32" i="41"/>
  <c r="AK33" i="41"/>
  <c r="AK146" i="41" s="1"/>
  <c r="AK22" i="43"/>
  <c r="AK55" i="43" s="1"/>
  <c r="AK38" i="42"/>
  <c r="AL33" i="41" l="1"/>
  <c r="AL146" i="41" s="1"/>
  <c r="AL34" i="41"/>
  <c r="AK41" i="42"/>
  <c r="AK42" i="42" s="1"/>
  <c r="AL38" i="42"/>
  <c r="AL41" i="42" s="1"/>
  <c r="AL42" i="42" s="1"/>
  <c r="AL59" i="43" l="1"/>
  <c r="AL149" i="41"/>
  <c r="AL147" i="41"/>
  <c r="AL36" i="41"/>
  <c r="AK7" i="42"/>
  <c r="AK12" i="42"/>
  <c r="AL12" i="42" s="1"/>
  <c r="AK17" i="42"/>
  <c r="AK26" i="43" s="1"/>
  <c r="AL61" i="43" l="1"/>
  <c r="AL26" i="43"/>
  <c r="AL17" i="42"/>
  <c r="AL7" i="42"/>
  <c r="AK24" i="43"/>
  <c r="AL24" i="43" s="1"/>
  <c r="AL27" i="43" l="1"/>
  <c r="AL39" i="43" s="1"/>
  <c r="AL41" i="43" s="1"/>
  <c r="AQ40" i="43" s="1"/>
  <c r="AK27" i="43"/>
  <c r="AK39" i="43" s="1"/>
  <c r="AK41" i="43" s="1"/>
  <c r="AM40" i="43" s="1"/>
  <c r="AK6" i="42" l="1"/>
  <c r="AK11" i="42" s="1"/>
  <c r="AK20" i="42" s="1"/>
  <c r="AK43" i="42" s="1"/>
  <c r="AL6" i="42" l="1"/>
  <c r="AL11" i="42" s="1"/>
  <c r="AL20" i="42" s="1"/>
  <c r="AL43" i="42" s="1"/>
  <c r="AM21" i="41"/>
  <c r="AM23" i="41" s="1"/>
  <c r="AM24" i="41" s="1"/>
  <c r="AM29" i="41" l="1"/>
  <c r="AM34" i="41" s="1"/>
  <c r="AM147" i="41" s="1"/>
  <c r="AM25" i="41"/>
  <c r="AM6" i="43" s="1"/>
  <c r="AM27" i="41" l="1"/>
  <c r="AM38" i="42"/>
  <c r="AM41" i="42" s="1"/>
  <c r="AM42" i="42" s="1"/>
  <c r="AM22" i="43"/>
  <c r="AM55" i="43" s="1"/>
  <c r="AM32" i="41" l="1"/>
  <c r="AM33" i="41"/>
  <c r="AM146" i="41" s="1"/>
  <c r="AM12" i="42"/>
  <c r="AM7" i="42"/>
  <c r="AM17" i="42"/>
  <c r="AM26" i="43" s="1"/>
  <c r="AM24" i="43" l="1"/>
  <c r="AM27" i="43" l="1"/>
  <c r="AM39" i="43" s="1"/>
  <c r="AM41" i="43" s="1"/>
  <c r="AM6" i="42" s="1"/>
  <c r="AN40" i="43" l="1"/>
  <c r="AM11" i="42"/>
  <c r="AM20" i="42" s="1"/>
  <c r="AM43" i="42" s="1"/>
  <c r="AN21" i="41"/>
  <c r="AN23" i="41" l="1"/>
  <c r="AN24" i="41" s="1"/>
  <c r="AN29" i="41" l="1"/>
  <c r="AN34" i="41" s="1"/>
  <c r="AN147" i="41" s="1"/>
  <c r="AN25" i="41"/>
  <c r="AN6" i="43" s="1"/>
  <c r="AN27" i="41" l="1"/>
  <c r="AN33" i="41" s="1"/>
  <c r="AN146" i="41" s="1"/>
  <c r="AN22" i="43"/>
  <c r="AN55" i="43" s="1"/>
  <c r="AN38" i="42"/>
  <c r="AN41" i="42" s="1"/>
  <c r="AN42" i="42" s="1"/>
  <c r="AN32" i="41" l="1"/>
  <c r="AN7" i="42"/>
  <c r="AN12" i="42"/>
  <c r="AN17" i="42"/>
  <c r="AN26" i="43" s="1"/>
  <c r="AN24" i="43" l="1"/>
  <c r="AN27" i="43" l="1"/>
  <c r="AN39" i="43" s="1"/>
  <c r="AN41" i="43" s="1"/>
  <c r="AN6" i="42" s="1"/>
  <c r="AO40" i="43" l="1"/>
  <c r="AN11" i="42"/>
  <c r="AN20" i="42" s="1"/>
  <c r="AN43" i="42" s="1"/>
  <c r="AO21" i="41"/>
  <c r="AO23" i="41" l="1"/>
  <c r="AO24" i="41" s="1"/>
  <c r="AO29" i="41" l="1"/>
  <c r="AO34" i="41" s="1"/>
  <c r="AO147" i="41" s="1"/>
  <c r="AO25" i="41"/>
  <c r="AO27" i="41" s="1"/>
  <c r="AO6" i="43" l="1"/>
  <c r="AO33" i="41"/>
  <c r="AO146" i="41" s="1"/>
  <c r="AO32" i="41"/>
  <c r="AO38" i="42" l="1"/>
  <c r="AO41" i="42" s="1"/>
  <c r="AO42" i="42" s="1"/>
  <c r="AO12" i="42" s="1"/>
  <c r="AO22" i="43"/>
  <c r="AO55" i="43" s="1"/>
  <c r="AO17" i="42" l="1"/>
  <c r="AO26" i="43" s="1"/>
  <c r="AO7" i="42"/>
  <c r="AO24" i="43" s="1"/>
  <c r="AO27" i="43" l="1"/>
  <c r="AO39" i="43" s="1"/>
  <c r="AO41" i="43" s="1"/>
  <c r="AP40" i="43" s="1"/>
  <c r="AO6" i="42" l="1"/>
  <c r="AO11" i="42" s="1"/>
  <c r="AO20" i="42" s="1"/>
  <c r="AO43" i="42" s="1"/>
  <c r="AP21" i="41" l="1"/>
  <c r="AP23" i="41" s="1"/>
  <c r="AQ21" i="41" l="1"/>
  <c r="AQ23" i="41" s="1"/>
  <c r="AP24" i="41"/>
  <c r="AP25" i="41" s="1"/>
  <c r="AQ24" i="41" l="1"/>
  <c r="AP29" i="41"/>
  <c r="AP34" i="41" s="1"/>
  <c r="AP147" i="41" s="1"/>
  <c r="AP6" i="43"/>
  <c r="AP27" i="41"/>
  <c r="AP32" i="41" s="1"/>
  <c r="AQ29" i="41" l="1"/>
  <c r="AQ143" i="41"/>
  <c r="AQ25" i="41"/>
  <c r="AQ27" i="41" s="1"/>
  <c r="AQ31" i="41" s="1"/>
  <c r="AP33" i="41"/>
  <c r="AP146" i="41" s="1"/>
  <c r="AQ6" i="43"/>
  <c r="AQ22" i="43" s="1"/>
  <c r="AQ55" i="43" s="1"/>
  <c r="AP38" i="42"/>
  <c r="AP22" i="43"/>
  <c r="AP55" i="43" s="1"/>
  <c r="AQ30" i="41"/>
  <c r="AQ32" i="41" s="1"/>
  <c r="AQ34" i="41" l="1"/>
  <c r="AQ147" i="41" s="1"/>
  <c r="AP41" i="42"/>
  <c r="AP42" i="42" s="1"/>
  <c r="AQ38" i="42"/>
  <c r="AQ41" i="42" s="1"/>
  <c r="AQ42" i="42" s="1"/>
  <c r="AQ33" i="41"/>
  <c r="AQ146" i="41" s="1"/>
  <c r="AQ36" i="41" l="1"/>
  <c r="AP7" i="42"/>
  <c r="AP17" i="42"/>
  <c r="AP26" i="43" s="1"/>
  <c r="AP12" i="42"/>
  <c r="AQ12" i="42" s="1"/>
  <c r="AQ26" i="43" l="1"/>
  <c r="AQ17" i="42"/>
  <c r="AQ7" i="42"/>
  <c r="AP24" i="43"/>
  <c r="AQ24" i="43" s="1"/>
  <c r="AQ27" i="43" l="1"/>
  <c r="AQ39" i="43" s="1"/>
  <c r="AQ41" i="43" s="1"/>
  <c r="AV40" i="43" s="1"/>
  <c r="AP27" i="43"/>
  <c r="AP39" i="43" s="1"/>
  <c r="AP41" i="43" s="1"/>
  <c r="AP6" i="42" s="1"/>
  <c r="AR21" i="41" s="1"/>
  <c r="AR23" i="41" s="1"/>
  <c r="AR24" i="41" s="1"/>
  <c r="AR40" i="43" l="1"/>
  <c r="AQ6" i="42"/>
  <c r="AQ11" i="42" s="1"/>
  <c r="AQ20" i="42" s="1"/>
  <c r="AQ43" i="42" s="1"/>
  <c r="AP11" i="42"/>
  <c r="AP20" i="42" s="1"/>
  <c r="AP43" i="42" s="1"/>
  <c r="AR29" i="41"/>
  <c r="AR34" i="41" s="1"/>
  <c r="AR147" i="41" s="1"/>
  <c r="AR25" i="41"/>
  <c r="AR27" i="41" s="1"/>
  <c r="AR6" i="43" l="1"/>
  <c r="AR33" i="41"/>
  <c r="AR146" i="41" s="1"/>
  <c r="AR32" i="41"/>
  <c r="AR22" i="43" l="1"/>
  <c r="AR55" i="43" s="1"/>
  <c r="AR38" i="42"/>
  <c r="AR41" i="42" s="1"/>
  <c r="AR42" i="42" s="1"/>
  <c r="AR7" i="42" s="1"/>
  <c r="AR17" i="42" l="1"/>
  <c r="AR26" i="43" s="1"/>
  <c r="AR12" i="42"/>
  <c r="AR24" i="43" s="1"/>
  <c r="AR27" i="43" l="1"/>
  <c r="AR39" i="43" s="1"/>
  <c r="AR41" i="43" s="1"/>
  <c r="AR6" i="42" s="1"/>
  <c r="AS40" i="43" l="1"/>
  <c r="AS21" i="41"/>
  <c r="AR11" i="42"/>
  <c r="AR20" i="42" s="1"/>
  <c r="AR43" i="42" s="1"/>
  <c r="AS23" i="41" l="1"/>
  <c r="AS24" i="41" s="1"/>
  <c r="AS29" i="41" l="1"/>
  <c r="AS34" i="41" s="1"/>
  <c r="AS147" i="41" s="1"/>
  <c r="AS25" i="41"/>
  <c r="AS6" i="43" s="1"/>
  <c r="AS27" i="41" l="1"/>
  <c r="AS33" i="41" s="1"/>
  <c r="AS146" i="41" s="1"/>
  <c r="AS38" i="42"/>
  <c r="AS41" i="42" s="1"/>
  <c r="AS42" i="42" s="1"/>
  <c r="AS22" i="43"/>
  <c r="AS55" i="43" s="1"/>
  <c r="AS32" i="41" l="1"/>
  <c r="AS12" i="42"/>
  <c r="AS7" i="42"/>
  <c r="AS17" i="42"/>
  <c r="AS26" i="43" s="1"/>
  <c r="AS24" i="43" l="1"/>
  <c r="AS27" i="43" l="1"/>
  <c r="AS39" i="43" s="1"/>
  <c r="AS41" i="43" s="1"/>
  <c r="AS6" i="42" s="1"/>
  <c r="AS11" i="42" s="1"/>
  <c r="AS20" i="42" s="1"/>
  <c r="AS43" i="42" s="1"/>
  <c r="AT40" i="43" l="1"/>
  <c r="AT21" i="41"/>
  <c r="AT23" i="41" l="1"/>
  <c r="AT24" i="41" s="1"/>
  <c r="AT25" i="41" s="1"/>
  <c r="AT6" i="43" l="1"/>
  <c r="AT27" i="41"/>
  <c r="AT32" i="41" s="1"/>
  <c r="AT29" i="41"/>
  <c r="AT34" i="41" s="1"/>
  <c r="AT147" i="41" s="1"/>
  <c r="AT33" i="41" l="1"/>
  <c r="AT146" i="41" s="1"/>
  <c r="AT38" i="42"/>
  <c r="AT41" i="42" s="1"/>
  <c r="AT42" i="42" s="1"/>
  <c r="AT22" i="43"/>
  <c r="AT55" i="43" s="1"/>
  <c r="AT17" i="42" l="1"/>
  <c r="AT26" i="43" s="1"/>
  <c r="AT12" i="42"/>
  <c r="AT7" i="42"/>
  <c r="AT24" i="43" l="1"/>
  <c r="AT27" i="43" l="1"/>
  <c r="AT39" i="43" s="1"/>
  <c r="AT41" i="43" s="1"/>
  <c r="AU40" i="43" s="1"/>
  <c r="AT6" i="42" l="1"/>
  <c r="AT11" i="42" s="1"/>
  <c r="AT20" i="42" s="1"/>
  <c r="AT43" i="42" s="1"/>
  <c r="AU21" i="41" l="1"/>
  <c r="AV21" i="41" s="1"/>
  <c r="AV23" i="41" s="1"/>
  <c r="AU23" i="41" l="1"/>
  <c r="AU24" i="41" s="1"/>
  <c r="AU25" i="41" s="1"/>
  <c r="AU27" i="41" l="1"/>
  <c r="AU6" i="43"/>
  <c r="AV24" i="41"/>
  <c r="AV143" i="41" s="1"/>
  <c r="AU29" i="41"/>
  <c r="AU34" i="41" s="1"/>
  <c r="AU147" i="41" s="1"/>
  <c r="AV6" i="43" l="1"/>
  <c r="AV22" i="43" s="1"/>
  <c r="AV55" i="43" s="1"/>
  <c r="AU38" i="42"/>
  <c r="AU22" i="43"/>
  <c r="AU55" i="43" s="1"/>
  <c r="AV29" i="41"/>
  <c r="AV25" i="41"/>
  <c r="AV27" i="41" s="1"/>
  <c r="AU33" i="41"/>
  <c r="AU146" i="41" s="1"/>
  <c r="AU32" i="41"/>
  <c r="AV31" i="41" l="1"/>
  <c r="AV34" i="41" s="1"/>
  <c r="AV147" i="41" s="1"/>
  <c r="AV30" i="41"/>
  <c r="AV32" i="41" s="1"/>
  <c r="AU41" i="42"/>
  <c r="AU42" i="42" s="1"/>
  <c r="AV38" i="42"/>
  <c r="AV41" i="42" s="1"/>
  <c r="AV42" i="42" s="1"/>
  <c r="AV33" i="41" l="1"/>
  <c r="AV146" i="41" s="1"/>
  <c r="AU7" i="42"/>
  <c r="AU17" i="42"/>
  <c r="AU26" i="43" s="1"/>
  <c r="AU12" i="42"/>
  <c r="AV12" i="42" s="1"/>
  <c r="AV36" i="41" l="1"/>
  <c r="AV17" i="42"/>
  <c r="AV26" i="43"/>
  <c r="AU24" i="43"/>
  <c r="AV24" i="43" s="1"/>
  <c r="AV7" i="42"/>
  <c r="AV27" i="43" l="1"/>
  <c r="AV39" i="43" s="1"/>
  <c r="AV41" i="43" s="1"/>
  <c r="AU27" i="43"/>
  <c r="AU39" i="43" s="1"/>
  <c r="AU41" i="43" s="1"/>
  <c r="AU6" i="42" s="1"/>
  <c r="AU11" i="42" s="1"/>
  <c r="AU20" i="42" s="1"/>
  <c r="AU43" i="42" s="1"/>
  <c r="AV6" i="42" l="1"/>
  <c r="AV11" i="42" s="1"/>
  <c r="AV20" i="42" s="1"/>
  <c r="AV43"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Sarah Königs</author>
  </authors>
  <commentList>
    <comment ref="N8" authorId="0" shapeId="0" xr:uid="{EEB0339A-75CF-4A63-8499-0EC16D7158D9}">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120503F2-25CD-4E63-B692-2981A09611B2}">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AAFE068E-190E-40AA-8297-4C01612AFD80}">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80676384-785C-48D1-A74A-5FE4707C1C3F}">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DAC6B608-23DC-447D-934D-BC435BFF00B6}">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FDE96253-3A1B-4109-8675-8C4C820D5068}">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1D7B3217-0E40-46A1-957A-48668A44F906}">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A431CF06-B75A-46FD-B7CF-3F15C6AC6BBA}">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FD8AFF51-CF98-41BD-B108-60A881EDF88F}">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BF19F952-43F1-4634-8D6E-02375BF0FB69}">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D540209A-07C9-47A3-AF46-FEE1FB4AC551}">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ECDAD1EB-63CA-44B9-9BB9-248890B18D99}">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9EE66C0C-61ED-4FFA-890F-DD3BA646E6ED}">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C87565F5-23EA-448A-B299-3D522D0B8BA4}">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F6A5ECB6-5FC2-465A-8011-8C731FA9F526}">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1937CA2F-6B47-419A-A6A7-0FA98B79BDCC}">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2554AFFE-53DE-42DE-B8CB-9C6CDA1C0330}">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2313E78A-6C3E-475B-BB59-B3B7CF0CD432}">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C730975D-ADEF-4448-95D4-48B11BE576D0}">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CF9E73BC-A558-4034-8B76-FFE26643B1D3}">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125C42D8-2EAA-4B88-816B-8DC01276DCB3}">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F4386475-F280-40F2-8621-4D9073186A93}">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143D0FE2-7B4B-4DEA-860E-B513B169EB78}">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CBDE320F-D65C-494C-B3A2-E5A427CE47F6}">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D50D8550-07EA-4048-A79D-D02D10C5F471}">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F735FCAB-1BB5-4D6B-BB3D-E4C1E17C0E55}">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19FE7907-72A4-4618-9DDA-517CEE441D45}">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245223B5-0EF3-4798-8B62-F22F2B229CF1}">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8CB7018F-C6DB-4CE5-AD07-D4E8A8D76623}">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C5A38555-9484-4B08-9BD6-16D4FB063F26}">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2BBB708E-F161-40A0-B499-6C3BACB63BFD}">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D9849973-6DC4-4243-8442-3FBE57979784}">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3E6FADCD-0EA0-42C9-8450-B7CBBD4705F0}">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E5CBCF42-AB30-4696-BB16-1BF77C1E134E}">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9300830B-286F-4715-AD51-2A29505FB5A7}">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81AC3F57-5183-4ABA-AEDA-649722C01D03}">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DD35D0B8-8903-4073-920D-8F0B54C3E8D5}">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FED01AA3-D697-4DE1-84A8-8D1A69860F42}">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V34" authorId="0" shapeId="0" xr:uid="{E14E08A0-A90D-486D-859E-BF2C14A1586F}">
      <text>
        <r>
          <rPr>
            <b/>
            <sz val="9"/>
            <color indexed="81"/>
            <rFont val="Tahoma"/>
            <family val="2"/>
          </rPr>
          <t xml:space="preserve">Guidance: </t>
        </r>
        <r>
          <rPr>
            <sz val="9"/>
            <color indexed="81"/>
            <rFont val="Tahoma"/>
            <family val="2"/>
          </rPr>
          <t xml:space="preserve">"We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
</t>
        </r>
        <r>
          <rPr>
            <b/>
            <sz val="9"/>
            <color indexed="81"/>
            <rFont val="Tahoma"/>
            <family val="2"/>
          </rPr>
          <t xml:space="preserve">Source: </t>
        </r>
        <r>
          <rPr>
            <sz val="9"/>
            <color indexed="81"/>
            <rFont val="Tahoma"/>
            <family val="2"/>
          </rPr>
          <t>Investor Day 9/16/2022</t>
        </r>
      </text>
    </comment>
    <comment ref="L35" authorId="1" shapeId="0" xr:uid="{954E4CA4-EE5B-4A5C-B119-06293BD97422}">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B36" authorId="3" shapeId="0" xr:uid="{C12BD102-D652-42FB-84A8-70FC115C4918}">
      <text>
        <r>
          <rPr>
            <b/>
            <sz val="9"/>
            <color indexed="81"/>
            <rFont val="Segoe UI"/>
            <family val="2"/>
          </rPr>
          <t>Sarah Königs:</t>
        </r>
        <r>
          <rPr>
            <sz val="9"/>
            <color indexed="81"/>
            <rFont val="Segoe UI"/>
            <family val="2"/>
          </rPr>
          <t xml:space="preserve">
Estimated to reach 50% by FY2025</t>
        </r>
      </text>
    </comment>
    <comment ref="AG36" authorId="3" shapeId="0" xr:uid="{8BE111A1-474E-4E6D-8F30-45BDC9E70C28}">
      <text>
        <r>
          <rPr>
            <b/>
            <sz val="9"/>
            <color indexed="81"/>
            <rFont val="Segoe UI"/>
            <family val="2"/>
          </rPr>
          <t>Sarah Königs:</t>
        </r>
        <r>
          <rPr>
            <sz val="9"/>
            <color indexed="81"/>
            <rFont val="Segoe UI"/>
            <family val="2"/>
          </rPr>
          <t xml:space="preserve">
Estimated to reach 50% by FY2025</t>
        </r>
      </text>
    </comment>
    <comment ref="AL36" authorId="3" shapeId="0" xr:uid="{70AFEA2C-5A99-4C90-B418-0F0F259C67C3}">
      <text>
        <r>
          <rPr>
            <b/>
            <sz val="9"/>
            <color indexed="81"/>
            <rFont val="Segoe UI"/>
            <family val="2"/>
          </rPr>
          <t>Sarah Königs:</t>
        </r>
        <r>
          <rPr>
            <sz val="9"/>
            <color indexed="81"/>
            <rFont val="Segoe UI"/>
            <family val="2"/>
          </rPr>
          <t xml:space="preserve">
Estimated to reach 50% by FY2025</t>
        </r>
      </text>
    </comment>
    <comment ref="B40" authorId="0" shapeId="0" xr:uid="{5F504BBC-EF43-4CC2-A141-524ADAE19DE0}">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2D79731A-5341-4640-92E7-287EE1586E04}">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7407E9AF-1123-42A2-9BDB-3314ACEABD11}">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A3803514-4264-463B-87D4-42C06987CED7}">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7E1ADC36-AECB-4890-8A1E-AF986ED15322}">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7340F169-4193-42AD-B157-55DF7C431710}">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36191317-FE2E-460B-98FA-25E026AD809B}">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FACD1807-5F9A-4982-8EEE-122E8BBB81EF}">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24DC17DC-512E-4311-B011-085E62342EC5}">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161FDE9E-BE78-4B33-9554-FF5A5066200C}">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23DD24D5-E1AD-47A7-B15B-DB3F269F0FBA}">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48B99E49-88B7-43C9-A3C7-DC784A713CC0}">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A2234557-C118-4058-BE43-FAF86A51AA78}">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75D65C32-BA00-4D5F-A188-A2AEA3A83ED9}">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CCC28E1C-81A9-412B-9DF3-15FD840C3FFE}">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58A853FE-9E65-482F-B747-A04B8D44D1C7}">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5953D072-29DB-41F8-A6F4-B4E5F2796C5B}">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F314FDE7-8644-409B-84E4-C2EF553CCD9A}">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976D3F5B-EE6C-4980-8109-C62C03DFB277}">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4D51918B-BB88-4C0D-A77D-94C2764C4566}">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0BDAED14-10FA-4F13-B892-7EC147D14C72}">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E2FE83C4-2FB4-4407-AE7E-04BB5885C942}">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1D0035F1-9C5B-4FAE-A263-EACDC9BE036B}">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04A19A15-9F98-41F0-9941-5CA1CAC81AAD}">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E798DABA-51AF-4E2F-810D-FC94B72675FF}">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170133DC-B6B5-48DA-B153-D112183CB6C5}">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A3698D76-F85F-4D5A-B2E7-EB5DEE08A3BA}">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F60724AF-DE02-4928-85CD-5212B1F40251}">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000C321E-77F2-4D05-ACAF-FDECD4D8A17D}">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333FD4D4-6B00-4A5E-A03F-9B1C6FC405D0}">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3613D39D-9927-4FDC-A0E4-11E1388AF288}">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DD2A3408-5830-4078-859E-C86CC4AF5A3C}">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8814F128-0964-486F-8137-DF29AA234276}">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6D6DE39E-3AEE-41FE-A3B0-C45FB7419406}">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61D72CF7-6A9F-43A7-A697-71CB77DAF093}">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E342D943-B72D-4EAC-B261-4620E2697F57}">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A705893E-EB3F-4BE2-8FC1-82029DA57574}">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2261E7C4-398A-4346-AB00-DC181EA66096}">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007D8636-CB59-4944-A178-77BC5CF01366}">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H140" authorId="1" shapeId="0" xr:uid="{A1D54C67-EE4C-4295-9BBF-07F15D2194E1}">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75FB3E1F-B53B-4E9C-B744-26162D1810CE}">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R141" authorId="0" shapeId="0" xr:uid="{49107759-8135-4F1A-89D1-3FBFB7C09BB1}">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70A2D285-CC9B-416D-8042-DE213B1B6BDD}">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H143" authorId="1" shapeId="0" xr:uid="{46BA463F-732A-4CCB-A6F2-CFAECE4CC5D9}">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0239E80F-01DA-43AB-9DB4-8025ACFF260E}">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B093403D-F00B-4F1B-8A2D-8E1370349601}">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X143" authorId="0" shapeId="0" xr:uid="{C88B3AA0-35A4-45C7-BB8C-3FBBCE1A9E4B}">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Y143" authorId="0" shapeId="0" xr:uid="{769940E5-13FA-45F9-92D9-340E85FF254D}">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Z143" authorId="0" shapeId="0" xr:uid="{EE3E84CF-F553-4004-96EF-688A2712D9A3}">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A143" authorId="0" shapeId="0" xr:uid="{5FA24BA0-F0A2-437D-A12A-2688330640C3}">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C143" authorId="0" shapeId="0" xr:uid="{1C80780A-9660-4800-8661-C27629F8FEFB}">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D143" authorId="0" shapeId="0" xr:uid="{FC75D84E-86EB-41DC-BBD2-4D7C53189CE6}">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E143" authorId="0" shapeId="0" xr:uid="{85F391F4-9E6A-4708-88FA-32F982262E9D}">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F143" authorId="0" shapeId="0" xr:uid="{FE917419-FCD6-4DD7-81D5-2B955D095474}">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H143" authorId="0" shapeId="0" xr:uid="{2F0EB7DF-0063-4880-BBC6-67CFF4C3109F}">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I143" authorId="0" shapeId="0" xr:uid="{AAE91A48-1052-4C5A-B701-CBF70E362F6B}">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J143" authorId="0" shapeId="0" xr:uid="{066B8B58-1FBF-454E-9578-AF1829B054B5}">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K143" authorId="0" shapeId="0" xr:uid="{4373ABF4-7EED-4D7B-B8CB-1C7D7C04FA18}">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M143" authorId="0" shapeId="0" xr:uid="{2F1D3C6A-093E-4FF6-836D-3275723F369E}">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N143" authorId="0" shapeId="0" xr:uid="{727CAE7A-FF65-40AF-BDC8-FFAC4D42D739}">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O143" authorId="0" shapeId="0" xr:uid="{6F16972B-A6EC-453D-87CD-E4400A4AC3B9}">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P143" authorId="0" shapeId="0" xr:uid="{D67E0206-A228-46C2-830F-583C1EC0F59E}">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R143" authorId="0" shapeId="0" xr:uid="{8472FDC5-15BD-43DD-877B-2C893C81E956}">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S143" authorId="0" shapeId="0" xr:uid="{7FDBDA5F-9301-4E84-A0FE-F1DD0C361856}">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T143" authorId="0" shapeId="0" xr:uid="{77FDED4C-7838-4243-98B4-4E72B563E5A6}">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U143" authorId="0" shapeId="0" xr:uid="{0661F3E2-95C3-4697-8D75-7BD5AF7DFB60}">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L149" authorId="0" shapeId="0" xr:uid="{0C8AC770-C231-4DBD-B148-B497CA6E319C}">
      <text>
        <r>
          <rPr>
            <sz val="9"/>
            <color indexed="81"/>
            <rFont val="Tahoma"/>
            <family val="2"/>
          </rPr>
          <t>Guidance: Management guided annual EPS growth between 15% to 20%. 
Source: Investor Day 9/16/2022
Assuming 2022 EPS of $2.88 CAGR of 15% to 20% equates to a 2025 EPS range of $4.38 to $4.98.</t>
        </r>
      </text>
    </comment>
    <comment ref="B150" authorId="1" shapeId="0" xr:uid="{92ACC567-36C2-4862-A088-D5617E21C09C}">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AC153" authorId="0" shapeId="0" xr:uid="{A05A348B-405B-42E1-A9E2-286082CC20F9}">
      <text>
        <r>
          <rPr>
            <sz val="9"/>
            <color indexed="81"/>
            <rFont val="Tahoma"/>
            <family val="2"/>
          </rPr>
          <t>Management is assuming a 2% dividend yield in their forecast.</t>
        </r>
      </text>
    </comment>
    <comment ref="AH153" authorId="0" shapeId="0" xr:uid="{EA1EDB21-70F4-4E7B-A00F-B55F744D46B0}">
      <text>
        <r>
          <rPr>
            <sz val="9"/>
            <color indexed="81"/>
            <rFont val="Tahoma"/>
            <family val="2"/>
          </rPr>
          <t>Management is assuming a 2% dividend yield in their forecast.</t>
        </r>
      </text>
    </comment>
    <comment ref="AM153" authorId="0" shapeId="0" xr:uid="{923D207A-7F46-4C88-B856-0FC8738A232B}">
      <text>
        <r>
          <rPr>
            <sz val="9"/>
            <color indexed="81"/>
            <rFont val="Tahoma"/>
            <family val="2"/>
          </rPr>
          <t>Management is assuming a 2% dividend yield in their forecast.</t>
        </r>
      </text>
    </comment>
    <comment ref="B165" authorId="1" shapeId="0" xr:uid="{6668432E-E25E-48E9-9616-2AB1BE63DE8D}">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B945E456-58E2-46A6-B36F-B38EBFF8DBB0}">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7DBD3D9F-9817-4148-BD49-E16A3E18CD8E}">
      <text>
        <r>
          <rPr>
            <b/>
            <sz val="9"/>
            <color indexed="81"/>
            <rFont val="Tahoma"/>
            <family val="2"/>
          </rPr>
          <t>Enter negative EPS income tax effect as positive on this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86CEDF22-EDE0-4896-816B-652EE2B2A0D9}">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DAD1F9B3-F016-48F1-BD60-2C5F2CFCAB24}">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DABB7883-B3BB-44B9-B662-4E3D61F42B99}">
      <text>
        <r>
          <rPr>
            <b/>
            <sz val="9"/>
            <color indexed="81"/>
            <rFont val="Tahoma"/>
            <family val="2"/>
          </rPr>
          <t>Note: Use the company's 10-K not SEC web data</t>
        </r>
      </text>
    </comment>
    <comment ref="B17" authorId="0" shapeId="0" xr:uid="{2490C026-956B-48BC-AB2C-1AB913DB158F}">
      <text>
        <r>
          <rPr>
            <b/>
            <sz val="9"/>
            <color indexed="81"/>
            <rFont val="Tahoma"/>
            <family val="2"/>
          </rPr>
          <t>Change sign</t>
        </r>
      </text>
    </comment>
    <comment ref="B21" authorId="0" shapeId="0" xr:uid="{377B1BB2-D517-42F2-A156-FC350656D3C5}">
      <text>
        <r>
          <rPr>
            <b/>
            <sz val="9"/>
            <color indexed="81"/>
            <rFont val="Tahoma"/>
            <family val="2"/>
          </rPr>
          <t>Change sign</t>
        </r>
      </text>
    </comment>
    <comment ref="H25" authorId="0" shapeId="0" xr:uid="{E63A64DB-A77E-46B3-BF60-46EFECFAE6D2}">
      <text>
        <r>
          <rPr>
            <b/>
            <sz val="9"/>
            <color indexed="81"/>
            <rFont val="Tahoma"/>
            <family val="2"/>
          </rPr>
          <t xml:space="preserve">3Q2019 Earnings call (7/25/2019) guidance for FY2019:
</t>
        </r>
        <r>
          <rPr>
            <sz val="9"/>
            <color indexed="81"/>
            <rFont val="Tahoma"/>
            <family val="2"/>
          </rPr>
          <t>Capex ~ $2B</t>
        </r>
      </text>
    </comment>
    <comment ref="M25" authorId="0" shapeId="0" xr:uid="{34A45DE0-13B3-4D33-8FB1-F431D505625E}">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36688CD1-6497-4343-AF2E-48E848D32611}">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AB25" authorId="1" shapeId="0" xr:uid="{68C818D2-D950-4595-8A26-36572EA034E7}">
      <text>
        <r>
          <rPr>
            <sz val="9"/>
            <color indexed="81"/>
            <rFont val="Tahoma"/>
            <family val="2"/>
          </rPr>
          <t>Guidance: Capital expenditures of $2.5B to $3.0B annually (fiscal 2023, 2024, and 2025).
Source: Investor Day 9/16/2022</t>
        </r>
      </text>
    </comment>
    <comment ref="AG25" authorId="1" shapeId="0" xr:uid="{878CFFB0-1D56-4300-8C16-664B7249AD01}">
      <text>
        <r>
          <rPr>
            <sz val="9"/>
            <color indexed="81"/>
            <rFont val="Tahoma"/>
            <family val="2"/>
          </rPr>
          <t>Guidance: Capital expenditures of $2.5B to $3.0B annually (fiscal 2023, 2024, and 2025).
Source: Investor Day 9/16/2022</t>
        </r>
      </text>
    </comment>
    <comment ref="AL25" authorId="1" shapeId="0" xr:uid="{94E6B6BD-6A45-45D6-83FE-418B257509B8}">
      <text>
        <r>
          <rPr>
            <sz val="9"/>
            <color indexed="81"/>
            <rFont val="Tahoma"/>
            <family val="2"/>
          </rPr>
          <t>Guidance: Capital expenditures of $2.5B to $3.0B annually (fiscal 2023, 2024, and 2025).
Source: Investor Day 9/16/2022</t>
        </r>
      </text>
    </comment>
    <comment ref="B29" authorId="0" shapeId="0" xr:uid="{09199C2E-4CC7-4F0A-B355-3CF94E5C220A}">
      <text>
        <r>
          <rPr>
            <b/>
            <sz val="9"/>
            <color indexed="81"/>
            <rFont val="Tahoma"/>
            <family val="2"/>
          </rPr>
          <t>Change sign for payments of debt</t>
        </r>
      </text>
    </comment>
    <comment ref="B42" authorId="0" shapeId="0" xr:uid="{58DBE2B4-6A45-45E3-A8E6-CA95770A7C93}">
      <text>
        <r>
          <rPr>
            <sz val="9"/>
            <color indexed="81"/>
            <rFont val="Tahoma"/>
            <family val="2"/>
          </rPr>
          <t>Cash Flow from Operations - Capital Expenditures + After tax Interest Expense</t>
        </r>
      </text>
    </comment>
    <comment ref="AL58" authorId="1" shapeId="0" xr:uid="{B19A3894-1027-4DE6-B9A3-828D5F36F5C3}">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1" authorId="1" shapeId="0" xr:uid="{23C7C1A5-5641-40A7-9B57-064BAAC1563D}">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2" authorId="1" shapeId="0" xr:uid="{65222E46-D94B-4CAF-BE21-EFFA20659C96}">
      <text>
        <r>
          <rPr>
            <b/>
            <sz val="9"/>
            <color indexed="81"/>
            <rFont val="Tahoma"/>
            <family val="2"/>
          </rPr>
          <t xml:space="preserve">Guidance: </t>
        </r>
        <r>
          <rPr>
            <sz val="9"/>
            <color indexed="81"/>
            <rFont val="Tahoma"/>
            <family val="2"/>
          </rPr>
          <t xml:space="preserve">Management guided annual EPS growth between 15% to 20%. </t>
        </r>
        <r>
          <rPr>
            <b/>
            <sz val="9"/>
            <color indexed="81"/>
            <rFont val="Tahoma"/>
            <family val="2"/>
          </rPr>
          <t xml:space="preserve">
Source: Investor Day 9/16/2022
</t>
        </r>
        <r>
          <rPr>
            <sz val="9"/>
            <color indexed="81"/>
            <rFont val="Tahoma"/>
            <family val="2"/>
          </rPr>
          <t>Assuming 2022 EPS of $2.88 CAGR of 15% to 20% equates to a 2025 EPS range of $4.38 to $4.98.</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GE User</author>
    <author>Owner</author>
  </authors>
  <commentList>
    <comment ref="F6" authorId="0" shapeId="0" xr:uid="{B9D373A8-75F0-4F2A-B522-AA108D081864}">
      <text>
        <r>
          <rPr>
            <sz val="9"/>
            <color indexed="81"/>
            <rFont val="Tahoma"/>
            <family val="2"/>
          </rPr>
          <t>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actual price moved toward the DCF target price of $150,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F11" authorId="0" shapeId="0" xr:uid="{00305FE1-6DCA-45F4-81CF-2F00D6938AFC}">
      <text>
        <r>
          <rPr>
            <sz val="9"/>
            <color indexed="81"/>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
Instructor's preference: The nature of the constant Sharpe is that it theoretically should not change. I like to have my Stage 1 Constant Sharpe reflective my expectations for the market over the next year.</t>
        </r>
      </text>
    </comment>
    <comment ref="F12" authorId="0" shapeId="0" xr:uid="{C5CEC508-5322-458D-AFE9-7B0A9586AB55}">
      <text>
        <r>
          <rPr>
            <sz val="9"/>
            <color indexed="81"/>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average is used (based on a 12-month forecast, refer to the ERP model for details).</t>
        </r>
      </text>
    </comment>
    <comment ref="F22" authorId="1" shapeId="0" xr:uid="{E3A4A805-46D1-4FBF-BAF6-64EF7E389EAF}">
      <text>
        <r>
          <rPr>
            <sz val="9"/>
            <color indexed="81"/>
            <rFont val="Tahoma"/>
            <family val="2"/>
          </rPr>
          <t>Starbucks went public in 1992. If you ignore the first 10 years of data (hyper growth stage). The CAGR in revenue has been approximately 12% over 20 years from  $3.3B in 2002 to $32.25B in 2022 [(32.25/3.3)^(1/20)-1]. Despite running at double digit growth as a mature company for 20 years, the constant growth stage should be a rate much lower than this. we have applied a 5% haircut to arrive at a constant growth rate of 7%.
The constant growth rates (like all of the inputs) could be debated. Some may say there should be three stages: stage 1 being the forecast management has provided through 2025, stage 2 a 20 year period based on the long term growth of 12%, and stage 3 a lower constant growth of 3-4%. I view the 7% growth as a blended rate of what would be a three stage approach. 
We are also assuming: 
&gt; The CFO growth rate will equal the revenue growth rate on a long-term basis, and that the capital intensity of the business (capex to revenue) will decline in the slower growth stage.
&gt; Constant networking capital in the constant growth stage.
&gt; Debt balance and interest expense remain constant in the constant growth stage, and that book value of debt approximates fair value.</t>
        </r>
      </text>
    </comment>
    <comment ref="F32" authorId="1" shapeId="0" xr:uid="{EB6BE979-D2FF-4210-BB8B-4D0308970FC4}">
      <text>
        <r>
          <rPr>
            <sz val="9"/>
            <color indexed="81"/>
            <rFont val="Tahoma"/>
            <family val="2"/>
          </rPr>
          <t>Instructor's preference: I like to be able to manipulate the forecast for the CAPM inputs on a short-term and long-term basis, without my short-term (1 to 3 years) having an undue influence on my forecast of the long-term enterprise value.</t>
        </r>
      </text>
    </comment>
    <comment ref="B33" authorId="0" shapeId="0" xr:uid="{9F3A1E36-CD35-4057-B763-6B170781BC13}">
      <text>
        <r>
          <rPr>
            <sz val="9"/>
            <color indexed="81"/>
            <rFont val="Tahoma"/>
            <family val="2"/>
          </rPr>
          <t xml:space="preserve">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
        </r>
      </text>
    </comment>
    <comment ref="C34" authorId="1" shapeId="0" xr:uid="{362E85EA-311A-47DE-A280-0445E639E552}">
      <text>
        <r>
          <rPr>
            <sz val="9"/>
            <color indexed="81"/>
            <rFont val="Tahoma"/>
            <family val="2"/>
          </rPr>
          <t>From "SBUX Beta Calculation" file, worksheet "SBUX Beta ST" cells C15 and H18.</t>
        </r>
      </text>
    </comment>
    <comment ref="F35" authorId="2" shapeId="0" xr:uid="{23AC5217-2184-4611-B0E7-461F2D0901CA}">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F36" authorId="3" shapeId="0" xr:uid="{5DB30C13-3126-4F6F-B2D1-D406B6601DE4}">
      <text>
        <r>
          <rPr>
            <sz val="9"/>
            <color indexed="81"/>
            <rFont val="Tahoma"/>
            <family val="2"/>
          </rPr>
          <t xml:space="preserve">This adds back cash and removes debt from the enterprise value to arrive at the equity only value
</t>
        </r>
      </text>
    </comment>
  </commentList>
</comments>
</file>

<file path=xl/sharedStrings.xml><?xml version="1.0" encoding="utf-8"?>
<sst xmlns="http://schemas.openxmlformats.org/spreadsheetml/2006/main" count="1348" uniqueCount="430">
  <si>
    <t>Basic shares outstanding</t>
  </si>
  <si>
    <t xml:space="preserve">Diluted shares outstanding </t>
  </si>
  <si>
    <t>Effective tax rate</t>
  </si>
  <si>
    <t>(Dollars in millions, except per share data)</t>
  </si>
  <si>
    <t>Operating margin (GAAP)</t>
  </si>
  <si>
    <t>Provisions for income tax</t>
  </si>
  <si>
    <t xml:space="preserve">Basic EPS </t>
  </si>
  <si>
    <t xml:space="preserve">Diluted EPS </t>
  </si>
  <si>
    <t>Total operating expenses</t>
  </si>
  <si>
    <t>Ratio Analysis</t>
  </si>
  <si>
    <t>Total operating income/(loss)</t>
  </si>
  <si>
    <t>Income/(loss) before income tax</t>
  </si>
  <si>
    <t>Non-GAAP Adjustments</t>
  </si>
  <si>
    <t>Segment Data</t>
  </si>
  <si>
    <t>Reconciliation</t>
  </si>
  <si>
    <t>Dec-18</t>
  </si>
  <si>
    <t xml:space="preserve">   Net income attributable to common shareholders</t>
  </si>
  <si>
    <t>Revenue growth rate (GAAP, YoY)</t>
  </si>
  <si>
    <t>Starbucks Income Statement</t>
  </si>
  <si>
    <t>F1Q19</t>
  </si>
  <si>
    <t>Dec-22E</t>
  </si>
  <si>
    <t>Mar-23E</t>
  </si>
  <si>
    <t>June-23E</t>
  </si>
  <si>
    <t>Sept-23E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</si>
  <si>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</si>
  <si>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</si>
  <si>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</si>
  <si>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</si>
  <si>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</si>
  <si>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</si>
  <si>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</si>
  <si>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</si>
  <si>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</si>
  <si>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</si>
  <si>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</si>
  <si>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</si>
  <si>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</si>
  <si>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</si>
  <si>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</si>
  <si>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Restructuring and impairments</t>
  </si>
  <si>
    <t>Comp store sales - Ticket</t>
  </si>
  <si>
    <t>Comp store sales - Transaction</t>
  </si>
  <si>
    <t>Comp store sales - Total</t>
  </si>
  <si>
    <t xml:space="preserve">Net new company operated stores added </t>
  </si>
  <si>
    <t xml:space="preserve">Net new licensed  stores added </t>
  </si>
  <si>
    <t>Average revenue per licensed store</t>
  </si>
  <si>
    <t>Average licensed stores in the period</t>
  </si>
  <si>
    <t>Other revenue YoY growth rate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</si>
  <si>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</si>
  <si>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</si>
  <si>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</si>
  <si>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</si>
  <si>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</si>
  <si>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</si>
  <si>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</si>
  <si>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</si>
  <si>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</si>
  <si>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</si>
  <si>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</si>
  <si>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</si>
  <si>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</si>
  <si>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</si>
  <si>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</si>
  <si>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</si>
  <si>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</si>
  <si>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</si>
  <si>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</si>
  <si>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</si>
  <si>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</si>
  <si>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</si>
  <si>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</si>
  <si>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</si>
  <si>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</si>
  <si>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</si>
  <si>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Operating margin (Non-GAAP)</t>
  </si>
  <si>
    <t>Interest &amp; other income as a % of average  investments and cash</t>
  </si>
  <si>
    <t>Interest expense as a % of average debt balances</t>
  </si>
  <si>
    <t>All Other  (Operating expense)</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</si>
  <si>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</si>
  <si>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</si>
  <si>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</si>
  <si>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</si>
  <si>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</si>
  <si>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</si>
  <si>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</si>
  <si>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</si>
  <si>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</si>
  <si>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</si>
  <si>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</si>
  <si>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</si>
  <si>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</si>
  <si>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</si>
  <si>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</si>
  <si>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</si>
  <si>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</si>
  <si>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</si>
  <si>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</si>
  <si>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</si>
  <si>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</si>
  <si>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</si>
  <si>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</si>
  <si>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</si>
  <si>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</si>
  <si>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</si>
  <si>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</si>
  <si>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</si>
  <si>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</si>
  <si>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</si>
  <si>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</si>
  <si>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</si>
  <si>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</si>
  <si>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</si>
  <si>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</si>
  <si>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</si>
  <si>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</si>
  <si>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</si>
  <si>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</si>
  <si>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</si>
  <si>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</si>
  <si>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</si>
  <si>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</si>
  <si>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</si>
  <si>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</si>
  <si>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</si>
  <si>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</si>
  <si>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</si>
  <si>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</si>
  <si>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</si>
  <si>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</si>
  <si>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</si>
  <si>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</si>
  <si>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</si>
  <si>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</si>
  <si>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</si>
  <si>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</si>
  <si>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</si>
  <si>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Non-GAAP EPS Growth (YoY)</t>
  </si>
  <si>
    <t>Cash Flow From Operations Growth (YoY)</t>
  </si>
  <si>
    <t>Sept-20</t>
  </si>
  <si>
    <t>F4Q20</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</si>
  <si>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</si>
  <si>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</si>
  <si>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</si>
  <si>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</si>
  <si>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</si>
  <si>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</si>
  <si>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</si>
  <si>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</si>
  <si>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</si>
  <si>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</si>
  <si>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</si>
  <si>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</si>
  <si>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</si>
  <si>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</si>
  <si>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</si>
  <si>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</si>
  <si>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</si>
  <si>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Dec-25E</t>
  </si>
  <si>
    <t>Mar-26E</t>
  </si>
  <si>
    <t>June-26E</t>
  </si>
  <si>
    <t>Sept-26E</t>
  </si>
  <si>
    <t>F1Q26E</t>
  </si>
  <si>
    <t>F2Q26E</t>
  </si>
  <si>
    <t>F3Q26E</t>
  </si>
  <si>
    <t>F4Q26E</t>
  </si>
  <si>
    <t>FY 2026E</t>
  </si>
  <si>
    <t>Global Store Growth</t>
  </si>
  <si>
    <t>Approximate Dividend Payout Ratio</t>
  </si>
  <si>
    <t>Sept-21</t>
  </si>
  <si>
    <t>F4Q21</t>
  </si>
  <si>
    <t>FY 2021</t>
  </si>
  <si>
    <t>North America (GAAP)</t>
  </si>
  <si>
    <t>NA company-operated stores</t>
  </si>
  <si>
    <t>NA Revenue: Company-operated stores ($M)</t>
  </si>
  <si>
    <t>NA licensed stores</t>
  </si>
  <si>
    <t>NA Revenue: licensed stores ($M)</t>
  </si>
  <si>
    <t>NA Revenue: Other</t>
  </si>
  <si>
    <t>NA total stores</t>
  </si>
  <si>
    <t>NA total net store additions</t>
  </si>
  <si>
    <t>NA total net revenues ($M)</t>
  </si>
  <si>
    <t>NA total operating expenses</t>
  </si>
  <si>
    <t>NA total operating income</t>
  </si>
  <si>
    <t>NA total operating margin (%)</t>
  </si>
  <si>
    <t>GAAP EPS Growth (YoY)</t>
  </si>
  <si>
    <t>Jan-22</t>
  </si>
  <si>
    <t>F1Q22</t>
  </si>
  <si>
    <t>F2Q22</t>
  </si>
  <si>
    <t>Mar-22</t>
  </si>
  <si>
    <t>Dec-26E</t>
  </si>
  <si>
    <t>Mar-27E</t>
  </si>
  <si>
    <t>June-27E</t>
  </si>
  <si>
    <t>Sept-27E</t>
  </si>
  <si>
    <t>F1Q27E</t>
  </si>
  <si>
    <t>F2Q27E</t>
  </si>
  <si>
    <t>F3Q27E</t>
  </si>
  <si>
    <t>F4Q27E</t>
  </si>
  <si>
    <t>FY 2027E</t>
  </si>
  <si>
    <t>Revenue growth rate (YoY)</t>
  </si>
  <si>
    <t>Average company operated stores in the period</t>
  </si>
  <si>
    <t>Average revenue per average licensed store</t>
  </si>
  <si>
    <t>June-22</t>
  </si>
  <si>
    <t>F3Q22</t>
  </si>
  <si>
    <t>Average revenue per average company operated store</t>
  </si>
  <si>
    <t xml:space="preserve">Average revenue per average company operated store </t>
  </si>
  <si>
    <t>Shares repurchased: Share count (in millions of shares, exASRs)</t>
  </si>
  <si>
    <t>Change in basic shares  (excluding repurchases)</t>
  </si>
  <si>
    <t>Change in diluted shares  (excluding repurchases)</t>
  </si>
  <si>
    <t>Note: Blue cells = primary inputs. Purple cells = guidance.</t>
  </si>
  <si>
    <t>Assets</t>
  </si>
  <si>
    <t>Cash and equivalents</t>
  </si>
  <si>
    <t>Short-term investments</t>
  </si>
  <si>
    <t>Accounts receivable, net</t>
  </si>
  <si>
    <t>Inventories</t>
  </si>
  <si>
    <t>Prepaid expenses and other current assets</t>
  </si>
  <si>
    <t>Total Current Assets</t>
  </si>
  <si>
    <t>Long-term investments</t>
  </si>
  <si>
    <t>Equity investments</t>
  </si>
  <si>
    <t xml:space="preserve">Property, plant and equipment, net </t>
  </si>
  <si>
    <t>Operating lease, right-of-use asset</t>
  </si>
  <si>
    <t>Deferred income taxes, net</t>
  </si>
  <si>
    <t>Other long-term assets</t>
  </si>
  <si>
    <t>Other intangible assets, net</t>
  </si>
  <si>
    <t>Goodwill</t>
  </si>
  <si>
    <t>Total Assets</t>
  </si>
  <si>
    <t>Liabilities</t>
  </si>
  <si>
    <t>Accounts payable</t>
  </si>
  <si>
    <t>Accrued liabilities</t>
  </si>
  <si>
    <t>Accrued payroll and benefits (current)</t>
  </si>
  <si>
    <t>Income taxes payable (current)</t>
  </si>
  <si>
    <t xml:space="preserve">Current portion of operating lease liability </t>
  </si>
  <si>
    <t>Stored value card liability and deferred revenue</t>
  </si>
  <si>
    <t>Current portion of debt</t>
  </si>
  <si>
    <t>Other current liabilities</t>
  </si>
  <si>
    <t>Total Current liabilities</t>
  </si>
  <si>
    <t>Long-term debt</t>
  </si>
  <si>
    <t>Operating lease liability</t>
  </si>
  <si>
    <t>Deferred revenue</t>
  </si>
  <si>
    <t>Other long-term liabilities</t>
  </si>
  <si>
    <t>Total liabilities</t>
  </si>
  <si>
    <t>Equity</t>
  </si>
  <si>
    <t>Common stock and additional paid in capital</t>
  </si>
  <si>
    <t xml:space="preserve">Retained earnings </t>
  </si>
  <si>
    <t>Accumulated other comprehensive loss</t>
  </si>
  <si>
    <t>Noncontrolling interest</t>
  </si>
  <si>
    <t>Total shareholders' equity</t>
  </si>
  <si>
    <t>Total liabilities and equity</t>
  </si>
  <si>
    <t>Balance Sheet Ratios &amp; Assumptions</t>
  </si>
  <si>
    <t>Day Count (number of days in the quarter)</t>
  </si>
  <si>
    <t>Receivables turnover</t>
  </si>
  <si>
    <t>Days sales outstanding</t>
  </si>
  <si>
    <t>Inventory turnover</t>
  </si>
  <si>
    <t>Payables turnover</t>
  </si>
  <si>
    <t>Number of days of payables</t>
  </si>
  <si>
    <t>Total investments as a % of assets</t>
  </si>
  <si>
    <t>Short-term investments as a % of total investments</t>
  </si>
  <si>
    <t>Deferred inc taxes as % of def revenue &amp; stored value liability</t>
  </si>
  <si>
    <t>Depreciation &amp; amortization-to-average P&amp;E</t>
  </si>
  <si>
    <t>Debt Assumptions</t>
  </si>
  <si>
    <t>Debt maturities</t>
  </si>
  <si>
    <t>Debt moved from Long to Current</t>
  </si>
  <si>
    <t>Debt issuance</t>
  </si>
  <si>
    <t>Debt-to-equity ratio</t>
  </si>
  <si>
    <t>Short-term debt to total debt</t>
  </si>
  <si>
    <t>Starbucks Cash Flow Statement</t>
  </si>
  <si>
    <t>Cash flows from operating activities</t>
  </si>
  <si>
    <t>Net income - including noncontrolling interests</t>
  </si>
  <si>
    <t xml:space="preserve">Depreciation and amortization </t>
  </si>
  <si>
    <t>Income earned from equity method investees</t>
  </si>
  <si>
    <t>Distributions received from equity method investees</t>
  </si>
  <si>
    <t>Gain resulting from acquisitions/sales</t>
  </si>
  <si>
    <t>Stock-based compensation expense</t>
  </si>
  <si>
    <t>Other Noncash Income/(Expense)</t>
  </si>
  <si>
    <t>Changes in operating assets and liabilities, net of the effects</t>
  </si>
  <si>
    <t>Accounts receivable</t>
  </si>
  <si>
    <t>Increase/(Decrease) in prepaid expenses, other current</t>
  </si>
  <si>
    <t>Increase/(Decrease) in Income Taxes Payable</t>
  </si>
  <si>
    <t>Other operating assets and liabilities</t>
  </si>
  <si>
    <t>Net cash provided by operating activities</t>
  </si>
  <si>
    <t>Cash flows from investing activities</t>
  </si>
  <si>
    <t>Sale/Maturities/(Purchases) of investments</t>
  </si>
  <si>
    <t>Additions to PP&amp;E</t>
  </si>
  <si>
    <t>Other investing activities</t>
  </si>
  <si>
    <t>Net cash provided by (used for) investing</t>
  </si>
  <si>
    <t>Cash flows from financing activities</t>
  </si>
  <si>
    <t xml:space="preserve">Debt/commercial paper (payments) </t>
  </si>
  <si>
    <t>Proceeds from issuance of commercial paper</t>
  </si>
  <si>
    <t>Proceeds from issuance of common stock</t>
  </si>
  <si>
    <t>Cash dividends paid</t>
  </si>
  <si>
    <t>Repurchase of common stock</t>
  </si>
  <si>
    <t>Minimum tax withholdings on share-based awards</t>
  </si>
  <si>
    <t>Other financing activities</t>
  </si>
  <si>
    <t>Net cash provided by (used for) financing</t>
  </si>
  <si>
    <t>Effect of exchange rate changes &amp; restricted cash</t>
  </si>
  <si>
    <t>Net increase (decrease) in cash and equivalents</t>
  </si>
  <si>
    <t>Cash and equivalents at beginning of period</t>
  </si>
  <si>
    <t>Cash and equivalents at end of period (BS)</t>
  </si>
  <si>
    <t>Free Cash Flow to Firm (FCFF)</t>
  </si>
  <si>
    <t>DCF Period (approximate number of years)</t>
  </si>
  <si>
    <t>Discounted FCFF</t>
  </si>
  <si>
    <t xml:space="preserve">Net Cash and investments per share </t>
  </si>
  <si>
    <t>Cash &amp; marketable securities (exEquity method investments)</t>
  </si>
  <si>
    <t>Total Debt</t>
  </si>
  <si>
    <t xml:space="preserve">Adjusted net cash  per share </t>
  </si>
  <si>
    <t>Cash Flow Ratios &amp; Assumptions</t>
  </si>
  <si>
    <t>Cash Flow Statement Ratios</t>
  </si>
  <si>
    <t>Share-based compensation to revenue</t>
  </si>
  <si>
    <t xml:space="preserve">Distributions from equity investments as a % of income </t>
  </si>
  <si>
    <t>Net Cash from Operations growth rate (YoY)</t>
  </si>
  <si>
    <t>Capex to revenue</t>
  </si>
  <si>
    <t>Return to Shareholders (Dividends and Repurchases)</t>
  </si>
  <si>
    <t>Return to Shareholders (cumulative 2023 to 2025)</t>
  </si>
  <si>
    <t>EBITDA (Non-GAAP)</t>
  </si>
  <si>
    <t>Debt</t>
  </si>
  <si>
    <t>Total lease costs (10-K)</t>
  </si>
  <si>
    <t>Debt-to-EBITDA (Non-GAAP)</t>
  </si>
  <si>
    <t>CAGR in Non-GAAP EPS (2022 to 2025) including repurchases</t>
  </si>
  <si>
    <t>CAGR in Non-GAAP EPS (2022 to 2025) before repurchases</t>
  </si>
  <si>
    <t>Impact from repurchases (net of incremental interest expense)</t>
  </si>
  <si>
    <t>Low-end of Non-GAAP EPS guidance (assuming 15% CAGR off $2.88 in 2022)</t>
  </si>
  <si>
    <t>High-end of Non-GAAP EPS guidance (assuming 20% CAGR off $2.88 in 2022)</t>
  </si>
  <si>
    <t>Non-GAAP EPS CAGR (From 2022 to 2025)</t>
  </si>
  <si>
    <t>Global Store Growth CAGR (2022 to 2025)</t>
  </si>
  <si>
    <t>Global Revenue Growth CAGR (2022 to 2025)</t>
  </si>
  <si>
    <t>Sept-22</t>
  </si>
  <si>
    <t>F4Q22</t>
  </si>
  <si>
    <t>FY 2022</t>
  </si>
  <si>
    <t>NA Change in Product/dist costs (as % of total segment revenue)</t>
  </si>
  <si>
    <t>NA Change in Store opex (as % of comp-op store revenue)</t>
  </si>
  <si>
    <t>NA Change in Other opex (as % of total segment revenue)</t>
  </si>
  <si>
    <t>NA Change in G&amp;A expense (as % of total segment revenue)</t>
  </si>
  <si>
    <t>Intl Change in Product/dist costs (as % of total segment revenue)</t>
  </si>
  <si>
    <t>Intl Change in Store opex (as % of comp-op store revenue)</t>
  </si>
  <si>
    <t>Intl Change in Other opex (as % of total segment revenue)</t>
  </si>
  <si>
    <t>Intl Change in G&amp;A expense (as % of total segment revenue)</t>
  </si>
  <si>
    <t>Channel Dev Change in Product/dist costs (as % of total segment revenue)</t>
  </si>
  <si>
    <t>Channel Dev Change in Other opex (as % of total segment revenue)</t>
  </si>
  <si>
    <t>Channel Dev Change in G&amp;A expense (as % of total segment revenue)</t>
  </si>
  <si>
    <t>Multiple Valuation</t>
  </si>
  <si>
    <t>PE 3-month average (NTM)</t>
  </si>
  <si>
    <t>PE 3-month high (NTM)</t>
  </si>
  <si>
    <t>PE 3-month low (NTM)</t>
  </si>
  <si>
    <t>Long-Term Historic Range</t>
  </si>
  <si>
    <t>PE selected for valuation (NTM)</t>
  </si>
  <si>
    <t>Adjustments</t>
  </si>
  <si>
    <t>Implied 12-month target value</t>
  </si>
  <si>
    <t>Primary Items</t>
  </si>
  <si>
    <t>Qualitative Argument</t>
  </si>
  <si>
    <t>Quantitative Argument</t>
  </si>
  <si>
    <t>1. Shifts in consumer behaviour</t>
  </si>
  <si>
    <t xml:space="preserve">Rationale: I will model the base case version to reflect two points laid out in the last earning's call: The goal to offer beverages that can not be re-created at home and the young target group.
 </t>
  </si>
  <si>
    <t>2. Further investment in customization equipment</t>
  </si>
  <si>
    <t xml:space="preserve">In order to increase the product range of unique beverages Starbucks will further have to invest in customization equipment and come up with new beverages and corresponding equipment that will not be available elsewhere. </t>
  </si>
  <si>
    <t xml:space="preserve">I believe that Starbucks is further going to increase it´s product range with beverages that can not be home-made or purchased elsewhere. As a consequence, brand loyalty will increase, as well as drink customization and favorable product mix (more high margin beverages) will accelerate over the next few quarters”. The target customer group for these products are Gen-Z customers that show a high demand for cold/customized drinks. </t>
  </si>
  <si>
    <t>3. Employee retention challenges</t>
  </si>
  <si>
    <t>I believe that due to macro-economic and demographic factors (boomer generation retiring) employee recruitment and retention is going to become increasingly difficult for low-paid jobs in North America. Since a high turnover comes with high costs (especially training, given the complexity of its products) Starbucks will have to increasingly invest in wages and benefits for its staff in order to keep turnover at an acceptable level.</t>
  </si>
  <si>
    <t>To reflect the increase in customization equipment, I have increased Capex to revenue by 25 bps each fiscal quarter starting  F4Q2023, and continuing for the next 3 years.</t>
  </si>
  <si>
    <t>To reflect an increase in wages and benefits for North America, I have increased Product and Distribution costs for NA by 50 bps for all each quarter FY2024, FY2025, FY2026</t>
  </si>
  <si>
    <t>Key forecast metrics after adjustments</t>
  </si>
  <si>
    <t>Revenue</t>
  </si>
  <si>
    <t>Operating Margin</t>
  </si>
  <si>
    <t>EPS</t>
  </si>
  <si>
    <t xml:space="preserve">To reflect this opinion, I have increased my average revenue per company operated store estimate by respectively 25, 50 and 50 bps each quarter of fiscal years 2024, 2025, 2026 for the North America segments. For the international segment, I believe that the positive trend will be similar, but due to concerns about the general economic situation and exchange rates, I won't make any adjustments. </t>
  </si>
  <si>
    <t>Non-GAAP operating margin is expected to decrease by 38 bps in FY2024 and by 76 bps in FY2025, compared to the base case, due to the increase in modelled NA Product and Distribution cost, driven by wages. The trend intensifies in FY2026 and FY2027, where operating margin decreases by respectively 1,13% and 1,16%, compared to the base case. Same as for the revenue, the decrease is softened by the rise of average revenue per NA company operated store.</t>
  </si>
  <si>
    <t>Revenue growth is modelled at respectively 11.7%, 10.8% and 11.4% for FY2023, FY2024 and FY2025. This represents a Compound Annual Growth Rate (CAGR) of 11.3% through 2025. This is within management’s guidance (10-12%). The result is driven by increased spendings on opex and capex. The increase in cost is weakened by the rise of average revenue per NA company operated store, as a consequence of increased brand loyalty and product mix.</t>
  </si>
  <si>
    <t xml:space="preserve">I am modelling EPS (non-GAAP) growth of 15,7% (CAGR through 2025) which is within management’s guided range of 15% to 20%. </t>
  </si>
  <si>
    <t>Valuation forecast</t>
  </si>
  <si>
    <t>18x to 37x</t>
  </si>
  <si>
    <r>
      <rPr>
        <b/>
        <sz val="11"/>
        <color theme="1"/>
        <rFont val="Calibri"/>
        <family val="2"/>
        <scheme val="minor"/>
      </rPr>
      <t>Multiple Valuation Description:</t>
    </r>
    <r>
      <rPr>
        <sz val="11"/>
        <color theme="1"/>
        <rFont val="Calibri"/>
        <family val="2"/>
        <scheme val="minor"/>
      </rPr>
      <t xml:space="preserve"> The Base Case PE multiple has been adjusted  from 28x to 30x to reflect the fact that we may have hit peak Fed Hawkishness and peak inflation. The market is pricing this in with a sharp reduction in long-term rates on November 11, 2022 after the latest reported reduction in the October CPI. As this is occurring Starbucks continues to expect double-digit earnings growth through 2025. These two factors support an above average PE multiple. Note that 30x is below the historic peak of 37x.</t>
    </r>
  </si>
  <si>
    <t>50/50 Valuation</t>
  </si>
  <si>
    <t>Multiple-based target valuation</t>
  </si>
  <si>
    <t>DCF-based target valuation</t>
  </si>
  <si>
    <t>50/50 weighted target valuation</t>
  </si>
  <si>
    <t>Price Band Estimate</t>
  </si>
  <si>
    <t>Mean monthly return</t>
  </si>
  <si>
    <t xml:space="preserve">Standard deviation </t>
  </si>
  <si>
    <t>Implied target value</t>
  </si>
  <si>
    <t>Implied upper bound</t>
  </si>
  <si>
    <t>Implied Lower bound</t>
  </si>
  <si>
    <t>Discounted Cash Flow Valuation</t>
  </si>
  <si>
    <t>Assumptions, notes, and source of input</t>
  </si>
  <si>
    <t>Weighted Average Cost of Capital (WACC) Inputs</t>
  </si>
  <si>
    <t>Target share price</t>
  </si>
  <si>
    <t>Refer to embedded note</t>
  </si>
  <si>
    <t>Shares outstanding</t>
  </si>
  <si>
    <t>This is the last reported diluted share count.</t>
  </si>
  <si>
    <t>Market Capitalization ($M)</t>
  </si>
  <si>
    <t>Stage 1 Required Return on Equity (CAPM)</t>
  </si>
  <si>
    <t>Beta (relative to the S&amp;P500)</t>
  </si>
  <si>
    <t>This comes from the "SBUX Beta Calculation" file ("SBUX Beta ST" worksheet, cell H20).</t>
  </si>
  <si>
    <t>Constant market Sharpe ratio</t>
  </si>
  <si>
    <t>ERP Model cell E80.  Refer to embedded note.</t>
  </si>
  <si>
    <t>S&amp;P500 implied volatility</t>
  </si>
  <si>
    <t>ERP Model cell J14. Refer to embedded note.</t>
  </si>
  <si>
    <t>Market Equity Risk Premium (ERP)</t>
  </si>
  <si>
    <t>You may choose to use a simplified estimate of the ERP</t>
  </si>
  <si>
    <t>Estimate of Risk Free (forecast of 10yr UST)</t>
  </si>
  <si>
    <t>ERP Model Cell O14</t>
  </si>
  <si>
    <t>Stage 1: Required Return on Equity</t>
  </si>
  <si>
    <t>Equity to total capital</t>
  </si>
  <si>
    <t>Average cost of debt</t>
  </si>
  <si>
    <t xml:space="preserve">After tax cost of debt </t>
  </si>
  <si>
    <t>Stage 1 WACC</t>
  </si>
  <si>
    <t>Constant Growth (Stage 2) Assumptions</t>
  </si>
  <si>
    <t>Revenue growth</t>
  </si>
  <si>
    <t>Constant CFO growth rate</t>
  </si>
  <si>
    <t>Average CapEx (% of sales)</t>
  </si>
  <si>
    <t>Stage 2 Required Return on Equity (CAPM)</t>
  </si>
  <si>
    <t>LT Beta forecast (relative to the S&amp;P500)</t>
  </si>
  <si>
    <t>This comes from the "SBUX Beta Calculation" file ("SBUX Beta LT" worksheet, cell H19).</t>
  </si>
  <si>
    <t>LT constant market Sharpe ratio</t>
  </si>
  <si>
    <t>ERP Model cell E74</t>
  </si>
  <si>
    <t>LT S&amp;P500 implied volatility forecast</t>
  </si>
  <si>
    <t>ERP Model cell I18</t>
  </si>
  <si>
    <t>LT Market Equity Risk Premium (ERP)</t>
  </si>
  <si>
    <t>LT Risk Free forecast (10yr UST)</t>
  </si>
  <si>
    <t>ERP Model cell E82</t>
  </si>
  <si>
    <t>Stage 2: Required Return on Equity</t>
  </si>
  <si>
    <t>Stage 2 Long-Term WACC</t>
  </si>
  <si>
    <t>DCF Valuation</t>
  </si>
  <si>
    <t xml:space="preserve">Stage 1 Present Value (PV) of cash flows </t>
  </si>
  <si>
    <t>Stage 2 PV of constant growth CFs</t>
  </si>
  <si>
    <t xml:space="preserve">Plus cash/(debt) per share </t>
  </si>
  <si>
    <t>Implied DCF 12-month target value</t>
  </si>
  <si>
    <t>DCF/Multiple Target Price Check</t>
  </si>
  <si>
    <t xml:space="preserve">Describe your valuation methodology </t>
  </si>
  <si>
    <t>Identify your target valuation</t>
  </si>
  <si>
    <t>I have selected a PE multiple of 32x, which is higher than the historic average of 28x. In my view the long term earnings profile of the company will be positively impacted by the growth plan and future investments in equipment. I do believe that the economy will slowly recover from the events of the past years (Covid, Ukraine war and inflation) and I am optimistic about the valuation of the company.</t>
  </si>
  <si>
    <t xml:space="preserve">My target valuation of $108 is the result of a 50/50 split between multiple and DCF valuation. My PE multiple of 32x leads to a price of $109 and my DCF valuation points to a price of $107. The fact that both results are close, gives me confidence in my calculations. The DCF valuation assumes a constrant growth rate of 4.5%, higher than the 4% base case assumption. The value is driven by the higher CapEx spending of 3%, which is needed to support further investment in equipment (as explained above). </t>
  </si>
  <si>
    <t>Identify your overall opinion of the subject company (Step 3f)</t>
  </si>
  <si>
    <t>Hold - The current price for SBUX is around $109, I do believe that the share is currently correctly priced. Should the price decrease due to short term fluctuations, i would advise to buy.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</si>
</sst>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43" formatCode="_-* #,##0.00_-;\-* #,##0.00_-;_-* &quot;-&quot;??_-;_-@_-"/>
    <numFmt numFmtId="164" formatCode="&quot;$&quot;#,##0_);[Red]\(&quot;$&quot;#,##0\)"/>
    <numFmt numFmtId="165" formatCode="&quot;$&quot;#,##0.00_);\(&quot;$&quot;#,##0.00\)"/>
    <numFmt numFmtId="166" formatCode="&quot;$&quot;#,##0.00_);[Red]\(&quot;$&quot;#,##0.00\)"/>
    <numFmt numFmtId="167" formatCode="_(&quot;$&quot;* #,##0.00_);_(&quot;$&quot;* \(#,##0.00\);_(&quot;$&quot;* &quot;-&quot;??_);_(@_)"/>
    <numFmt numFmtId="168" formatCode="_(* #,##0.00_);_(* \(#,##0.00\);_(* &quot;-&quot;??_);_(@_)"/>
    <numFmt numFmtId="169" formatCode="_(* #,##0.0_);_(* \(#,##0.0\);_(* &quot;-&quot;??_);_(@_)"/>
    <numFmt numFmtId="170" formatCode="_(* #,##0_);_(* \(#,##0\);_(* &quot;-&quot;??_);_(@_)"/>
    <numFmt numFmtId="171" formatCode="0.0%"/>
    <numFmt numFmtId="172" formatCode="_(* #,##0.000_);_(* \(#,##0.000\);_(* &quot;-&quot;??_);_(@_)"/>
    <numFmt numFmtId="173" formatCode="0.0_)\%;\(0.0\)\%;0.0_)\%;@_)_%"/>
    <numFmt numFmtId="174" formatCode="#,##0.0_)_%;\(#,##0.0\)_%;0.0_)_%;@_)_%"/>
    <numFmt numFmtId="175" formatCode="#,##0.0_);\(#,##0.0\);#,##0.0_);@_)"/>
    <numFmt numFmtId="176" formatCode="&quot;$&quot;_(#,##0.00_);&quot;$&quot;\(#,##0.00\);&quot;$&quot;_(0.00_);@_)"/>
    <numFmt numFmtId="177" formatCode="#,##0.00_);\(#,##0.00\);0.00_);@_)"/>
    <numFmt numFmtId="178" formatCode="\€_(#,##0.00_);\€\(#,##0.00\);\€_(0.00_);@_)"/>
    <numFmt numFmtId="179" formatCode="#,##0_)\x;\(#,##0\)\x;0_)\x;@_)_x"/>
    <numFmt numFmtId="180" formatCode="#,##0_)_x;\(#,##0\)_x;0_)_x;@_)_x"/>
    <numFmt numFmtId="181" formatCode="* #,##0.00_);\(#,##0.00\)"/>
    <numFmt numFmtId="182" formatCode="&quot;$&quot;#,##0;\-&quot;$&quot;#,##0"/>
    <numFmt numFmtId="183" formatCode="#,##0;\-#,##0;&quot;-&quot;"/>
    <numFmt numFmtId="184" formatCode="0.000000"/>
    <numFmt numFmtId="185" formatCode="_(* #,##0,,_);_(* \(#,##0,,\);_(* &quot;-&quot;_)"/>
    <numFmt numFmtId="186" formatCode="_(* #,##0_);[Red]_(* \(#,##0\);_(* &quot;&quot;&quot;&quot;&quot;&quot;&quot;&quot;\ \-\ &quot;&quot;&quot;&quot;&quot;&quot;&quot;&quot;_);_(@_)"/>
    <numFmt numFmtId="187" formatCode="&quot;£&quot;#,##0;[Red]\-&quot;£&quot;#,##0"/>
    <numFmt numFmtId="188" formatCode="_(* #,##0,_);[Red]_(* \(#,##0,\);_(* &quot;&quot;&quot;&quot;&quot;&quot;&quot;&quot;\ \-\ &quot;&quot;&quot;&quot;&quot;&quot;&quot;&quot;_);_(@_)"/>
    <numFmt numFmtId="189" formatCode="0.00_);[Red]\(0.00\)"/>
    <numFmt numFmtId="190" formatCode="0%;\(0%\);;"/>
    <numFmt numFmtId="191" formatCode="&quot;£&quot;#,##0.00;[Red]\-&quot;£&quot;#,##0.00"/>
    <numFmt numFmtId="192" formatCode="_(* #,##0.000_);_(* \(#,##0.000\);_(* &quot;-&quot;_);_(@_)"/>
    <numFmt numFmtId="193" formatCode="0%;\(0%\);&quot;-&quot;"/>
    <numFmt numFmtId="194" formatCode="_-&quot;£&quot;* #,##0_-;\-&quot;£&quot;* #,##0_-;_-&quot;£&quot;* &quot;-&quot;_-;_-@_-"/>
    <numFmt numFmtId="195" formatCode="_(&quot;$&quot;* #,##0,_);_(&quot;$&quot;* \(#,##0,\);_(&quot;$&quot;* &quot;-&quot;_);_(@_)"/>
    <numFmt numFmtId="196" formatCode="#,##0\ ;\(#,##0.0\)"/>
    <numFmt numFmtId="197" formatCode="0.0"/>
    <numFmt numFmtId="198" formatCode="#,##0.00;\-#,##0.00;&quot;-&quot;"/>
    <numFmt numFmtId="199" formatCode="_._.* \(#,##0\)_%;_._.* #,##0_)_%;_._.* 0_)_%;_._.@_)_%"/>
    <numFmt numFmtId="200" formatCode="_._.&quot;$&quot;* \(#,##0\)_%;_._.&quot;$&quot;* #,##0_)_%;_._.&quot;$&quot;* 0_)_%;_._.@_)_%"/>
    <numFmt numFmtId="201" formatCode="&quot;$&quot;0.00_)"/>
    <numFmt numFmtId="202" formatCode="_([$€-2]* #,##0.00_);_([$€-2]* \(#,##0.00\);_([$€-2]* &quot;-&quot;??_)"/>
    <numFmt numFmtId="203" formatCode="_-* #,##0\ _D_M_-;\-* #,##0\ _D_M_-;_-* &quot;-&quot;\ _D_M_-;_-@_-"/>
    <numFmt numFmtId="204" formatCode="_-* #,##0.00\ _D_M_-;\-* #,##0.00\ _D_M_-;_-* &quot;-&quot;??\ _D_M_-;_-@_-"/>
    <numFmt numFmtId="205" formatCode="_-* #,##0\ &quot;DM&quot;_-;\-* #,##0\ &quot;DM&quot;_-;_-* &quot;-&quot;\ &quot;DM&quot;_-;_-@_-"/>
    <numFmt numFmtId="206" formatCode="_-* #,##0.00\ &quot;DM&quot;_-;\-* #,##0.00\ &quot;DM&quot;_-;_-* &quot;-&quot;??\ &quot;DM&quot;_-;_-@_-"/>
    <numFmt numFmtId="207" formatCode="#,##0.0_);\(#,##0.0\)"/>
    <numFmt numFmtId="208" formatCode="#,##0.0\ ;\(#,##0.0\)"/>
    <numFmt numFmtId="209" formatCode="0%;\(0%\)"/>
    <numFmt numFmtId="210" formatCode="&quot;SFr.&quot;#,##0;[Red]&quot;SFr.&quot;\-#,##0"/>
    <numFmt numFmtId="211" formatCode="#,##0.0000000000;\-#,##0.0000000000"/>
    <numFmt numFmtId="212" formatCode="#,##0.0;\-#,##0.0"/>
    <numFmt numFmtId="213" formatCode="#,##0.000;\-#,##0.000"/>
    <numFmt numFmtId="214" formatCode="#,##0.0000;\-#,##0.0000"/>
    <numFmt numFmtId="215" formatCode="#,##0.00000;\-#,##0.00000"/>
    <numFmt numFmtId="216" formatCode="#,##0.000000;\-#,##0.000000"/>
    <numFmt numFmtId="217" formatCode="#,##0.0000000;\-#,##0.0000000"/>
    <numFmt numFmtId="218" formatCode="#,##0.00000000;\-#,##0.00000000"/>
    <numFmt numFmtId="219" formatCode="#,##0.000000000;\-#,##0.000000000"/>
    <numFmt numFmtId="220" formatCode="#,##0___);\(#,##0.00\)"/>
    <numFmt numFmtId="221" formatCode="#,##0&quot;%&quot;"/>
    <numFmt numFmtId="222" formatCode="#,##0_);[Red]\(#,##0\);&quot;-&quot;"/>
    <numFmt numFmtId="223" formatCode="_-&quot;£&quot;* #,##0.00_-;\-&quot;£&quot;* #,##0.00_-;_-&quot;£&quot;* &quot;-&quot;??_-;_-@_-"/>
    <numFmt numFmtId="224" formatCode="*-"/>
    <numFmt numFmtId="225" formatCode="#,##0;[Red]\(#,##0\)"/>
    <numFmt numFmtId="226" formatCode="_(* #,##0.0000_);_(* \(#,##0.0000\);_(* &quot;-&quot;??_);_(@_)"/>
    <numFmt numFmtId="227" formatCode="0.000%"/>
    <numFmt numFmtId="228" formatCode="0.0\x"/>
    <numFmt numFmtId="229" formatCode="_(* #,##0.0_);_(* \(#,##0.0\);_(* &quot;-&quot;?_);_(@_)"/>
    <numFmt numFmtId="230" formatCode="&quot;$&quot;#,##0"/>
    <numFmt numFmtId="231" formatCode="&quot;$&quot;#,##0_);\(&quot;$&quot;#,##0\)"/>
  </numFmts>
  <fonts count="8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b/>
      <u/>
      <sz val="11"/>
      <color rgb="FFFF0000"/>
      <name val="Calibri"/>
      <family val="2"/>
      <scheme val="minor"/>
    </font>
    <font>
      <i/>
      <u/>
      <sz val="11"/>
      <name val="Calibri"/>
      <family val="2"/>
      <scheme val="minor"/>
    </font>
    <font>
      <b/>
      <u val="singleAccounting"/>
      <sz val="11"/>
      <color rgb="FFFF0000"/>
      <name val="Calibri"/>
      <family val="2"/>
      <scheme val="minor"/>
    </font>
    <font>
      <i/>
      <sz val="11"/>
      <color theme="3" tint="0.39997558519241921"/>
      <name val="Calibri"/>
      <family val="2"/>
      <scheme val="minor"/>
    </font>
    <font>
      <sz val="9"/>
      <color indexed="81"/>
      <name val="Segoe UI"/>
      <family val="2"/>
    </font>
    <font>
      <b/>
      <sz val="9"/>
      <color indexed="81"/>
      <name val="Segoe UI"/>
      <family val="2"/>
    </font>
    <font>
      <b/>
      <i/>
      <sz val="11"/>
      <color theme="0"/>
      <name val="Calibri"/>
      <family val="2"/>
      <scheme val="minor"/>
    </font>
    <font>
      <b/>
      <u/>
      <sz val="11"/>
      <color theme="1" tint="0.14999847407452621"/>
      <name val="Calibri"/>
      <family val="2"/>
      <scheme val="minor"/>
    </font>
    <font>
      <sz val="11"/>
      <color theme="1" tint="0.14999847407452621"/>
      <name val="Calibri"/>
      <family val="2"/>
      <scheme val="minor"/>
    </font>
    <font>
      <u val="singleAccounting"/>
      <sz val="11"/>
      <color theme="1" tint="0.14999847407452621"/>
      <name val="Calibri"/>
      <family val="2"/>
      <scheme val="minor"/>
    </font>
    <font>
      <b/>
      <sz val="11"/>
      <color theme="1" tint="0.14999847407452621"/>
      <name val="Calibri"/>
      <family val="2"/>
      <scheme val="minor"/>
    </font>
    <font>
      <u/>
      <sz val="11"/>
      <color theme="1" tint="0.14999847407452621"/>
      <name val="Calibri"/>
      <family val="2"/>
      <scheme val="minor"/>
    </font>
    <font>
      <sz val="11"/>
      <color theme="3"/>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tint="0.499984740745262"/>
        <bgColor indexed="64"/>
      </patternFill>
    </fill>
  </fills>
  <borders count="3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
      <left/>
      <right/>
      <top/>
      <bottom style="medium">
        <color indexed="18"/>
      </bottom>
      <diagonal/>
    </border>
    <border>
      <left/>
      <right/>
      <top/>
      <bottom style="medium">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353">
    <xf numFmtId="0" fontId="0" fillId="0" borderId="0"/>
    <xf numFmtId="168"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168" fontId="5"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9" fontId="3" fillId="0" borderId="0" applyFont="0" applyFill="0" applyBorder="0" applyAlignment="0" applyProtection="0"/>
    <xf numFmtId="180"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81" fontId="15" fillId="0" borderId="0">
      <alignment horizontal="center"/>
    </xf>
    <xf numFmtId="37" fontId="16" fillId="0" borderId="0"/>
    <xf numFmtId="37" fontId="17" fillId="0" borderId="0"/>
    <xf numFmtId="182" fontId="18" fillId="0" borderId="2"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8" fillId="0" borderId="2"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8" fillId="0" borderId="2"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 fillId="0" borderId="0" applyAlignment="0" applyProtection="0"/>
    <xf numFmtId="182" fontId="18" fillId="0" borderId="2" applyAlignment="0" applyProtection="0"/>
    <xf numFmtId="182" fontId="1" fillId="0" borderId="0" applyAlignment="0" applyProtection="0"/>
    <xf numFmtId="182" fontId="1" fillId="0" borderId="0" applyAlignment="0" applyProtection="0"/>
    <xf numFmtId="182" fontId="1" fillId="0" borderId="0" applyAlignment="0" applyProtection="0"/>
    <xf numFmtId="182" fontId="18" fillId="0" borderId="2" applyAlignment="0" applyProtection="0"/>
    <xf numFmtId="182" fontId="18" fillId="0" borderId="2" applyAlignment="0" applyProtection="0"/>
    <xf numFmtId="182" fontId="18" fillId="0" borderId="2" applyAlignment="0" applyProtection="0"/>
    <xf numFmtId="182" fontId="18" fillId="0" borderId="2" applyAlignment="0" applyProtection="0"/>
    <xf numFmtId="182" fontId="1" fillId="0" borderId="0" applyAlignment="0" applyProtection="0"/>
    <xf numFmtId="183" fontId="19" fillId="0" borderId="0" applyFill="0" applyBorder="0" applyAlignment="0"/>
    <xf numFmtId="184" fontId="3" fillId="0" borderId="0" applyFill="0" applyBorder="0" applyAlignment="0"/>
    <xf numFmtId="185" fontId="3" fillId="0" borderId="0" applyFill="0" applyBorder="0" applyAlignment="0"/>
    <xf numFmtId="169" fontId="3" fillId="0" borderId="0" applyFill="0" applyBorder="0" applyAlignment="0"/>
    <xf numFmtId="186" fontId="3"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90" fontId="3" fillId="0" borderId="0" applyFill="0" applyBorder="0" applyAlignment="0"/>
    <xf numFmtId="191" fontId="3" fillId="0" borderId="0" applyFill="0" applyBorder="0" applyAlignment="0"/>
    <xf numFmtId="183" fontId="19" fillId="0" borderId="0" applyFill="0" applyBorder="0" applyAlignment="0"/>
    <xf numFmtId="192" fontId="3" fillId="0" borderId="0" applyFill="0" applyBorder="0" applyAlignment="0"/>
    <xf numFmtId="193" fontId="3" fillId="0" borderId="0" applyFill="0" applyBorder="0" applyAlignment="0"/>
    <xf numFmtId="194" fontId="3" fillId="0" borderId="0" applyFill="0" applyBorder="0" applyAlignment="0"/>
    <xf numFmtId="185" fontId="3" fillId="0" borderId="0" applyFill="0" applyBorder="0" applyAlignment="0"/>
    <xf numFmtId="169" fontId="3" fillId="0" borderId="0" applyFill="0" applyBorder="0" applyAlignment="0"/>
    <xf numFmtId="0" fontId="20" fillId="0" borderId="0" applyFill="0" applyBorder="0" applyProtection="0">
      <alignment horizontal="center"/>
      <protection locked="0"/>
    </xf>
    <xf numFmtId="0" fontId="21" fillId="0" borderId="0"/>
    <xf numFmtId="195" fontId="3" fillId="0" borderId="0"/>
    <xf numFmtId="195" fontId="3" fillId="0" borderId="0"/>
    <xf numFmtId="195" fontId="3" fillId="0" borderId="0"/>
    <xf numFmtId="195" fontId="3" fillId="0" borderId="0"/>
    <xf numFmtId="195" fontId="3" fillId="0" borderId="0"/>
    <xf numFmtId="195" fontId="3" fillId="0" borderId="0"/>
    <xf numFmtId="195" fontId="3" fillId="0" borderId="0"/>
    <xf numFmtId="195" fontId="3" fillId="0" borderId="0"/>
    <xf numFmtId="196" fontId="21" fillId="0" borderId="7"/>
    <xf numFmtId="197" fontId="1" fillId="0" borderId="0"/>
    <xf numFmtId="0" fontId="14" fillId="0" borderId="7"/>
    <xf numFmtId="197" fontId="1" fillId="0" borderId="0"/>
    <xf numFmtId="183" fontId="3" fillId="0" borderId="0" applyFont="0" applyFill="0" applyBorder="0" applyAlignment="0" applyProtection="0"/>
    <xf numFmtId="192" fontId="3" fillId="0" borderId="0" applyFont="0" applyFill="0" applyBorder="0" applyAlignment="0" applyProtection="0"/>
    <xf numFmtId="168" fontId="3" fillId="0" borderId="0" applyFont="0" applyFill="0" applyBorder="0" applyAlignment="0" applyProtection="0">
      <alignment wrapText="1"/>
    </xf>
    <xf numFmtId="168" fontId="1" fillId="0" borderId="0" applyFont="0" applyFill="0" applyBorder="0" applyAlignment="0" applyProtection="0"/>
    <xf numFmtId="168" fontId="3" fillId="0" borderId="0" applyFont="0" applyFill="0" applyBorder="0" applyAlignment="0" applyProtection="0">
      <alignment wrapText="1"/>
    </xf>
    <xf numFmtId="168" fontId="3" fillId="0" borderId="0" applyFont="0" applyFill="0" applyBorder="0" applyAlignment="0" applyProtection="0">
      <alignment wrapText="1"/>
    </xf>
    <xf numFmtId="168"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168" fontId="1" fillId="0" borderId="0" applyFont="0" applyFill="0" applyBorder="0" applyAlignment="0" applyProtection="0"/>
    <xf numFmtId="4" fontId="1" fillId="0" borderId="0" applyFont="0" applyFill="0" applyBorder="0" applyAlignment="0" applyProtection="0"/>
    <xf numFmtId="168"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8" fontId="3" fillId="0" borderId="0">
      <alignment horizontal="center"/>
    </xf>
    <xf numFmtId="199" fontId="25" fillId="0" borderId="0" applyFill="0" applyBorder="0" applyProtection="0"/>
    <xf numFmtId="200" fontId="26" fillId="0" borderId="0" applyFont="0" applyFill="0" applyBorder="0" applyAlignment="0" applyProtection="0"/>
    <xf numFmtId="201" fontId="27" fillId="0" borderId="17">
      <protection hidden="1"/>
    </xf>
    <xf numFmtId="185"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7"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83" fontId="30" fillId="0" borderId="0" applyFill="0" applyBorder="0" applyAlignment="0"/>
    <xf numFmtId="192" fontId="3" fillId="0" borderId="0" applyFill="0" applyBorder="0" applyAlignment="0"/>
    <xf numFmtId="185" fontId="3" fillId="0" borderId="0" applyFill="0" applyBorder="0" applyAlignment="0"/>
    <xf numFmtId="169" fontId="3" fillId="0" borderId="0" applyFill="0" applyBorder="0" applyAlignment="0"/>
    <xf numFmtId="183" fontId="30" fillId="0" borderId="0" applyFill="0" applyBorder="0" applyAlignment="0"/>
    <xf numFmtId="192" fontId="3" fillId="0" borderId="0" applyFill="0" applyBorder="0" applyAlignment="0"/>
    <xf numFmtId="193" fontId="3" fillId="0" borderId="0" applyFill="0" applyBorder="0" applyAlignment="0"/>
    <xf numFmtId="194" fontId="3" fillId="0" borderId="0" applyFill="0" applyBorder="0" applyAlignment="0"/>
    <xf numFmtId="185" fontId="3" fillId="0" borderId="0" applyFill="0" applyBorder="0" applyAlignment="0"/>
    <xf numFmtId="169" fontId="3" fillId="0" borderId="0" applyFill="0" applyBorder="0" applyAlignment="0"/>
    <xf numFmtId="201" fontId="27" fillId="0" borderId="17">
      <protection hidden="1"/>
    </xf>
    <xf numFmtId="202"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83" fontId="37" fillId="0" borderId="0" applyFill="0" applyBorder="0" applyAlignment="0"/>
    <xf numFmtId="192" fontId="3" fillId="0" borderId="0" applyFill="0" applyBorder="0" applyAlignment="0"/>
    <xf numFmtId="185" fontId="3" fillId="0" borderId="0" applyFill="0" applyBorder="0" applyAlignment="0"/>
    <xf numFmtId="169" fontId="3" fillId="0" borderId="0" applyFill="0" applyBorder="0" applyAlignment="0"/>
    <xf numFmtId="183" fontId="37" fillId="0" borderId="0" applyFill="0" applyBorder="0" applyAlignment="0"/>
    <xf numFmtId="192" fontId="3" fillId="0" borderId="0" applyFill="0" applyBorder="0" applyAlignment="0"/>
    <xf numFmtId="193" fontId="3" fillId="0" borderId="0" applyFill="0" applyBorder="0" applyAlignment="0"/>
    <xf numFmtId="194" fontId="3" fillId="0" borderId="0" applyFill="0" applyBorder="0" applyAlignment="0"/>
    <xf numFmtId="185" fontId="3" fillId="0" borderId="0" applyFill="0" applyBorder="0" applyAlignment="0"/>
    <xf numFmtId="169" fontId="3" fillId="0" borderId="0" applyFill="0" applyBorder="0" applyAlignment="0"/>
    <xf numFmtId="203" fontId="3" fillId="0" borderId="0" applyFont="0" applyFill="0" applyBorder="0" applyAlignment="0" applyProtection="0"/>
    <xf numFmtId="204"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5" fontId="3" fillId="0" borderId="0" applyFont="0" applyFill="0" applyBorder="0" applyAlignment="0" applyProtection="0"/>
    <xf numFmtId="206" fontId="3" fillId="0" borderId="0" applyFont="0" applyFill="0" applyBorder="0" applyAlignment="0" applyProtection="0"/>
    <xf numFmtId="164" fontId="38" fillId="0" borderId="0" applyFont="0" applyFill="0" applyBorder="0" applyAlignment="0" applyProtection="0"/>
    <xf numFmtId="166" fontId="38" fillId="0" borderId="0" applyFont="0" applyFill="0" applyBorder="0" applyAlignment="0" applyProtection="0"/>
    <xf numFmtId="207" fontId="15" fillId="0" borderId="7"/>
    <xf numFmtId="37" fontId="39" fillId="0" borderId="0"/>
    <xf numFmtId="208" fontId="21" fillId="0" borderId="0"/>
    <xf numFmtId="208" fontId="1" fillId="0" borderId="0"/>
    <xf numFmtId="209" fontId="3" fillId="0" borderId="0"/>
    <xf numFmtId="210"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11" fontId="3" fillId="0" borderId="0"/>
    <xf numFmtId="212" fontId="3" fillId="0" borderId="0"/>
    <xf numFmtId="39" fontId="3" fillId="0" borderId="0"/>
    <xf numFmtId="39" fontId="3" fillId="0" borderId="0"/>
    <xf numFmtId="213" fontId="3" fillId="0" borderId="0"/>
    <xf numFmtId="214" fontId="3" fillId="0" borderId="0"/>
    <xf numFmtId="215" fontId="3" fillId="0" borderId="0"/>
    <xf numFmtId="216" fontId="3" fillId="0" borderId="0"/>
    <xf numFmtId="217" fontId="3" fillId="0" borderId="0"/>
    <xf numFmtId="218" fontId="3" fillId="0" borderId="0"/>
    <xf numFmtId="219" fontId="3" fillId="0" borderId="0"/>
    <xf numFmtId="220" fontId="38" fillId="0" borderId="0"/>
    <xf numFmtId="221" fontId="27" fillId="0" borderId="0">
      <protection hidden="1"/>
    </xf>
    <xf numFmtId="190" fontId="3" fillId="0" borderId="0" applyFont="0" applyFill="0" applyBorder="0" applyAlignment="0" applyProtection="0"/>
    <xf numFmtId="191" fontId="3" fillId="0" borderId="0" applyFont="0" applyFill="0" applyBorder="0" applyAlignment="0" applyProtection="0"/>
    <xf numFmtId="209" fontId="3" fillId="0" borderId="0" applyFont="0" applyFill="0" applyBorder="0" applyAlignment="0" applyProtection="0"/>
    <xf numFmtId="210"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7" fontId="15" fillId="0" borderId="0"/>
    <xf numFmtId="0" fontId="45" fillId="8" borderId="20" applyNumberFormat="0" applyFont="0" applyFill="0" applyAlignment="0">
      <alignment horizontal="center" vertical="center"/>
    </xf>
    <xf numFmtId="183" fontId="46" fillId="0" borderId="0" applyFill="0" applyBorder="0" applyAlignment="0"/>
    <xf numFmtId="192" fontId="3" fillId="0" borderId="0" applyFill="0" applyBorder="0" applyAlignment="0"/>
    <xf numFmtId="185" fontId="3" fillId="0" borderId="0" applyFill="0" applyBorder="0" applyAlignment="0"/>
    <xf numFmtId="169" fontId="3" fillId="0" borderId="0" applyFill="0" applyBorder="0" applyAlignment="0"/>
    <xf numFmtId="183" fontId="46" fillId="0" borderId="0" applyFill="0" applyBorder="0" applyAlignment="0"/>
    <xf numFmtId="192" fontId="3" fillId="0" borderId="0" applyFill="0" applyBorder="0" applyAlignment="0"/>
    <xf numFmtId="193" fontId="3" fillId="0" borderId="0" applyFill="0" applyBorder="0" applyAlignment="0"/>
    <xf numFmtId="194" fontId="3" fillId="0" borderId="0" applyFill="0" applyBorder="0" applyAlignment="0"/>
    <xf numFmtId="185" fontId="3" fillId="0" borderId="0" applyFill="0" applyBorder="0" applyAlignment="0"/>
    <xf numFmtId="169" fontId="3" fillId="0" borderId="0" applyFill="0" applyBorder="0" applyAlignment="0"/>
    <xf numFmtId="37" fontId="42" fillId="0" borderId="21"/>
    <xf numFmtId="0" fontId="21" fillId="0" borderId="0"/>
    <xf numFmtId="0" fontId="38" fillId="0" borderId="0"/>
    <xf numFmtId="37" fontId="47" fillId="0" borderId="17">
      <alignment horizontal="right"/>
      <protection locked="0"/>
    </xf>
    <xf numFmtId="37" fontId="48" fillId="0" borderId="17">
      <alignment horizontal="right"/>
      <protection locked="0"/>
    </xf>
    <xf numFmtId="49" fontId="19" fillId="0" borderId="0" applyFill="0" applyBorder="0" applyAlignment="0"/>
    <xf numFmtId="222" fontId="3" fillId="0" borderId="0" applyFill="0" applyBorder="0" applyAlignment="0"/>
    <xf numFmtId="223" fontId="3" fillId="0" borderId="0" applyFill="0" applyBorder="0" applyAlignment="0"/>
    <xf numFmtId="224" fontId="3" fillId="0" borderId="0" applyFill="0" applyBorder="0" applyAlignment="0"/>
    <xf numFmtId="225"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0" fontId="3" fillId="0" borderId="0"/>
    <xf numFmtId="0" fontId="3" fillId="0" borderId="0"/>
    <xf numFmtId="0" fontId="3" fillId="0" borderId="0"/>
    <xf numFmtId="0" fontId="3" fillId="0" borderId="0"/>
    <xf numFmtId="14" fontId="33" fillId="6" borderId="34">
      <alignment horizontal="center" vertical="center" wrapText="1"/>
    </xf>
    <xf numFmtId="201" fontId="27" fillId="0" borderId="34">
      <protection hidden="1"/>
    </xf>
    <xf numFmtId="201" fontId="27" fillId="0" borderId="34">
      <protection hidden="1"/>
    </xf>
    <xf numFmtId="37" fontId="47" fillId="0" borderId="34">
      <alignment horizontal="right"/>
      <protection locked="0"/>
    </xf>
    <xf numFmtId="37" fontId="48" fillId="0" borderId="34">
      <alignment horizontal="right"/>
      <protection locked="0"/>
    </xf>
    <xf numFmtId="43" fontId="1" fillId="0" borderId="0" applyFont="0" applyFill="0" applyBorder="0" applyAlignment="0" applyProtection="0"/>
    <xf numFmtId="43" fontId="5" fillId="0" borderId="0" applyFont="0" applyFill="0" applyBorder="0" applyAlignment="0" applyProtection="0"/>
    <xf numFmtId="0" fontId="11" fillId="0" borderId="35" applyNumberFormat="0" applyFill="0" applyProtection="0">
      <alignment horizontal="center"/>
    </xf>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201" fontId="27" fillId="0" borderId="36">
      <protection hidden="1"/>
    </xf>
    <xf numFmtId="201" fontId="27" fillId="0" borderId="36">
      <protection hidden="1"/>
    </xf>
    <xf numFmtId="14" fontId="33" fillId="6" borderId="36">
      <alignment horizontal="center" vertical="center" wrapText="1"/>
    </xf>
    <xf numFmtId="37" fontId="47" fillId="0" borderId="36">
      <alignment horizontal="right"/>
      <protection locked="0"/>
    </xf>
    <xf numFmtId="37" fontId="48" fillId="0" borderId="36">
      <alignment horizontal="right"/>
      <protection locked="0"/>
    </xf>
    <xf numFmtId="14" fontId="33" fillId="6" borderId="36">
      <alignment horizontal="center" vertical="center" wrapText="1"/>
    </xf>
    <xf numFmtId="201" fontId="27" fillId="0" borderId="36">
      <protection hidden="1"/>
    </xf>
    <xf numFmtId="201" fontId="27" fillId="0" borderId="36">
      <protection hidden="1"/>
    </xf>
    <xf numFmtId="37" fontId="47" fillId="0" borderId="36">
      <alignment horizontal="right"/>
      <protection locked="0"/>
    </xf>
    <xf numFmtId="37" fontId="48" fillId="0" borderId="36">
      <alignment horizontal="right"/>
      <protection locked="0"/>
    </xf>
  </cellStyleXfs>
  <cellXfs count="585">
    <xf numFmtId="0" fontId="0" fillId="0" borderId="0" xfId="0"/>
    <xf numFmtId="169" fontId="4" fillId="0" borderId="0" xfId="1" applyNumberFormat="1" applyFont="1" applyAlignment="1">
      <alignment horizontal="right"/>
    </xf>
    <xf numFmtId="0" fontId="4" fillId="0" borderId="0" xfId="0" applyFont="1"/>
    <xf numFmtId="0" fontId="4" fillId="0" borderId="0" xfId="0" applyFont="1" applyAlignment="1">
      <alignment horizontal="right"/>
    </xf>
    <xf numFmtId="170" fontId="4" fillId="0" borderId="0" xfId="1" applyNumberFormat="1" applyFont="1" applyAlignment="1">
      <alignment horizontal="right"/>
    </xf>
    <xf numFmtId="9" fontId="4" fillId="0" borderId="0" xfId="2" applyFont="1" applyAlignment="1">
      <alignment horizontal="right"/>
    </xf>
    <xf numFmtId="170" fontId="4" fillId="0" borderId="5" xfId="1" quotePrefix="1" applyNumberFormat="1" applyFont="1" applyBorder="1" applyAlignment="1">
      <alignment horizontal="right"/>
    </xf>
    <xf numFmtId="0" fontId="4" fillId="0" borderId="0" xfId="0" applyFont="1" applyAlignment="1">
      <alignment horizontal="left"/>
    </xf>
    <xf numFmtId="0" fontId="52" fillId="0" borderId="0" xfId="0" applyFont="1"/>
    <xf numFmtId="9" fontId="4" fillId="0" borderId="5" xfId="2" applyFont="1" applyBorder="1" applyAlignment="1">
      <alignment horizontal="right"/>
    </xf>
    <xf numFmtId="169" fontId="52" fillId="0" borderId="0" xfId="1" quotePrefix="1" applyNumberFormat="1" applyFont="1" applyAlignment="1">
      <alignment horizontal="right"/>
    </xf>
    <xf numFmtId="168" fontId="52" fillId="0" borderId="0" xfId="1" quotePrefix="1" applyFont="1" applyAlignment="1">
      <alignment horizontal="right"/>
    </xf>
    <xf numFmtId="169" fontId="51" fillId="3" borderId="0" xfId="1" quotePrefix="1" applyNumberFormat="1" applyFont="1" applyFill="1" applyAlignment="1">
      <alignment horizontal="right"/>
    </xf>
    <xf numFmtId="169" fontId="53" fillId="2" borderId="2" xfId="1" quotePrefix="1" applyNumberFormat="1" applyFont="1" applyFill="1" applyBorder="1" applyAlignment="1">
      <alignment horizontal="right"/>
    </xf>
    <xf numFmtId="169" fontId="54" fillId="2" borderId="0" xfId="1" quotePrefix="1" applyNumberFormat="1" applyFont="1" applyFill="1" applyAlignment="1">
      <alignment horizontal="right"/>
    </xf>
    <xf numFmtId="169" fontId="2" fillId="3" borderId="2" xfId="1" quotePrefix="1" applyNumberFormat="1" applyFont="1" applyFill="1" applyBorder="1" applyAlignment="1">
      <alignment horizontal="right"/>
    </xf>
    <xf numFmtId="170" fontId="57" fillId="0" borderId="0" xfId="1" applyNumberFormat="1" applyFont="1" applyAlignment="1">
      <alignment horizontal="right"/>
    </xf>
    <xf numFmtId="170" fontId="57" fillId="0" borderId="5" xfId="1" applyNumberFormat="1" applyFont="1" applyBorder="1" applyAlignment="1">
      <alignment horizontal="right"/>
    </xf>
    <xf numFmtId="0" fontId="4" fillId="0" borderId="4" xfId="0" applyFont="1" applyBorder="1"/>
    <xf numFmtId="0" fontId="58" fillId="0" borderId="4" xfId="0" applyFont="1" applyBorder="1"/>
    <xf numFmtId="0" fontId="58" fillId="0" borderId="0" xfId="0" applyFont="1"/>
    <xf numFmtId="170" fontId="58" fillId="0" borderId="0" xfId="1" applyNumberFormat="1" applyFont="1" applyAlignment="1">
      <alignment horizontal="right"/>
    </xf>
    <xf numFmtId="170" fontId="58" fillId="0" borderId="5" xfId="1" applyNumberFormat="1" applyFont="1" applyBorder="1" applyAlignment="1">
      <alignment horizontal="right"/>
    </xf>
    <xf numFmtId="0" fontId="57" fillId="0" borderId="0" xfId="0" applyFont="1"/>
    <xf numFmtId="168" fontId="58" fillId="0" borderId="0" xfId="1" applyFont="1" applyAlignment="1">
      <alignment horizontal="right"/>
    </xf>
    <xf numFmtId="168" fontId="58" fillId="0" borderId="5" xfId="1" applyFont="1" applyBorder="1" applyAlignment="1">
      <alignment horizontal="right"/>
    </xf>
    <xf numFmtId="170" fontId="57" fillId="0" borderId="5" xfId="1" quotePrefix="1" applyNumberFormat="1" applyFont="1" applyBorder="1" applyAlignment="1">
      <alignment horizontal="right"/>
    </xf>
    <xf numFmtId="171" fontId="57" fillId="0" borderId="0" xfId="2" applyNumberFormat="1" applyFont="1" applyAlignment="1">
      <alignment horizontal="right"/>
    </xf>
    <xf numFmtId="9" fontId="57" fillId="0" borderId="5" xfId="2" applyFont="1" applyBorder="1" applyAlignment="1">
      <alignment horizontal="right"/>
    </xf>
    <xf numFmtId="171" fontId="57" fillId="0" borderId="5" xfId="2" applyNumberFormat="1" applyFont="1" applyBorder="1" applyAlignment="1">
      <alignment horizontal="right"/>
    </xf>
    <xf numFmtId="9" fontId="57" fillId="0" borderId="0" xfId="2" applyFont="1" applyAlignment="1">
      <alignment horizontal="right"/>
    </xf>
    <xf numFmtId="169" fontId="57" fillId="0" borderId="5" xfId="1" quotePrefix="1" applyNumberFormat="1" applyFont="1" applyBorder="1" applyAlignment="1">
      <alignment horizontal="right"/>
    </xf>
    <xf numFmtId="171" fontId="57" fillId="9" borderId="0" xfId="2" applyNumberFormat="1" applyFont="1" applyFill="1" applyAlignment="1">
      <alignment horizontal="right"/>
    </xf>
    <xf numFmtId="165" fontId="57" fillId="0" borderId="0" xfId="1" applyNumberFormat="1" applyFont="1" applyAlignment="1">
      <alignment horizontal="right"/>
    </xf>
    <xf numFmtId="170" fontId="57" fillId="0" borderId="8" xfId="1" applyNumberFormat="1" applyFont="1" applyBorder="1" applyAlignment="1">
      <alignment horizontal="right"/>
    </xf>
    <xf numFmtId="0" fontId="57" fillId="0" borderId="3" xfId="0" applyFont="1" applyBorder="1" applyAlignment="1">
      <alignment horizontal="left" indent="2"/>
    </xf>
    <xf numFmtId="169" fontId="53" fillId="2" borderId="29" xfId="1" quotePrefix="1" applyNumberFormat="1" applyFont="1" applyFill="1" applyBorder="1" applyAlignment="1">
      <alignment horizontal="right"/>
    </xf>
    <xf numFmtId="169" fontId="54" fillId="2" borderId="5" xfId="1" quotePrefix="1" applyNumberFormat="1" applyFont="1" applyFill="1" applyBorder="1" applyAlignment="1">
      <alignment horizontal="right"/>
    </xf>
    <xf numFmtId="169" fontId="2" fillId="3" borderId="29" xfId="1" quotePrefix="1" applyNumberFormat="1" applyFont="1" applyFill="1" applyBorder="1" applyAlignment="1">
      <alignment horizontal="right"/>
    </xf>
    <xf numFmtId="169" fontId="51" fillId="3" borderId="5" xfId="1" quotePrefix="1" applyNumberFormat="1" applyFont="1" applyFill="1" applyBorder="1" applyAlignment="1">
      <alignment horizontal="right"/>
    </xf>
    <xf numFmtId="172" fontId="57" fillId="0" borderId="0" xfId="1" applyNumberFormat="1" applyFont="1" applyAlignment="1">
      <alignment horizontal="right"/>
    </xf>
    <xf numFmtId="0" fontId="57" fillId="0" borderId="4" xfId="0" applyFont="1" applyBorder="1"/>
    <xf numFmtId="9" fontId="4" fillId="0" borderId="0" xfId="1" applyNumberFormat="1" applyFont="1"/>
    <xf numFmtId="0" fontId="58" fillId="0" borderId="3" xfId="0" applyFont="1" applyBorder="1" applyAlignment="1">
      <alignment horizontal="left" indent="4"/>
    </xf>
    <xf numFmtId="0" fontId="57" fillId="0" borderId="3" xfId="0" applyFont="1" applyBorder="1" applyAlignment="1">
      <alignment horizontal="left" indent="5"/>
    </xf>
    <xf numFmtId="169" fontId="57" fillId="0" borderId="0" xfId="1" applyNumberFormat="1" applyFont="1" applyAlignment="1">
      <alignment horizontal="right"/>
    </xf>
    <xf numFmtId="169" fontId="57" fillId="0" borderId="5" xfId="1" applyNumberFormat="1" applyFont="1" applyBorder="1" applyAlignment="1">
      <alignment horizontal="right"/>
    </xf>
    <xf numFmtId="169" fontId="58" fillId="0" borderId="0" xfId="1" applyNumberFormat="1" applyFont="1" applyAlignment="1">
      <alignment horizontal="right"/>
    </xf>
    <xf numFmtId="169" fontId="58" fillId="0" borderId="5" xfId="1" applyNumberFormat="1" applyFont="1" applyBorder="1" applyAlignment="1">
      <alignment horizontal="right"/>
    </xf>
    <xf numFmtId="169" fontId="59" fillId="0" borderId="0" xfId="1" applyNumberFormat="1" applyFont="1" applyAlignment="1">
      <alignment horizontal="right"/>
    </xf>
    <xf numFmtId="169" fontId="59" fillId="0" borderId="5" xfId="1" applyNumberFormat="1" applyFont="1" applyBorder="1" applyAlignment="1">
      <alignment horizontal="right"/>
    </xf>
    <xf numFmtId="169" fontId="51" fillId="0" borderId="0" xfId="1" applyNumberFormat="1" applyFont="1" applyAlignment="1">
      <alignment horizontal="right"/>
    </xf>
    <xf numFmtId="169" fontId="51" fillId="0" borderId="5" xfId="1" applyNumberFormat="1" applyFont="1" applyBorder="1" applyAlignment="1">
      <alignment horizontal="right"/>
    </xf>
    <xf numFmtId="170" fontId="52" fillId="0" borderId="5" xfId="1" quotePrefix="1" applyNumberFormat="1" applyFont="1" applyBorder="1" applyAlignment="1">
      <alignment horizontal="right"/>
    </xf>
    <xf numFmtId="170" fontId="4" fillId="0" borderId="25" xfId="1" quotePrefix="1" applyNumberFormat="1" applyFont="1" applyBorder="1" applyAlignment="1">
      <alignment horizontal="right"/>
    </xf>
    <xf numFmtId="9" fontId="61" fillId="0" borderId="0" xfId="2" applyFont="1" applyAlignment="1">
      <alignment horizontal="right"/>
    </xf>
    <xf numFmtId="9" fontId="61" fillId="0" borderId="5" xfId="2" applyFont="1" applyBorder="1" applyAlignment="1">
      <alignment horizontal="right"/>
    </xf>
    <xf numFmtId="9" fontId="58" fillId="0" borderId="5" xfId="2" applyFont="1" applyBorder="1" applyAlignment="1">
      <alignment horizontal="right"/>
    </xf>
    <xf numFmtId="0" fontId="62" fillId="0" borderId="0" xfId="0" applyFont="1"/>
    <xf numFmtId="0" fontId="62" fillId="0" borderId="3" xfId="0" applyFont="1" applyBorder="1" applyAlignment="1">
      <alignment horizontal="left"/>
    </xf>
    <xf numFmtId="170" fontId="62" fillId="0" borderId="0" xfId="1" applyNumberFormat="1" applyFont="1" applyAlignment="1">
      <alignment horizontal="right"/>
    </xf>
    <xf numFmtId="170" fontId="62" fillId="0" borderId="5" xfId="1" quotePrefix="1" applyNumberFormat="1" applyFont="1" applyBorder="1" applyAlignment="1">
      <alignment horizontal="right"/>
    </xf>
    <xf numFmtId="170" fontId="58" fillId="0" borderId="27" xfId="1" applyNumberFormat="1" applyFont="1" applyBorder="1" applyAlignment="1">
      <alignment horizontal="right"/>
    </xf>
    <xf numFmtId="170" fontId="52" fillId="0" borderId="28" xfId="1" quotePrefix="1" applyNumberFormat="1" applyFont="1" applyBorder="1" applyAlignment="1">
      <alignment horizontal="right"/>
    </xf>
    <xf numFmtId="0" fontId="57" fillId="0" borderId="12" xfId="0" applyFont="1" applyBorder="1" applyAlignment="1">
      <alignment horizontal="left" indent="2"/>
    </xf>
    <xf numFmtId="0" fontId="57" fillId="0" borderId="13" xfId="0" applyFont="1" applyBorder="1" applyAlignment="1">
      <alignment horizontal="left" indent="1"/>
    </xf>
    <xf numFmtId="169" fontId="58" fillId="0" borderId="26" xfId="1" applyNumberFormat="1" applyFont="1" applyBorder="1" applyAlignment="1">
      <alignment horizontal="right"/>
    </xf>
    <xf numFmtId="169" fontId="58" fillId="0" borderId="25" xfId="1" quotePrefix="1" applyNumberFormat="1" applyFont="1" applyBorder="1" applyAlignment="1">
      <alignment horizontal="right"/>
    </xf>
    <xf numFmtId="169" fontId="58" fillId="0" borderId="0" xfId="2" applyNumberFormat="1" applyFont="1" applyAlignment="1">
      <alignment horizontal="right"/>
    </xf>
    <xf numFmtId="171" fontId="58" fillId="0" borderId="0" xfId="2" applyNumberFormat="1" applyFont="1" applyAlignment="1">
      <alignment horizontal="right"/>
    </xf>
    <xf numFmtId="169" fontId="57" fillId="0" borderId="28" xfId="1" applyNumberFormat="1" applyFont="1" applyBorder="1" applyAlignment="1">
      <alignment horizontal="right"/>
    </xf>
    <xf numFmtId="0" fontId="64" fillId="0" borderId="0" xfId="0" applyFont="1"/>
    <xf numFmtId="0" fontId="65" fillId="0" borderId="4" xfId="0" applyFont="1" applyBorder="1" applyAlignment="1">
      <alignment horizontal="left"/>
    </xf>
    <xf numFmtId="0" fontId="63" fillId="0" borderId="13" xfId="0" applyFont="1" applyBorder="1"/>
    <xf numFmtId="169" fontId="63" fillId="0" borderId="26" xfId="1" applyNumberFormat="1" applyFont="1" applyBorder="1" applyAlignment="1">
      <alignment horizontal="right"/>
    </xf>
    <xf numFmtId="169" fontId="63" fillId="0" borderId="25" xfId="1" applyNumberFormat="1" applyFont="1" applyBorder="1" applyAlignment="1">
      <alignment horizontal="right"/>
    </xf>
    <xf numFmtId="0" fontId="63" fillId="0" borderId="24" xfId="0" applyFont="1" applyBorder="1" applyAlignment="1">
      <alignment horizontal="left"/>
    </xf>
    <xf numFmtId="0" fontId="63" fillId="0" borderId="12" xfId="0" applyFont="1" applyBorder="1" applyAlignment="1">
      <alignment horizontal="left" indent="2"/>
    </xf>
    <xf numFmtId="0" fontId="63" fillId="0" borderId="13" xfId="0" applyFont="1" applyBorder="1" applyAlignment="1">
      <alignment horizontal="left"/>
    </xf>
    <xf numFmtId="0" fontId="62" fillId="0" borderId="23" xfId="0" applyFont="1" applyBorder="1" applyAlignment="1">
      <alignment horizontal="left" indent="1"/>
    </xf>
    <xf numFmtId="0" fontId="62" fillId="0" borderId="24" xfId="0" applyFont="1" applyBorder="1"/>
    <xf numFmtId="169" fontId="66" fillId="0" borderId="27" xfId="1" applyNumberFormat="1" applyFont="1" applyBorder="1" applyAlignment="1">
      <alignment horizontal="right"/>
    </xf>
    <xf numFmtId="169" fontId="66" fillId="0" borderId="28" xfId="1" applyNumberFormat="1" applyFont="1" applyBorder="1" applyAlignment="1">
      <alignment horizontal="right"/>
    </xf>
    <xf numFmtId="169" fontId="67" fillId="0" borderId="27" xfId="1" applyNumberFormat="1" applyFont="1" applyBorder="1" applyAlignment="1">
      <alignment horizontal="right"/>
    </xf>
    <xf numFmtId="169" fontId="67" fillId="0" borderId="28" xfId="1" applyNumberFormat="1" applyFont="1" applyBorder="1" applyAlignment="1">
      <alignment horizontal="right"/>
    </xf>
    <xf numFmtId="0" fontId="63" fillId="0" borderId="31" xfId="0" applyFont="1" applyBorder="1" applyAlignment="1">
      <alignment horizontal="left" indent="2"/>
    </xf>
    <xf numFmtId="169" fontId="57" fillId="0" borderId="27" xfId="1" applyNumberFormat="1" applyFont="1" applyBorder="1" applyAlignment="1">
      <alignment horizontal="right"/>
    </xf>
    <xf numFmtId="169" fontId="58" fillId="0" borderId="5" xfId="1" quotePrefix="1" applyNumberFormat="1" applyFont="1" applyBorder="1" applyAlignment="1">
      <alignment horizontal="right"/>
    </xf>
    <xf numFmtId="171" fontId="58" fillId="0" borderId="5" xfId="2" quotePrefix="1" applyNumberFormat="1" applyFont="1" applyBorder="1" applyAlignment="1">
      <alignment horizontal="right"/>
    </xf>
    <xf numFmtId="0" fontId="68" fillId="0" borderId="0" xfId="0" applyFont="1"/>
    <xf numFmtId="0" fontId="63" fillId="0" borderId="33" xfId="0" applyFont="1" applyBorder="1" applyAlignment="1">
      <alignment horizontal="left" indent="1"/>
    </xf>
    <xf numFmtId="170" fontId="57" fillId="0" borderId="0" xfId="1" applyNumberFormat="1" applyFont="1" applyFill="1" applyAlignment="1">
      <alignment horizontal="right"/>
    </xf>
    <xf numFmtId="168" fontId="57" fillId="0" borderId="0" xfId="1" applyFont="1" applyFill="1" applyAlignment="1">
      <alignment horizontal="right"/>
    </xf>
    <xf numFmtId="169" fontId="58" fillId="0" borderId="0" xfId="1" applyNumberFormat="1" applyFont="1" applyFill="1" applyAlignment="1">
      <alignment horizontal="right"/>
    </xf>
    <xf numFmtId="169" fontId="59" fillId="0" borderId="0" xfId="1" applyNumberFormat="1" applyFont="1" applyFill="1" applyAlignment="1">
      <alignment horizontal="right"/>
    </xf>
    <xf numFmtId="169" fontId="57" fillId="0" borderId="0" xfId="1" applyNumberFormat="1" applyFont="1" applyFill="1" applyAlignment="1">
      <alignment horizontal="right"/>
    </xf>
    <xf numFmtId="169" fontId="51" fillId="0" borderId="0" xfId="1" applyNumberFormat="1" applyFont="1" applyFill="1" applyAlignment="1">
      <alignment horizontal="right"/>
    </xf>
    <xf numFmtId="169" fontId="66" fillId="0" borderId="27" xfId="1" applyNumberFormat="1" applyFont="1" applyFill="1" applyBorder="1" applyAlignment="1">
      <alignment horizontal="right"/>
    </xf>
    <xf numFmtId="169" fontId="63" fillId="0" borderId="26" xfId="1" applyNumberFormat="1" applyFont="1" applyFill="1" applyBorder="1" applyAlignment="1">
      <alignment horizontal="right"/>
    </xf>
    <xf numFmtId="169" fontId="67" fillId="0" borderId="27" xfId="1" applyNumberFormat="1" applyFont="1" applyFill="1" applyBorder="1" applyAlignment="1">
      <alignment horizontal="right"/>
    </xf>
    <xf numFmtId="168" fontId="58" fillId="0" borderId="0" xfId="1" applyFont="1" applyFill="1" applyAlignment="1">
      <alignment horizontal="right"/>
    </xf>
    <xf numFmtId="168" fontId="63" fillId="0" borderId="32" xfId="1" applyFont="1" applyFill="1" applyBorder="1" applyAlignment="1">
      <alignment horizontal="right"/>
    </xf>
    <xf numFmtId="170" fontId="59" fillId="0" borderId="0" xfId="1" applyNumberFormat="1" applyFont="1" applyFill="1" applyAlignment="1">
      <alignment horizontal="right"/>
    </xf>
    <xf numFmtId="171" fontId="57" fillId="0" borderId="0" xfId="2" applyNumberFormat="1" applyFont="1" applyFill="1" applyAlignment="1">
      <alignment horizontal="right"/>
    </xf>
    <xf numFmtId="172" fontId="57" fillId="0" borderId="0" xfId="1" applyNumberFormat="1" applyFont="1" applyFill="1" applyAlignment="1">
      <alignment horizontal="right"/>
    </xf>
    <xf numFmtId="169" fontId="58" fillId="0" borderId="26" xfId="1" applyNumberFormat="1" applyFont="1" applyFill="1" applyBorder="1" applyAlignment="1">
      <alignment horizontal="right"/>
    </xf>
    <xf numFmtId="170" fontId="58" fillId="0" borderId="0" xfId="1" applyNumberFormat="1" applyFont="1" applyFill="1" applyAlignment="1">
      <alignment horizontal="right"/>
    </xf>
    <xf numFmtId="170" fontId="58" fillId="0" borderId="27" xfId="1" applyNumberFormat="1" applyFont="1" applyFill="1" applyBorder="1" applyAlignment="1">
      <alignment horizontal="right"/>
    </xf>
    <xf numFmtId="9" fontId="57" fillId="0" borderId="0" xfId="2" applyFont="1" applyFill="1" applyAlignment="1">
      <alignment horizontal="right"/>
    </xf>
    <xf numFmtId="169" fontId="59" fillId="0" borderId="0" xfId="2" applyNumberFormat="1" applyFont="1" applyFill="1" applyAlignment="1">
      <alignment horizontal="right"/>
    </xf>
    <xf numFmtId="9" fontId="57" fillId="0" borderId="26" xfId="2" applyFont="1" applyFill="1" applyBorder="1" applyAlignment="1">
      <alignment horizontal="right"/>
    </xf>
    <xf numFmtId="170" fontId="62" fillId="0" borderId="0" xfId="1" applyNumberFormat="1" applyFont="1" applyFill="1" applyAlignment="1">
      <alignment horizontal="right"/>
    </xf>
    <xf numFmtId="170" fontId="57" fillId="0" borderId="5" xfId="1" quotePrefix="1" applyNumberFormat="1" applyFont="1" applyFill="1" applyBorder="1" applyAlignment="1">
      <alignment horizontal="right"/>
    </xf>
    <xf numFmtId="0" fontId="62" fillId="0" borderId="23" xfId="0" applyFont="1" applyBorder="1" applyAlignment="1">
      <alignment horizontal="left" indent="5"/>
    </xf>
    <xf numFmtId="0" fontId="63" fillId="0" borderId="12" xfId="0" applyFont="1" applyBorder="1" applyAlignment="1">
      <alignment horizontal="left" indent="6"/>
    </xf>
    <xf numFmtId="171" fontId="57" fillId="0" borderId="5" xfId="2" quotePrefix="1" applyNumberFormat="1" applyFont="1" applyFill="1" applyBorder="1" applyAlignment="1">
      <alignment horizontal="right"/>
    </xf>
    <xf numFmtId="169" fontId="57" fillId="0" borderId="5" xfId="1" quotePrefix="1" applyNumberFormat="1" applyFont="1" applyFill="1" applyBorder="1" applyAlignment="1">
      <alignment horizontal="right"/>
    </xf>
    <xf numFmtId="168" fontId="57" fillId="0" borderId="5" xfId="1" quotePrefix="1" applyFont="1" applyFill="1" applyBorder="1" applyAlignment="1">
      <alignment horizontal="right"/>
    </xf>
    <xf numFmtId="9" fontId="57" fillId="0" borderId="5" xfId="2" applyFont="1" applyFill="1" applyBorder="1" applyAlignment="1">
      <alignment horizontal="right"/>
    </xf>
    <xf numFmtId="169" fontId="57" fillId="0" borderId="28" xfId="1" applyNumberFormat="1" applyFont="1" applyFill="1" applyBorder="1" applyAlignment="1">
      <alignment horizontal="right"/>
    </xf>
    <xf numFmtId="170" fontId="4" fillId="0" borderId="5" xfId="1" quotePrefix="1" applyNumberFormat="1" applyFont="1" applyFill="1" applyBorder="1" applyAlignment="1">
      <alignment horizontal="right"/>
    </xf>
    <xf numFmtId="169" fontId="59" fillId="0" borderId="5" xfId="2" applyNumberFormat="1" applyFont="1" applyFill="1" applyBorder="1" applyAlignment="1">
      <alignment horizontal="right"/>
    </xf>
    <xf numFmtId="169" fontId="58" fillId="0" borderId="5" xfId="1" quotePrefix="1" applyNumberFormat="1" applyFont="1" applyFill="1" applyBorder="1" applyAlignment="1">
      <alignment horizontal="right"/>
    </xf>
    <xf numFmtId="171" fontId="58" fillId="0" borderId="5" xfId="2" quotePrefix="1" applyNumberFormat="1" applyFont="1" applyFill="1" applyBorder="1" applyAlignment="1">
      <alignment horizontal="right"/>
    </xf>
    <xf numFmtId="9" fontId="58" fillId="0" borderId="5" xfId="2" applyFont="1" applyFill="1" applyBorder="1" applyAlignment="1">
      <alignment horizontal="right"/>
    </xf>
    <xf numFmtId="0" fontId="58" fillId="0" borderId="3" xfId="0" applyFont="1" applyBorder="1" applyAlignment="1">
      <alignment horizontal="left" indent="5"/>
    </xf>
    <xf numFmtId="0" fontId="52" fillId="0" borderId="4" xfId="0" applyFont="1" applyBorder="1"/>
    <xf numFmtId="171" fontId="57" fillId="0" borderId="5" xfId="2" applyNumberFormat="1" applyFont="1" applyFill="1" applyBorder="1" applyAlignment="1">
      <alignment horizontal="right"/>
    </xf>
    <xf numFmtId="168" fontId="59" fillId="0" borderId="0" xfId="1" applyFont="1" applyFill="1" applyAlignment="1">
      <alignment horizontal="right"/>
    </xf>
    <xf numFmtId="169" fontId="57" fillId="0" borderId="0" xfId="1" applyNumberFormat="1" applyFont="1" applyBorder="1" applyAlignment="1">
      <alignment horizontal="right"/>
    </xf>
    <xf numFmtId="169" fontId="57" fillId="0" borderId="26" xfId="1" applyNumberFormat="1" applyFont="1" applyBorder="1" applyAlignment="1">
      <alignment horizontal="right"/>
    </xf>
    <xf numFmtId="169" fontId="57" fillId="0" borderId="25" xfId="1" applyNumberFormat="1" applyFont="1" applyBorder="1" applyAlignment="1">
      <alignment horizontal="right"/>
    </xf>
    <xf numFmtId="169" fontId="57" fillId="0" borderId="0" xfId="1" applyNumberFormat="1" applyFont="1" applyFill="1" applyBorder="1" applyAlignment="1">
      <alignment horizontal="right"/>
    </xf>
    <xf numFmtId="165" fontId="57" fillId="0" borderId="23" xfId="1" applyNumberFormat="1" applyFont="1" applyBorder="1" applyAlignment="1">
      <alignment horizontal="right"/>
    </xf>
    <xf numFmtId="165" fontId="57" fillId="0" borderId="27" xfId="1" applyNumberFormat="1" applyFont="1" applyFill="1" applyBorder="1" applyAlignment="1">
      <alignment horizontal="right"/>
    </xf>
    <xf numFmtId="170" fontId="57" fillId="0" borderId="3" xfId="1" applyNumberFormat="1" applyFont="1" applyBorder="1" applyAlignment="1">
      <alignment horizontal="right"/>
    </xf>
    <xf numFmtId="170" fontId="57" fillId="0" borderId="0" xfId="1" applyNumberFormat="1" applyFont="1" applyFill="1" applyBorder="1" applyAlignment="1">
      <alignment horizontal="right"/>
    </xf>
    <xf numFmtId="169" fontId="57" fillId="0" borderId="12" xfId="1" applyNumberFormat="1" applyFont="1" applyBorder="1" applyAlignment="1">
      <alignment horizontal="right"/>
    </xf>
    <xf numFmtId="9" fontId="61" fillId="0" borderId="5" xfId="2" applyFont="1" applyFill="1" applyBorder="1" applyAlignment="1">
      <alignment horizontal="right"/>
    </xf>
    <xf numFmtId="171" fontId="4" fillId="0" borderId="0" xfId="1" applyNumberFormat="1" applyFont="1"/>
    <xf numFmtId="170" fontId="58" fillId="0" borderId="5" xfId="1" applyNumberFormat="1" applyFont="1" applyFill="1" applyBorder="1" applyAlignment="1">
      <alignment horizontal="right"/>
    </xf>
    <xf numFmtId="9" fontId="61" fillId="0" borderId="0" xfId="2" applyFont="1" applyFill="1" applyAlignment="1">
      <alignment horizontal="right"/>
    </xf>
    <xf numFmtId="9" fontId="58" fillId="0" borderId="0" xfId="2" applyFont="1" applyFill="1" applyAlignment="1">
      <alignment horizontal="right"/>
    </xf>
    <xf numFmtId="169" fontId="52" fillId="0" borderId="25" xfId="1" quotePrefix="1" applyNumberFormat="1" applyFont="1" applyFill="1" applyBorder="1" applyAlignment="1">
      <alignment horizontal="right"/>
    </xf>
    <xf numFmtId="170" fontId="52" fillId="0" borderId="5" xfId="1" quotePrefix="1" applyNumberFormat="1" applyFont="1" applyFill="1" applyBorder="1" applyAlignment="1">
      <alignment horizontal="right"/>
    </xf>
    <xf numFmtId="170" fontId="4" fillId="0" borderId="25" xfId="1" quotePrefix="1" applyNumberFormat="1" applyFont="1" applyFill="1" applyBorder="1" applyAlignment="1">
      <alignment horizontal="right"/>
    </xf>
    <xf numFmtId="169" fontId="58" fillId="0" borderId="0" xfId="2" applyNumberFormat="1" applyFont="1" applyFill="1" applyAlignment="1">
      <alignment horizontal="right"/>
    </xf>
    <xf numFmtId="171" fontId="58" fillId="0" borderId="0" xfId="2" applyNumberFormat="1" applyFont="1" applyFill="1" applyAlignment="1">
      <alignment horizontal="right"/>
    </xf>
    <xf numFmtId="226" fontId="4" fillId="0" borderId="5" xfId="1" quotePrefix="1" applyNumberFormat="1" applyFont="1" applyFill="1" applyBorder="1" applyAlignment="1">
      <alignment horizontal="right"/>
    </xf>
    <xf numFmtId="168" fontId="57" fillId="0" borderId="5" xfId="1" applyFont="1" applyFill="1" applyBorder="1" applyAlignment="1">
      <alignment horizontal="right"/>
    </xf>
    <xf numFmtId="168" fontId="59" fillId="0" borderId="5" xfId="1" applyFont="1" applyFill="1" applyBorder="1" applyAlignment="1">
      <alignment horizontal="right"/>
    </xf>
    <xf numFmtId="170" fontId="4" fillId="0" borderId="0" xfId="1" applyNumberFormat="1" applyFont="1" applyFill="1"/>
    <xf numFmtId="168" fontId="4" fillId="0" borderId="0" xfId="1" applyFont="1"/>
    <xf numFmtId="9" fontId="57" fillId="0" borderId="0" xfId="2" applyFont="1" applyFill="1" applyAlignment="1">
      <alignment horizontal="left"/>
    </xf>
    <xf numFmtId="169" fontId="4" fillId="0" borderId="0" xfId="1" applyNumberFormat="1" applyFont="1" applyFill="1" applyAlignment="1">
      <alignment horizontal="right"/>
    </xf>
    <xf numFmtId="10" fontId="57" fillId="0" borderId="5" xfId="2" applyNumberFormat="1" applyFont="1" applyBorder="1" applyAlignment="1">
      <alignment horizontal="right"/>
    </xf>
    <xf numFmtId="170" fontId="58" fillId="0" borderId="5" xfId="1" quotePrefix="1" applyNumberFormat="1" applyFont="1" applyFill="1" applyBorder="1" applyAlignment="1">
      <alignment horizontal="right"/>
    </xf>
    <xf numFmtId="171" fontId="70" fillId="0" borderId="0" xfId="2" applyNumberFormat="1" applyFont="1" applyFill="1" applyAlignment="1">
      <alignment horizontal="right"/>
    </xf>
    <xf numFmtId="171" fontId="57" fillId="0" borderId="25" xfId="2" quotePrefix="1" applyNumberFormat="1" applyFont="1" applyFill="1" applyBorder="1" applyAlignment="1">
      <alignment horizontal="right"/>
    </xf>
    <xf numFmtId="170" fontId="57" fillId="0" borderId="5" xfId="1" applyNumberFormat="1" applyFont="1" applyFill="1" applyBorder="1" applyAlignment="1">
      <alignment horizontal="right"/>
    </xf>
    <xf numFmtId="169" fontId="57" fillId="0" borderId="5" xfId="1" applyNumberFormat="1" applyFont="1" applyFill="1" applyBorder="1" applyAlignment="1">
      <alignment horizontal="right"/>
    </xf>
    <xf numFmtId="169" fontId="58" fillId="0" borderId="5" xfId="1" applyNumberFormat="1" applyFont="1" applyFill="1" applyBorder="1" applyAlignment="1">
      <alignment horizontal="right"/>
    </xf>
    <xf numFmtId="168" fontId="63" fillId="0" borderId="30" xfId="1" applyFont="1" applyFill="1" applyBorder="1" applyAlignment="1">
      <alignment horizontal="right"/>
    </xf>
    <xf numFmtId="169" fontId="59" fillId="0" borderId="5" xfId="1" applyNumberFormat="1" applyFont="1" applyFill="1" applyBorder="1" applyAlignment="1">
      <alignment horizontal="right"/>
    </xf>
    <xf numFmtId="168" fontId="58" fillId="0" borderId="5" xfId="1" applyFont="1" applyFill="1" applyBorder="1" applyAlignment="1">
      <alignment horizontal="right"/>
    </xf>
    <xf numFmtId="169" fontId="51" fillId="0" borderId="5" xfId="1" applyNumberFormat="1" applyFont="1" applyFill="1" applyBorder="1" applyAlignment="1">
      <alignment horizontal="right"/>
    </xf>
    <xf numFmtId="169" fontId="66" fillId="0" borderId="28" xfId="1" applyNumberFormat="1" applyFont="1" applyFill="1" applyBorder="1" applyAlignment="1">
      <alignment horizontal="right"/>
    </xf>
    <xf numFmtId="169" fontId="63" fillId="0" borderId="25" xfId="1" applyNumberFormat="1" applyFont="1" applyFill="1" applyBorder="1" applyAlignment="1">
      <alignment horizontal="right"/>
    </xf>
    <xf numFmtId="169" fontId="67" fillId="0" borderId="28" xfId="1" applyNumberFormat="1" applyFont="1" applyFill="1" applyBorder="1" applyAlignment="1">
      <alignment horizontal="right"/>
    </xf>
    <xf numFmtId="9" fontId="57" fillId="0" borderId="0" xfId="2" applyFont="1" applyBorder="1" applyAlignment="1">
      <alignment horizontal="right"/>
    </xf>
    <xf numFmtId="0" fontId="57" fillId="0" borderId="3" xfId="0" applyFont="1" applyBorder="1" applyAlignment="1">
      <alignment horizontal="left" indent="1"/>
    </xf>
    <xf numFmtId="0" fontId="70" fillId="0" borderId="3" xfId="0" applyFont="1" applyBorder="1" applyAlignment="1">
      <alignment horizontal="left" indent="2"/>
    </xf>
    <xf numFmtId="0" fontId="70" fillId="0" borderId="4" xfId="0" applyFont="1" applyBorder="1" applyAlignment="1">
      <alignment horizontal="left" indent="2"/>
    </xf>
    <xf numFmtId="0" fontId="71" fillId="0" borderId="0" xfId="0" applyFont="1" applyAlignment="1">
      <alignment horizontal="left" indent="1"/>
    </xf>
    <xf numFmtId="0" fontId="71" fillId="0" borderId="0" xfId="0" applyFont="1"/>
    <xf numFmtId="0" fontId="70" fillId="0" borderId="4" xfId="0" applyFont="1" applyBorder="1" applyAlignment="1">
      <alignment horizontal="left" indent="1"/>
    </xf>
    <xf numFmtId="171" fontId="70" fillId="0" borderId="5" xfId="2" applyNumberFormat="1" applyFont="1" applyFill="1" applyBorder="1" applyAlignment="1">
      <alignment horizontal="right"/>
    </xf>
    <xf numFmtId="171" fontId="70" fillId="0" borderId="0" xfId="2" applyNumberFormat="1" applyFont="1" applyAlignment="1">
      <alignment horizontal="right"/>
    </xf>
    <xf numFmtId="171" fontId="70" fillId="0" borderId="5" xfId="2" applyNumberFormat="1" applyFont="1" applyBorder="1" applyAlignment="1">
      <alignment horizontal="right"/>
    </xf>
    <xf numFmtId="0" fontId="71" fillId="0" borderId="4" xfId="0" applyFont="1" applyBorder="1"/>
    <xf numFmtId="170" fontId="58" fillId="0" borderId="5" xfId="1" quotePrefix="1" applyNumberFormat="1" applyFont="1" applyBorder="1" applyAlignment="1">
      <alignment horizontal="right"/>
    </xf>
    <xf numFmtId="170" fontId="58" fillId="0" borderId="28" xfId="1" quotePrefix="1" applyNumberFormat="1" applyFont="1" applyBorder="1" applyAlignment="1">
      <alignment horizontal="right"/>
    </xf>
    <xf numFmtId="169" fontId="59" fillId="0" borderId="5" xfId="1" quotePrefix="1" applyNumberFormat="1" applyFont="1" applyBorder="1" applyAlignment="1">
      <alignment horizontal="right"/>
    </xf>
    <xf numFmtId="169" fontId="58" fillId="0" borderId="5" xfId="2" applyNumberFormat="1" applyFont="1" applyBorder="1" applyAlignment="1">
      <alignment horizontal="right"/>
    </xf>
    <xf numFmtId="168" fontId="4" fillId="0" borderId="0" xfId="1" applyFont="1" applyFill="1"/>
    <xf numFmtId="9" fontId="62" fillId="0" borderId="0" xfId="2" applyFont="1" applyFill="1" applyAlignment="1">
      <alignment horizontal="right"/>
    </xf>
    <xf numFmtId="0" fontId="62" fillId="0" borderId="0" xfId="0" quotePrefix="1" applyFont="1"/>
    <xf numFmtId="171" fontId="57" fillId="0" borderId="25" xfId="2" applyNumberFormat="1" applyFont="1" applyBorder="1" applyAlignment="1">
      <alignment horizontal="right"/>
    </xf>
    <xf numFmtId="0" fontId="57" fillId="0" borderId="3" xfId="0" applyFont="1" applyBorder="1" applyAlignment="1">
      <alignment horizontal="left"/>
    </xf>
    <xf numFmtId="0" fontId="57" fillId="0" borderId="4" xfId="0" applyFont="1" applyBorder="1" applyAlignment="1">
      <alignment horizontal="left"/>
    </xf>
    <xf numFmtId="0" fontId="58" fillId="0" borderId="4" xfId="0" applyFont="1" applyBorder="1" applyAlignment="1">
      <alignment horizontal="left"/>
    </xf>
    <xf numFmtId="0" fontId="57" fillId="0" borderId="6" xfId="0" applyFont="1" applyBorder="1" applyAlignment="1">
      <alignment horizontal="left"/>
    </xf>
    <xf numFmtId="0" fontId="57" fillId="0" borderId="10" xfId="0" applyFont="1" applyBorder="1" applyAlignment="1">
      <alignment horizontal="left"/>
    </xf>
    <xf numFmtId="0" fontId="58" fillId="0" borderId="3" xfId="0" applyFont="1" applyBorder="1" applyAlignment="1">
      <alignment horizontal="left" indent="1"/>
    </xf>
    <xf numFmtId="0" fontId="58" fillId="0" borderId="4" xfId="0" applyFont="1" applyBorder="1" applyAlignment="1">
      <alignment horizontal="left" indent="1"/>
    </xf>
    <xf numFmtId="0" fontId="57" fillId="0" borderId="4" xfId="0" applyFont="1" applyBorder="1" applyAlignment="1">
      <alignment horizontal="left" indent="1"/>
    </xf>
    <xf numFmtId="0" fontId="58" fillId="0" borderId="3" xfId="0" applyFont="1" applyBorder="1" applyAlignment="1">
      <alignment horizontal="left" indent="2"/>
    </xf>
    <xf numFmtId="0" fontId="58" fillId="0" borderId="3" xfId="0" applyFont="1" applyBorder="1" applyAlignment="1">
      <alignment horizontal="left" indent="3"/>
    </xf>
    <xf numFmtId="0" fontId="57" fillId="0" borderId="3" xfId="0" applyFont="1" applyBorder="1" applyAlignment="1">
      <alignment horizontal="left" indent="4"/>
    </xf>
    <xf numFmtId="9" fontId="57" fillId="0" borderId="7" xfId="2" applyFont="1" applyFill="1" applyBorder="1" applyAlignment="1">
      <alignment horizontal="right"/>
    </xf>
    <xf numFmtId="170" fontId="57" fillId="0" borderId="8" xfId="1" applyNumberFormat="1" applyFont="1" applyFill="1" applyBorder="1" applyAlignment="1">
      <alignment horizontal="right"/>
    </xf>
    <xf numFmtId="169" fontId="58" fillId="0" borderId="25" xfId="1" quotePrefix="1" applyNumberFormat="1" applyFont="1" applyFill="1" applyBorder="1" applyAlignment="1">
      <alignment horizontal="right"/>
    </xf>
    <xf numFmtId="169" fontId="59" fillId="0" borderId="5" xfId="1" quotePrefix="1" applyNumberFormat="1" applyFont="1" applyFill="1" applyBorder="1" applyAlignment="1">
      <alignment horizontal="right"/>
    </xf>
    <xf numFmtId="10" fontId="57" fillId="0" borderId="0" xfId="2" applyNumberFormat="1" applyFont="1" applyAlignment="1">
      <alignment horizontal="right"/>
    </xf>
    <xf numFmtId="9" fontId="4" fillId="0" borderId="0" xfId="2" applyFont="1" applyFill="1"/>
    <xf numFmtId="9" fontId="61" fillId="0" borderId="5" xfId="1" applyNumberFormat="1" applyFont="1" applyFill="1" applyBorder="1" applyAlignment="1">
      <alignment horizontal="right"/>
    </xf>
    <xf numFmtId="9" fontId="61" fillId="0" borderId="5" xfId="1" applyNumberFormat="1" applyFont="1" applyBorder="1" applyAlignment="1">
      <alignment horizontal="right"/>
    </xf>
    <xf numFmtId="0" fontId="57" fillId="0" borderId="23" xfId="0" applyFont="1" applyBorder="1" applyAlignment="1">
      <alignment horizontal="left" indent="2"/>
    </xf>
    <xf numFmtId="0" fontId="57" fillId="0" borderId="24" xfId="0" applyFont="1" applyBorder="1" applyAlignment="1">
      <alignment horizontal="left" indent="1"/>
    </xf>
    <xf numFmtId="9" fontId="57" fillId="0" borderId="27" xfId="2" applyFont="1" applyFill="1" applyBorder="1" applyAlignment="1">
      <alignment horizontal="right"/>
    </xf>
    <xf numFmtId="9" fontId="57" fillId="0" borderId="28" xfId="2" applyFont="1" applyFill="1" applyBorder="1" applyAlignment="1">
      <alignment horizontal="right"/>
    </xf>
    <xf numFmtId="9" fontId="57" fillId="0" borderId="27" xfId="2" applyFont="1" applyBorder="1" applyAlignment="1">
      <alignment horizontal="right"/>
    </xf>
    <xf numFmtId="9" fontId="57" fillId="0" borderId="28" xfId="2" applyFont="1" applyBorder="1" applyAlignment="1">
      <alignment horizontal="right"/>
    </xf>
    <xf numFmtId="9" fontId="61" fillId="0" borderId="0" xfId="1" applyNumberFormat="1" applyFont="1" applyFill="1" applyBorder="1" applyAlignment="1">
      <alignment horizontal="right"/>
    </xf>
    <xf numFmtId="9" fontId="61" fillId="0" borderId="0" xfId="1" applyNumberFormat="1" applyFont="1" applyBorder="1" applyAlignment="1">
      <alignment horizontal="right"/>
    </xf>
    <xf numFmtId="9" fontId="61" fillId="0" borderId="0" xfId="2" applyFont="1" applyBorder="1" applyAlignment="1">
      <alignment horizontal="right"/>
    </xf>
    <xf numFmtId="0" fontId="58" fillId="0" borderId="12" xfId="0" applyFont="1" applyBorder="1" applyAlignment="1">
      <alignment horizontal="left" indent="3"/>
    </xf>
    <xf numFmtId="0" fontId="58" fillId="0" borderId="13" xfId="0" applyFont="1" applyBorder="1" applyAlignment="1">
      <alignment horizontal="left" indent="1"/>
    </xf>
    <xf numFmtId="9" fontId="58" fillId="0" borderId="26" xfId="2" applyFont="1" applyFill="1" applyBorder="1" applyAlignment="1">
      <alignment horizontal="right"/>
    </xf>
    <xf numFmtId="9" fontId="58" fillId="0" borderId="25" xfId="2" applyFont="1" applyFill="1" applyBorder="1" applyAlignment="1">
      <alignment horizontal="right"/>
    </xf>
    <xf numFmtId="171" fontId="58" fillId="0" borderId="26" xfId="2" applyNumberFormat="1" applyFont="1" applyFill="1" applyBorder="1" applyAlignment="1">
      <alignment horizontal="right"/>
    </xf>
    <xf numFmtId="227" fontId="58" fillId="0" borderId="25" xfId="2" applyNumberFormat="1" applyFont="1" applyFill="1" applyBorder="1" applyAlignment="1">
      <alignment horizontal="right"/>
    </xf>
    <xf numFmtId="9" fontId="58" fillId="0" borderId="25" xfId="2" applyFont="1" applyBorder="1" applyAlignment="1">
      <alignment horizontal="right"/>
    </xf>
    <xf numFmtId="0" fontId="57" fillId="0" borderId="23" xfId="0" applyFont="1" applyBorder="1" applyAlignment="1">
      <alignment horizontal="left" indent="1"/>
    </xf>
    <xf numFmtId="0" fontId="70" fillId="0" borderId="0" xfId="0" applyFont="1"/>
    <xf numFmtId="0" fontId="71" fillId="0" borderId="0" xfId="0" applyFont="1" applyAlignment="1">
      <alignment horizontal="left"/>
    </xf>
    <xf numFmtId="168" fontId="57" fillId="0" borderId="0" xfId="1" applyFont="1" applyFill="1" applyBorder="1" applyAlignment="1">
      <alignment horizontal="right"/>
    </xf>
    <xf numFmtId="9" fontId="4" fillId="0" borderId="0" xfId="2" applyFont="1"/>
    <xf numFmtId="9" fontId="57" fillId="0" borderId="6" xfId="2" applyFont="1" applyFill="1" applyBorder="1" applyAlignment="1">
      <alignment horizontal="left" indent="2"/>
    </xf>
    <xf numFmtId="9" fontId="57" fillId="0" borderId="10" xfId="2" applyFont="1" applyFill="1" applyBorder="1" applyAlignment="1">
      <alignment horizontal="left" indent="1"/>
    </xf>
    <xf numFmtId="9" fontId="58" fillId="0" borderId="8" xfId="2" applyFont="1" applyFill="1" applyBorder="1" applyAlignment="1">
      <alignment horizontal="right"/>
    </xf>
    <xf numFmtId="165" fontId="57" fillId="0" borderId="27" xfId="1" applyNumberFormat="1" applyFont="1" applyBorder="1" applyAlignment="1">
      <alignment horizontal="right"/>
    </xf>
    <xf numFmtId="165" fontId="4" fillId="0" borderId="28" xfId="1" applyNumberFormat="1" applyFont="1" applyBorder="1" applyAlignment="1">
      <alignment horizontal="right"/>
    </xf>
    <xf numFmtId="0" fontId="57" fillId="0" borderId="23" xfId="0" applyFont="1" applyBorder="1" applyAlignment="1">
      <alignment horizontal="left"/>
    </xf>
    <xf numFmtId="0" fontId="57" fillId="0" borderId="24" xfId="0" applyFont="1" applyBorder="1" applyAlignment="1">
      <alignment horizontal="left"/>
    </xf>
    <xf numFmtId="0" fontId="60" fillId="0" borderId="23" xfId="0" applyFont="1" applyBorder="1" applyAlignment="1">
      <alignment horizontal="left"/>
    </xf>
    <xf numFmtId="0" fontId="56" fillId="2" borderId="3" xfId="0" applyFont="1" applyFill="1" applyBorder="1" applyAlignment="1">
      <alignment horizontal="left"/>
    </xf>
    <xf numFmtId="0" fontId="56" fillId="2" borderId="4" xfId="0" applyFont="1" applyFill="1" applyBorder="1" applyAlignment="1">
      <alignment horizontal="left"/>
    </xf>
    <xf numFmtId="170" fontId="58" fillId="0" borderId="28" xfId="1" quotePrefix="1" applyNumberFormat="1" applyFont="1" applyFill="1" applyBorder="1" applyAlignment="1">
      <alignment horizontal="right"/>
    </xf>
    <xf numFmtId="171" fontId="72" fillId="0" borderId="5" xfId="2" quotePrefix="1" applyNumberFormat="1" applyFont="1" applyFill="1" applyBorder="1" applyAlignment="1">
      <alignment horizontal="right"/>
    </xf>
    <xf numFmtId="9" fontId="4" fillId="0" borderId="5" xfId="2" applyFont="1" applyFill="1" applyBorder="1" applyAlignment="1">
      <alignment horizontal="right"/>
    </xf>
    <xf numFmtId="165" fontId="4" fillId="0" borderId="28" xfId="1" applyNumberFormat="1" applyFont="1" applyFill="1" applyBorder="1" applyAlignment="1">
      <alignment horizontal="right"/>
    </xf>
    <xf numFmtId="169" fontId="2" fillId="2" borderId="2" xfId="1" quotePrefix="1" applyNumberFormat="1" applyFont="1" applyFill="1" applyBorder="1" applyAlignment="1">
      <alignment horizontal="right"/>
    </xf>
    <xf numFmtId="169" fontId="2" fillId="2" borderId="29" xfId="1" quotePrefix="1" applyNumberFormat="1" applyFont="1" applyFill="1" applyBorder="1" applyAlignment="1">
      <alignment horizontal="right"/>
    </xf>
    <xf numFmtId="170" fontId="59" fillId="0" borderId="0" xfId="1" applyNumberFormat="1" applyFont="1" applyAlignment="1">
      <alignment horizontal="right"/>
    </xf>
    <xf numFmtId="170" fontId="59" fillId="0" borderId="5" xfId="1" applyNumberFormat="1" applyFont="1" applyBorder="1" applyAlignment="1">
      <alignment horizontal="right"/>
    </xf>
    <xf numFmtId="170" fontId="59" fillId="0" borderId="5" xfId="1" applyNumberFormat="1" applyFont="1" applyFill="1" applyBorder="1" applyAlignment="1">
      <alignment horizontal="right"/>
    </xf>
    <xf numFmtId="170" fontId="51" fillId="3" borderId="0" xfId="1" quotePrefix="1" applyNumberFormat="1" applyFont="1" applyFill="1" applyAlignment="1">
      <alignment horizontal="right"/>
    </xf>
    <xf numFmtId="170" fontId="51" fillId="3" borderId="5" xfId="1" quotePrefix="1" applyNumberFormat="1" applyFont="1" applyFill="1" applyBorder="1" applyAlignment="1">
      <alignment horizontal="right"/>
    </xf>
    <xf numFmtId="0" fontId="57" fillId="0" borderId="3" xfId="3" applyFont="1" applyBorder="1" applyAlignment="1">
      <alignment horizontal="left" vertical="top"/>
    </xf>
    <xf numFmtId="0" fontId="57" fillId="0" borderId="4" xfId="3" applyFont="1" applyBorder="1" applyAlignment="1">
      <alignment horizontal="left" vertical="top"/>
    </xf>
    <xf numFmtId="170" fontId="58" fillId="0" borderId="7" xfId="1" applyNumberFormat="1" applyFont="1" applyBorder="1" applyAlignment="1">
      <alignment horizontal="right"/>
    </xf>
    <xf numFmtId="170" fontId="58" fillId="0" borderId="8" xfId="1" applyNumberFormat="1" applyFont="1" applyBorder="1" applyAlignment="1">
      <alignment horizontal="right"/>
    </xf>
    <xf numFmtId="170" fontId="4" fillId="0" borderId="0" xfId="0" applyNumberFormat="1" applyFont="1" applyAlignment="1">
      <alignment horizontal="left"/>
    </xf>
    <xf numFmtId="168" fontId="52" fillId="0" borderId="0" xfId="0" applyNumberFormat="1" applyFont="1" applyAlignment="1">
      <alignment horizontal="left"/>
    </xf>
    <xf numFmtId="170" fontId="52" fillId="0" borderId="9" xfId="1" applyNumberFormat="1" applyFont="1" applyFill="1" applyBorder="1" applyAlignment="1">
      <alignment horizontal="right"/>
    </xf>
    <xf numFmtId="170" fontId="52" fillId="0" borderId="9" xfId="1" applyNumberFormat="1" applyFont="1" applyBorder="1" applyAlignment="1">
      <alignment horizontal="right"/>
    </xf>
    <xf numFmtId="0" fontId="73" fillId="0" borderId="4" xfId="0" applyFont="1" applyBorder="1" applyAlignment="1">
      <alignment horizontal="left"/>
    </xf>
    <xf numFmtId="170" fontId="57" fillId="0" borderId="0" xfId="1" quotePrefix="1" applyNumberFormat="1" applyFont="1" applyFill="1" applyAlignment="1">
      <alignment horizontal="right"/>
    </xf>
    <xf numFmtId="169" fontId="57" fillId="0" borderId="0" xfId="1" quotePrefix="1" applyNumberFormat="1" applyFont="1" applyFill="1" applyAlignment="1">
      <alignment horizontal="right"/>
    </xf>
    <xf numFmtId="170" fontId="57" fillId="0" borderId="0" xfId="1" quotePrefix="1" applyNumberFormat="1" applyFont="1" applyAlignment="1">
      <alignment horizontal="right"/>
    </xf>
    <xf numFmtId="168" fontId="57" fillId="0" borderId="5" xfId="1" quotePrefix="1" applyFont="1" applyBorder="1" applyAlignment="1">
      <alignment horizontal="right"/>
    </xf>
    <xf numFmtId="171" fontId="57" fillId="0" borderId="0" xfId="2" quotePrefix="1" applyNumberFormat="1" applyFont="1" applyFill="1" applyAlignment="1">
      <alignment horizontal="right"/>
    </xf>
    <xf numFmtId="171" fontId="57" fillId="0" borderId="5" xfId="2" quotePrefix="1" applyNumberFormat="1" applyFont="1" applyBorder="1" applyAlignment="1">
      <alignment horizontal="right"/>
    </xf>
    <xf numFmtId="171" fontId="57" fillId="0" borderId="0" xfId="2" quotePrefix="1" applyNumberFormat="1" applyFont="1" applyBorder="1" applyAlignment="1">
      <alignment horizontal="right"/>
    </xf>
    <xf numFmtId="171" fontId="57" fillId="0" borderId="0" xfId="2" applyNumberFormat="1" applyFont="1" applyFill="1" applyBorder="1" applyAlignment="1">
      <alignment horizontal="right"/>
    </xf>
    <xf numFmtId="171" fontId="57" fillId="0" borderId="0" xfId="2" quotePrefix="1" applyNumberFormat="1" applyFont="1" applyFill="1" applyBorder="1" applyAlignment="1">
      <alignment horizontal="right"/>
    </xf>
    <xf numFmtId="0" fontId="74" fillId="0" borderId="23" xfId="0" applyFont="1" applyBorder="1" applyAlignment="1">
      <alignment horizontal="left"/>
    </xf>
    <xf numFmtId="171" fontId="57" fillId="0" borderId="27" xfId="2" quotePrefix="1" applyNumberFormat="1" applyFont="1" applyFill="1" applyBorder="1" applyAlignment="1">
      <alignment horizontal="right"/>
    </xf>
    <xf numFmtId="171" fontId="57" fillId="0" borderId="27" xfId="2" applyNumberFormat="1" applyFont="1" applyFill="1" applyBorder="1" applyAlignment="1">
      <alignment horizontal="right"/>
    </xf>
    <xf numFmtId="171" fontId="57" fillId="0" borderId="28" xfId="2" quotePrefix="1" applyNumberFormat="1" applyFont="1" applyFill="1" applyBorder="1" applyAlignment="1">
      <alignment horizontal="right"/>
    </xf>
    <xf numFmtId="171" fontId="4" fillId="0" borderId="28" xfId="2" quotePrefix="1" applyNumberFormat="1" applyFont="1" applyFill="1" applyBorder="1" applyAlignment="1">
      <alignment horizontal="right"/>
    </xf>
    <xf numFmtId="0" fontId="4" fillId="0" borderId="27" xfId="0" applyFont="1" applyBorder="1"/>
    <xf numFmtId="170" fontId="57" fillId="0" borderId="4" xfId="1" applyNumberFormat="1" applyFont="1" applyBorder="1" applyAlignment="1">
      <alignment horizontal="left"/>
    </xf>
    <xf numFmtId="170" fontId="57" fillId="0" borderId="0" xfId="1" quotePrefix="1" applyNumberFormat="1" applyFont="1" applyBorder="1" applyAlignment="1">
      <alignment horizontal="right"/>
    </xf>
    <xf numFmtId="170" fontId="57" fillId="0" borderId="0" xfId="1" quotePrefix="1" applyNumberFormat="1" applyFont="1" applyFill="1" applyBorder="1" applyAlignment="1">
      <alignment horizontal="right"/>
    </xf>
    <xf numFmtId="170" fontId="4" fillId="0" borderId="0" xfId="1" applyNumberFormat="1" applyFont="1" applyBorder="1"/>
    <xf numFmtId="9" fontId="57" fillId="0" borderId="0" xfId="2" applyFont="1" applyFill="1" applyBorder="1" applyAlignment="1">
      <alignment horizontal="right"/>
    </xf>
    <xf numFmtId="170" fontId="58" fillId="0" borderId="0" xfId="1" quotePrefix="1" applyNumberFormat="1" applyFont="1" applyBorder="1" applyAlignment="1">
      <alignment horizontal="right"/>
    </xf>
    <xf numFmtId="169" fontId="58" fillId="0" borderId="0" xfId="1" quotePrefix="1" applyNumberFormat="1" applyFont="1" applyBorder="1" applyAlignment="1">
      <alignment horizontal="right"/>
    </xf>
    <xf numFmtId="228" fontId="58" fillId="0" borderId="5" xfId="1" quotePrefix="1" applyNumberFormat="1" applyFont="1" applyFill="1" applyBorder="1" applyAlignment="1">
      <alignment horizontal="right"/>
    </xf>
    <xf numFmtId="0" fontId="57" fillId="0" borderId="3" xfId="0" applyFont="1" applyBorder="1"/>
    <xf numFmtId="0" fontId="57" fillId="0" borderId="0" xfId="0" applyFont="1" applyAlignment="1">
      <alignment horizontal="right"/>
    </xf>
    <xf numFmtId="0" fontId="57" fillId="0" borderId="6" xfId="0" applyFont="1" applyBorder="1"/>
    <xf numFmtId="0" fontId="57" fillId="0" borderId="10" xfId="0" applyFont="1" applyBorder="1"/>
    <xf numFmtId="169" fontId="57" fillId="0" borderId="7" xfId="1" applyNumberFormat="1" applyFont="1" applyBorder="1" applyAlignment="1">
      <alignment horizontal="right"/>
    </xf>
    <xf numFmtId="0" fontId="57" fillId="0" borderId="7" xfId="0" applyFont="1" applyBorder="1" applyAlignment="1">
      <alignment horizontal="right"/>
    </xf>
    <xf numFmtId="170" fontId="57" fillId="0" borderId="8" xfId="0" applyNumberFormat="1" applyFont="1" applyBorder="1" applyAlignment="1">
      <alignment horizontal="right"/>
    </xf>
    <xf numFmtId="170" fontId="4" fillId="0" borderId="5" xfId="1" applyNumberFormat="1" applyFont="1" applyBorder="1" applyAlignment="1">
      <alignment horizontal="right"/>
    </xf>
    <xf numFmtId="170" fontId="4" fillId="0" borderId="0" xfId="1" applyNumberFormat="1" applyFont="1" applyAlignment="1">
      <alignment horizontal="left"/>
    </xf>
    <xf numFmtId="0" fontId="57" fillId="0" borderId="12" xfId="0" applyFont="1" applyBorder="1"/>
    <xf numFmtId="0" fontId="57" fillId="0" borderId="13" xfId="0" applyFont="1" applyBorder="1"/>
    <xf numFmtId="170" fontId="57" fillId="10" borderId="27" xfId="1" applyNumberFormat="1" applyFont="1" applyFill="1" applyBorder="1" applyAlignment="1">
      <alignment horizontal="right"/>
    </xf>
    <xf numFmtId="170" fontId="4" fillId="10" borderId="27" xfId="1" applyNumberFormat="1" applyFont="1" applyFill="1" applyBorder="1" applyAlignment="1">
      <alignment horizontal="left"/>
    </xf>
    <xf numFmtId="170" fontId="4" fillId="10" borderId="27" xfId="1" applyNumberFormat="1" applyFont="1" applyFill="1" applyBorder="1" applyAlignment="1">
      <alignment horizontal="right"/>
    </xf>
    <xf numFmtId="170" fontId="57" fillId="10" borderId="28" xfId="1" applyNumberFormat="1" applyFont="1" applyFill="1" applyBorder="1" applyAlignment="1">
      <alignment horizontal="right"/>
    </xf>
    <xf numFmtId="0" fontId="57" fillId="10" borderId="3" xfId="0" applyFont="1" applyFill="1" applyBorder="1" applyAlignment="1">
      <alignment horizontal="left"/>
    </xf>
    <xf numFmtId="0" fontId="57" fillId="10" borderId="4" xfId="0" applyFont="1" applyFill="1" applyBorder="1" applyAlignment="1">
      <alignment horizontal="left"/>
    </xf>
    <xf numFmtId="170" fontId="57" fillId="10" borderId="0" xfId="1" applyNumberFormat="1" applyFont="1" applyFill="1" applyAlignment="1">
      <alignment horizontal="right"/>
    </xf>
    <xf numFmtId="170" fontId="57" fillId="10" borderId="5" xfId="1" applyNumberFormat="1" applyFont="1" applyFill="1" applyBorder="1" applyAlignment="1">
      <alignment horizontal="right"/>
    </xf>
    <xf numFmtId="170" fontId="59" fillId="10" borderId="0" xfId="1" applyNumberFormat="1" applyFont="1" applyFill="1" applyAlignment="1">
      <alignment horizontal="right"/>
    </xf>
    <xf numFmtId="170" fontId="59" fillId="10" borderId="5" xfId="1" applyNumberFormat="1" applyFont="1" applyFill="1" applyBorder="1" applyAlignment="1">
      <alignment horizontal="right"/>
    </xf>
    <xf numFmtId="170" fontId="58" fillId="10" borderId="0" xfId="1" applyNumberFormat="1" applyFont="1" applyFill="1" applyAlignment="1">
      <alignment horizontal="right"/>
    </xf>
    <xf numFmtId="170" fontId="58" fillId="10" borderId="5" xfId="1" applyNumberFormat="1" applyFont="1" applyFill="1" applyBorder="1" applyAlignment="1">
      <alignment horizontal="right"/>
    </xf>
    <xf numFmtId="170" fontId="57" fillId="0" borderId="27" xfId="1" applyNumberFormat="1" applyFont="1" applyBorder="1" applyAlignment="1">
      <alignment horizontal="right"/>
    </xf>
    <xf numFmtId="170" fontId="4" fillId="0" borderId="27" xfId="1" applyNumberFormat="1" applyFont="1" applyBorder="1" applyAlignment="1">
      <alignment horizontal="right"/>
    </xf>
    <xf numFmtId="170" fontId="4" fillId="0" borderId="28" xfId="1" applyNumberFormat="1" applyFont="1" applyBorder="1" applyAlignment="1">
      <alignment horizontal="right"/>
    </xf>
    <xf numFmtId="170" fontId="4" fillId="0" borderId="27" xfId="1" applyNumberFormat="1" applyFont="1" applyFill="1" applyBorder="1" applyAlignment="1">
      <alignment horizontal="right"/>
    </xf>
    <xf numFmtId="170" fontId="57" fillId="0" borderId="28" xfId="1" applyNumberFormat="1" applyFont="1" applyBorder="1" applyAlignment="1">
      <alignment horizontal="right"/>
    </xf>
    <xf numFmtId="0" fontId="57" fillId="10" borderId="0" xfId="0" applyFont="1" applyFill="1" applyAlignment="1">
      <alignment horizontal="left"/>
    </xf>
    <xf numFmtId="0" fontId="60" fillId="10" borderId="4" xfId="0" applyFont="1" applyFill="1" applyBorder="1" applyAlignment="1">
      <alignment horizontal="left"/>
    </xf>
    <xf numFmtId="170" fontId="57" fillId="0" borderId="27" xfId="1" applyNumberFormat="1" applyFont="1" applyFill="1" applyBorder="1" applyAlignment="1">
      <alignment horizontal="right"/>
    </xf>
    <xf numFmtId="170" fontId="58" fillId="10" borderId="28" xfId="1" applyNumberFormat="1" applyFont="1" applyFill="1" applyBorder="1" applyAlignment="1">
      <alignment horizontal="right"/>
    </xf>
    <xf numFmtId="170" fontId="4" fillId="10" borderId="0" xfId="1" applyNumberFormat="1" applyFont="1" applyFill="1" applyAlignment="1">
      <alignment horizontal="right"/>
    </xf>
    <xf numFmtId="170" fontId="57" fillId="10" borderId="26" xfId="1" applyNumberFormat="1" applyFont="1" applyFill="1" applyBorder="1" applyAlignment="1">
      <alignment horizontal="right"/>
    </xf>
    <xf numFmtId="170" fontId="57" fillId="10" borderId="25" xfId="1" applyNumberFormat="1" applyFont="1" applyFill="1" applyBorder="1" applyAlignment="1">
      <alignment horizontal="right"/>
    </xf>
    <xf numFmtId="168" fontId="57" fillId="0" borderId="7" xfId="1" applyFont="1" applyBorder="1" applyAlignment="1">
      <alignment horizontal="right"/>
    </xf>
    <xf numFmtId="168" fontId="57" fillId="0" borderId="8" xfId="1" applyFont="1" applyBorder="1" applyAlignment="1">
      <alignment horizontal="right"/>
    </xf>
    <xf numFmtId="170" fontId="4" fillId="0" borderId="2" xfId="1" applyNumberFormat="1" applyFont="1" applyBorder="1" applyAlignment="1">
      <alignment horizontal="right"/>
    </xf>
    <xf numFmtId="169" fontId="75" fillId="0" borderId="0" xfId="1" quotePrefix="1" applyNumberFormat="1" applyFont="1" applyAlignment="1">
      <alignment horizontal="right"/>
    </xf>
    <xf numFmtId="169" fontId="75" fillId="0" borderId="5" xfId="1" quotePrefix="1" applyNumberFormat="1" applyFont="1" applyBorder="1" applyAlignment="1">
      <alignment horizontal="right"/>
    </xf>
    <xf numFmtId="171" fontId="57" fillId="0" borderId="0" xfId="2" quotePrefix="1" applyNumberFormat="1" applyFont="1" applyAlignment="1">
      <alignment horizontal="right"/>
    </xf>
    <xf numFmtId="9" fontId="57" fillId="0" borderId="0" xfId="2" quotePrefix="1" applyFont="1" applyAlignment="1">
      <alignment horizontal="right"/>
    </xf>
    <xf numFmtId="9" fontId="57" fillId="0" borderId="5" xfId="2" quotePrefix="1" applyFont="1" applyBorder="1" applyAlignment="1">
      <alignment horizontal="right"/>
    </xf>
    <xf numFmtId="9" fontId="57" fillId="0" borderId="0" xfId="2" quotePrefix="1" applyFont="1" applyFill="1" applyAlignment="1">
      <alignment horizontal="right"/>
    </xf>
    <xf numFmtId="0" fontId="4" fillId="0" borderId="4" xfId="0" applyFont="1" applyBorder="1" applyAlignment="1">
      <alignment horizontal="left"/>
    </xf>
    <xf numFmtId="10" fontId="59" fillId="0" borderId="5" xfId="2" applyNumberFormat="1" applyFont="1" applyFill="1" applyBorder="1" applyAlignment="1">
      <alignment horizontal="right"/>
    </xf>
    <xf numFmtId="169" fontId="57" fillId="0" borderId="0" xfId="2" applyNumberFormat="1" applyFont="1" applyFill="1" applyAlignment="1">
      <alignment horizontal="right"/>
    </xf>
    <xf numFmtId="10" fontId="4" fillId="0" borderId="5" xfId="2" quotePrefix="1" applyNumberFormat="1" applyFont="1" applyFill="1" applyBorder="1" applyAlignment="1">
      <alignment horizontal="right"/>
    </xf>
    <xf numFmtId="169" fontId="58" fillId="0" borderId="25" xfId="1" applyNumberFormat="1" applyFont="1" applyFill="1" applyBorder="1" applyAlignment="1">
      <alignment horizontal="right"/>
    </xf>
    <xf numFmtId="9" fontId="57" fillId="0" borderId="5" xfId="2" quotePrefix="1" applyFont="1" applyFill="1" applyBorder="1" applyAlignment="1">
      <alignment horizontal="right"/>
    </xf>
    <xf numFmtId="0" fontId="4" fillId="0" borderId="10" xfId="0" applyFont="1" applyBorder="1" applyAlignment="1">
      <alignment horizontal="left"/>
    </xf>
    <xf numFmtId="170" fontId="57" fillId="0" borderId="7" xfId="1" quotePrefix="1" applyNumberFormat="1" applyFont="1" applyFill="1" applyBorder="1" applyAlignment="1">
      <alignment horizontal="right"/>
    </xf>
    <xf numFmtId="170" fontId="57" fillId="0" borderId="7" xfId="1" applyNumberFormat="1" applyFont="1" applyFill="1" applyBorder="1" applyAlignment="1">
      <alignment horizontal="right"/>
    </xf>
    <xf numFmtId="170" fontId="57" fillId="0" borderId="8" xfId="1" quotePrefix="1" applyNumberFormat="1" applyFont="1" applyFill="1" applyBorder="1" applyAlignment="1">
      <alignment horizontal="right"/>
    </xf>
    <xf numFmtId="170" fontId="58" fillId="0" borderId="8" xfId="1" quotePrefix="1" applyNumberFormat="1" applyFont="1" applyFill="1" applyBorder="1" applyAlignment="1">
      <alignment horizontal="right"/>
    </xf>
    <xf numFmtId="9" fontId="72" fillId="0" borderId="0" xfId="2" applyFont="1" applyFill="1"/>
    <xf numFmtId="9" fontId="72" fillId="0" borderId="0" xfId="2" applyFont="1" applyFill="1" applyAlignment="1">
      <alignment horizontal="right"/>
    </xf>
    <xf numFmtId="170" fontId="62" fillId="0" borderId="0" xfId="2" applyNumberFormat="1" applyFont="1" applyAlignment="1">
      <alignment horizontal="right"/>
    </xf>
    <xf numFmtId="171" fontId="62" fillId="0" borderId="0" xfId="2" applyNumberFormat="1" applyFont="1" applyFill="1" applyAlignment="1">
      <alignment horizontal="right"/>
    </xf>
    <xf numFmtId="10" fontId="72" fillId="0" borderId="0" xfId="2" applyNumberFormat="1" applyFont="1" applyFill="1"/>
    <xf numFmtId="9" fontId="58" fillId="0" borderId="5" xfId="2" quotePrefix="1" applyFont="1" applyBorder="1" applyAlignment="1">
      <alignment horizontal="right"/>
    </xf>
    <xf numFmtId="171" fontId="58" fillId="0" borderId="5" xfId="2" applyNumberFormat="1" applyFont="1" applyFill="1" applyBorder="1" applyAlignment="1">
      <alignment horizontal="right"/>
    </xf>
    <xf numFmtId="170" fontId="4" fillId="0" borderId="0" xfId="2" applyNumberFormat="1" applyFont="1" applyFill="1"/>
    <xf numFmtId="171" fontId="4" fillId="0" borderId="0" xfId="2" applyNumberFormat="1" applyFont="1" applyFill="1"/>
    <xf numFmtId="0" fontId="72" fillId="0" borderId="0" xfId="0" applyFont="1"/>
    <xf numFmtId="171" fontId="72" fillId="0" borderId="0" xfId="2" applyNumberFormat="1" applyFont="1"/>
    <xf numFmtId="168" fontId="72" fillId="0" borderId="0" xfId="2" applyNumberFormat="1" applyFont="1" applyFill="1"/>
    <xf numFmtId="0" fontId="57" fillId="0" borderId="6" xfId="0" applyFont="1" applyBorder="1" applyAlignment="1">
      <alignment horizontal="left" indent="1"/>
    </xf>
    <xf numFmtId="170" fontId="57" fillId="0" borderId="5" xfId="0" applyNumberFormat="1" applyFont="1" applyBorder="1" applyAlignment="1">
      <alignment horizontal="right"/>
    </xf>
    <xf numFmtId="170" fontId="57" fillId="9" borderId="5" xfId="0" applyNumberFormat="1" applyFont="1" applyFill="1" applyBorder="1" applyAlignment="1">
      <alignment horizontal="right"/>
    </xf>
    <xf numFmtId="168" fontId="72" fillId="0" borderId="0" xfId="1" applyFont="1" applyFill="1"/>
    <xf numFmtId="171" fontId="72" fillId="0" borderId="0" xfId="2" applyNumberFormat="1" applyFont="1" applyFill="1"/>
    <xf numFmtId="168" fontId="62" fillId="0" borderId="0" xfId="1" applyFont="1" applyFill="1" applyAlignment="1">
      <alignment horizontal="right"/>
    </xf>
    <xf numFmtId="0" fontId="57" fillId="0" borderId="1" xfId="0" applyFont="1" applyBorder="1"/>
    <xf numFmtId="0" fontId="4" fillId="0" borderId="2" xfId="0" applyFont="1" applyBorder="1"/>
    <xf numFmtId="169" fontId="4" fillId="0" borderId="2" xfId="1" applyNumberFormat="1" applyFont="1" applyBorder="1" applyAlignment="1">
      <alignment horizontal="right"/>
    </xf>
    <xf numFmtId="0" fontId="4" fillId="0" borderId="2" xfId="0" applyFont="1" applyBorder="1" applyAlignment="1">
      <alignment horizontal="right"/>
    </xf>
    <xf numFmtId="169" fontId="4" fillId="0" borderId="0" xfId="1" applyNumberFormat="1" applyFont="1" applyBorder="1" applyAlignment="1">
      <alignment horizontal="right"/>
    </xf>
    <xf numFmtId="0" fontId="4" fillId="0" borderId="7" xfId="0" applyFont="1" applyBorder="1"/>
    <xf numFmtId="169" fontId="4" fillId="0" borderId="7" xfId="1" applyNumberFormat="1" applyFont="1" applyBorder="1" applyAlignment="1">
      <alignment horizontal="right"/>
    </xf>
    <xf numFmtId="0" fontId="4" fillId="0" borderId="7" xfId="0" applyFont="1" applyBorder="1" applyAlignment="1">
      <alignment horizontal="right"/>
    </xf>
    <xf numFmtId="171" fontId="57" fillId="0" borderId="29" xfId="2" applyNumberFormat="1" applyFont="1" applyBorder="1" applyAlignment="1">
      <alignment horizontal="right"/>
    </xf>
    <xf numFmtId="168" fontId="57" fillId="0" borderId="0" xfId="1" applyFont="1" applyAlignment="1">
      <alignment horizontal="right"/>
    </xf>
    <xf numFmtId="226" fontId="57" fillId="0" borderId="0" xfId="1" applyNumberFormat="1" applyFont="1" applyAlignment="1">
      <alignment horizontal="right"/>
    </xf>
    <xf numFmtId="0" fontId="57" fillId="0" borderId="2" xfId="0" applyFont="1" applyBorder="1"/>
    <xf numFmtId="169" fontId="57" fillId="0" borderId="2" xfId="1" applyNumberFormat="1" applyFont="1" applyBorder="1" applyAlignment="1">
      <alignment horizontal="right"/>
    </xf>
    <xf numFmtId="0" fontId="57" fillId="0" borderId="2" xfId="0" applyFont="1" applyBorder="1" applyAlignment="1">
      <alignment horizontal="right"/>
    </xf>
    <xf numFmtId="0" fontId="57" fillId="0" borderId="7" xfId="0" applyFont="1" applyBorder="1"/>
    <xf numFmtId="229" fontId="57" fillId="0" borderId="0" xfId="0" applyNumberFormat="1" applyFont="1"/>
    <xf numFmtId="168" fontId="4" fillId="0" borderId="0" xfId="1" applyFont="1" applyAlignment="1">
      <alignment horizontal="right"/>
    </xf>
    <xf numFmtId="170" fontId="72" fillId="0" borderId="0" xfId="2" applyNumberFormat="1" applyFont="1" applyFill="1"/>
    <xf numFmtId="172" fontId="57" fillId="0" borderId="28" xfId="1" applyNumberFormat="1" applyFont="1" applyFill="1" applyBorder="1" applyAlignment="1">
      <alignment horizontal="right"/>
    </xf>
    <xf numFmtId="9" fontId="61" fillId="0" borderId="0" xfId="2" applyFont="1" applyFill="1" applyBorder="1" applyAlignment="1">
      <alignment horizontal="right"/>
    </xf>
    <xf numFmtId="170" fontId="61" fillId="0" borderId="5" xfId="1" applyNumberFormat="1" applyFont="1" applyFill="1" applyBorder="1" applyAlignment="1">
      <alignment horizontal="right"/>
    </xf>
    <xf numFmtId="9" fontId="58" fillId="0" borderId="5" xfId="2" quotePrefix="1" applyFont="1" applyFill="1" applyBorder="1" applyAlignment="1">
      <alignment horizontal="right"/>
    </xf>
    <xf numFmtId="169" fontId="58" fillId="0" borderId="5" xfId="2" applyNumberFormat="1" applyFont="1" applyFill="1" applyBorder="1" applyAlignment="1">
      <alignment horizontal="right"/>
    </xf>
    <xf numFmtId="169" fontId="57" fillId="0" borderId="27" xfId="1" applyNumberFormat="1" applyFont="1" applyFill="1" applyBorder="1" applyAlignment="1">
      <alignment horizontal="right"/>
    </xf>
    <xf numFmtId="169" fontId="57" fillId="0" borderId="26" xfId="1" applyNumberFormat="1" applyFont="1" applyFill="1" applyBorder="1" applyAlignment="1">
      <alignment horizontal="right"/>
    </xf>
    <xf numFmtId="169" fontId="57" fillId="0" borderId="25" xfId="1" applyNumberFormat="1" applyFont="1" applyFill="1" applyBorder="1" applyAlignment="1">
      <alignment horizontal="right"/>
    </xf>
    <xf numFmtId="171" fontId="4" fillId="0" borderId="5" xfId="2" quotePrefix="1" applyNumberFormat="1" applyFont="1" applyFill="1" applyBorder="1" applyAlignment="1">
      <alignment horizontal="right"/>
    </xf>
    <xf numFmtId="9" fontId="58" fillId="0" borderId="0" xfId="2" quotePrefix="1" applyFont="1" applyFill="1" applyBorder="1" applyAlignment="1">
      <alignment horizontal="right"/>
    </xf>
    <xf numFmtId="169" fontId="58" fillId="0" borderId="0" xfId="1" quotePrefix="1" applyNumberFormat="1" applyFont="1" applyFill="1" applyBorder="1" applyAlignment="1">
      <alignment horizontal="right"/>
    </xf>
    <xf numFmtId="168" fontId="57" fillId="0" borderId="0" xfId="1" quotePrefix="1" applyFont="1" applyFill="1" applyBorder="1" applyAlignment="1">
      <alignment horizontal="right"/>
    </xf>
    <xf numFmtId="169" fontId="57" fillId="0" borderId="7" xfId="1" applyNumberFormat="1" applyFont="1" applyFill="1" applyBorder="1" applyAlignment="1">
      <alignment horizontal="right"/>
    </xf>
    <xf numFmtId="168" fontId="57" fillId="0" borderId="7" xfId="1" quotePrefix="1" applyFont="1" applyFill="1" applyBorder="1" applyAlignment="1">
      <alignment horizontal="right"/>
    </xf>
    <xf numFmtId="170" fontId="57" fillId="0" borderId="28" xfId="1" applyNumberFormat="1" applyFont="1" applyFill="1" applyBorder="1" applyAlignment="1">
      <alignment horizontal="right"/>
    </xf>
    <xf numFmtId="0" fontId="57" fillId="0" borderId="11" xfId="0" applyFont="1" applyBorder="1" applyAlignment="1">
      <alignment horizontal="right"/>
    </xf>
    <xf numFmtId="0" fontId="57" fillId="0" borderId="10" xfId="0" applyFont="1" applyBorder="1" applyAlignment="1">
      <alignment horizontal="right"/>
    </xf>
    <xf numFmtId="169" fontId="57" fillId="11" borderId="5" xfId="1" quotePrefix="1" applyNumberFormat="1" applyFont="1" applyFill="1" applyBorder="1" applyAlignment="1">
      <alignment horizontal="right"/>
    </xf>
    <xf numFmtId="168" fontId="57" fillId="11" borderId="5" xfId="1" quotePrefix="1" applyFont="1" applyFill="1" applyBorder="1" applyAlignment="1">
      <alignment horizontal="right"/>
    </xf>
    <xf numFmtId="170" fontId="57" fillId="9" borderId="0" xfId="1" applyNumberFormat="1" applyFont="1" applyFill="1" applyAlignment="1">
      <alignment horizontal="right"/>
    </xf>
    <xf numFmtId="170" fontId="57" fillId="9" borderId="5" xfId="1" quotePrefix="1" applyNumberFormat="1" applyFont="1" applyFill="1" applyBorder="1" applyAlignment="1">
      <alignment horizontal="right"/>
    </xf>
    <xf numFmtId="169" fontId="57" fillId="9" borderId="0" xfId="1" applyNumberFormat="1" applyFont="1" applyFill="1" applyAlignment="1">
      <alignment horizontal="right"/>
    </xf>
    <xf numFmtId="172" fontId="70" fillId="9" borderId="0" xfId="1" applyNumberFormat="1" applyFont="1" applyFill="1" applyAlignment="1">
      <alignment horizontal="right"/>
    </xf>
    <xf numFmtId="169" fontId="58" fillId="9" borderId="5" xfId="1" quotePrefix="1" applyNumberFormat="1" applyFont="1" applyFill="1" applyBorder="1" applyAlignment="1">
      <alignment horizontal="right"/>
    </xf>
    <xf numFmtId="172" fontId="57" fillId="9" borderId="0" xfId="1" applyNumberFormat="1" applyFont="1" applyFill="1" applyAlignment="1">
      <alignment horizontal="right"/>
    </xf>
    <xf numFmtId="168" fontId="4" fillId="9" borderId="5" xfId="1" quotePrefix="1" applyFont="1" applyFill="1" applyBorder="1" applyAlignment="1">
      <alignment horizontal="right"/>
    </xf>
    <xf numFmtId="172" fontId="4" fillId="9" borderId="5" xfId="1" quotePrefix="1" applyNumberFormat="1" applyFont="1" applyFill="1" applyBorder="1" applyAlignment="1">
      <alignment horizontal="right"/>
    </xf>
    <xf numFmtId="170" fontId="4" fillId="9" borderId="5" xfId="1" quotePrefix="1" applyNumberFormat="1" applyFont="1" applyFill="1" applyBorder="1" applyAlignment="1">
      <alignment horizontal="right"/>
    </xf>
    <xf numFmtId="9" fontId="57" fillId="9" borderId="26" xfId="2" applyFont="1" applyFill="1" applyBorder="1" applyAlignment="1">
      <alignment horizontal="right"/>
    </xf>
    <xf numFmtId="168" fontId="4" fillId="9" borderId="25" xfId="1" quotePrefix="1" applyFont="1" applyFill="1" applyBorder="1" applyAlignment="1">
      <alignment horizontal="right"/>
    </xf>
    <xf numFmtId="170" fontId="4" fillId="9" borderId="25" xfId="1" quotePrefix="1" applyNumberFormat="1" applyFont="1" applyFill="1" applyBorder="1" applyAlignment="1">
      <alignment horizontal="right"/>
    </xf>
    <xf numFmtId="171" fontId="57" fillId="9" borderId="26" xfId="2" applyNumberFormat="1" applyFont="1" applyFill="1" applyBorder="1" applyAlignment="1">
      <alignment horizontal="right"/>
    </xf>
    <xf numFmtId="171" fontId="57" fillId="9" borderId="25" xfId="2" quotePrefix="1" applyNumberFormat="1" applyFont="1" applyFill="1" applyBorder="1" applyAlignment="1">
      <alignment horizontal="right"/>
    </xf>
    <xf numFmtId="9" fontId="57" fillId="9" borderId="0" xfId="2" applyFont="1" applyFill="1" applyAlignment="1">
      <alignment horizontal="right"/>
    </xf>
    <xf numFmtId="9" fontId="57" fillId="9" borderId="5" xfId="2" applyFont="1" applyFill="1" applyBorder="1" applyAlignment="1">
      <alignment horizontal="right"/>
    </xf>
    <xf numFmtId="171" fontId="70" fillId="9" borderId="0" xfId="2" applyNumberFormat="1" applyFont="1" applyFill="1" applyAlignment="1">
      <alignment horizontal="right"/>
    </xf>
    <xf numFmtId="171" fontId="70" fillId="9" borderId="5" xfId="2" applyNumberFormat="1" applyFont="1" applyFill="1" applyBorder="1" applyAlignment="1">
      <alignment horizontal="right"/>
    </xf>
    <xf numFmtId="170" fontId="51" fillId="0" borderId="5" xfId="1" quotePrefix="1" applyNumberFormat="1" applyFont="1" applyFill="1" applyBorder="1" applyAlignment="1">
      <alignment horizontal="right"/>
    </xf>
    <xf numFmtId="170" fontId="51" fillId="0" borderId="5" xfId="1" quotePrefix="1" applyNumberFormat="1" applyFont="1" applyBorder="1" applyAlignment="1">
      <alignment horizontal="right"/>
    </xf>
    <xf numFmtId="169" fontId="57" fillId="9" borderId="5" xfId="1" quotePrefix="1" applyNumberFormat="1" applyFont="1" applyFill="1" applyBorder="1" applyAlignment="1">
      <alignment horizontal="right"/>
    </xf>
    <xf numFmtId="169" fontId="59" fillId="9" borderId="5" xfId="1" quotePrefix="1" applyNumberFormat="1" applyFont="1" applyFill="1" applyBorder="1" applyAlignment="1">
      <alignment horizontal="right"/>
    </xf>
    <xf numFmtId="169" fontId="51" fillId="0" borderId="3" xfId="1" applyNumberFormat="1" applyFont="1" applyFill="1" applyBorder="1" applyAlignment="1">
      <alignment horizontal="right"/>
    </xf>
    <xf numFmtId="9" fontId="4" fillId="9" borderId="5" xfId="2" applyFont="1" applyFill="1" applyBorder="1" applyAlignment="1">
      <alignment horizontal="right"/>
    </xf>
    <xf numFmtId="165" fontId="57" fillId="9" borderId="27" xfId="1" applyNumberFormat="1" applyFont="1" applyFill="1" applyBorder="1" applyAlignment="1">
      <alignment horizontal="right"/>
    </xf>
    <xf numFmtId="165" fontId="4" fillId="9" borderId="28" xfId="1" applyNumberFormat="1" applyFont="1" applyFill="1" applyBorder="1" applyAlignment="1">
      <alignment horizontal="right"/>
    </xf>
    <xf numFmtId="171" fontId="4" fillId="9" borderId="28" xfId="2" applyNumberFormat="1" applyFont="1" applyFill="1" applyBorder="1" applyAlignment="1">
      <alignment horizontal="right"/>
    </xf>
    <xf numFmtId="170" fontId="57" fillId="9" borderId="5" xfId="1" applyNumberFormat="1" applyFont="1" applyFill="1" applyBorder="1" applyAlignment="1">
      <alignment horizontal="right"/>
    </xf>
    <xf numFmtId="170" fontId="59" fillId="9" borderId="0" xfId="1" applyNumberFormat="1" applyFont="1" applyFill="1" applyAlignment="1">
      <alignment horizontal="right"/>
    </xf>
    <xf numFmtId="9" fontId="57" fillId="9" borderId="7" xfId="2" applyFont="1" applyFill="1" applyBorder="1" applyAlignment="1">
      <alignment horizontal="right"/>
    </xf>
    <xf numFmtId="170" fontId="57" fillId="9" borderId="8" xfId="1" applyNumberFormat="1" applyFont="1" applyFill="1" applyBorder="1" applyAlignment="1">
      <alignment horizontal="right"/>
    </xf>
    <xf numFmtId="169" fontId="57" fillId="9" borderId="0" xfId="1" quotePrefix="1" applyNumberFormat="1" applyFont="1" applyFill="1" applyAlignment="1">
      <alignment horizontal="right"/>
    </xf>
    <xf numFmtId="169" fontId="4" fillId="9" borderId="5" xfId="1" quotePrefix="1" applyNumberFormat="1" applyFont="1" applyFill="1" applyBorder="1" applyAlignment="1">
      <alignment horizontal="right"/>
    </xf>
    <xf numFmtId="171" fontId="4" fillId="9" borderId="5" xfId="2" quotePrefix="1" applyNumberFormat="1" applyFont="1" applyFill="1" applyBorder="1" applyAlignment="1">
      <alignment horizontal="right"/>
    </xf>
    <xf numFmtId="9" fontId="57" fillId="9" borderId="0" xfId="2" quotePrefix="1" applyFont="1" applyFill="1" applyAlignment="1">
      <alignment horizontal="right"/>
    </xf>
    <xf numFmtId="170" fontId="57" fillId="9" borderId="0" xfId="1" quotePrefix="1" applyNumberFormat="1" applyFont="1" applyFill="1" applyBorder="1" applyAlignment="1">
      <alignment horizontal="right"/>
    </xf>
    <xf numFmtId="170" fontId="57" fillId="9" borderId="0" xfId="1" applyNumberFormat="1" applyFont="1" applyFill="1" applyBorder="1" applyAlignment="1">
      <alignment horizontal="right"/>
    </xf>
    <xf numFmtId="171" fontId="57" fillId="9" borderId="5" xfId="2" quotePrefix="1" applyNumberFormat="1" applyFont="1" applyFill="1" applyBorder="1" applyAlignment="1">
      <alignment horizontal="right"/>
    </xf>
    <xf numFmtId="170" fontId="57" fillId="0" borderId="0" xfId="1" applyNumberFormat="1" applyFont="1" applyFill="1" applyAlignment="1"/>
    <xf numFmtId="10" fontId="4" fillId="0" borderId="0" xfId="2" applyNumberFormat="1" applyFont="1" applyAlignment="1">
      <alignment horizontal="right"/>
    </xf>
    <xf numFmtId="171" fontId="76" fillId="0" borderId="0" xfId="0" applyNumberFormat="1" applyFont="1" applyAlignment="1">
      <alignment horizontal="right"/>
    </xf>
    <xf numFmtId="0" fontId="76" fillId="0" borderId="0" xfId="0" applyFont="1" applyAlignment="1">
      <alignment horizontal="right"/>
    </xf>
    <xf numFmtId="171" fontId="76" fillId="0" borderId="0" xfId="2" applyNumberFormat="1" applyFont="1" applyAlignment="1">
      <alignment horizontal="right"/>
    </xf>
    <xf numFmtId="170" fontId="57" fillId="0" borderId="28" xfId="1" quotePrefix="1" applyNumberFormat="1" applyFont="1" applyFill="1" applyBorder="1" applyAlignment="1">
      <alignment horizontal="right"/>
    </xf>
    <xf numFmtId="169" fontId="59" fillId="9" borderId="0" xfId="1" applyNumberFormat="1" applyFont="1" applyFill="1" applyAlignment="1">
      <alignment horizontal="right"/>
    </xf>
    <xf numFmtId="10" fontId="57" fillId="0" borderId="5" xfId="2" applyNumberFormat="1" applyFont="1" applyFill="1" applyBorder="1" applyAlignment="1">
      <alignment horizontal="right"/>
    </xf>
    <xf numFmtId="2" fontId="57" fillId="10" borderId="0" xfId="1" applyNumberFormat="1" applyFont="1" applyFill="1" applyAlignment="1">
      <alignment horizontal="right"/>
    </xf>
    <xf numFmtId="170" fontId="57" fillId="12" borderId="5" xfId="1" applyNumberFormat="1" applyFont="1" applyFill="1" applyBorder="1" applyAlignment="1">
      <alignment horizontal="right"/>
    </xf>
    <xf numFmtId="9" fontId="58" fillId="12" borderId="8" xfId="2" applyFont="1" applyFill="1" applyBorder="1" applyAlignment="1">
      <alignment horizontal="right"/>
    </xf>
    <xf numFmtId="165" fontId="57" fillId="12" borderId="27" xfId="1" applyNumberFormat="1" applyFont="1" applyFill="1" applyBorder="1" applyAlignment="1">
      <alignment horizontal="right"/>
    </xf>
    <xf numFmtId="171" fontId="57" fillId="12" borderId="8" xfId="0" applyNumberFormat="1" applyFont="1" applyFill="1" applyBorder="1" applyAlignment="1">
      <alignment horizontal="right"/>
    </xf>
    <xf numFmtId="170" fontId="58" fillId="12" borderId="8" xfId="1" quotePrefix="1" applyNumberFormat="1" applyFont="1" applyFill="1" applyBorder="1" applyAlignment="1">
      <alignment horizontal="right"/>
    </xf>
    <xf numFmtId="10" fontId="57" fillId="9" borderId="0" xfId="2" applyNumberFormat="1" applyFont="1" applyFill="1" applyAlignment="1">
      <alignment horizontal="right"/>
    </xf>
    <xf numFmtId="170" fontId="57" fillId="0" borderId="6" xfId="1" applyNumberFormat="1" applyFont="1" applyFill="1" applyBorder="1" applyAlignment="1">
      <alignment horizontal="right"/>
    </xf>
    <xf numFmtId="170" fontId="57" fillId="0" borderId="7" xfId="1" applyNumberFormat="1" applyFont="1" applyFill="1" applyBorder="1" applyAlignment="1"/>
    <xf numFmtId="170" fontId="57" fillId="0" borderId="7" xfId="1" applyNumberFormat="1" applyFont="1" applyBorder="1" applyAlignment="1">
      <alignment horizontal="right"/>
    </xf>
    <xf numFmtId="0" fontId="57" fillId="9" borderId="0" xfId="1" applyNumberFormat="1" applyFont="1" applyFill="1" applyAlignment="1">
      <alignment horizontal="right"/>
    </xf>
    <xf numFmtId="172" fontId="4" fillId="0" borderId="0" xfId="1" applyNumberFormat="1" applyFont="1" applyAlignment="1">
      <alignment horizontal="right"/>
    </xf>
    <xf numFmtId="2" fontId="57" fillId="12" borderId="29" xfId="0" applyNumberFormat="1" applyFont="1" applyFill="1" applyBorder="1" applyAlignment="1">
      <alignment horizontal="right"/>
    </xf>
    <xf numFmtId="2" fontId="57" fillId="12" borderId="8" xfId="0" applyNumberFormat="1" applyFont="1" applyFill="1" applyBorder="1" applyAlignment="1">
      <alignment horizontal="right"/>
    </xf>
    <xf numFmtId="171" fontId="57" fillId="0" borderId="8" xfId="2" applyNumberFormat="1" applyFont="1" applyBorder="1" applyAlignment="1">
      <alignment horizontal="right"/>
    </xf>
    <xf numFmtId="170" fontId="57" fillId="9" borderId="27" xfId="1" applyNumberFormat="1" applyFont="1" applyFill="1" applyBorder="1" applyAlignment="1">
      <alignment horizontal="right"/>
    </xf>
    <xf numFmtId="170" fontId="57" fillId="9" borderId="28" xfId="1" applyNumberFormat="1" applyFont="1" applyFill="1" applyBorder="1" applyAlignment="1">
      <alignment horizontal="right"/>
    </xf>
    <xf numFmtId="171" fontId="57" fillId="12" borderId="5" xfId="2" applyNumberFormat="1" applyFont="1" applyFill="1" applyBorder="1" applyAlignment="1">
      <alignment horizontal="right"/>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horizontal="left" vertical="top" wrapText="1"/>
    </xf>
    <xf numFmtId="170" fontId="57" fillId="14" borderId="0" xfId="1" applyNumberFormat="1" applyFont="1" applyFill="1" applyAlignment="1">
      <alignment horizontal="right"/>
    </xf>
    <xf numFmtId="169" fontId="58" fillId="14" borderId="0" xfId="1" applyNumberFormat="1" applyFont="1" applyFill="1" applyAlignment="1">
      <alignment horizontal="right"/>
    </xf>
    <xf numFmtId="169" fontId="57" fillId="14" borderId="0" xfId="1" applyNumberFormat="1" applyFont="1" applyFill="1" applyAlignment="1">
      <alignment horizontal="right"/>
    </xf>
    <xf numFmtId="0" fontId="79" fillId="13" borderId="0" xfId="0" applyFont="1" applyFill="1"/>
    <xf numFmtId="171" fontId="57" fillId="15" borderId="5" xfId="2" applyNumberFormat="1" applyFont="1" applyFill="1" applyBorder="1" applyAlignment="1">
      <alignment horizontal="right"/>
    </xf>
    <xf numFmtId="228" fontId="57" fillId="0" borderId="4" xfId="331" applyNumberFormat="1" applyFont="1" applyFill="1" applyBorder="1" applyAlignment="1">
      <alignment horizontal="right"/>
    </xf>
    <xf numFmtId="43" fontId="59" fillId="0" borderId="4" xfId="331" quotePrefix="1" applyFont="1" applyBorder="1" applyAlignment="1">
      <alignment horizontal="right"/>
    </xf>
    <xf numFmtId="0" fontId="58" fillId="0" borderId="6" xfId="0" applyFont="1" applyBorder="1"/>
    <xf numFmtId="230" fontId="58" fillId="0" borderId="10" xfId="331" applyNumberFormat="1" applyFont="1" applyBorder="1" applyAlignment="1">
      <alignment horizontal="right"/>
    </xf>
    <xf numFmtId="228" fontId="57" fillId="0" borderId="4" xfId="2" applyNumberFormat="1" applyFont="1" applyFill="1" applyBorder="1" applyAlignment="1">
      <alignment horizontal="right"/>
    </xf>
    <xf numFmtId="228" fontId="57" fillId="9" borderId="4" xfId="331" applyNumberFormat="1" applyFont="1" applyFill="1" applyBorder="1" applyAlignment="1">
      <alignment horizontal="right"/>
    </xf>
    <xf numFmtId="230" fontId="57" fillId="0" borderId="11" xfId="1" applyNumberFormat="1" applyFont="1" applyBorder="1" applyAlignment="1">
      <alignment horizontal="right"/>
    </xf>
    <xf numFmtId="230" fontId="57" fillId="0" borderId="4" xfId="1" applyNumberFormat="1" applyFont="1" applyBorder="1" applyAlignment="1">
      <alignment horizontal="right"/>
    </xf>
    <xf numFmtId="10" fontId="57" fillId="9" borderId="11" xfId="1" applyNumberFormat="1" applyFont="1" applyFill="1" applyBorder="1" applyAlignment="1">
      <alignment horizontal="right"/>
    </xf>
    <xf numFmtId="10" fontId="57" fillId="9" borderId="4" xfId="2" applyNumberFormat="1" applyFont="1" applyFill="1" applyBorder="1" applyAlignment="1">
      <alignment horizontal="right"/>
    </xf>
    <xf numFmtId="231" fontId="57" fillId="0" borderId="4" xfId="1" applyNumberFormat="1" applyFont="1" applyBorder="1" applyAlignment="1">
      <alignment horizontal="right"/>
    </xf>
    <xf numFmtId="164" fontId="57" fillId="0" borderId="10" xfId="0" applyNumberFormat="1" applyFont="1" applyBorder="1"/>
    <xf numFmtId="0" fontId="55" fillId="2" borderId="29" xfId="0" applyFont="1" applyFill="1" applyBorder="1" applyAlignment="1">
      <alignment horizontal="left"/>
    </xf>
    <xf numFmtId="0" fontId="80" fillId="0" borderId="3" xfId="0" applyFont="1" applyBorder="1"/>
    <xf numFmtId="0" fontId="0" fillId="0" borderId="5" xfId="0" applyBorder="1"/>
    <xf numFmtId="0" fontId="81" fillId="0" borderId="3" xfId="0" applyFont="1" applyBorder="1"/>
    <xf numFmtId="231" fontId="81" fillId="0" borderId="0" xfId="1" applyNumberFormat="1" applyFont="1" applyBorder="1" applyAlignment="1">
      <alignment horizontal="right"/>
    </xf>
    <xf numFmtId="170" fontId="82" fillId="0" borderId="0" xfId="1" applyNumberFormat="1" applyFont="1" applyBorder="1" applyAlignment="1">
      <alignment horizontal="right"/>
    </xf>
    <xf numFmtId="0" fontId="83" fillId="0" borderId="12" xfId="0" applyFont="1" applyBorder="1" applyAlignment="1">
      <alignment horizontal="left" indent="1"/>
    </xf>
    <xf numFmtId="170" fontId="83" fillId="0" borderId="26" xfId="1" applyNumberFormat="1" applyFont="1" applyBorder="1" applyAlignment="1">
      <alignment horizontal="right"/>
    </xf>
    <xf numFmtId="0" fontId="53" fillId="16" borderId="3" xfId="0" applyFont="1" applyFill="1" applyBorder="1" applyAlignment="1">
      <alignment horizontal="left"/>
    </xf>
    <xf numFmtId="170" fontId="53" fillId="16" borderId="0" xfId="1" applyNumberFormat="1" applyFont="1" applyFill="1" applyBorder="1" applyAlignment="1">
      <alignment horizontal="right"/>
    </xf>
    <xf numFmtId="168" fontId="81" fillId="0" borderId="0" xfId="1" applyFont="1" applyFill="1" applyBorder="1" applyAlignment="1">
      <alignment horizontal="right"/>
    </xf>
    <xf numFmtId="168" fontId="81" fillId="0" borderId="0" xfId="1" applyFont="1" applyBorder="1" applyAlignment="1">
      <alignment horizontal="right"/>
    </xf>
    <xf numFmtId="171" fontId="81" fillId="9" borderId="0" xfId="1" applyNumberFormat="1" applyFont="1" applyFill="1" applyBorder="1" applyAlignment="1">
      <alignment horizontal="right"/>
    </xf>
    <xf numFmtId="0" fontId="83" fillId="0" borderId="3" xfId="0" applyFont="1" applyBorder="1" applyAlignment="1">
      <alignment horizontal="left" indent="1"/>
    </xf>
    <xf numFmtId="171" fontId="83" fillId="0" borderId="0" xfId="2" applyNumberFormat="1" applyFont="1" applyBorder="1" applyAlignment="1">
      <alignment horizontal="right"/>
    </xf>
    <xf numFmtId="10" fontId="84" fillId="9" borderId="0" xfId="1" applyNumberFormat="1" applyFont="1" applyFill="1" applyBorder="1" applyAlignment="1">
      <alignment horizontal="right"/>
    </xf>
    <xf numFmtId="171" fontId="83" fillId="0" borderId="26" xfId="2" applyNumberFormat="1" applyFont="1" applyBorder="1" applyAlignment="1">
      <alignment horizontal="right"/>
    </xf>
    <xf numFmtId="171" fontId="57" fillId="0" borderId="0" xfId="2" applyNumberFormat="1" applyFont="1" applyBorder="1" applyAlignment="1">
      <alignment horizontal="right"/>
    </xf>
    <xf numFmtId="9" fontId="57" fillId="9" borderId="0" xfId="2" applyFont="1" applyFill="1" applyBorder="1" applyAlignment="1">
      <alignment horizontal="right"/>
    </xf>
    <xf numFmtId="171" fontId="61" fillId="0" borderId="0" xfId="2" applyNumberFormat="1" applyFont="1" applyBorder="1" applyAlignment="1">
      <alignment horizontal="right"/>
    </xf>
    <xf numFmtId="0" fontId="58" fillId="0" borderId="12" xfId="0" applyFont="1" applyBorder="1" applyAlignment="1">
      <alignment horizontal="left" indent="1"/>
    </xf>
    <xf numFmtId="171" fontId="58" fillId="0" borderId="26" xfId="2" applyNumberFormat="1" applyFont="1" applyBorder="1" applyAlignment="1">
      <alignment horizontal="right"/>
    </xf>
    <xf numFmtId="0" fontId="53" fillId="16" borderId="23" xfId="0" applyFont="1" applyFill="1" applyBorder="1" applyAlignment="1">
      <alignment horizontal="left"/>
    </xf>
    <xf numFmtId="171" fontId="57" fillId="9" borderId="0" xfId="2" applyNumberFormat="1" applyFont="1" applyFill="1" applyBorder="1" applyAlignment="1">
      <alignment horizontal="right"/>
    </xf>
    <xf numFmtId="170" fontId="53" fillId="16" borderId="27" xfId="1" applyNumberFormat="1" applyFont="1" applyFill="1" applyBorder="1" applyAlignment="1">
      <alignment horizontal="right"/>
    </xf>
    <xf numFmtId="168" fontId="81" fillId="9" borderId="0" xfId="1" applyFont="1" applyFill="1" applyBorder="1" applyAlignment="1">
      <alignment horizontal="right"/>
    </xf>
    <xf numFmtId="10" fontId="81" fillId="9" borderId="0" xfId="2" applyNumberFormat="1" applyFont="1" applyFill="1" applyBorder="1" applyAlignment="1">
      <alignment horizontal="right"/>
    </xf>
    <xf numFmtId="171" fontId="57" fillId="0" borderId="13" xfId="2" applyNumberFormat="1" applyFont="1" applyFill="1" applyBorder="1" applyAlignment="1">
      <alignment horizontal="right"/>
    </xf>
    <xf numFmtId="0" fontId="60" fillId="0" borderId="3" xfId="0" applyFont="1" applyBorder="1"/>
    <xf numFmtId="170" fontId="57" fillId="0" borderId="0" xfId="1" applyNumberFormat="1" applyFont="1" applyBorder="1" applyAlignment="1">
      <alignment horizontal="right"/>
    </xf>
    <xf numFmtId="168" fontId="59" fillId="0" borderId="0" xfId="1" applyFont="1" applyBorder="1" applyAlignment="1">
      <alignment horizontal="right"/>
    </xf>
    <xf numFmtId="0" fontId="58" fillId="0" borderId="3" xfId="0" applyFont="1" applyBorder="1"/>
    <xf numFmtId="231" fontId="58" fillId="0" borderId="0" xfId="1" applyNumberFormat="1" applyFont="1" applyBorder="1" applyAlignment="1">
      <alignment horizontal="right"/>
    </xf>
    <xf numFmtId="0" fontId="62" fillId="0" borderId="6" xfId="0" applyFont="1" applyBorder="1" applyAlignment="1">
      <alignment horizontal="right"/>
    </xf>
    <xf numFmtId="170" fontId="85" fillId="0" borderId="10" xfId="1" applyNumberFormat="1" applyFont="1" applyBorder="1" applyAlignment="1">
      <alignment vertical="top" wrapText="1"/>
    </xf>
    <xf numFmtId="0" fontId="0" fillId="0" borderId="8" xfId="0" applyBorder="1"/>
    <xf numFmtId="0" fontId="57" fillId="0" borderId="3" xfId="0" applyFont="1" applyBorder="1" applyAlignment="1">
      <alignment horizontal="left"/>
    </xf>
    <xf numFmtId="0" fontId="57" fillId="0" borderId="4" xfId="0" applyFont="1" applyBorder="1" applyAlignment="1">
      <alignment horizontal="left"/>
    </xf>
    <xf numFmtId="0" fontId="56" fillId="0" borderId="4" xfId="0" applyFont="1" applyBorder="1" applyAlignment="1">
      <alignment horizontal="center" wrapText="1"/>
    </xf>
    <xf numFmtId="0" fontId="55" fillId="2" borderId="1" xfId="0" applyFont="1" applyFill="1" applyBorder="1" applyAlignment="1">
      <alignment horizontal="left"/>
    </xf>
    <xf numFmtId="0" fontId="55" fillId="2" borderId="11" xfId="0" applyFont="1" applyFill="1" applyBorder="1" applyAlignment="1">
      <alignment horizontal="left"/>
    </xf>
    <xf numFmtId="0" fontId="56" fillId="2" borderId="3" xfId="0" applyFont="1" applyFill="1" applyBorder="1" applyAlignment="1">
      <alignment horizontal="left"/>
    </xf>
    <xf numFmtId="0" fontId="56" fillId="2" borderId="4" xfId="0" applyFont="1" applyFill="1" applyBorder="1" applyAlignment="1">
      <alignment horizontal="left"/>
    </xf>
    <xf numFmtId="0" fontId="58" fillId="0" borderId="3" xfId="0" applyFont="1" applyBorder="1" applyAlignment="1">
      <alignment horizontal="left" indent="1"/>
    </xf>
    <xf numFmtId="0" fontId="58" fillId="0" borderId="4" xfId="0" applyFont="1" applyBorder="1" applyAlignment="1">
      <alignment horizontal="left" indent="1"/>
    </xf>
    <xf numFmtId="0" fontId="57" fillId="0" borderId="3" xfId="0" applyFont="1" applyBorder="1" applyAlignment="1">
      <alignment horizontal="left" indent="2"/>
    </xf>
    <xf numFmtId="0" fontId="57" fillId="0" borderId="4" xfId="0" applyFont="1" applyBorder="1" applyAlignment="1">
      <alignment horizontal="left" indent="2"/>
    </xf>
    <xf numFmtId="0" fontId="57" fillId="0" borderId="3" xfId="0" applyFont="1" applyBorder="1" applyAlignment="1">
      <alignment horizontal="left" indent="5"/>
    </xf>
    <xf numFmtId="0" fontId="57" fillId="0" borderId="4" xfId="0" applyFont="1" applyBorder="1" applyAlignment="1">
      <alignment horizontal="left" indent="5"/>
    </xf>
    <xf numFmtId="0" fontId="58" fillId="0" borderId="3" xfId="0" applyFont="1" applyBorder="1" applyAlignment="1">
      <alignment horizontal="left" indent="3"/>
    </xf>
    <xf numFmtId="0" fontId="58" fillId="0" borderId="4" xfId="0" applyFont="1" applyBorder="1" applyAlignment="1">
      <alignment horizontal="left" indent="3"/>
    </xf>
    <xf numFmtId="0" fontId="57" fillId="0" borderId="3" xfId="0" applyFont="1" applyBorder="1" applyAlignment="1">
      <alignment horizontal="left" indent="4"/>
    </xf>
    <xf numFmtId="0" fontId="57" fillId="0" borderId="4" xfId="0" applyFont="1" applyBorder="1" applyAlignment="1">
      <alignment horizontal="left" indent="4"/>
    </xf>
    <xf numFmtId="0" fontId="60" fillId="0" borderId="23" xfId="0" applyFont="1" applyBorder="1" applyAlignment="1">
      <alignment horizontal="left"/>
    </xf>
    <xf numFmtId="0" fontId="60" fillId="0" borderId="24" xfId="0" applyFont="1" applyBorder="1" applyAlignment="1">
      <alignment horizontal="left"/>
    </xf>
    <xf numFmtId="0" fontId="55" fillId="2" borderId="3" xfId="0" applyFont="1" applyFill="1" applyBorder="1" applyAlignment="1">
      <alignment horizontal="left"/>
    </xf>
    <xf numFmtId="0" fontId="55" fillId="2" borderId="4" xfId="0" applyFont="1" applyFill="1" applyBorder="1" applyAlignment="1">
      <alignment horizontal="left"/>
    </xf>
    <xf numFmtId="0" fontId="60" fillId="0" borderId="3" xfId="0" applyFont="1" applyBorder="1" applyAlignment="1">
      <alignment horizontal="left"/>
    </xf>
    <xf numFmtId="0" fontId="60" fillId="0" borderId="4" xfId="0" applyFont="1" applyBorder="1" applyAlignment="1">
      <alignment horizontal="left"/>
    </xf>
    <xf numFmtId="0" fontId="58" fillId="0" borderId="12" xfId="0" applyFont="1" applyBorder="1" applyAlignment="1">
      <alignment horizontal="left" indent="2"/>
    </xf>
    <xf numFmtId="0" fontId="58" fillId="0" borderId="13" xfId="0" applyFont="1" applyBorder="1" applyAlignment="1">
      <alignment horizontal="left" indent="2"/>
    </xf>
    <xf numFmtId="0" fontId="58" fillId="0" borderId="12" xfId="0" applyFont="1" applyBorder="1" applyAlignment="1">
      <alignment horizontal="left"/>
    </xf>
    <xf numFmtId="0" fontId="58" fillId="0" borderId="13" xfId="0" applyFont="1" applyBorder="1" applyAlignment="1">
      <alignment horizontal="left"/>
    </xf>
    <xf numFmtId="0" fontId="57" fillId="0" borderId="3" xfId="0" applyFont="1" applyBorder="1" applyAlignment="1">
      <alignment horizontal="left" indent="1"/>
    </xf>
    <xf numFmtId="0" fontId="57" fillId="0" borderId="4" xfId="0" applyFont="1" applyBorder="1" applyAlignment="1">
      <alignment horizontal="left" indent="1"/>
    </xf>
    <xf numFmtId="0" fontId="58" fillId="0" borderId="3" xfId="0" applyFont="1" applyBorder="1" applyAlignment="1">
      <alignment horizontal="left"/>
    </xf>
    <xf numFmtId="0" fontId="58" fillId="0" borderId="4" xfId="0" applyFont="1" applyBorder="1" applyAlignment="1">
      <alignment horizontal="left"/>
    </xf>
    <xf numFmtId="0" fontId="57" fillId="0" borderId="23" xfId="0" applyFont="1" applyBorder="1" applyAlignment="1">
      <alignment horizontal="left"/>
    </xf>
    <xf numFmtId="0" fontId="57" fillId="0" borderId="24" xfId="0" applyFont="1" applyBorder="1" applyAlignment="1">
      <alignment horizontal="left"/>
    </xf>
    <xf numFmtId="0" fontId="0" fillId="0" borderId="23" xfId="0" applyBorder="1" applyAlignment="1">
      <alignment horizontal="left"/>
    </xf>
    <xf numFmtId="0" fontId="1" fillId="0" borderId="24"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58" fillId="0" borderId="6" xfId="0" applyFont="1" applyBorder="1" applyAlignment="1">
      <alignment horizontal="left" indent="2"/>
    </xf>
    <xf numFmtId="0" fontId="58" fillId="0" borderId="10" xfId="0" applyFont="1" applyBorder="1" applyAlignment="1">
      <alignment horizontal="left" indent="2"/>
    </xf>
    <xf numFmtId="0" fontId="58" fillId="0" borderId="3" xfId="0" applyFont="1" applyBorder="1" applyAlignment="1">
      <alignment horizontal="left" indent="2"/>
    </xf>
    <xf numFmtId="0" fontId="58" fillId="0" borderId="4" xfId="0" applyFont="1" applyBorder="1" applyAlignment="1">
      <alignment horizontal="left" indent="2"/>
    </xf>
    <xf numFmtId="0" fontId="57" fillId="0" borderId="3" xfId="3" applyFont="1" applyBorder="1" applyAlignment="1">
      <alignment horizontal="left" vertical="top"/>
    </xf>
    <xf numFmtId="0" fontId="57" fillId="0" borderId="4" xfId="3" applyFont="1" applyBorder="1" applyAlignment="1">
      <alignment horizontal="left" vertical="top"/>
    </xf>
    <xf numFmtId="0" fontId="57" fillId="10" borderId="3" xfId="0" applyFont="1" applyFill="1" applyBorder="1" applyAlignment="1">
      <alignment horizontal="left"/>
    </xf>
    <xf numFmtId="0" fontId="57" fillId="10" borderId="4" xfId="0" applyFont="1" applyFill="1" applyBorder="1" applyAlignment="1">
      <alignment horizontal="left"/>
    </xf>
    <xf numFmtId="0" fontId="60" fillId="10" borderId="23" xfId="0" applyFont="1" applyFill="1" applyBorder="1" applyAlignment="1">
      <alignment horizontal="left"/>
    </xf>
    <xf numFmtId="0" fontId="60" fillId="10" borderId="24" xfId="0" applyFont="1" applyFill="1" applyBorder="1" applyAlignment="1">
      <alignment horizontal="left"/>
    </xf>
    <xf numFmtId="0" fontId="58" fillId="10" borderId="3" xfId="0" applyFont="1" applyFill="1" applyBorder="1" applyAlignment="1">
      <alignment horizontal="left" indent="1"/>
    </xf>
    <xf numFmtId="0" fontId="58" fillId="10" borderId="4" xfId="0" applyFont="1" applyFill="1" applyBorder="1" applyAlignment="1">
      <alignment horizontal="left" indent="1"/>
    </xf>
    <xf numFmtId="0" fontId="57" fillId="10" borderId="23" xfId="0" applyFont="1" applyFill="1" applyBorder="1" applyAlignment="1">
      <alignment horizontal="left"/>
    </xf>
    <xf numFmtId="0" fontId="57" fillId="10" borderId="24" xfId="0" applyFont="1" applyFill="1" applyBorder="1" applyAlignment="1">
      <alignment horizontal="left"/>
    </xf>
    <xf numFmtId="0" fontId="57" fillId="10" borderId="12" xfId="0" applyFont="1" applyFill="1" applyBorder="1" applyAlignment="1">
      <alignment horizontal="left"/>
    </xf>
    <xf numFmtId="0" fontId="57" fillId="10" borderId="13" xfId="0" applyFont="1" applyFill="1" applyBorder="1" applyAlignment="1">
      <alignment horizontal="left"/>
    </xf>
    <xf numFmtId="0" fontId="57" fillId="0" borderId="6" xfId="0" applyFont="1" applyBorder="1" applyAlignment="1">
      <alignment horizontal="left"/>
    </xf>
    <xf numFmtId="0" fontId="57" fillId="0" borderId="10" xfId="0" applyFont="1" applyBorder="1" applyAlignment="1">
      <alignment horizontal="left"/>
    </xf>
    <xf numFmtId="0" fontId="4" fillId="0" borderId="2" xfId="0" applyFont="1" applyBorder="1" applyAlignment="1">
      <alignment horizontal="left"/>
    </xf>
    <xf numFmtId="0" fontId="0" fillId="0" borderId="5" xfId="0" applyBorder="1" applyAlignment="1">
      <alignment horizontal="left" vertical="center" wrapText="1"/>
    </xf>
    <xf numFmtId="0" fontId="55" fillId="2" borderId="2" xfId="0" applyFont="1" applyFill="1" applyBorder="1" applyAlignment="1">
      <alignment horizontal="left"/>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53" fillId="16" borderId="23" xfId="0" applyFont="1" applyFill="1" applyBorder="1" applyAlignment="1">
      <alignment horizontal="left"/>
    </xf>
    <xf numFmtId="0" fontId="53" fillId="16" borderId="27" xfId="0" applyFont="1" applyFill="1" applyBorder="1" applyAlignment="1">
      <alignment horizontal="left"/>
    </xf>
    <xf numFmtId="0" fontId="79" fillId="13" borderId="0" xfId="0" applyFont="1" applyFill="1" applyAlignment="1">
      <alignment horizontal="left" vertical="top"/>
    </xf>
    <xf numFmtId="0" fontId="0" fillId="0" borderId="0" xfId="0" applyAlignment="1">
      <alignment horizontal="left" vertical="top" wrapText="1"/>
    </xf>
    <xf numFmtId="10" fontId="0" fillId="0" borderId="0" xfId="0" applyNumberFormat="1" applyAlignment="1">
      <alignment horizontal="left" vertical="top" wrapText="1"/>
    </xf>
    <xf numFmtId="0" fontId="58" fillId="15" borderId="37" xfId="0" applyFont="1" applyFill="1" applyBorder="1"/>
    <xf numFmtId="230" fontId="58" fillId="15" borderId="38" xfId="1" applyNumberFormat="1" applyFont="1" applyFill="1" applyBorder="1" applyAlignment="1">
      <alignment horizontal="right"/>
    </xf>
    <xf numFmtId="0" fontId="0" fillId="0" borderId="0" xfId="0" applyFill="1" applyBorder="1" applyAlignment="1">
      <alignment horizontal="left" vertical="top" wrapText="1"/>
    </xf>
  </cellXfs>
  <cellStyles count="35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Head 2" xfId="333" xr:uid="{0259FB65-2C28-48F2-B301-5FCF98FD25C3}"/>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2 2 2" xfId="335" xr:uid="{D5E6BB52-8052-44D8-9D1B-FFF3FCB6A58F}"/>
    <cellStyle name="Comma 2 2 3" xfId="334" xr:uid="{EC03BE9F-D661-4F89-B47D-95478B8C4253}"/>
    <cellStyle name="Comma 2 3" xfId="110" xr:uid="{00000000-0005-0000-0000-00006A000000}"/>
    <cellStyle name="Comma 2 3 2" xfId="336" xr:uid="{DD610682-2AFB-43ED-8BF0-69C24F59B0A2}"/>
    <cellStyle name="Comma 2 4" xfId="111" xr:uid="{00000000-0005-0000-0000-00006B000000}"/>
    <cellStyle name="Comma 2 4 2" xfId="337" xr:uid="{25BD733C-7313-4BBE-8B7F-60B2A149F873}"/>
    <cellStyle name="Comma 2 5" xfId="112" xr:uid="{00000000-0005-0000-0000-00006C000000}"/>
    <cellStyle name="Comma 2 5 2" xfId="338" xr:uid="{3BAEE789-78D4-4E40-9B79-7E981F012093}"/>
    <cellStyle name="Comma 2 6" xfId="113" xr:uid="{00000000-0005-0000-0000-00006D000000}"/>
    <cellStyle name="Comma 2 7" xfId="332" xr:uid="{0028EB4A-CD56-4C6B-B26A-0BE65F62A525}"/>
    <cellStyle name="Comma 3" xfId="114" xr:uid="{00000000-0005-0000-0000-00006E000000}"/>
    <cellStyle name="Comma 3 2" xfId="115" xr:uid="{00000000-0005-0000-0000-00006F000000}"/>
    <cellStyle name="Comma 3 2 2" xfId="339" xr:uid="{7A64DFE4-16EC-4D22-85D5-6C8EA66CEE60}"/>
    <cellStyle name="Comma 4" xfId="116" xr:uid="{00000000-0005-0000-0000-000070000000}"/>
    <cellStyle name="Comma 4 2" xfId="117" xr:uid="{00000000-0005-0000-0000-000071000000}"/>
    <cellStyle name="Comma 4 2 2" xfId="340" xr:uid="{DD5F45AA-DF86-4DAA-985B-ABCCF23B8191}"/>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 Acctg 2 2" xfId="342" xr:uid="{19E68A87-3978-4052-87D8-CB99A1139328}"/>
    <cellStyle name="Comma Acctg 3" xfId="341" xr:uid="{606BAA94-863D-46A5-9A90-790DDA9E69EF}"/>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28" xr:uid="{E830FEE5-BF3D-4B9F-89C3-BE51D3EB55EA}"/>
    <cellStyle name="curr 2 2" xfId="350" xr:uid="{C2EE511B-E8F4-420D-B026-605609C80621}"/>
    <cellStyle name="curr 3" xfId="343" xr:uid="{FC7D240C-C484-43B0-A8EE-E230E080E895}"/>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Enter Currency (0)" xfId="138" xr:uid="{00000000-0005-0000-0000-000088000000}"/>
    <cellStyle name="Enter Currency (0) 2" xfId="139" xr:uid="{00000000-0005-0000-0000-000089000000}"/>
    <cellStyle name="Enter Currency (2)" xfId="140" xr:uid="{00000000-0005-0000-0000-00008A000000}"/>
    <cellStyle name="Enter Currency (2) 2" xfId="141" xr:uid="{00000000-0005-0000-0000-00008B000000}"/>
    <cellStyle name="Enter Units (0)" xfId="142" xr:uid="{00000000-0005-0000-0000-00008C000000}"/>
    <cellStyle name="Enter Units (0) 2" xfId="143" xr:uid="{00000000-0005-0000-0000-00008D000000}"/>
    <cellStyle name="Enter Units (1)" xfId="144" xr:uid="{00000000-0005-0000-0000-00008E000000}"/>
    <cellStyle name="Enter Units (1) 2" xfId="145" xr:uid="{00000000-0005-0000-0000-00008F000000}"/>
    <cellStyle name="Enter Units (2)" xfId="146" xr:uid="{00000000-0005-0000-0000-000090000000}"/>
    <cellStyle name="Enter Units (2) 2" xfId="147" xr:uid="{00000000-0005-0000-0000-000091000000}"/>
    <cellStyle name="eps" xfId="148" xr:uid="{00000000-0005-0000-0000-000092000000}"/>
    <cellStyle name="eps 2" xfId="327" xr:uid="{E6BF08FD-99B4-4E49-8935-B8E309BE0144}"/>
    <cellStyle name="eps 2 2" xfId="349" xr:uid="{2B6F011F-482A-42B9-9A08-DAF1714A3116}"/>
    <cellStyle name="eps 3" xfId="344" xr:uid="{8BD81959-3203-4174-85FF-77ABE765AED9}"/>
    <cellStyle name="Euro" xfId="149" xr:uid="{00000000-0005-0000-0000-000093000000}"/>
    <cellStyle name="Grey" xfId="150" xr:uid="{00000000-0005-0000-0000-000094000000}"/>
    <cellStyle name="Header1" xfId="151" xr:uid="{00000000-0005-0000-0000-000095000000}"/>
    <cellStyle name="Header2" xfId="152" xr:uid="{00000000-0005-0000-0000-000096000000}"/>
    <cellStyle name="Header2 10" xfId="153" xr:uid="{00000000-0005-0000-0000-000097000000}"/>
    <cellStyle name="Header2 11" xfId="154" xr:uid="{00000000-0005-0000-0000-000098000000}"/>
    <cellStyle name="Header2 12" xfId="155" xr:uid="{00000000-0005-0000-0000-000099000000}"/>
    <cellStyle name="Header2 13" xfId="156" xr:uid="{00000000-0005-0000-0000-00009A000000}"/>
    <cellStyle name="Header2 14" xfId="157" xr:uid="{00000000-0005-0000-0000-00009B000000}"/>
    <cellStyle name="Header2 15" xfId="158" xr:uid="{00000000-0005-0000-0000-00009C000000}"/>
    <cellStyle name="Header2 16" xfId="159" xr:uid="{00000000-0005-0000-0000-00009D000000}"/>
    <cellStyle name="Header2 17" xfId="160" xr:uid="{00000000-0005-0000-0000-00009E000000}"/>
    <cellStyle name="Header2 18" xfId="161" xr:uid="{00000000-0005-0000-0000-00009F000000}"/>
    <cellStyle name="Header2 19" xfId="162" xr:uid="{00000000-0005-0000-0000-0000A0000000}"/>
    <cellStyle name="Header2 2" xfId="163" xr:uid="{00000000-0005-0000-0000-0000A1000000}"/>
    <cellStyle name="Header2 20" xfId="164" xr:uid="{00000000-0005-0000-0000-0000A2000000}"/>
    <cellStyle name="Header2 21" xfId="165" xr:uid="{00000000-0005-0000-0000-0000A3000000}"/>
    <cellStyle name="Header2 22" xfId="166" xr:uid="{00000000-0005-0000-0000-0000A4000000}"/>
    <cellStyle name="Header2 23" xfId="167" xr:uid="{00000000-0005-0000-0000-0000A5000000}"/>
    <cellStyle name="Header2 24" xfId="168" xr:uid="{00000000-0005-0000-0000-0000A6000000}"/>
    <cellStyle name="Header2 25" xfId="169" xr:uid="{00000000-0005-0000-0000-0000A7000000}"/>
    <cellStyle name="Header2 26" xfId="170" xr:uid="{00000000-0005-0000-0000-0000A8000000}"/>
    <cellStyle name="Header2 27" xfId="171" xr:uid="{00000000-0005-0000-0000-0000A9000000}"/>
    <cellStyle name="Header2 28" xfId="172" xr:uid="{00000000-0005-0000-0000-0000AA000000}"/>
    <cellStyle name="Header2 29" xfId="173" xr:uid="{00000000-0005-0000-0000-0000AB000000}"/>
    <cellStyle name="Header2 3" xfId="174" xr:uid="{00000000-0005-0000-0000-0000AC000000}"/>
    <cellStyle name="Header2 30" xfId="175" xr:uid="{00000000-0005-0000-0000-0000AD000000}"/>
    <cellStyle name="Header2 31" xfId="176" xr:uid="{00000000-0005-0000-0000-0000AE000000}"/>
    <cellStyle name="Header2 32" xfId="177" xr:uid="{00000000-0005-0000-0000-0000AF000000}"/>
    <cellStyle name="Header2 33" xfId="178" xr:uid="{00000000-0005-0000-0000-0000B0000000}"/>
    <cellStyle name="Header2 34" xfId="179" xr:uid="{00000000-0005-0000-0000-0000B1000000}"/>
    <cellStyle name="Header2 35" xfId="180" xr:uid="{00000000-0005-0000-0000-0000B2000000}"/>
    <cellStyle name="Header2 36" xfId="181" xr:uid="{00000000-0005-0000-0000-0000B3000000}"/>
    <cellStyle name="Header2 37" xfId="182" xr:uid="{00000000-0005-0000-0000-0000B4000000}"/>
    <cellStyle name="Header2 38" xfId="183" xr:uid="{00000000-0005-0000-0000-0000B5000000}"/>
    <cellStyle name="Header2 39" xfId="184" xr:uid="{00000000-0005-0000-0000-0000B6000000}"/>
    <cellStyle name="Header2 4" xfId="185" xr:uid="{00000000-0005-0000-0000-0000B7000000}"/>
    <cellStyle name="Header2 40" xfId="186" xr:uid="{00000000-0005-0000-0000-0000B8000000}"/>
    <cellStyle name="Header2 41" xfId="187" xr:uid="{00000000-0005-0000-0000-0000B9000000}"/>
    <cellStyle name="Header2 42" xfId="188" xr:uid="{00000000-0005-0000-0000-0000BA000000}"/>
    <cellStyle name="Header2 5" xfId="189" xr:uid="{00000000-0005-0000-0000-0000BB000000}"/>
    <cellStyle name="Header2 6" xfId="190" xr:uid="{00000000-0005-0000-0000-0000BC000000}"/>
    <cellStyle name="Header2 7" xfId="191" xr:uid="{00000000-0005-0000-0000-0000BD000000}"/>
    <cellStyle name="Header2 8" xfId="192" xr:uid="{00000000-0005-0000-0000-0000BE000000}"/>
    <cellStyle name="Header2 9" xfId="193" xr:uid="{00000000-0005-0000-0000-0000BF000000}"/>
    <cellStyle name="Heading" xfId="194" xr:uid="{00000000-0005-0000-0000-0000C0000000}"/>
    <cellStyle name="Heading 1 2" xfId="195" xr:uid="{00000000-0005-0000-0000-0000C1000000}"/>
    <cellStyle name="Heading 1 3" xfId="196" xr:uid="{00000000-0005-0000-0000-0000C2000000}"/>
    <cellStyle name="Heading 1 4" xfId="197" xr:uid="{00000000-0005-0000-0000-0000C3000000}"/>
    <cellStyle name="Heading 2" xfId="345" xr:uid="{D123E4E0-B050-4BDB-87B9-E2677682885D}"/>
    <cellStyle name="Heading 2 2" xfId="198" xr:uid="{00000000-0005-0000-0000-0000C4000000}"/>
    <cellStyle name="Heading 2 3" xfId="199" xr:uid="{00000000-0005-0000-0000-0000C5000000}"/>
    <cellStyle name="Heading 2 4" xfId="200" xr:uid="{00000000-0005-0000-0000-0000C6000000}"/>
    <cellStyle name="Heading 5" xfId="326" xr:uid="{C5860A2B-F2DD-4D6C-8B91-584D6ED375E4}"/>
    <cellStyle name="Heading 5 2" xfId="348" xr:uid="{39DEA19A-9372-4489-9D2B-BB95236D7628}"/>
    <cellStyle name="Heading No Underline" xfId="201" xr:uid="{00000000-0005-0000-0000-0000C7000000}"/>
    <cellStyle name="Heading With Underline" xfId="202" xr:uid="{00000000-0005-0000-0000-0000C8000000}"/>
    <cellStyle name="Hyperlink 2" xfId="203" xr:uid="{00000000-0005-0000-0000-0000CA000000}"/>
    <cellStyle name="Hyperlink 2 2" xfId="204" xr:uid="{00000000-0005-0000-0000-0000CB000000}"/>
    <cellStyle name="Hyperlink 2 2 2" xfId="205" xr:uid="{00000000-0005-0000-0000-0000CC000000}"/>
    <cellStyle name="Hyperlink 3" xfId="206" xr:uid="{00000000-0005-0000-0000-0000CD000000}"/>
    <cellStyle name="Hyperlink 4" xfId="207" xr:uid="{00000000-0005-0000-0000-0000CE000000}"/>
    <cellStyle name="Input [yellow]" xfId="208" xr:uid="{00000000-0005-0000-0000-0000CF000000}"/>
    <cellStyle name="Komma 2" xfId="331" xr:uid="{DFBEB4DE-8C39-4076-8655-061406F8ABED}"/>
    <cellStyle name="Link Currency (0)" xfId="209" xr:uid="{00000000-0005-0000-0000-0000D0000000}"/>
    <cellStyle name="Link Currency (0) 2" xfId="210" xr:uid="{00000000-0005-0000-0000-0000D1000000}"/>
    <cellStyle name="Link Currency (2)" xfId="211" xr:uid="{00000000-0005-0000-0000-0000D2000000}"/>
    <cellStyle name="Link Currency (2) 2" xfId="212" xr:uid="{00000000-0005-0000-0000-0000D3000000}"/>
    <cellStyle name="Link Units (0)" xfId="213" xr:uid="{00000000-0005-0000-0000-0000D4000000}"/>
    <cellStyle name="Link Units (0) 2" xfId="214" xr:uid="{00000000-0005-0000-0000-0000D5000000}"/>
    <cellStyle name="Link Units (1)" xfId="215" xr:uid="{00000000-0005-0000-0000-0000D6000000}"/>
    <cellStyle name="Link Units (1) 2" xfId="216" xr:uid="{00000000-0005-0000-0000-0000D7000000}"/>
    <cellStyle name="Link Units (2)" xfId="217" xr:uid="{00000000-0005-0000-0000-0000D8000000}"/>
    <cellStyle name="Link Units (2) 2" xfId="218" xr:uid="{00000000-0005-0000-0000-0000D9000000}"/>
    <cellStyle name="Millares [0]_pldt" xfId="219" xr:uid="{00000000-0005-0000-0000-0000DA000000}"/>
    <cellStyle name="Millares_pldt" xfId="220" xr:uid="{00000000-0005-0000-0000-0000DB000000}"/>
    <cellStyle name="Milliers [0]_AR1194" xfId="221" xr:uid="{00000000-0005-0000-0000-0000DC000000}"/>
    <cellStyle name="Milliers_AR1194" xfId="222" xr:uid="{00000000-0005-0000-0000-0000DD000000}"/>
    <cellStyle name="Moneda [0]_pldt" xfId="223" xr:uid="{00000000-0005-0000-0000-0000DE000000}"/>
    <cellStyle name="Moneda_pldt" xfId="224" xr:uid="{00000000-0005-0000-0000-0000DF000000}"/>
    <cellStyle name="Monétaire [0]_AR1194" xfId="225" xr:uid="{00000000-0005-0000-0000-0000E0000000}"/>
    <cellStyle name="Monétaire_AR1194" xfId="226" xr:uid="{00000000-0005-0000-0000-0000E1000000}"/>
    <cellStyle name="negativ" xfId="227" xr:uid="{00000000-0005-0000-0000-0000E2000000}"/>
    <cellStyle name="no dec" xfId="228" xr:uid="{00000000-0005-0000-0000-0000E3000000}"/>
    <cellStyle name="nodollars" xfId="229" xr:uid="{00000000-0005-0000-0000-0000E4000000}"/>
    <cellStyle name="nodollars 2" xfId="230" xr:uid="{00000000-0005-0000-0000-0000E5000000}"/>
    <cellStyle name="Normal" xfId="0" builtinId="0"/>
    <cellStyle name="Normal - Style1" xfId="231" xr:uid="{00000000-0005-0000-0000-0000E7000000}"/>
    <cellStyle name="Normal - Style1 2" xfId="232" xr:uid="{00000000-0005-0000-0000-0000E8000000}"/>
    <cellStyle name="Normal - Style2" xfId="233" xr:uid="{00000000-0005-0000-0000-0000E9000000}"/>
    <cellStyle name="Normal - Style3" xfId="234" xr:uid="{00000000-0005-0000-0000-0000EA000000}"/>
    <cellStyle name="Normal - Style4" xfId="235" xr:uid="{00000000-0005-0000-0000-0000EB000000}"/>
    <cellStyle name="Normal - Style5" xfId="236" xr:uid="{00000000-0005-0000-0000-0000EC000000}"/>
    <cellStyle name="Normal 10" xfId="237" xr:uid="{00000000-0005-0000-0000-0000ED000000}"/>
    <cellStyle name="Normal 11" xfId="325" xr:uid="{401671C4-C6A2-4732-BC1D-7DED4CDB8213}"/>
    <cellStyle name="Normal 141" xfId="324" xr:uid="{4CEE5AEF-DC02-4BEC-A9D6-79FD34328DBC}"/>
    <cellStyle name="Normal 2" xfId="3" xr:uid="{00000000-0005-0000-0000-0000EE000000}"/>
    <cellStyle name="Normal 2 2" xfId="238" xr:uid="{00000000-0005-0000-0000-0000EF000000}"/>
    <cellStyle name="Normal 2 2 2" xfId="239" xr:uid="{00000000-0005-0000-0000-0000F0000000}"/>
    <cellStyle name="Normal 2 3" xfId="240" xr:uid="{00000000-0005-0000-0000-0000F1000000}"/>
    <cellStyle name="Normal 2 3 2" xfId="241" xr:uid="{00000000-0005-0000-0000-0000F2000000}"/>
    <cellStyle name="Normal 2 4" xfId="242" xr:uid="{00000000-0005-0000-0000-0000F3000000}"/>
    <cellStyle name="Normal 2 5" xfId="243" xr:uid="{00000000-0005-0000-0000-0000F4000000}"/>
    <cellStyle name="Normal 2 6" xfId="244" xr:uid="{00000000-0005-0000-0000-0000F5000000}"/>
    <cellStyle name="Normal 2 7" xfId="245" xr:uid="{00000000-0005-0000-0000-0000F6000000}"/>
    <cellStyle name="Normal 2 8" xfId="246" xr:uid="{00000000-0005-0000-0000-0000F7000000}"/>
    <cellStyle name="Normal 3" xfId="4" xr:uid="{00000000-0005-0000-0000-0000F8000000}"/>
    <cellStyle name="Normal 3 2" xfId="247" xr:uid="{00000000-0005-0000-0000-0000F9000000}"/>
    <cellStyle name="Normal 3 3" xfId="248" xr:uid="{00000000-0005-0000-0000-0000FA000000}"/>
    <cellStyle name="Normal 3 4" xfId="249" xr:uid="{00000000-0005-0000-0000-0000FB000000}"/>
    <cellStyle name="Normal 4" xfId="250" xr:uid="{00000000-0005-0000-0000-0000FC000000}"/>
    <cellStyle name="Normal 5" xfId="251" xr:uid="{00000000-0005-0000-0000-0000FD000000}"/>
    <cellStyle name="Normal 5 2" xfId="252" xr:uid="{00000000-0005-0000-0000-0000FE000000}"/>
    <cellStyle name="Normal 6" xfId="253" xr:uid="{00000000-0005-0000-0000-0000FF000000}"/>
    <cellStyle name="Normal 6 2" xfId="254" xr:uid="{00000000-0005-0000-0000-000000010000}"/>
    <cellStyle name="Normal 6 3" xfId="255" xr:uid="{00000000-0005-0000-0000-000001010000}"/>
    <cellStyle name="Normal 7" xfId="256" xr:uid="{00000000-0005-0000-0000-000002010000}"/>
    <cellStyle name="Normal 7 2" xfId="257" xr:uid="{00000000-0005-0000-0000-000003010000}"/>
    <cellStyle name="Normal 8" xfId="258" xr:uid="{00000000-0005-0000-0000-000004010000}"/>
    <cellStyle name="Normal 8 2" xfId="259" xr:uid="{00000000-0005-0000-0000-000005010000}"/>
    <cellStyle name="Normal 8 3" xfId="260" xr:uid="{00000000-0005-0000-0000-000006010000}"/>
    <cellStyle name="Normal 9" xfId="261" xr:uid="{00000000-0005-0000-0000-000007010000}"/>
    <cellStyle name="Number0DecimalStyle" xfId="262" xr:uid="{00000000-0005-0000-0000-000008010000}"/>
    <cellStyle name="Number0DecimalStyle 2" xfId="263" xr:uid="{00000000-0005-0000-0000-000009010000}"/>
    <cellStyle name="Number10DecimalStyle" xfId="264" xr:uid="{00000000-0005-0000-0000-00000A010000}"/>
    <cellStyle name="Number1DecimalStyle" xfId="265" xr:uid="{00000000-0005-0000-0000-00000B010000}"/>
    <cellStyle name="Number2DecimalStyle" xfId="266" xr:uid="{00000000-0005-0000-0000-00000C010000}"/>
    <cellStyle name="Number2DecimalStyle 2" xfId="267" xr:uid="{00000000-0005-0000-0000-00000D010000}"/>
    <cellStyle name="Number3DecimalStyle" xfId="268" xr:uid="{00000000-0005-0000-0000-00000E010000}"/>
    <cellStyle name="Number4DecimalStyle" xfId="269" xr:uid="{00000000-0005-0000-0000-00000F010000}"/>
    <cellStyle name="Number5DecimalStyle" xfId="270" xr:uid="{00000000-0005-0000-0000-000010010000}"/>
    <cellStyle name="Number6DecimalStyle" xfId="271" xr:uid="{00000000-0005-0000-0000-000011010000}"/>
    <cellStyle name="Number7DecimalStyle" xfId="272" xr:uid="{00000000-0005-0000-0000-000012010000}"/>
    <cellStyle name="Number8DecimalStyle" xfId="273" xr:uid="{00000000-0005-0000-0000-000013010000}"/>
    <cellStyle name="Number9DecimalStyle" xfId="274" xr:uid="{00000000-0005-0000-0000-000014010000}"/>
    <cellStyle name="over" xfId="275" xr:uid="{00000000-0005-0000-0000-000015010000}"/>
    <cellStyle name="Percent" xfId="2" builtinId="5"/>
    <cellStyle name="percent (0)" xfId="276" xr:uid="{00000000-0005-0000-0000-000017010000}"/>
    <cellStyle name="Percent [0]" xfId="277" xr:uid="{00000000-0005-0000-0000-000018010000}"/>
    <cellStyle name="Percent [0] 2" xfId="278" xr:uid="{00000000-0005-0000-0000-000019010000}"/>
    <cellStyle name="Percent [00]" xfId="279" xr:uid="{00000000-0005-0000-0000-00001A010000}"/>
    <cellStyle name="Percent [00] 2" xfId="280" xr:uid="{00000000-0005-0000-0000-00001B010000}"/>
    <cellStyle name="Percent [2]" xfId="281" xr:uid="{00000000-0005-0000-0000-00001C010000}"/>
    <cellStyle name="Percent 10" xfId="282" xr:uid="{00000000-0005-0000-0000-00001D010000}"/>
    <cellStyle name="Percent 2" xfId="283" xr:uid="{00000000-0005-0000-0000-00001E010000}"/>
    <cellStyle name="Percent 2 2" xfId="284" xr:uid="{00000000-0005-0000-0000-00001F010000}"/>
    <cellStyle name="Percent 2 3" xfId="285" xr:uid="{00000000-0005-0000-0000-000020010000}"/>
    <cellStyle name="Percent 2 4" xfId="286" xr:uid="{00000000-0005-0000-0000-000021010000}"/>
    <cellStyle name="Percent 3" xfId="287" xr:uid="{00000000-0005-0000-0000-000022010000}"/>
    <cellStyle name="Percent 3 2" xfId="288" xr:uid="{00000000-0005-0000-0000-000023010000}"/>
    <cellStyle name="Percent 4" xfId="289" xr:uid="{00000000-0005-0000-0000-000024010000}"/>
    <cellStyle name="Percent 6" xfId="290" xr:uid="{00000000-0005-0000-0000-000025010000}"/>
    <cellStyle name="PERCENTAGE" xfId="291" xr:uid="{00000000-0005-0000-0000-000026010000}"/>
    <cellStyle name="posit" xfId="292" xr:uid="{00000000-0005-0000-0000-000027010000}"/>
    <cellStyle name="Powerpoint Style" xfId="293" xr:uid="{00000000-0005-0000-0000-000028010000}"/>
    <cellStyle name="PrePop Currency (0)" xfId="294" xr:uid="{00000000-0005-0000-0000-000029010000}"/>
    <cellStyle name="PrePop Currency (0) 2" xfId="295" xr:uid="{00000000-0005-0000-0000-00002A010000}"/>
    <cellStyle name="PrePop Currency (2)" xfId="296" xr:uid="{00000000-0005-0000-0000-00002B010000}"/>
    <cellStyle name="PrePop Currency (2) 2" xfId="297" xr:uid="{00000000-0005-0000-0000-00002C010000}"/>
    <cellStyle name="PrePop Units (0)" xfId="298" xr:uid="{00000000-0005-0000-0000-00002D010000}"/>
    <cellStyle name="PrePop Units (0) 2" xfId="299" xr:uid="{00000000-0005-0000-0000-00002E010000}"/>
    <cellStyle name="PrePop Units (1)" xfId="300" xr:uid="{00000000-0005-0000-0000-00002F010000}"/>
    <cellStyle name="PrePop Units (1) 2" xfId="301" xr:uid="{00000000-0005-0000-0000-000030010000}"/>
    <cellStyle name="PrePop Units (2)" xfId="302" xr:uid="{00000000-0005-0000-0000-000031010000}"/>
    <cellStyle name="PrePop Units (2) 2" xfId="303" xr:uid="{00000000-0005-0000-0000-000032010000}"/>
    <cellStyle name="SingleTopDoubleBott" xfId="304" xr:uid="{00000000-0005-0000-0000-000033010000}"/>
    <cellStyle name="Style 1" xfId="305" xr:uid="{00000000-0005-0000-0000-000035010000}"/>
    <cellStyle name="Style 2" xfId="306" xr:uid="{00000000-0005-0000-0000-000036010000}"/>
    <cellStyle name="Style 3" xfId="307" xr:uid="{00000000-0005-0000-0000-000037010000}"/>
    <cellStyle name="Style 3 2" xfId="329" xr:uid="{F1440C57-A6D8-4BD0-B522-EFC58E8B070F}"/>
    <cellStyle name="Style 3 2 2" xfId="351" xr:uid="{B29F0AA8-01AF-41BC-87BE-448F42F3129F}"/>
    <cellStyle name="Style 3 3" xfId="346" xr:uid="{5ADC73ED-B45D-48A4-A41D-CC7E63EAE021}"/>
    <cellStyle name="Style 4" xfId="308" xr:uid="{00000000-0005-0000-0000-000038010000}"/>
    <cellStyle name="Style 4 2" xfId="330" xr:uid="{F8DD9E7D-3CD1-4B00-B4A6-2016D636B95A}"/>
    <cellStyle name="Style 4 2 2" xfId="352" xr:uid="{BBC114D3-B813-4B76-9B6B-6D0E3A5FC812}"/>
    <cellStyle name="Style 4 3" xfId="347" xr:uid="{3469B992-4E9F-4531-94CA-0454833ABB71}"/>
    <cellStyle name="Text Indent A" xfId="309" xr:uid="{00000000-0005-0000-0000-000039010000}"/>
    <cellStyle name="Text Indent B" xfId="310" xr:uid="{00000000-0005-0000-0000-00003A010000}"/>
    <cellStyle name="Text Indent B 2" xfId="311" xr:uid="{00000000-0005-0000-0000-00003B010000}"/>
    <cellStyle name="Text Indent C" xfId="312" xr:uid="{00000000-0005-0000-0000-00003C010000}"/>
    <cellStyle name="Text Indent C 2" xfId="313" xr:uid="{00000000-0005-0000-0000-00003D010000}"/>
    <cellStyle name="TextStyle" xfId="314" xr:uid="{00000000-0005-0000-0000-00003E010000}"/>
    <cellStyle name="Tickmark" xfId="315" xr:uid="{00000000-0005-0000-0000-00003F010000}"/>
    <cellStyle name="TimStyle" xfId="316" xr:uid="{00000000-0005-0000-0000-000040010000}"/>
    <cellStyle name="Total 2" xfId="317" xr:uid="{00000000-0005-0000-0000-000041010000}"/>
    <cellStyle name="Total 3" xfId="318" xr:uid="{00000000-0005-0000-0000-000042010000}"/>
    <cellStyle name="Total 4" xfId="319" xr:uid="{00000000-0005-0000-0000-000043010000}"/>
    <cellStyle name="Underline" xfId="320" xr:uid="{00000000-0005-0000-0000-000044010000}"/>
    <cellStyle name="UnderlineDouble" xfId="321" xr:uid="{00000000-0005-0000-0000-000045010000}"/>
    <cellStyle name="표준_BINV" xfId="322" xr:uid="{00000000-0005-0000-0000-000048010000}"/>
    <cellStyle name="標準_99B-05PE_IC2" xfId="323"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2.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1.xml"/><Relationship Id="rId17" Type="http://schemas.microsoft.com/office/2017/10/relationships/person" Target="persons/person5.xml"/><Relationship Id="rId2" Type="http://schemas.openxmlformats.org/officeDocument/2006/relationships/worksheet" Target="worksheets/sheet2.xml"/><Relationship Id="rId16" Type="http://schemas.microsoft.com/office/2017/10/relationships/person" Target="persons/person4.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3.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FA2E-46A1-9671-4E142683052D}"/>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de-DE"/>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5CD-49A1-A33E-52B4F6C34606}"/>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de-DE"/>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88B-49B6-AF4E-A7C425641B7D}"/>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de-DE"/>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0CA-4DD6-9936-57F172F52296}"/>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de-DE"/>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491-4BB3-A3E5-838981B0F7A0}"/>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de-DE"/>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702-4F88-9AA3-EC8356E5155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de-DE"/>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7FF-442C-B4A7-F6DFB92EB41C}"/>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de-DE"/>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7BF-4474-A168-4C44B4CF9E31}"/>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de-DE"/>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AEC-40F5-9659-CD82826C5AF5}"/>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de-DE"/>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2" name="Chart 1">
          <a:extLst>
            <a:ext uri="{FF2B5EF4-FFF2-40B4-BE49-F238E27FC236}">
              <a16:creationId xmlns:a16="http://schemas.microsoft.com/office/drawing/2014/main" id="{55358474-A91D-46B2-9DAB-AB8B882D1C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F22CDF18-AC8A-4975-8590-A78A206CB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49D18B70-1C2D-42AA-84F0-9C9DAE1986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EF84B3CE-C168-44B6-A959-C1080765B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C8B67DFA-1BD9-4F96-9534-FE9F768A4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20977B88-10CC-4C7E-B371-0389F905E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E6FA518B-C537-45C0-845C-F9AF2FC6F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B5E457AC-3CFF-4974-A7FA-0A74B28CC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9A05AEC8-060D-4D95-9DB7-68E180813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arah\Downloads\base_case_sbux_model__january-2023_.xlsx" TargetMode="External"/><Relationship Id="rId1" Type="http://schemas.openxmlformats.org/officeDocument/2006/relationships/externalLinkPath" Target="file:///C:\Users\sarah\Downloads\base_case_sbux_model__january-2023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S (After Changes)"/>
      <sheetName val="BS (After Changes)"/>
      <sheetName val="CFS (After Changes)"/>
      <sheetName val="Charts (After Changes)"/>
      <sheetName val="Valuation (After Changes)"/>
      <sheetName val="IS (Before Changes)"/>
      <sheetName val="BS"/>
      <sheetName val="CFS (Before Changes) "/>
      <sheetName val="IS 3Q2022"/>
      <sheetName val="BS 3Q2022"/>
      <sheetName val="CFS 3Q2022"/>
      <sheetName val="IS 4Q Change"/>
      <sheetName val="BS 4Q Change"/>
      <sheetName val="CFS 4Q Change"/>
      <sheetName val="Charts (Before Changes)"/>
      <sheetName val="Valuation (Before Changes)"/>
      <sheetName val="IS (Changes)"/>
      <sheetName val="BS (Changes)"/>
      <sheetName val="CFS (Changes)"/>
    </sheetNames>
    <sheetDataSet>
      <sheetData sheetId="0"/>
      <sheetData sheetId="1"/>
      <sheetData sheetId="2"/>
      <sheetData sheetId="3"/>
      <sheetData sheetId="4"/>
      <sheetData sheetId="5">
        <row r="8">
          <cell r="AB8">
            <v>35976.05631107324</v>
          </cell>
          <cell r="AG8">
            <v>39718.424255367871</v>
          </cell>
          <cell r="AL8">
            <v>44291.04277926826</v>
          </cell>
          <cell r="AQ8">
            <v>48392.435502504813</v>
          </cell>
          <cell r="AV8">
            <v>51495.958045378546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3D3D9-0588-4256-9EDC-ABBB26AECC8D}">
  <sheetPr>
    <pageSetUpPr fitToPage="1"/>
  </sheetPr>
  <dimension ref="A1:XFD315"/>
  <sheetViews>
    <sheetView showGridLines="0" tabSelected="1" zoomScale="70" zoomScaleNormal="70" workbookViewId="0">
      <pane xSplit="3" ySplit="4" topLeftCell="D5" activePane="bottomRight" state="frozen"/>
      <selection activeCell="E32" sqref="E32"/>
      <selection pane="topRight" activeCell="E32" sqref="E32"/>
      <selection pane="bottomLeft" activeCell="E32" sqref="E32"/>
      <selection pane="bottomRight" activeCell="AL142" sqref="AL142"/>
    </sheetView>
  </sheetViews>
  <sheetFormatPr defaultColWidth="8.88671875" defaultRowHeight="14.4" outlineLevelRow="1" outlineLevelCol="1" x14ac:dyDescent="0.3"/>
  <cols>
    <col min="1" max="1" width="2" style="2" customWidth="1"/>
    <col min="2" max="2" width="39" style="2" customWidth="1"/>
    <col min="3" max="3" width="11.664062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24" t="s">
        <v>207</v>
      </c>
      <c r="C1" s="337"/>
      <c r="D1" s="42"/>
      <c r="E1" s="139"/>
      <c r="F1" s="139"/>
      <c r="G1" s="139"/>
      <c r="H1" s="139"/>
      <c r="I1" s="336"/>
      <c r="J1" s="336"/>
      <c r="K1" s="336"/>
      <c r="L1" s="336"/>
      <c r="M1" s="336"/>
      <c r="N1" s="336"/>
      <c r="O1" s="336"/>
      <c r="P1" s="336"/>
      <c r="Q1" s="336"/>
      <c r="R1" s="336"/>
      <c r="S1" s="336"/>
      <c r="T1" s="336"/>
      <c r="U1" s="336"/>
      <c r="V1" s="336"/>
      <c r="W1" s="340"/>
      <c r="X1" s="336"/>
      <c r="Y1" s="336"/>
      <c r="Z1" s="352"/>
      <c r="AA1" s="352"/>
      <c r="AB1" s="352"/>
      <c r="AC1" s="352"/>
      <c r="AD1" s="336"/>
      <c r="AE1" s="336"/>
      <c r="AF1" s="336"/>
      <c r="AG1" s="336"/>
      <c r="AH1" s="336"/>
      <c r="AI1" s="336"/>
      <c r="AJ1" s="336"/>
      <c r="AK1" s="336"/>
      <c r="AL1" s="371"/>
      <c r="AM1" s="336"/>
      <c r="AN1" s="336"/>
      <c r="AO1" s="336"/>
      <c r="AP1" s="336"/>
      <c r="AQ1" s="336"/>
      <c r="AR1" s="336"/>
      <c r="AS1" s="336"/>
      <c r="AT1" s="336"/>
      <c r="AU1" s="336"/>
      <c r="AV1" s="336"/>
    </row>
    <row r="2" spans="1:48" ht="9.4499999999999993" customHeight="1" x14ac:dyDescent="0.3">
      <c r="B2" s="89"/>
      <c r="C2" s="337"/>
      <c r="D2" s="42"/>
      <c r="E2" s="139"/>
      <c r="F2" s="139"/>
      <c r="G2" s="139"/>
      <c r="H2" s="139"/>
      <c r="I2" s="336"/>
      <c r="J2" s="336"/>
      <c r="K2" s="336"/>
      <c r="L2" s="336"/>
      <c r="M2" s="336"/>
      <c r="N2" s="336"/>
      <c r="O2" s="336"/>
      <c r="P2" s="336"/>
      <c r="Q2" s="336"/>
      <c r="R2" s="336"/>
      <c r="S2" s="336"/>
      <c r="T2" s="336"/>
      <c r="U2" s="340"/>
      <c r="V2" s="347"/>
      <c r="W2" s="347"/>
      <c r="X2" s="347"/>
      <c r="Y2" s="347"/>
      <c r="Z2" s="347"/>
      <c r="AA2" s="347"/>
      <c r="AB2" s="336"/>
      <c r="AC2" s="336"/>
      <c r="AD2" s="336"/>
      <c r="AE2" s="336"/>
      <c r="AF2" s="336"/>
      <c r="AG2" s="351"/>
      <c r="AH2" s="352"/>
      <c r="AI2" s="336"/>
      <c r="AJ2" s="336"/>
      <c r="AK2" s="336"/>
      <c r="AL2" s="351"/>
      <c r="AM2" s="352"/>
      <c r="AN2" s="336"/>
      <c r="AO2" s="336"/>
      <c r="AP2" s="336"/>
      <c r="AQ2" s="336"/>
      <c r="AR2" s="336"/>
      <c r="AS2" s="336"/>
      <c r="AT2" s="336"/>
      <c r="AU2" s="336"/>
      <c r="AV2" s="336"/>
    </row>
    <row r="3" spans="1:48" ht="15.6" x14ac:dyDescent="0.3">
      <c r="A3" s="513"/>
      <c r="B3" s="514" t="s">
        <v>18</v>
      </c>
      <c r="C3" s="515"/>
      <c r="D3" s="13" t="s">
        <v>15</v>
      </c>
      <c r="E3" s="13" t="s">
        <v>79</v>
      </c>
      <c r="F3" s="13" t="s">
        <v>81</v>
      </c>
      <c r="G3" s="13" t="s">
        <v>144</v>
      </c>
      <c r="H3" s="36" t="s">
        <v>144</v>
      </c>
      <c r="I3" s="13" t="s">
        <v>143</v>
      </c>
      <c r="J3" s="13" t="s">
        <v>142</v>
      </c>
      <c r="K3" s="13" t="s">
        <v>141</v>
      </c>
      <c r="L3" s="13" t="s">
        <v>138</v>
      </c>
      <c r="M3" s="36" t="s">
        <v>138</v>
      </c>
      <c r="N3" s="13" t="s">
        <v>145</v>
      </c>
      <c r="O3" s="13" t="s">
        <v>153</v>
      </c>
      <c r="P3" s="13" t="s">
        <v>155</v>
      </c>
      <c r="Q3" s="13" t="s">
        <v>168</v>
      </c>
      <c r="R3" s="36" t="s">
        <v>168</v>
      </c>
      <c r="S3" s="13" t="s">
        <v>184</v>
      </c>
      <c r="T3" s="13" t="s">
        <v>187</v>
      </c>
      <c r="U3" s="13" t="s">
        <v>200</v>
      </c>
      <c r="V3" s="13" t="s">
        <v>323</v>
      </c>
      <c r="W3" s="36" t="s">
        <v>323</v>
      </c>
      <c r="X3" s="15" t="s">
        <v>20</v>
      </c>
      <c r="Y3" s="15" t="s">
        <v>21</v>
      </c>
      <c r="Z3" s="15" t="s">
        <v>22</v>
      </c>
      <c r="AA3" s="15" t="s">
        <v>23</v>
      </c>
      <c r="AB3" s="38" t="s">
        <v>23</v>
      </c>
      <c r="AC3" s="15" t="s">
        <v>83</v>
      </c>
      <c r="AD3" s="15" t="s">
        <v>84</v>
      </c>
      <c r="AE3" s="15" t="s">
        <v>85</v>
      </c>
      <c r="AF3" s="15" t="s">
        <v>86</v>
      </c>
      <c r="AG3" s="38" t="s">
        <v>86</v>
      </c>
      <c r="AH3" s="15" t="s">
        <v>102</v>
      </c>
      <c r="AI3" s="15" t="s">
        <v>103</v>
      </c>
      <c r="AJ3" s="15" t="s">
        <v>104</v>
      </c>
      <c r="AK3" s="15" t="s">
        <v>105</v>
      </c>
      <c r="AL3" s="38" t="s">
        <v>105</v>
      </c>
      <c r="AM3" s="15" t="s">
        <v>157</v>
      </c>
      <c r="AN3" s="15" t="s">
        <v>158</v>
      </c>
      <c r="AO3" s="15" t="s">
        <v>159</v>
      </c>
      <c r="AP3" s="15" t="s">
        <v>160</v>
      </c>
      <c r="AQ3" s="38" t="s">
        <v>160</v>
      </c>
      <c r="AR3" s="15" t="s">
        <v>188</v>
      </c>
      <c r="AS3" s="15" t="s">
        <v>189</v>
      </c>
      <c r="AT3" s="15" t="s">
        <v>190</v>
      </c>
      <c r="AU3" s="15" t="s">
        <v>191</v>
      </c>
      <c r="AV3" s="38" t="s">
        <v>191</v>
      </c>
    </row>
    <row r="4" spans="1:48" ht="17.7" customHeight="1" x14ac:dyDescent="0.45">
      <c r="A4" s="513"/>
      <c r="B4" s="516" t="s">
        <v>3</v>
      </c>
      <c r="C4" s="517"/>
      <c r="D4" s="14" t="s">
        <v>19</v>
      </c>
      <c r="E4" s="14" t="s">
        <v>78</v>
      </c>
      <c r="F4" s="14" t="s">
        <v>82</v>
      </c>
      <c r="G4" s="14" t="s">
        <v>92</v>
      </c>
      <c r="H4" s="37" t="s">
        <v>93</v>
      </c>
      <c r="I4" s="14" t="s">
        <v>94</v>
      </c>
      <c r="J4" s="14" t="s">
        <v>95</v>
      </c>
      <c r="K4" s="14" t="s">
        <v>96</v>
      </c>
      <c r="L4" s="14" t="s">
        <v>139</v>
      </c>
      <c r="M4" s="37" t="s">
        <v>140</v>
      </c>
      <c r="N4" s="14" t="s">
        <v>146</v>
      </c>
      <c r="O4" s="14" t="s">
        <v>154</v>
      </c>
      <c r="P4" s="14" t="s">
        <v>156</v>
      </c>
      <c r="Q4" s="14" t="s">
        <v>169</v>
      </c>
      <c r="R4" s="37" t="s">
        <v>170</v>
      </c>
      <c r="S4" s="14" t="s">
        <v>185</v>
      </c>
      <c r="T4" s="14" t="s">
        <v>186</v>
      </c>
      <c r="U4" s="14" t="s">
        <v>201</v>
      </c>
      <c r="V4" s="14" t="s">
        <v>324</v>
      </c>
      <c r="W4" s="37" t="s">
        <v>325</v>
      </c>
      <c r="X4" s="12" t="s">
        <v>24</v>
      </c>
      <c r="Y4" s="12" t="s">
        <v>25</v>
      </c>
      <c r="Z4" s="12" t="s">
        <v>26</v>
      </c>
      <c r="AA4" s="12" t="s">
        <v>27</v>
      </c>
      <c r="AB4" s="39" t="s">
        <v>28</v>
      </c>
      <c r="AC4" s="12" t="s">
        <v>87</v>
      </c>
      <c r="AD4" s="12" t="s">
        <v>88</v>
      </c>
      <c r="AE4" s="12" t="s">
        <v>89</v>
      </c>
      <c r="AF4" s="12" t="s">
        <v>90</v>
      </c>
      <c r="AG4" s="39" t="s">
        <v>91</v>
      </c>
      <c r="AH4" s="12" t="s">
        <v>106</v>
      </c>
      <c r="AI4" s="12" t="s">
        <v>107</v>
      </c>
      <c r="AJ4" s="12" t="s">
        <v>108</v>
      </c>
      <c r="AK4" s="12" t="s">
        <v>109</v>
      </c>
      <c r="AL4" s="39" t="s">
        <v>110</v>
      </c>
      <c r="AM4" s="12" t="s">
        <v>161</v>
      </c>
      <c r="AN4" s="12" t="s">
        <v>162</v>
      </c>
      <c r="AO4" s="12" t="s">
        <v>163</v>
      </c>
      <c r="AP4" s="12" t="s">
        <v>164</v>
      </c>
      <c r="AQ4" s="39" t="s">
        <v>165</v>
      </c>
      <c r="AR4" s="12" t="s">
        <v>192</v>
      </c>
      <c r="AS4" s="12" t="s">
        <v>193</v>
      </c>
      <c r="AT4" s="12" t="s">
        <v>194</v>
      </c>
      <c r="AU4" s="12" t="s">
        <v>195</v>
      </c>
      <c r="AV4" s="39" t="s">
        <v>196</v>
      </c>
    </row>
    <row r="5" spans="1:48" outlineLevel="1" x14ac:dyDescent="0.3">
      <c r="B5" s="511" t="s">
        <v>98</v>
      </c>
      <c r="C5" s="512"/>
      <c r="D5" s="95">
        <v>5370.3</v>
      </c>
      <c r="E5" s="95">
        <v>5159</v>
      </c>
      <c r="F5" s="95">
        <v>5535</v>
      </c>
      <c r="G5" s="95">
        <f>H5-F5-E5-D5</f>
        <v>5480.1000000000013</v>
      </c>
      <c r="H5" s="160">
        <v>21544.400000000001</v>
      </c>
      <c r="I5" s="95">
        <v>5780.7</v>
      </c>
      <c r="J5" s="95">
        <v>4766</v>
      </c>
      <c r="K5" s="95">
        <v>3444.4</v>
      </c>
      <c r="L5" s="95">
        <v>5173.6000000000004</v>
      </c>
      <c r="M5" s="46">
        <f>SUM(I5:L5)</f>
        <v>19164.7</v>
      </c>
      <c r="N5" s="45">
        <v>5726.5</v>
      </c>
      <c r="O5" s="45">
        <v>5653.1</v>
      </c>
      <c r="P5" s="45">
        <v>6363.1</v>
      </c>
      <c r="Q5" s="95">
        <v>6864.3</v>
      </c>
      <c r="R5" s="46">
        <f>SUM(N5:Q5)</f>
        <v>24607</v>
      </c>
      <c r="S5" s="45">
        <v>6722.4</v>
      </c>
      <c r="T5" s="45">
        <v>6276.7</v>
      </c>
      <c r="U5" s="45">
        <v>6675.5</v>
      </c>
      <c r="V5" s="45">
        <v>6901.4</v>
      </c>
      <c r="W5" s="46">
        <f>SUM(S5:V5)</f>
        <v>26576</v>
      </c>
      <c r="X5" s="95">
        <f>X45+X78</f>
        <v>7206.6735240542766</v>
      </c>
      <c r="Y5" s="95">
        <f t="shared" ref="Y5:AU5" si="0">Y45+Y78</f>
        <v>6913.5588090282417</v>
      </c>
      <c r="Z5" s="95">
        <f t="shared" si="0"/>
        <v>7594.0236197819886</v>
      </c>
      <c r="AA5" s="95">
        <f t="shared" si="0"/>
        <v>7854.0092890558335</v>
      </c>
      <c r="AB5" s="46">
        <f>SUM(X5:AA5)</f>
        <v>29568.26524192034</v>
      </c>
      <c r="AC5" s="95">
        <f t="shared" si="0"/>
        <v>8177.7644165993916</v>
      </c>
      <c r="AD5" s="95">
        <f t="shared" si="0"/>
        <v>7622.5766278691653</v>
      </c>
      <c r="AE5" s="95">
        <f t="shared" si="0"/>
        <v>8377.0849273274162</v>
      </c>
      <c r="AF5" s="95">
        <f t="shared" si="0"/>
        <v>8686.0825506197853</v>
      </c>
      <c r="AG5" s="46">
        <f>SUM(AC5:AF5)</f>
        <v>32863.508522415759</v>
      </c>
      <c r="AH5" s="95">
        <f t="shared" si="0"/>
        <v>9127.0843979713427</v>
      </c>
      <c r="AI5" s="95">
        <f t="shared" si="0"/>
        <v>8501.572189176115</v>
      </c>
      <c r="AJ5" s="95">
        <f t="shared" si="0"/>
        <v>9347.5505314715956</v>
      </c>
      <c r="AK5" s="95">
        <f t="shared" si="0"/>
        <v>9711.6483046599387</v>
      </c>
      <c r="AL5" s="46">
        <f>SUM(AH5:AK5)</f>
        <v>36687.85542327899</v>
      </c>
      <c r="AM5" s="95">
        <f t="shared" si="0"/>
        <v>10096.636852883928</v>
      </c>
      <c r="AN5" s="95">
        <f t="shared" si="0"/>
        <v>9331.1374581437103</v>
      </c>
      <c r="AO5" s="95">
        <f t="shared" si="0"/>
        <v>10191.871012918295</v>
      </c>
      <c r="AP5" s="95">
        <f t="shared" si="0"/>
        <v>10488.175753692012</v>
      </c>
      <c r="AQ5" s="46">
        <f>SUM(AM5:AP5)</f>
        <v>40107.821077637942</v>
      </c>
      <c r="AR5" s="95">
        <f t="shared" si="0"/>
        <v>10660.020752739987</v>
      </c>
      <c r="AS5" s="95">
        <f t="shared" si="0"/>
        <v>9849.4073461008302</v>
      </c>
      <c r="AT5" s="95">
        <f t="shared" si="0"/>
        <v>10757.852549445521</v>
      </c>
      <c r="AU5" s="95">
        <f t="shared" si="0"/>
        <v>11074.383901837904</v>
      </c>
      <c r="AV5" s="46">
        <f>SUM(AR5:AU5)</f>
        <v>42341.664550124246</v>
      </c>
    </row>
    <row r="6" spans="1:48" outlineLevel="1" x14ac:dyDescent="0.3">
      <c r="B6" s="511" t="s">
        <v>99</v>
      </c>
      <c r="C6" s="512"/>
      <c r="D6" s="95">
        <v>737.1</v>
      </c>
      <c r="E6" s="95">
        <v>678.2</v>
      </c>
      <c r="F6" s="95">
        <v>725</v>
      </c>
      <c r="G6" s="95">
        <f t="shared" ref="G6:G16" si="1">H6-F6-E6-D6</f>
        <v>734.69999999999993</v>
      </c>
      <c r="H6" s="160">
        <v>2875</v>
      </c>
      <c r="I6" s="95">
        <v>792</v>
      </c>
      <c r="J6" s="95">
        <v>689.8</v>
      </c>
      <c r="K6" s="95">
        <v>300.5</v>
      </c>
      <c r="L6" s="45">
        <v>544.6</v>
      </c>
      <c r="M6" s="46">
        <f t="shared" ref="M6:M7" si="2">SUM(I6:L6)</f>
        <v>2326.9</v>
      </c>
      <c r="N6" s="45">
        <v>613.79999999999995</v>
      </c>
      <c r="O6" s="45">
        <v>595</v>
      </c>
      <c r="P6" s="45">
        <v>680.2</v>
      </c>
      <c r="Q6" s="95">
        <v>794.5</v>
      </c>
      <c r="R6" s="46">
        <f>SUM(N6:Q6)</f>
        <v>2683.5</v>
      </c>
      <c r="S6" s="45">
        <v>850.8</v>
      </c>
      <c r="T6" s="45">
        <v>849.5</v>
      </c>
      <c r="U6" s="45">
        <v>956.8</v>
      </c>
      <c r="V6" s="45">
        <v>998.4</v>
      </c>
      <c r="W6" s="46">
        <f t="shared" ref="W6:W7" si="3">SUM(S6:V6)</f>
        <v>3655.5</v>
      </c>
      <c r="X6" s="95">
        <f>X54+X87</f>
        <v>1007.0032267361271</v>
      </c>
      <c r="Y6" s="95">
        <f t="shared" ref="Y6:AU6" si="4">Y54+Y87</f>
        <v>1012.5755118575562</v>
      </c>
      <c r="Z6" s="95">
        <f t="shared" si="4"/>
        <v>1126.2269088445764</v>
      </c>
      <c r="AA6" s="95">
        <f t="shared" si="4"/>
        <v>1176.9360781045928</v>
      </c>
      <c r="AB6" s="46">
        <f t="shared" ref="AB6" si="5">SUM(X6:AA6)</f>
        <v>4322.7417255428527</v>
      </c>
      <c r="AC6" s="95">
        <f t="shared" si="4"/>
        <v>1119.0714186926757</v>
      </c>
      <c r="AD6" s="95">
        <f t="shared" si="4"/>
        <v>1126.0862146797776</v>
      </c>
      <c r="AE6" s="95">
        <f t="shared" si="4"/>
        <v>1255.0316149597243</v>
      </c>
      <c r="AF6" s="95">
        <f t="shared" si="4"/>
        <v>1311.149072821865</v>
      </c>
      <c r="AG6" s="46">
        <f t="shared" ref="AG6" si="6">SUM(AC6:AF6)</f>
        <v>4811.3383211540422</v>
      </c>
      <c r="AH6" s="95">
        <f t="shared" si="4"/>
        <v>1252.5951408394203</v>
      </c>
      <c r="AI6" s="95">
        <f t="shared" si="4"/>
        <v>1261.1826489855544</v>
      </c>
      <c r="AJ6" s="95">
        <f t="shared" si="4"/>
        <v>1407.4183039476136</v>
      </c>
      <c r="AK6" s="95">
        <f t="shared" si="4"/>
        <v>1470.3113483572661</v>
      </c>
      <c r="AL6" s="46">
        <f t="shared" ref="AL6" si="7">SUM(AH6:AK6)</f>
        <v>5391.5074421298541</v>
      </c>
      <c r="AM6" s="95">
        <f t="shared" si="4"/>
        <v>1390.8994901235319</v>
      </c>
      <c r="AN6" s="95">
        <f t="shared" si="4"/>
        <v>1388.9278061044615</v>
      </c>
      <c r="AO6" s="95">
        <f t="shared" si="4"/>
        <v>1537.7786670288897</v>
      </c>
      <c r="AP6" s="95">
        <f t="shared" si="4"/>
        <v>1593.1803884770695</v>
      </c>
      <c r="AQ6" s="46">
        <f t="shared" ref="AQ6" si="8">SUM(AM6:AP6)</f>
        <v>5910.7863517339529</v>
      </c>
      <c r="AR6" s="95">
        <f t="shared" si="4"/>
        <v>1472.6381198641529</v>
      </c>
      <c r="AS6" s="95">
        <f t="shared" si="4"/>
        <v>1470.5101112062657</v>
      </c>
      <c r="AT6" s="95">
        <f t="shared" si="4"/>
        <v>1627.8453995379184</v>
      </c>
      <c r="AU6" s="95">
        <f t="shared" si="4"/>
        <v>1686.6034097318293</v>
      </c>
      <c r="AV6" s="46">
        <f t="shared" ref="AV6" si="9">SUM(AR6:AU6)</f>
        <v>6257.5970403401661</v>
      </c>
    </row>
    <row r="7" spans="1:48" ht="16.2" outlineLevel="1" x14ac:dyDescent="0.45">
      <c r="B7" s="511" t="s">
        <v>100</v>
      </c>
      <c r="C7" s="512"/>
      <c r="D7" s="94">
        <v>525.29999999999995</v>
      </c>
      <c r="E7" s="94">
        <v>468.7</v>
      </c>
      <c r="F7" s="94">
        <v>563</v>
      </c>
      <c r="G7" s="94">
        <f t="shared" si="1"/>
        <v>532.19999999999982</v>
      </c>
      <c r="H7" s="163">
        <v>2089.1999999999998</v>
      </c>
      <c r="I7" s="94">
        <v>524.4</v>
      </c>
      <c r="J7" s="94">
        <v>539.9</v>
      </c>
      <c r="K7" s="94">
        <v>477.2</v>
      </c>
      <c r="L7" s="49">
        <v>484.9</v>
      </c>
      <c r="M7" s="50">
        <f t="shared" si="2"/>
        <v>2026.4</v>
      </c>
      <c r="N7" s="49">
        <v>409.1</v>
      </c>
      <c r="O7" s="49">
        <v>419.9</v>
      </c>
      <c r="P7" s="49">
        <v>453.2</v>
      </c>
      <c r="Q7" s="94">
        <v>487.9</v>
      </c>
      <c r="R7" s="50">
        <f>SUM(N7:Q7)</f>
        <v>1770.1</v>
      </c>
      <c r="S7" s="49">
        <v>477.2</v>
      </c>
      <c r="T7" s="49">
        <v>509.4</v>
      </c>
      <c r="U7" s="49">
        <v>517.79999999999995</v>
      </c>
      <c r="V7" s="49">
        <v>514.4</v>
      </c>
      <c r="W7" s="163">
        <f t="shared" si="3"/>
        <v>2018.7999999999997</v>
      </c>
      <c r="X7" s="94">
        <f>X55+X88+X108+X123</f>
        <v>514.58000000000004</v>
      </c>
      <c r="Y7" s="94">
        <f t="shared" ref="Y7:AU7" si="10">Y55+Y88+Y108+Y123</f>
        <v>528.01400000000001</v>
      </c>
      <c r="Z7" s="94">
        <f t="shared" si="10"/>
        <v>541.20800000000008</v>
      </c>
      <c r="AA7" s="94">
        <f t="shared" si="10"/>
        <v>537.71299999999997</v>
      </c>
      <c r="AB7" s="163">
        <f t="shared" ref="AB7" si="11">SUM(X7:AA7)</f>
        <v>2121.5150000000003</v>
      </c>
      <c r="AC7" s="94">
        <f t="shared" si="10"/>
        <v>538.3094000000001</v>
      </c>
      <c r="AD7" s="94">
        <f t="shared" si="10"/>
        <v>552.59546</v>
      </c>
      <c r="AE7" s="94">
        <f t="shared" si="10"/>
        <v>566.22451999999998</v>
      </c>
      <c r="AF7" s="94">
        <f t="shared" si="10"/>
        <v>562.26692000000003</v>
      </c>
      <c r="AG7" s="163">
        <f t="shared" ref="AG7" si="12">SUM(AC7:AF7)</f>
        <v>2219.3963000000003</v>
      </c>
      <c r="AH7" s="94">
        <f t="shared" si="10"/>
        <v>567.62699600000008</v>
      </c>
      <c r="AI7" s="94">
        <f t="shared" si="10"/>
        <v>580.62904340000011</v>
      </c>
      <c r="AJ7" s="94">
        <f t="shared" si="10"/>
        <v>593.36856080000018</v>
      </c>
      <c r="AK7" s="94">
        <f t="shared" si="10"/>
        <v>589.00131680000004</v>
      </c>
      <c r="AL7" s="163">
        <f t="shared" ref="AL7" si="13">SUM(AH7:AK7)</f>
        <v>2330.6259170000003</v>
      </c>
      <c r="AM7" s="94">
        <f t="shared" si="10"/>
        <v>594.41476184000021</v>
      </c>
      <c r="AN7" s="94">
        <f t="shared" si="10"/>
        <v>607.23647663600013</v>
      </c>
      <c r="AO7" s="94">
        <f t="shared" si="10"/>
        <v>620.12958123200008</v>
      </c>
      <c r="AP7" s="94">
        <f t="shared" si="10"/>
        <v>615.05564547200015</v>
      </c>
      <c r="AQ7" s="163">
        <f t="shared" ref="AQ7" si="14">SUM(AM7:AP7)</f>
        <v>2436.8364651800002</v>
      </c>
      <c r="AR7" s="94">
        <f t="shared" si="10"/>
        <v>620.71195691360026</v>
      </c>
      <c r="AS7" s="94">
        <f t="shared" si="10"/>
        <v>633.86688747644018</v>
      </c>
      <c r="AT7" s="94">
        <f t="shared" si="10"/>
        <v>647.42274528128007</v>
      </c>
      <c r="AU7" s="94">
        <f t="shared" si="10"/>
        <v>641.44803739088024</v>
      </c>
      <c r="AV7" s="163">
        <f t="shared" ref="AV7" si="15">SUM(AR7:AU7)</f>
        <v>2543.4496270622012</v>
      </c>
    </row>
    <row r="8" spans="1:48" s="8" customFormat="1" x14ac:dyDescent="0.3">
      <c r="B8" s="518" t="s">
        <v>101</v>
      </c>
      <c r="C8" s="519"/>
      <c r="D8" s="93">
        <f t="shared" ref="D8:V8" si="16">SUM(D5:D7)</f>
        <v>6632.7000000000007</v>
      </c>
      <c r="E8" s="93">
        <f t="shared" si="16"/>
        <v>6305.9</v>
      </c>
      <c r="F8" s="93">
        <f t="shared" si="16"/>
        <v>6823</v>
      </c>
      <c r="G8" s="93">
        <f t="shared" si="16"/>
        <v>6747.0000000000009</v>
      </c>
      <c r="H8" s="161">
        <f t="shared" si="16"/>
        <v>26508.600000000002</v>
      </c>
      <c r="I8" s="93">
        <f>SUM(I5:I7)</f>
        <v>7097.0999999999995</v>
      </c>
      <c r="J8" s="93">
        <f>SUM(J5:J7)</f>
        <v>5995.7</v>
      </c>
      <c r="K8" s="93">
        <f>SUM(K5:K7)</f>
        <v>4222.1000000000004</v>
      </c>
      <c r="L8" s="93">
        <f>SUM(L5:L7)</f>
        <v>6203.1</v>
      </c>
      <c r="M8" s="161">
        <f t="shared" si="16"/>
        <v>23518.000000000004</v>
      </c>
      <c r="N8" s="93">
        <f t="shared" si="16"/>
        <v>6749.4000000000005</v>
      </c>
      <c r="O8" s="93">
        <f t="shared" si="16"/>
        <v>6668</v>
      </c>
      <c r="P8" s="93">
        <f t="shared" si="16"/>
        <v>7496.5</v>
      </c>
      <c r="Q8" s="93">
        <f>SUM(Q5:Q7)</f>
        <v>8146.7</v>
      </c>
      <c r="R8" s="161">
        <f t="shared" si="16"/>
        <v>29060.6</v>
      </c>
      <c r="S8" s="93">
        <f t="shared" si="16"/>
        <v>8050.4</v>
      </c>
      <c r="T8" s="93">
        <f t="shared" si="16"/>
        <v>7635.5999999999995</v>
      </c>
      <c r="U8" s="93">
        <f t="shared" si="16"/>
        <v>8150.1</v>
      </c>
      <c r="V8" s="93">
        <f t="shared" si="16"/>
        <v>8414.1999999999989</v>
      </c>
      <c r="W8" s="161">
        <f>SUM(W5:W7)</f>
        <v>32250.3</v>
      </c>
      <c r="X8" s="93">
        <f>SUM(X5:X7)</f>
        <v>8728.2567507904041</v>
      </c>
      <c r="Y8" s="93">
        <f t="shared" ref="Y8:AV8" si="17">SUM(Y5:Y7)</f>
        <v>8454.1483208857971</v>
      </c>
      <c r="Z8" s="93">
        <f t="shared" si="17"/>
        <v>9261.4585286265665</v>
      </c>
      <c r="AA8" s="93">
        <f t="shared" si="17"/>
        <v>9568.6583671604258</v>
      </c>
      <c r="AB8" s="93">
        <f>SUM(AB5:AB7)</f>
        <v>36012.521967463195</v>
      </c>
      <c r="AC8" s="93">
        <f t="shared" si="17"/>
        <v>9835.1452352920678</v>
      </c>
      <c r="AD8" s="93">
        <f t="shared" si="17"/>
        <v>9301.2583025489439</v>
      </c>
      <c r="AE8" s="93">
        <f t="shared" si="17"/>
        <v>10198.34106228714</v>
      </c>
      <c r="AF8" s="93">
        <f t="shared" si="17"/>
        <v>10559.49854344165</v>
      </c>
      <c r="AG8" s="93">
        <f t="shared" si="17"/>
        <v>39894.243143569802</v>
      </c>
      <c r="AH8" s="93">
        <f t="shared" si="17"/>
        <v>10947.306534810765</v>
      </c>
      <c r="AI8" s="93">
        <f t="shared" si="17"/>
        <v>10343.383881561669</v>
      </c>
      <c r="AJ8" s="93">
        <f t="shared" si="17"/>
        <v>11348.337396219209</v>
      </c>
      <c r="AK8" s="93">
        <f t="shared" si="17"/>
        <v>11770.960969817206</v>
      </c>
      <c r="AL8" s="93">
        <f t="shared" si="17"/>
        <v>44409.988782408844</v>
      </c>
      <c r="AM8" s="93">
        <f t="shared" si="17"/>
        <v>12081.951104847461</v>
      </c>
      <c r="AN8" s="93">
        <f t="shared" si="17"/>
        <v>11327.301740884173</v>
      </c>
      <c r="AO8" s="93">
        <f t="shared" si="17"/>
        <v>12349.779261179185</v>
      </c>
      <c r="AP8" s="93">
        <f t="shared" si="17"/>
        <v>12696.411787641082</v>
      </c>
      <c r="AQ8" s="93">
        <f t="shared" si="17"/>
        <v>48455.443894551892</v>
      </c>
      <c r="AR8" s="93">
        <f t="shared" si="17"/>
        <v>12753.370829517742</v>
      </c>
      <c r="AS8" s="93">
        <f t="shared" si="17"/>
        <v>11953.784344783537</v>
      </c>
      <c r="AT8" s="93">
        <f t="shared" si="17"/>
        <v>13033.120694264719</v>
      </c>
      <c r="AU8" s="93">
        <f t="shared" si="17"/>
        <v>13402.435348960615</v>
      </c>
      <c r="AV8" s="93">
        <f t="shared" si="17"/>
        <v>51142.711217526616</v>
      </c>
    </row>
    <row r="9" spans="1:48" outlineLevel="1" x14ac:dyDescent="0.3">
      <c r="B9" s="520" t="s">
        <v>97</v>
      </c>
      <c r="C9" s="521"/>
      <c r="D9" s="95">
        <v>2175.8000000000002</v>
      </c>
      <c r="E9" s="95">
        <v>2012</v>
      </c>
      <c r="F9" s="95">
        <v>2199.6</v>
      </c>
      <c r="G9" s="95">
        <f t="shared" si="1"/>
        <v>2139.4999999999991</v>
      </c>
      <c r="H9" s="160">
        <v>8526.9</v>
      </c>
      <c r="I9" s="95">
        <v>2236.4</v>
      </c>
      <c r="J9" s="95">
        <v>1997.7</v>
      </c>
      <c r="K9" s="95">
        <v>1484</v>
      </c>
      <c r="L9" s="95">
        <v>1976.8</v>
      </c>
      <c r="M9" s="160">
        <f>SUM(I9:L9)</f>
        <v>7694.9000000000005</v>
      </c>
      <c r="N9" s="95">
        <v>2049.1</v>
      </c>
      <c r="O9" s="95">
        <v>1992.4</v>
      </c>
      <c r="P9" s="95">
        <v>2206</v>
      </c>
      <c r="Q9" s="95">
        <v>2491.1</v>
      </c>
      <c r="R9" s="160">
        <f>SUM(N9:Q9)</f>
        <v>8738.6</v>
      </c>
      <c r="S9" s="95">
        <v>2526.9</v>
      </c>
      <c r="T9" s="95">
        <v>2465.8000000000002</v>
      </c>
      <c r="U9" s="95">
        <v>2613.6</v>
      </c>
      <c r="V9" s="95">
        <v>2711</v>
      </c>
      <c r="W9" s="160">
        <f>SUM(S9:V9)</f>
        <v>10317.300000000001</v>
      </c>
      <c r="X9" s="95">
        <f>X60+X93+X110+X125</f>
        <v>2808.2396074812759</v>
      </c>
      <c r="Y9" s="95">
        <f t="shared" ref="Y9:AU9" si="18">Y60+Y93+Y110+Y125</f>
        <v>2701.8983128436134</v>
      </c>
      <c r="Z9" s="95">
        <f t="shared" si="18"/>
        <v>2957.9966868986903</v>
      </c>
      <c r="AA9" s="95">
        <f t="shared" si="18"/>
        <v>2975.9598786998108</v>
      </c>
      <c r="AB9" s="160">
        <f>SUM(X9:AA9)</f>
        <v>11444.09448592339</v>
      </c>
      <c r="AC9" s="95">
        <f t="shared" si="18"/>
        <v>3084.2511597043581</v>
      </c>
      <c r="AD9" s="95">
        <f t="shared" si="18"/>
        <v>2948.0498105084484</v>
      </c>
      <c r="AE9" s="95">
        <f t="shared" si="18"/>
        <v>3269.8953013393243</v>
      </c>
      <c r="AF9" s="95">
        <f t="shared" si="18"/>
        <v>3389.5898536685904</v>
      </c>
      <c r="AG9" s="160">
        <f>SUM(AC9:AF9)</f>
        <v>12691.786125220722</v>
      </c>
      <c r="AH9" s="95">
        <f t="shared" si="18"/>
        <v>3448.9639416785003</v>
      </c>
      <c r="AI9" s="95">
        <f t="shared" si="18"/>
        <v>3289.0950209850548</v>
      </c>
      <c r="AJ9" s="95">
        <f t="shared" si="18"/>
        <v>3626.3411549425559</v>
      </c>
      <c r="AK9" s="95">
        <f t="shared" si="18"/>
        <v>3795.2405691350009</v>
      </c>
      <c r="AL9" s="160">
        <f>SUM(AH9:AK9)</f>
        <v>14159.640686741113</v>
      </c>
      <c r="AM9" s="95">
        <f t="shared" si="18"/>
        <v>3839.4931145269938</v>
      </c>
      <c r="AN9" s="95">
        <f t="shared" si="18"/>
        <v>3630.066364692178</v>
      </c>
      <c r="AO9" s="95">
        <f t="shared" si="18"/>
        <v>3980.419918276868</v>
      </c>
      <c r="AP9" s="95">
        <f t="shared" si="18"/>
        <v>4129.846611847177</v>
      </c>
      <c r="AQ9" s="160">
        <f>SUM(AM9:AP9)</f>
        <v>15579.826009343216</v>
      </c>
      <c r="AR9" s="95">
        <f t="shared" si="18"/>
        <v>4049.3435641747146</v>
      </c>
      <c r="AS9" s="95">
        <f t="shared" si="18"/>
        <v>3826.4634075780159</v>
      </c>
      <c r="AT9" s="95">
        <f t="shared" si="18"/>
        <v>4196.908815934461</v>
      </c>
      <c r="AU9" s="95">
        <f t="shared" si="18"/>
        <v>4356.2744503246495</v>
      </c>
      <c r="AV9" s="160">
        <f>SUM(AR9:AU9)</f>
        <v>16428.99023801184</v>
      </c>
    </row>
    <row r="10" spans="1:48" outlineLevel="1" x14ac:dyDescent="0.3">
      <c r="B10" s="35" t="s">
        <v>29</v>
      </c>
      <c r="C10" s="18"/>
      <c r="D10" s="95">
        <v>2586.8000000000002</v>
      </c>
      <c r="E10" s="95">
        <v>2554.1</v>
      </c>
      <c r="F10" s="95">
        <v>2643.2</v>
      </c>
      <c r="G10" s="95">
        <f t="shared" si="1"/>
        <v>2709.5000000000009</v>
      </c>
      <c r="H10" s="160">
        <v>10493.6</v>
      </c>
      <c r="I10" s="95">
        <v>2821.5</v>
      </c>
      <c r="J10" s="95">
        <v>2721.4</v>
      </c>
      <c r="K10" s="95">
        <v>2537.8000000000002</v>
      </c>
      <c r="L10" s="45">
        <v>2683.4</v>
      </c>
      <c r="M10" s="46">
        <f t="shared" ref="M10:M13" si="19">SUM(I10:L10)</f>
        <v>10764.1</v>
      </c>
      <c r="N10" s="45">
        <v>2867.3</v>
      </c>
      <c r="O10" s="95">
        <v>2823.3</v>
      </c>
      <c r="P10" s="95">
        <v>2966.9</v>
      </c>
      <c r="Q10" s="95">
        <v>3273.4</v>
      </c>
      <c r="R10" s="160">
        <f t="shared" ref="R10:R13" si="20">SUM(N10:Q10)</f>
        <v>11930.9</v>
      </c>
      <c r="S10" s="45">
        <v>3400</v>
      </c>
      <c r="T10" s="45">
        <v>3314.7</v>
      </c>
      <c r="U10" s="45">
        <v>3302.5</v>
      </c>
      <c r="V10" s="45">
        <v>3544.7</v>
      </c>
      <c r="W10" s="160">
        <f t="shared" ref="W10:W13" si="21">SUM(S10:V10)</f>
        <v>13561.900000000001</v>
      </c>
      <c r="X10" s="95">
        <f>X62+X95</f>
        <v>3713.2581327373318</v>
      </c>
      <c r="Y10" s="95">
        <f t="shared" ref="Y10:AU10" si="22">Y62+Y95</f>
        <v>3648.6195204876876</v>
      </c>
      <c r="Z10" s="95">
        <f t="shared" si="22"/>
        <v>3824.9241354043434</v>
      </c>
      <c r="AA10" s="95">
        <f t="shared" si="22"/>
        <v>4021.4993600529424</v>
      </c>
      <c r="AB10" s="160">
        <f t="shared" ref="AB10:AB13" si="23">SUM(X10:AA10)</f>
        <v>15208.301148682305</v>
      </c>
      <c r="AC10" s="95">
        <f t="shared" si="22"/>
        <v>4138.1645219690554</v>
      </c>
      <c r="AD10" s="95">
        <f t="shared" si="22"/>
        <v>3979.5482356156203</v>
      </c>
      <c r="AE10" s="95">
        <f t="shared" si="22"/>
        <v>4218.4923623914865</v>
      </c>
      <c r="AF10" s="95">
        <f t="shared" si="22"/>
        <v>4510.5066475424655</v>
      </c>
      <c r="AG10" s="160">
        <f t="shared" ref="AG10:AG13" si="24">SUM(AC10:AF10)</f>
        <v>16846.711767518627</v>
      </c>
      <c r="AH10" s="95">
        <f t="shared" si="22"/>
        <v>4603.534570982265</v>
      </c>
      <c r="AI10" s="95">
        <f t="shared" si="22"/>
        <v>4423.1117194950111</v>
      </c>
      <c r="AJ10" s="95">
        <f t="shared" si="22"/>
        <v>4660.8749166164289</v>
      </c>
      <c r="AK10" s="95">
        <f t="shared" si="22"/>
        <v>5027.9472619973285</v>
      </c>
      <c r="AL10" s="160">
        <f t="shared" ref="AL10:AL13" si="25">SUM(AH10:AK10)</f>
        <v>18715.468469091033</v>
      </c>
      <c r="AM10" s="95">
        <f t="shared" si="22"/>
        <v>5088.8790330899119</v>
      </c>
      <c r="AN10" s="95">
        <f t="shared" si="22"/>
        <v>4850.9458417270971</v>
      </c>
      <c r="AO10" s="95">
        <f t="shared" si="22"/>
        <v>5083.3573737160596</v>
      </c>
      <c r="AP10" s="95">
        <f t="shared" si="22"/>
        <v>5428.8786667338627</v>
      </c>
      <c r="AQ10" s="160">
        <f t="shared" ref="AQ10:AQ13" si="26">SUM(AM10:AP10)</f>
        <v>20452.060915266928</v>
      </c>
      <c r="AR10" s="95">
        <f t="shared" si="22"/>
        <v>5371.9654892077633</v>
      </c>
      <c r="AS10" s="95">
        <f t="shared" si="22"/>
        <v>5119.1893752350425</v>
      </c>
      <c r="AT10" s="95">
        <f t="shared" si="22"/>
        <v>5366.3476832297256</v>
      </c>
      <c r="AU10" s="95">
        <f t="shared" si="22"/>
        <v>5731.5591087495404</v>
      </c>
      <c r="AV10" s="160">
        <f t="shared" ref="AV10:AV13" si="27">SUM(AR10:AU10)</f>
        <v>21589.061656422073</v>
      </c>
    </row>
    <row r="11" spans="1:48" outlineLevel="1" x14ac:dyDescent="0.3">
      <c r="B11" s="35" t="s">
        <v>30</v>
      </c>
      <c r="C11" s="18"/>
      <c r="D11" s="95">
        <v>97.6</v>
      </c>
      <c r="E11" s="95">
        <v>87.1</v>
      </c>
      <c r="F11" s="95">
        <v>94.4</v>
      </c>
      <c r="G11" s="95">
        <f t="shared" si="1"/>
        <v>91.900000000000034</v>
      </c>
      <c r="H11" s="160">
        <v>371</v>
      </c>
      <c r="I11" s="95">
        <v>101.8</v>
      </c>
      <c r="J11" s="95">
        <v>95</v>
      </c>
      <c r="K11" s="95">
        <v>133.6</v>
      </c>
      <c r="L11" s="45">
        <v>99.9</v>
      </c>
      <c r="M11" s="46">
        <f t="shared" si="19"/>
        <v>430.29999999999995</v>
      </c>
      <c r="N11" s="45">
        <v>91.8</v>
      </c>
      <c r="O11" s="95">
        <v>87.7</v>
      </c>
      <c r="P11" s="95">
        <v>71.400000000000006</v>
      </c>
      <c r="Q11" s="95">
        <v>108.6</v>
      </c>
      <c r="R11" s="160">
        <f t="shared" si="20"/>
        <v>359.5</v>
      </c>
      <c r="S11" s="45">
        <v>101.7</v>
      </c>
      <c r="T11" s="45">
        <v>101.7</v>
      </c>
      <c r="U11" s="45">
        <v>135.1</v>
      </c>
      <c r="V11" s="45">
        <v>123.1</v>
      </c>
      <c r="W11" s="160">
        <f t="shared" si="21"/>
        <v>461.6</v>
      </c>
      <c r="X11" s="95">
        <f>X64+X97+X112+X126</f>
        <v>118.55203756913261</v>
      </c>
      <c r="Y11" s="95">
        <f t="shared" ref="Y11:AU11" si="28">Y64+Y97+Y112+Y126</f>
        <v>111.68493196176308</v>
      </c>
      <c r="Z11" s="95">
        <f t="shared" si="28"/>
        <v>146.77002005201453</v>
      </c>
      <c r="AA11" s="95">
        <f t="shared" si="28"/>
        <v>120.07667584460843</v>
      </c>
      <c r="AB11" s="160">
        <f t="shared" si="23"/>
        <v>497.08366542751867</v>
      </c>
      <c r="AC11" s="95">
        <f t="shared" si="28"/>
        <v>126.29596424702919</v>
      </c>
      <c r="AD11" s="95">
        <f t="shared" si="28"/>
        <v>123.92266534126961</v>
      </c>
      <c r="AE11" s="95">
        <f t="shared" si="28"/>
        <v>151.66194079945257</v>
      </c>
      <c r="AF11" s="95">
        <f t="shared" si="28"/>
        <v>124.53234311073778</v>
      </c>
      <c r="AG11" s="160">
        <f t="shared" si="24"/>
        <v>526.41291349848916</v>
      </c>
      <c r="AH11" s="95">
        <f t="shared" si="28"/>
        <v>133.95749137276252</v>
      </c>
      <c r="AI11" s="95">
        <f t="shared" si="28"/>
        <v>133.35795512131995</v>
      </c>
      <c r="AJ11" s="95">
        <f t="shared" si="28"/>
        <v>152.68037191638132</v>
      </c>
      <c r="AK11" s="95">
        <f t="shared" si="28"/>
        <v>132.79154939198568</v>
      </c>
      <c r="AL11" s="160">
        <f t="shared" si="25"/>
        <v>552.78736780244947</v>
      </c>
      <c r="AM11" s="95">
        <f t="shared" si="28"/>
        <v>148.29632115119725</v>
      </c>
      <c r="AN11" s="95">
        <f t="shared" si="28"/>
        <v>146.34431989727869</v>
      </c>
      <c r="AO11" s="95">
        <f t="shared" si="28"/>
        <v>166.25445099812481</v>
      </c>
      <c r="AP11" s="95">
        <f t="shared" si="28"/>
        <v>144.19727617294581</v>
      </c>
      <c r="AQ11" s="160">
        <f t="shared" si="26"/>
        <v>605.09236821954653</v>
      </c>
      <c r="AR11" s="95">
        <f t="shared" si="28"/>
        <v>156.452730289584</v>
      </c>
      <c r="AS11" s="95">
        <f t="shared" si="28"/>
        <v>154.38159980099059</v>
      </c>
      <c r="AT11" s="95">
        <f t="shared" si="28"/>
        <v>175.42873766490507</v>
      </c>
      <c r="AU11" s="95">
        <f t="shared" si="28"/>
        <v>152.64719237632016</v>
      </c>
      <c r="AV11" s="160">
        <f t="shared" si="27"/>
        <v>638.91026013179976</v>
      </c>
    </row>
    <row r="12" spans="1:48" outlineLevel="1" x14ac:dyDescent="0.3">
      <c r="B12" s="35" t="s">
        <v>31</v>
      </c>
      <c r="C12" s="18"/>
      <c r="D12" s="95">
        <v>333.4</v>
      </c>
      <c r="E12" s="95">
        <v>356.2</v>
      </c>
      <c r="F12" s="95">
        <v>343.1</v>
      </c>
      <c r="G12" s="95">
        <f t="shared" si="1"/>
        <v>344.5999999999998</v>
      </c>
      <c r="H12" s="160">
        <v>1377.3</v>
      </c>
      <c r="I12" s="95">
        <v>351</v>
      </c>
      <c r="J12" s="95">
        <v>356.3</v>
      </c>
      <c r="K12" s="95">
        <v>361</v>
      </c>
      <c r="L12" s="45">
        <v>362.9</v>
      </c>
      <c r="M12" s="46">
        <f t="shared" ref="M12" si="29">SUM(I12:L12)</f>
        <v>1431.1999999999998</v>
      </c>
      <c r="N12" s="45">
        <v>366.1</v>
      </c>
      <c r="O12" s="95">
        <v>366.7</v>
      </c>
      <c r="P12" s="95">
        <v>354.3</v>
      </c>
      <c r="Q12" s="95">
        <v>354.7</v>
      </c>
      <c r="R12" s="160">
        <f t="shared" ref="R12" si="30">SUM(N12:Q12)</f>
        <v>1441.8</v>
      </c>
      <c r="S12" s="45">
        <v>366</v>
      </c>
      <c r="T12" s="45">
        <v>367.7</v>
      </c>
      <c r="U12" s="45">
        <v>356.8</v>
      </c>
      <c r="V12" s="45">
        <v>357.4</v>
      </c>
      <c r="W12" s="160">
        <f t="shared" ref="W12" si="31">SUM(S12:V12)</f>
        <v>1447.9</v>
      </c>
      <c r="X12" s="95">
        <f>X66+X99+X114+X127</f>
        <v>375.32446385985264</v>
      </c>
      <c r="Y12" s="95">
        <f t="shared" ref="Y12:AU12" si="32">Y66+Y99+Y114+Y127</f>
        <v>391.31410983036653</v>
      </c>
      <c r="Z12" s="95">
        <f t="shared" si="32"/>
        <v>398.37172689949978</v>
      </c>
      <c r="AA12" s="95">
        <f t="shared" si="32"/>
        <v>400.59311810748483</v>
      </c>
      <c r="AB12" s="160">
        <f t="shared" si="23"/>
        <v>1565.6034186972038</v>
      </c>
      <c r="AC12" s="95">
        <f t="shared" si="32"/>
        <v>431.64045214553352</v>
      </c>
      <c r="AD12" s="95">
        <f t="shared" si="32"/>
        <v>448.32100664781854</v>
      </c>
      <c r="AE12" s="95">
        <f t="shared" si="32"/>
        <v>454.11403018523725</v>
      </c>
      <c r="AF12" s="95">
        <f t="shared" si="32"/>
        <v>449.94071456510119</v>
      </c>
      <c r="AG12" s="160">
        <f t="shared" si="24"/>
        <v>1784.0162035436904</v>
      </c>
      <c r="AH12" s="95">
        <f t="shared" si="32"/>
        <v>484.42958515614032</v>
      </c>
      <c r="AI12" s="95">
        <f t="shared" si="32"/>
        <v>499.24889006438667</v>
      </c>
      <c r="AJ12" s="95">
        <f t="shared" si="32"/>
        <v>504.12734648452459</v>
      </c>
      <c r="AK12" s="95">
        <f t="shared" si="32"/>
        <v>489.73263418637453</v>
      </c>
      <c r="AL12" s="160">
        <f t="shared" si="25"/>
        <v>1977.5384558914261</v>
      </c>
      <c r="AM12" s="95">
        <f t="shared" si="32"/>
        <v>530.266854049833</v>
      </c>
      <c r="AN12" s="95">
        <f t="shared" si="32"/>
        <v>547.11149496233713</v>
      </c>
      <c r="AO12" s="95">
        <f t="shared" si="32"/>
        <v>551.32799847503907</v>
      </c>
      <c r="AP12" s="95">
        <f t="shared" si="32"/>
        <v>542.04345462395486</v>
      </c>
      <c r="AQ12" s="160">
        <f t="shared" si="26"/>
        <v>2170.7498021111642</v>
      </c>
      <c r="AR12" s="95">
        <f t="shared" si="32"/>
        <v>580.58432530735047</v>
      </c>
      <c r="AS12" s="95">
        <f t="shared" si="32"/>
        <v>596.71833869363275</v>
      </c>
      <c r="AT12" s="95">
        <f t="shared" si="32"/>
        <v>599.60058979203109</v>
      </c>
      <c r="AU12" s="95">
        <f t="shared" si="32"/>
        <v>585.45365051246154</v>
      </c>
      <c r="AV12" s="160">
        <f t="shared" si="27"/>
        <v>2362.3569043054758</v>
      </c>
    </row>
    <row r="13" spans="1:48" ht="17.25" customHeight="1" outlineLevel="1" x14ac:dyDescent="0.3">
      <c r="B13" s="35" t="s">
        <v>80</v>
      </c>
      <c r="C13" s="18"/>
      <c r="D13" s="95">
        <v>448</v>
      </c>
      <c r="E13" s="95">
        <v>458.1</v>
      </c>
      <c r="F13" s="95">
        <v>459.7</v>
      </c>
      <c r="G13" s="95">
        <f t="shared" si="1"/>
        <v>458.29999999999984</v>
      </c>
      <c r="H13" s="160">
        <v>1824.1</v>
      </c>
      <c r="I13" s="95">
        <v>434.2</v>
      </c>
      <c r="J13" s="95">
        <v>406.5</v>
      </c>
      <c r="K13" s="95">
        <v>399.9</v>
      </c>
      <c r="L13" s="45">
        <v>439</v>
      </c>
      <c r="M13" s="160">
        <f t="shared" si="19"/>
        <v>1679.6</v>
      </c>
      <c r="N13" s="45">
        <v>472.1</v>
      </c>
      <c r="O13" s="95">
        <v>464.4</v>
      </c>
      <c r="P13" s="95">
        <v>494.9</v>
      </c>
      <c r="Q13" s="95">
        <v>501.2</v>
      </c>
      <c r="R13" s="160">
        <f t="shared" si="20"/>
        <v>1932.6000000000001</v>
      </c>
      <c r="S13" s="45">
        <v>525.79999999999995</v>
      </c>
      <c r="T13" s="45">
        <v>481.5</v>
      </c>
      <c r="U13" s="45">
        <v>486.7</v>
      </c>
      <c r="V13" s="45">
        <v>538</v>
      </c>
      <c r="W13" s="160">
        <f t="shared" si="21"/>
        <v>2032</v>
      </c>
      <c r="X13" s="95">
        <f>X67+X100+X115+X128</f>
        <v>554.69648883725165</v>
      </c>
      <c r="Y13" s="95">
        <f t="shared" ref="Y13:AU13" si="33">Y67+Y100+Y115+Y128</f>
        <v>525.05207001813881</v>
      </c>
      <c r="Z13" s="95">
        <f t="shared" si="33"/>
        <v>544.43925963018683</v>
      </c>
      <c r="AA13" s="95">
        <f t="shared" si="33"/>
        <v>483.25796931440573</v>
      </c>
      <c r="AB13" s="160">
        <f t="shared" si="23"/>
        <v>2107.445787799983</v>
      </c>
      <c r="AC13" s="95">
        <f t="shared" si="33"/>
        <v>564.47245784273446</v>
      </c>
      <c r="AD13" s="95">
        <f t="shared" si="33"/>
        <v>564.71462998114384</v>
      </c>
      <c r="AE13" s="95">
        <f t="shared" si="33"/>
        <v>563.95202686595894</v>
      </c>
      <c r="AF13" s="95">
        <f t="shared" si="33"/>
        <v>494.42080421217111</v>
      </c>
      <c r="AG13" s="160">
        <f t="shared" si="24"/>
        <v>2187.5599189020086</v>
      </c>
      <c r="AH13" s="95">
        <f t="shared" si="33"/>
        <v>581.24309778065924</v>
      </c>
      <c r="AI13" s="95">
        <f t="shared" si="33"/>
        <v>581.71848658196723</v>
      </c>
      <c r="AJ13" s="95">
        <f t="shared" si="33"/>
        <v>579.4557884827318</v>
      </c>
      <c r="AK13" s="95">
        <f t="shared" si="33"/>
        <v>502.54832268061494</v>
      </c>
      <c r="AL13" s="160">
        <f t="shared" si="25"/>
        <v>2244.9656955259734</v>
      </c>
      <c r="AM13" s="95">
        <f t="shared" si="33"/>
        <v>610.16859478197807</v>
      </c>
      <c r="AN13" s="95">
        <f t="shared" si="33"/>
        <v>607.28360477389322</v>
      </c>
      <c r="AO13" s="95">
        <f t="shared" si="33"/>
        <v>602.4799227911451</v>
      </c>
      <c r="AP13" s="95">
        <f t="shared" si="33"/>
        <v>516.95922752980152</v>
      </c>
      <c r="AQ13" s="160">
        <f t="shared" si="26"/>
        <v>2336.8913498768179</v>
      </c>
      <c r="AR13" s="95">
        <f t="shared" si="33"/>
        <v>625.86220730426089</v>
      </c>
      <c r="AS13" s="95">
        <f t="shared" si="33"/>
        <v>622.6268003980249</v>
      </c>
      <c r="AT13" s="95">
        <f t="shared" si="33"/>
        <v>617.67739704675273</v>
      </c>
      <c r="AU13" s="95">
        <f t="shared" si="33"/>
        <v>527.82655173337503</v>
      </c>
      <c r="AV13" s="160">
        <f t="shared" si="27"/>
        <v>2393.9929564824133</v>
      </c>
    </row>
    <row r="14" spans="1:48" ht="17.25" customHeight="1" outlineLevel="1" x14ac:dyDescent="0.45">
      <c r="B14" s="35" t="s">
        <v>39</v>
      </c>
      <c r="C14" s="18"/>
      <c r="D14" s="94">
        <v>43.2</v>
      </c>
      <c r="E14" s="94">
        <v>43</v>
      </c>
      <c r="F14" s="94">
        <v>37.700000000000003</v>
      </c>
      <c r="G14" s="94">
        <f t="shared" si="1"/>
        <v>11.900000000000006</v>
      </c>
      <c r="H14" s="163">
        <v>135.80000000000001</v>
      </c>
      <c r="I14" s="94">
        <v>6.3</v>
      </c>
      <c r="J14" s="94">
        <v>-0.7</v>
      </c>
      <c r="K14" s="94">
        <v>78.099999999999994</v>
      </c>
      <c r="L14" s="94">
        <v>195</v>
      </c>
      <c r="M14" s="50">
        <f t="shared" ref="M14" si="34">SUM(I14:L14)</f>
        <v>278.7</v>
      </c>
      <c r="N14" s="49">
        <v>72.2</v>
      </c>
      <c r="O14" s="94">
        <v>23</v>
      </c>
      <c r="P14" s="94">
        <v>19.8</v>
      </c>
      <c r="Q14" s="94">
        <v>55.5</v>
      </c>
      <c r="R14" s="163">
        <f t="shared" ref="R14" si="35">SUM(N14:Q14)</f>
        <v>170.5</v>
      </c>
      <c r="S14" s="49">
        <v>-7.5</v>
      </c>
      <c r="T14" s="49">
        <v>4.4000000000000004</v>
      </c>
      <c r="U14" s="49">
        <v>14</v>
      </c>
      <c r="V14" s="49">
        <v>35.1</v>
      </c>
      <c r="W14" s="163">
        <f t="shared" ref="W14" si="36">SUM(S14:V14)</f>
        <v>46</v>
      </c>
      <c r="X14" s="49">
        <f>+X69+X102+X117+X129</f>
        <v>50</v>
      </c>
      <c r="Y14" s="49">
        <f>+Y69+Y102+Y117+Y129</f>
        <v>0</v>
      </c>
      <c r="Z14" s="49">
        <f>+Z69+Z102+Z117+Z129</f>
        <v>0</v>
      </c>
      <c r="AA14" s="49">
        <f>+AA69+AA102+AA117+AA129</f>
        <v>0</v>
      </c>
      <c r="AB14" s="163">
        <f>SUM(X14:AA14)</f>
        <v>50</v>
      </c>
      <c r="AC14" s="49">
        <f>+AC69+AC102+AC117+AC129</f>
        <v>0</v>
      </c>
      <c r="AD14" s="49">
        <f>+AD69+AD102+AD117+AD129</f>
        <v>0</v>
      </c>
      <c r="AE14" s="49">
        <f>+AE69+AE102+AE117+AE129</f>
        <v>0</v>
      </c>
      <c r="AF14" s="49">
        <f>+AF69+AF102+AF117+AF129</f>
        <v>0</v>
      </c>
      <c r="AG14" s="163">
        <f>SUM(AC14:AF14)</f>
        <v>0</v>
      </c>
      <c r="AH14" s="49">
        <f>+AH69+AH102+AH117+AH129</f>
        <v>0</v>
      </c>
      <c r="AI14" s="49">
        <f>+AI69+AI102+AI117+AI129</f>
        <v>0</v>
      </c>
      <c r="AJ14" s="49">
        <f>+AJ69+AJ102+AJ117+AJ129</f>
        <v>0</v>
      </c>
      <c r="AK14" s="49">
        <f>+AK69+AK102+AK117+AK129</f>
        <v>0</v>
      </c>
      <c r="AL14" s="163">
        <f>SUM(AH14:AK14)</f>
        <v>0</v>
      </c>
      <c r="AM14" s="49">
        <f>+AM69+AM102+AM117+AM129</f>
        <v>0</v>
      </c>
      <c r="AN14" s="49">
        <f>+AN69+AN102+AN117+AN129</f>
        <v>0</v>
      </c>
      <c r="AO14" s="49">
        <f>+AO69+AO102+AO117+AO129</f>
        <v>0</v>
      </c>
      <c r="AP14" s="49">
        <f>+AP69+AP102+AP117+AP129</f>
        <v>0</v>
      </c>
      <c r="AQ14" s="163">
        <f>SUM(AM14:AP14)</f>
        <v>0</v>
      </c>
      <c r="AR14" s="49">
        <f>+AR69+AR102+AR117+AR129</f>
        <v>0</v>
      </c>
      <c r="AS14" s="49">
        <f>+AS69+AS102+AS117+AS129</f>
        <v>0</v>
      </c>
      <c r="AT14" s="49">
        <f>+AT69+AT102+AT117+AT129</f>
        <v>0</v>
      </c>
      <c r="AU14" s="49">
        <f>+AU69+AU102+AU117+AU129</f>
        <v>0</v>
      </c>
      <c r="AV14" s="163">
        <f>SUM(AR14:AU14)</f>
        <v>0</v>
      </c>
    </row>
    <row r="15" spans="1:48" s="20" customFormat="1" ht="17.25" customHeight="1" x14ac:dyDescent="0.45">
      <c r="B15" s="43" t="s">
        <v>8</v>
      </c>
      <c r="C15" s="19"/>
      <c r="D15" s="96">
        <f t="shared" ref="D15:AU15" si="37">SUM(D10:D14)+D9</f>
        <v>5684.8</v>
      </c>
      <c r="E15" s="96">
        <f t="shared" si="37"/>
        <v>5510.5</v>
      </c>
      <c r="F15" s="96">
        <f t="shared" si="37"/>
        <v>5777.6999999999989</v>
      </c>
      <c r="G15" s="96">
        <f t="shared" si="37"/>
        <v>5755.7</v>
      </c>
      <c r="H15" s="165">
        <f t="shared" si="37"/>
        <v>22728.699999999997</v>
      </c>
      <c r="I15" s="96">
        <f t="shared" si="37"/>
        <v>5951.2000000000007</v>
      </c>
      <c r="J15" s="96">
        <f t="shared" si="37"/>
        <v>5576.2000000000007</v>
      </c>
      <c r="K15" s="96">
        <f t="shared" si="37"/>
        <v>4994.3999999999996</v>
      </c>
      <c r="L15" s="51">
        <f t="shared" si="37"/>
        <v>5757</v>
      </c>
      <c r="M15" s="52">
        <f t="shared" si="37"/>
        <v>22278.799999999999</v>
      </c>
      <c r="N15" s="51">
        <f t="shared" si="37"/>
        <v>5918.6</v>
      </c>
      <c r="O15" s="96">
        <f t="shared" si="37"/>
        <v>5757.5</v>
      </c>
      <c r="P15" s="96">
        <f>SUM(P10:P14)+P9</f>
        <v>6113.3000000000011</v>
      </c>
      <c r="Q15" s="96">
        <f>SUM(Q10:Q14)+Q9</f>
        <v>6784.5</v>
      </c>
      <c r="R15" s="165">
        <f t="shared" si="37"/>
        <v>24573.9</v>
      </c>
      <c r="S15" s="51">
        <f>SUM(S10:S14)+S9</f>
        <v>6912.9</v>
      </c>
      <c r="T15" s="51">
        <f t="shared" si="37"/>
        <v>6735.7999999999993</v>
      </c>
      <c r="U15" s="51">
        <f t="shared" si="37"/>
        <v>6908.7000000000007</v>
      </c>
      <c r="V15" s="51">
        <f t="shared" si="37"/>
        <v>7309.3</v>
      </c>
      <c r="W15" s="165">
        <f t="shared" si="37"/>
        <v>27866.700000000004</v>
      </c>
      <c r="X15" s="413">
        <f t="shared" si="37"/>
        <v>7620.0707304848447</v>
      </c>
      <c r="Y15" s="96">
        <f t="shared" si="37"/>
        <v>7378.5689451415692</v>
      </c>
      <c r="Z15" s="96">
        <f t="shared" si="37"/>
        <v>7872.501828884735</v>
      </c>
      <c r="AA15" s="96">
        <f t="shared" si="37"/>
        <v>8001.3870020192517</v>
      </c>
      <c r="AB15" s="165">
        <f>SUM(AB10:AB14)+AB9</f>
        <v>30872.528506530402</v>
      </c>
      <c r="AC15" s="96">
        <f t="shared" si="37"/>
        <v>8344.82455590871</v>
      </c>
      <c r="AD15" s="96">
        <f t="shared" si="37"/>
        <v>8064.5563480943001</v>
      </c>
      <c r="AE15" s="96">
        <f t="shared" si="37"/>
        <v>8658.1156615814598</v>
      </c>
      <c r="AF15" s="96">
        <f t="shared" si="37"/>
        <v>8968.9903630990666</v>
      </c>
      <c r="AG15" s="165">
        <f>SUM(AG10:AG14)+AG9</f>
        <v>34036.486928683538</v>
      </c>
      <c r="AH15" s="96">
        <f t="shared" si="37"/>
        <v>9252.1286869703272</v>
      </c>
      <c r="AI15" s="96">
        <f t="shared" si="37"/>
        <v>8926.5320722477391</v>
      </c>
      <c r="AJ15" s="96">
        <f t="shared" si="37"/>
        <v>9523.4795784426224</v>
      </c>
      <c r="AK15" s="96">
        <f t="shared" si="37"/>
        <v>9948.2603373913043</v>
      </c>
      <c r="AL15" s="165">
        <f>SUM(AL10:AL14)+AL9</f>
        <v>37650.400675051991</v>
      </c>
      <c r="AM15" s="96">
        <f t="shared" si="37"/>
        <v>10217.103917599914</v>
      </c>
      <c r="AN15" s="96">
        <f t="shared" si="37"/>
        <v>9781.7516260527846</v>
      </c>
      <c r="AO15" s="96">
        <f t="shared" si="37"/>
        <v>10383.839664257237</v>
      </c>
      <c r="AP15" s="96">
        <f t="shared" si="37"/>
        <v>10761.925236907742</v>
      </c>
      <c r="AQ15" s="165">
        <f>SUM(AQ10:AQ14)+AQ9</f>
        <v>41144.620444817672</v>
      </c>
      <c r="AR15" s="96">
        <f t="shared" si="37"/>
        <v>10784.208316283673</v>
      </c>
      <c r="AS15" s="96">
        <f t="shared" si="37"/>
        <v>10319.379521705707</v>
      </c>
      <c r="AT15" s="96">
        <f t="shared" si="37"/>
        <v>10955.963223667877</v>
      </c>
      <c r="AU15" s="96">
        <f t="shared" si="37"/>
        <v>11353.760953696346</v>
      </c>
      <c r="AV15" s="165">
        <f>SUM(AV10:AV14)+AV9</f>
        <v>43413.3120153536</v>
      </c>
    </row>
    <row r="16" spans="1:48" s="23" customFormat="1" ht="17.25" customHeight="1" x14ac:dyDescent="0.45">
      <c r="B16" s="522" t="s">
        <v>33</v>
      </c>
      <c r="C16" s="523"/>
      <c r="D16" s="94">
        <v>67.8</v>
      </c>
      <c r="E16" s="94">
        <v>62.3</v>
      </c>
      <c r="F16" s="94">
        <v>76</v>
      </c>
      <c r="G16" s="94">
        <f t="shared" si="1"/>
        <v>91.899999999999991</v>
      </c>
      <c r="H16" s="163">
        <v>298</v>
      </c>
      <c r="I16" s="94">
        <v>73.900000000000006</v>
      </c>
      <c r="J16" s="94">
        <v>67.900000000000006</v>
      </c>
      <c r="K16" s="94">
        <v>68.400000000000006</v>
      </c>
      <c r="L16" s="49">
        <v>112.2</v>
      </c>
      <c r="M16" s="50">
        <f t="shared" ref="M16" si="38">SUM(I16:L16)</f>
        <v>322.40000000000003</v>
      </c>
      <c r="N16" s="49">
        <v>82.7</v>
      </c>
      <c r="O16" s="94">
        <v>77.099999999999994</v>
      </c>
      <c r="P16" s="94">
        <v>105.5</v>
      </c>
      <c r="Q16" s="94">
        <v>120</v>
      </c>
      <c r="R16" s="163">
        <f t="shared" ref="R16" si="39">SUM(N16:Q16)</f>
        <v>385.3</v>
      </c>
      <c r="S16" s="49">
        <v>40.299999999999997</v>
      </c>
      <c r="T16" s="49">
        <v>49.1</v>
      </c>
      <c r="U16" s="49">
        <v>54.1</v>
      </c>
      <c r="V16" s="49">
        <v>90.6</v>
      </c>
      <c r="W16" s="163">
        <f t="shared" ref="W16" si="40">SUM(S16:V16)</f>
        <v>234.1</v>
      </c>
      <c r="X16" s="94">
        <f>X104+X119</f>
        <v>90.4</v>
      </c>
      <c r="Y16" s="94">
        <f t="shared" ref="Y16:AU16" si="41">Y104+Y119</f>
        <v>90.5</v>
      </c>
      <c r="Z16" s="94">
        <f t="shared" si="41"/>
        <v>90.6</v>
      </c>
      <c r="AA16" s="94">
        <f t="shared" si="41"/>
        <v>90.7</v>
      </c>
      <c r="AB16" s="163">
        <f t="shared" ref="AB16" si="42">SUM(X16:AA16)</f>
        <v>362.2</v>
      </c>
      <c r="AC16" s="94">
        <f t="shared" si="41"/>
        <v>91</v>
      </c>
      <c r="AD16" s="94">
        <f t="shared" si="41"/>
        <v>91</v>
      </c>
      <c r="AE16" s="94">
        <f t="shared" si="41"/>
        <v>91</v>
      </c>
      <c r="AF16" s="94">
        <f t="shared" si="41"/>
        <v>91</v>
      </c>
      <c r="AG16" s="163">
        <f t="shared" ref="AG16" si="43">SUM(AC16:AF16)</f>
        <v>364</v>
      </c>
      <c r="AH16" s="94">
        <f t="shared" si="41"/>
        <v>91</v>
      </c>
      <c r="AI16" s="94">
        <f t="shared" si="41"/>
        <v>91</v>
      </c>
      <c r="AJ16" s="94">
        <f t="shared" si="41"/>
        <v>91</v>
      </c>
      <c r="AK16" s="94">
        <f t="shared" si="41"/>
        <v>91</v>
      </c>
      <c r="AL16" s="163">
        <f t="shared" ref="AL16" si="44">SUM(AH16:AK16)</f>
        <v>364</v>
      </c>
      <c r="AM16" s="94">
        <f t="shared" si="41"/>
        <v>91</v>
      </c>
      <c r="AN16" s="94">
        <f t="shared" si="41"/>
        <v>91</v>
      </c>
      <c r="AO16" s="94">
        <f t="shared" si="41"/>
        <v>91</v>
      </c>
      <c r="AP16" s="94">
        <f t="shared" si="41"/>
        <v>91</v>
      </c>
      <c r="AQ16" s="163">
        <f t="shared" ref="AQ16" si="45">SUM(AM16:AP16)</f>
        <v>364</v>
      </c>
      <c r="AR16" s="94">
        <f t="shared" si="41"/>
        <v>91</v>
      </c>
      <c r="AS16" s="94">
        <f t="shared" si="41"/>
        <v>91</v>
      </c>
      <c r="AT16" s="94">
        <f t="shared" si="41"/>
        <v>91</v>
      </c>
      <c r="AU16" s="94">
        <f t="shared" si="41"/>
        <v>91</v>
      </c>
      <c r="AV16" s="163">
        <f t="shared" ref="AV16" si="46">SUM(AR16:AU16)</f>
        <v>364</v>
      </c>
    </row>
    <row r="17" spans="1:48" x14ac:dyDescent="0.3">
      <c r="B17" s="125" t="s">
        <v>10</v>
      </c>
      <c r="C17" s="126"/>
      <c r="D17" s="93">
        <f t="shared" ref="D17:W17" si="47">D8-D15+D16</f>
        <v>1015.7000000000005</v>
      </c>
      <c r="E17" s="93">
        <f t="shared" si="47"/>
        <v>857.69999999999959</v>
      </c>
      <c r="F17" s="93">
        <f t="shared" si="47"/>
        <v>1121.3000000000011</v>
      </c>
      <c r="G17" s="93">
        <f t="shared" si="47"/>
        <v>1083.2000000000012</v>
      </c>
      <c r="H17" s="161">
        <f t="shared" si="47"/>
        <v>4077.9000000000051</v>
      </c>
      <c r="I17" s="93">
        <f t="shared" si="47"/>
        <v>1219.7999999999988</v>
      </c>
      <c r="J17" s="93">
        <f t="shared" si="47"/>
        <v>487.39999999999907</v>
      </c>
      <c r="K17" s="93">
        <f t="shared" si="47"/>
        <v>-703.8999999999993</v>
      </c>
      <c r="L17" s="47">
        <f t="shared" si="47"/>
        <v>558.30000000000041</v>
      </c>
      <c r="M17" s="48">
        <f t="shared" si="47"/>
        <v>1561.6000000000045</v>
      </c>
      <c r="N17" s="47">
        <f t="shared" si="47"/>
        <v>913.50000000000023</v>
      </c>
      <c r="O17" s="93">
        <f t="shared" si="47"/>
        <v>987.6</v>
      </c>
      <c r="P17" s="93">
        <f>P8-P15+P16</f>
        <v>1488.6999999999989</v>
      </c>
      <c r="Q17" s="93">
        <f>Q8-Q15+Q16</f>
        <v>1482.1999999999998</v>
      </c>
      <c r="R17" s="161">
        <f t="shared" si="47"/>
        <v>4871.9999999999973</v>
      </c>
      <c r="S17" s="47">
        <f t="shared" si="47"/>
        <v>1177.8</v>
      </c>
      <c r="T17" s="47">
        <f t="shared" si="47"/>
        <v>948.9000000000002</v>
      </c>
      <c r="U17" s="47">
        <f t="shared" si="47"/>
        <v>1295.4999999999995</v>
      </c>
      <c r="V17" s="47">
        <f t="shared" si="47"/>
        <v>1195.4999999999986</v>
      </c>
      <c r="W17" s="161">
        <f t="shared" si="47"/>
        <v>4617.6999999999953</v>
      </c>
      <c r="X17" s="47">
        <f>X8-X15+X16</f>
        <v>1198.5860203055595</v>
      </c>
      <c r="Y17" s="93">
        <f t="shared" ref="Y17:AU17" si="48">Y8-Y15+Y16</f>
        <v>1166.0793757442279</v>
      </c>
      <c r="Z17" s="93">
        <f t="shared" si="48"/>
        <v>1479.5566997418314</v>
      </c>
      <c r="AA17" s="93">
        <f t="shared" si="48"/>
        <v>1657.9713651411741</v>
      </c>
      <c r="AB17" s="161">
        <f>AB8-AB15+AB16</f>
        <v>5502.1934609327936</v>
      </c>
      <c r="AC17" s="93">
        <f t="shared" si="48"/>
        <v>1581.3206793833579</v>
      </c>
      <c r="AD17" s="93">
        <f t="shared" si="48"/>
        <v>1327.7019544546438</v>
      </c>
      <c r="AE17" s="93">
        <f t="shared" si="48"/>
        <v>1631.2254007056799</v>
      </c>
      <c r="AF17" s="93">
        <f t="shared" si="48"/>
        <v>1681.5081803425837</v>
      </c>
      <c r="AG17" s="161">
        <f>AG8-AG15+AG16</f>
        <v>6221.7562148862635</v>
      </c>
      <c r="AH17" s="93">
        <f t="shared" si="48"/>
        <v>1786.1778478404376</v>
      </c>
      <c r="AI17" s="93">
        <f t="shared" si="48"/>
        <v>1507.8518093139301</v>
      </c>
      <c r="AJ17" s="93">
        <f t="shared" si="48"/>
        <v>1915.8578177765867</v>
      </c>
      <c r="AK17" s="93">
        <f t="shared" si="48"/>
        <v>1913.7006324259019</v>
      </c>
      <c r="AL17" s="161">
        <f>AL8-AL15+AL16</f>
        <v>7123.5881073568526</v>
      </c>
      <c r="AM17" s="93">
        <f t="shared" si="48"/>
        <v>1955.8471872475475</v>
      </c>
      <c r="AN17" s="93">
        <f t="shared" si="48"/>
        <v>1636.5501148313888</v>
      </c>
      <c r="AO17" s="93">
        <f t="shared" si="48"/>
        <v>2056.9395969219477</v>
      </c>
      <c r="AP17" s="93">
        <f t="shared" si="48"/>
        <v>2025.4865507333398</v>
      </c>
      <c r="AQ17" s="161">
        <f>AQ8-AQ15+AQ16</f>
        <v>7674.82344973422</v>
      </c>
      <c r="AR17" s="93">
        <f t="shared" si="48"/>
        <v>2060.1625132340687</v>
      </c>
      <c r="AS17" s="93">
        <f t="shared" si="48"/>
        <v>1725.4048230778299</v>
      </c>
      <c r="AT17" s="93">
        <f t="shared" si="48"/>
        <v>2168.1574705968414</v>
      </c>
      <c r="AU17" s="93">
        <f t="shared" si="48"/>
        <v>2139.6743952642682</v>
      </c>
      <c r="AV17" s="161">
        <f>AV8-AV15+AV16</f>
        <v>8093.3992021730155</v>
      </c>
    </row>
    <row r="18" spans="1:48" ht="16.2" x14ac:dyDescent="0.45">
      <c r="B18" s="113" t="s">
        <v>67</v>
      </c>
      <c r="C18" s="80"/>
      <c r="D18" s="97">
        <f>+D170</f>
        <v>138</v>
      </c>
      <c r="E18" s="97">
        <f>+E170</f>
        <v>141.4</v>
      </c>
      <c r="F18" s="97">
        <f>+F170</f>
        <v>125.30000000000001</v>
      </c>
      <c r="G18" s="97">
        <f>+G170</f>
        <v>77.399999999999991</v>
      </c>
      <c r="H18" s="166">
        <f>SUM(D18:G18)</f>
        <v>482.09999999999997</v>
      </c>
      <c r="I18" s="97">
        <f>+I170</f>
        <v>71.599999999999994</v>
      </c>
      <c r="J18" s="97">
        <f>+J170</f>
        <v>66.8</v>
      </c>
      <c r="K18" s="97">
        <f>+K170</f>
        <v>173.67999999999998</v>
      </c>
      <c r="L18" s="81">
        <f>+L170</f>
        <v>259.5</v>
      </c>
      <c r="M18" s="82">
        <f>SUM(I18:L18)</f>
        <v>571.57999999999993</v>
      </c>
      <c r="N18" s="97">
        <f>+N170</f>
        <v>134.9</v>
      </c>
      <c r="O18" s="97">
        <f>+O170</f>
        <v>88.2</v>
      </c>
      <c r="P18" s="97">
        <f>+P170</f>
        <v>51.7</v>
      </c>
      <c r="Q18" s="97">
        <f>+Q170</f>
        <v>115.2</v>
      </c>
      <c r="R18" s="166">
        <f>SUM(N18:Q18)</f>
        <v>390</v>
      </c>
      <c r="S18" s="81">
        <f>+S170</f>
        <v>35.199999999999996</v>
      </c>
      <c r="T18" s="81">
        <f>+T170</f>
        <v>47.5</v>
      </c>
      <c r="U18" s="81">
        <f>+U170</f>
        <v>77.5</v>
      </c>
      <c r="V18" s="81">
        <f>+V170</f>
        <v>77.099999999999994</v>
      </c>
      <c r="W18" s="166">
        <f>SUM(S18:V18)</f>
        <v>237.29999999999998</v>
      </c>
      <c r="X18" s="81">
        <f>+X170</f>
        <v>60</v>
      </c>
      <c r="Y18" s="97">
        <f t="shared" ref="Y18:AU18" si="49">+Y170</f>
        <v>10</v>
      </c>
      <c r="Z18" s="97">
        <f t="shared" si="49"/>
        <v>10</v>
      </c>
      <c r="AA18" s="97">
        <f t="shared" si="49"/>
        <v>10</v>
      </c>
      <c r="AB18" s="166">
        <f>SUM(X18:AA18)</f>
        <v>90</v>
      </c>
      <c r="AC18" s="97">
        <f t="shared" si="49"/>
        <v>10</v>
      </c>
      <c r="AD18" s="97">
        <f t="shared" si="49"/>
        <v>42</v>
      </c>
      <c r="AE18" s="97">
        <f t="shared" si="49"/>
        <v>42</v>
      </c>
      <c r="AF18" s="97">
        <f t="shared" si="49"/>
        <v>42</v>
      </c>
      <c r="AG18" s="166">
        <f>SUM(AC18:AF18)</f>
        <v>136</v>
      </c>
      <c r="AH18" s="97">
        <f t="shared" si="49"/>
        <v>42</v>
      </c>
      <c r="AI18" s="97">
        <f t="shared" si="49"/>
        <v>42</v>
      </c>
      <c r="AJ18" s="97">
        <f t="shared" si="49"/>
        <v>42</v>
      </c>
      <c r="AK18" s="97">
        <f t="shared" si="49"/>
        <v>42</v>
      </c>
      <c r="AL18" s="166">
        <f>SUM(AH18:AK18)</f>
        <v>168</v>
      </c>
      <c r="AM18" s="97">
        <f t="shared" si="49"/>
        <v>42</v>
      </c>
      <c r="AN18" s="97">
        <f t="shared" si="49"/>
        <v>42</v>
      </c>
      <c r="AO18" s="97">
        <f t="shared" si="49"/>
        <v>42</v>
      </c>
      <c r="AP18" s="97">
        <f t="shared" si="49"/>
        <v>42</v>
      </c>
      <c r="AQ18" s="166">
        <f>SUM(AM18:AP18)</f>
        <v>168</v>
      </c>
      <c r="AR18" s="97">
        <f t="shared" si="49"/>
        <v>42</v>
      </c>
      <c r="AS18" s="97">
        <f t="shared" si="49"/>
        <v>42</v>
      </c>
      <c r="AT18" s="97">
        <f t="shared" si="49"/>
        <v>42</v>
      </c>
      <c r="AU18" s="97">
        <f t="shared" si="49"/>
        <v>42</v>
      </c>
      <c r="AV18" s="166">
        <f>SUM(AR18:AU18)</f>
        <v>168</v>
      </c>
    </row>
    <row r="19" spans="1:48" x14ac:dyDescent="0.3">
      <c r="B19" s="114" t="s">
        <v>68</v>
      </c>
      <c r="C19" s="73"/>
      <c r="D19" s="98">
        <f t="shared" ref="D19:AU19" si="50">+D17+D18</f>
        <v>1153.7000000000005</v>
      </c>
      <c r="E19" s="98">
        <f t="shared" si="50"/>
        <v>999.09999999999957</v>
      </c>
      <c r="F19" s="98">
        <f t="shared" si="50"/>
        <v>1246.600000000001</v>
      </c>
      <c r="G19" s="98">
        <f t="shared" si="50"/>
        <v>1160.6000000000013</v>
      </c>
      <c r="H19" s="167">
        <f t="shared" si="50"/>
        <v>4560.0000000000055</v>
      </c>
      <c r="I19" s="98">
        <f t="shared" si="50"/>
        <v>1291.3999999999987</v>
      </c>
      <c r="J19" s="98">
        <f t="shared" si="50"/>
        <v>554.19999999999902</v>
      </c>
      <c r="K19" s="98">
        <f t="shared" si="50"/>
        <v>-530.21999999999935</v>
      </c>
      <c r="L19" s="74">
        <f t="shared" si="50"/>
        <v>817.80000000000041</v>
      </c>
      <c r="M19" s="75">
        <f t="shared" si="50"/>
        <v>2133.1800000000044</v>
      </c>
      <c r="N19" s="98">
        <f t="shared" si="50"/>
        <v>1048.4000000000003</v>
      </c>
      <c r="O19" s="98">
        <f t="shared" si="50"/>
        <v>1075.8</v>
      </c>
      <c r="P19" s="98">
        <f t="shared" si="50"/>
        <v>1540.399999999999</v>
      </c>
      <c r="Q19" s="98">
        <f t="shared" si="50"/>
        <v>1597.3999999999999</v>
      </c>
      <c r="R19" s="167">
        <f t="shared" si="50"/>
        <v>5261.9999999999973</v>
      </c>
      <c r="S19" s="74">
        <f t="shared" si="50"/>
        <v>1213</v>
      </c>
      <c r="T19" s="74">
        <f t="shared" si="50"/>
        <v>996.4000000000002</v>
      </c>
      <c r="U19" s="74">
        <f t="shared" si="50"/>
        <v>1372.9999999999995</v>
      </c>
      <c r="V19" s="74">
        <f t="shared" si="50"/>
        <v>1272.5999999999985</v>
      </c>
      <c r="W19" s="167">
        <f t="shared" si="50"/>
        <v>4854.9999999999955</v>
      </c>
      <c r="X19" s="74">
        <f t="shared" si="50"/>
        <v>1258.5860203055595</v>
      </c>
      <c r="Y19" s="98">
        <f t="shared" si="50"/>
        <v>1176.0793757442279</v>
      </c>
      <c r="Z19" s="98">
        <f t="shared" si="50"/>
        <v>1489.5566997418314</v>
      </c>
      <c r="AA19" s="98">
        <f t="shared" si="50"/>
        <v>1667.9713651411741</v>
      </c>
      <c r="AB19" s="167">
        <f t="shared" si="50"/>
        <v>5592.1934609327936</v>
      </c>
      <c r="AC19" s="98">
        <f t="shared" si="50"/>
        <v>1591.3206793833579</v>
      </c>
      <c r="AD19" s="98">
        <f t="shared" si="50"/>
        <v>1369.7019544546438</v>
      </c>
      <c r="AE19" s="98">
        <f t="shared" si="50"/>
        <v>1673.2254007056799</v>
      </c>
      <c r="AF19" s="98">
        <f t="shared" si="50"/>
        <v>1723.5081803425837</v>
      </c>
      <c r="AG19" s="167">
        <f t="shared" ref="AG19" si="51">+AG17+AG18</f>
        <v>6357.7562148862635</v>
      </c>
      <c r="AH19" s="98">
        <f t="shared" si="50"/>
        <v>1828.1778478404376</v>
      </c>
      <c r="AI19" s="98">
        <f t="shared" si="50"/>
        <v>1549.8518093139301</v>
      </c>
      <c r="AJ19" s="98">
        <f t="shared" si="50"/>
        <v>1957.8578177765867</v>
      </c>
      <c r="AK19" s="98">
        <f t="shared" si="50"/>
        <v>1955.7006324259019</v>
      </c>
      <c r="AL19" s="167">
        <f t="shared" ref="AL19" si="52">+AL17+AL18</f>
        <v>7291.5881073568526</v>
      </c>
      <c r="AM19" s="98">
        <f t="shared" si="50"/>
        <v>1997.8471872475475</v>
      </c>
      <c r="AN19" s="98">
        <f t="shared" si="50"/>
        <v>1678.5501148313888</v>
      </c>
      <c r="AO19" s="98">
        <f t="shared" si="50"/>
        <v>2098.9395969219477</v>
      </c>
      <c r="AP19" s="98">
        <f t="shared" si="50"/>
        <v>2067.4865507333398</v>
      </c>
      <c r="AQ19" s="167">
        <f t="shared" ref="AQ19" si="53">+AQ17+AQ18</f>
        <v>7842.82344973422</v>
      </c>
      <c r="AR19" s="98">
        <f t="shared" si="50"/>
        <v>2102.1625132340687</v>
      </c>
      <c r="AS19" s="98">
        <f t="shared" si="50"/>
        <v>1767.4048230778299</v>
      </c>
      <c r="AT19" s="98">
        <f t="shared" si="50"/>
        <v>2210.1574705968414</v>
      </c>
      <c r="AU19" s="98">
        <f t="shared" si="50"/>
        <v>2181.6743952642682</v>
      </c>
      <c r="AV19" s="167">
        <f t="shared" ref="AV19" si="54">+AV17+AV18</f>
        <v>8261.3992021730155</v>
      </c>
    </row>
    <row r="20" spans="1:48" x14ac:dyDescent="0.3">
      <c r="B20" s="35" t="s">
        <v>60</v>
      </c>
      <c r="C20" s="18"/>
      <c r="D20" s="95">
        <v>0</v>
      </c>
      <c r="E20" s="95">
        <v>21</v>
      </c>
      <c r="F20" s="95">
        <v>601.79999999999995</v>
      </c>
      <c r="G20" s="95">
        <f t="shared" ref="G20:G22" si="55">H20-F20-E20-D20</f>
        <v>0</v>
      </c>
      <c r="H20" s="160">
        <v>622.79999999999995</v>
      </c>
      <c r="I20" s="95">
        <v>0</v>
      </c>
      <c r="J20" s="95">
        <v>0</v>
      </c>
      <c r="K20" s="95">
        <v>0</v>
      </c>
      <c r="L20" s="95">
        <v>0</v>
      </c>
      <c r="M20" s="160">
        <f>SUM(I20:L20)</f>
        <v>0</v>
      </c>
      <c r="N20" s="95">
        <v>0</v>
      </c>
      <c r="O20" s="95">
        <v>0</v>
      </c>
      <c r="P20" s="95">
        <v>0</v>
      </c>
      <c r="Q20" s="95">
        <v>864.5</v>
      </c>
      <c r="R20" s="160">
        <f>SUM(N20:Q20)</f>
        <v>864.5</v>
      </c>
      <c r="S20" s="95">
        <v>0</v>
      </c>
      <c r="T20" s="95">
        <v>0</v>
      </c>
      <c r="U20" s="95">
        <v>0</v>
      </c>
      <c r="V20" s="95">
        <v>0</v>
      </c>
      <c r="W20" s="160">
        <f>SUM(S20:V20)</f>
        <v>0</v>
      </c>
      <c r="X20" s="95"/>
      <c r="Y20" s="95"/>
      <c r="Z20" s="95"/>
      <c r="AA20" s="95"/>
      <c r="AB20" s="160"/>
      <c r="AC20" s="95"/>
      <c r="AD20" s="95"/>
      <c r="AE20" s="95"/>
      <c r="AF20" s="95"/>
      <c r="AG20" s="160"/>
      <c r="AH20" s="95"/>
      <c r="AI20" s="95"/>
      <c r="AJ20" s="95"/>
      <c r="AK20" s="95"/>
      <c r="AL20" s="160"/>
      <c r="AM20" s="95"/>
      <c r="AN20" s="95"/>
      <c r="AO20" s="95"/>
      <c r="AP20" s="95"/>
      <c r="AQ20" s="160"/>
      <c r="AR20" s="95"/>
      <c r="AS20" s="95"/>
      <c r="AT20" s="95"/>
      <c r="AU20" s="95"/>
      <c r="AV20" s="160"/>
    </row>
    <row r="21" spans="1:48" x14ac:dyDescent="0.3">
      <c r="B21" s="35" t="s">
        <v>34</v>
      </c>
      <c r="C21" s="18"/>
      <c r="D21" s="95">
        <v>24.8</v>
      </c>
      <c r="E21" s="95">
        <v>15.2</v>
      </c>
      <c r="F21" s="92">
        <v>40.200000000000003</v>
      </c>
      <c r="G21" s="95">
        <f t="shared" si="55"/>
        <v>16.299999999999994</v>
      </c>
      <c r="H21" s="160">
        <v>96.5</v>
      </c>
      <c r="I21" s="95">
        <v>15.9</v>
      </c>
      <c r="J21" s="95">
        <v>2</v>
      </c>
      <c r="K21" s="95">
        <v>12.7</v>
      </c>
      <c r="L21" s="95">
        <v>9.1</v>
      </c>
      <c r="M21" s="160">
        <f t="shared" ref="M21:M22" si="56">SUM(I21:L21)</f>
        <v>39.699999999999996</v>
      </c>
      <c r="N21" s="95">
        <v>15.5</v>
      </c>
      <c r="O21" s="95">
        <v>17.3</v>
      </c>
      <c r="P21" s="95">
        <v>36</v>
      </c>
      <c r="Q21" s="95">
        <v>21.5</v>
      </c>
      <c r="R21" s="160">
        <f t="shared" ref="R21" si="57">SUM(N21:Q21)</f>
        <v>90.3</v>
      </c>
      <c r="S21" s="95">
        <v>-0.1</v>
      </c>
      <c r="T21" s="95">
        <v>46.3</v>
      </c>
      <c r="U21" s="95">
        <v>19.8</v>
      </c>
      <c r="V21" s="95">
        <v>31</v>
      </c>
      <c r="W21" s="160">
        <f t="shared" ref="W21:W22" si="58">SUM(S21:V21)</f>
        <v>97</v>
      </c>
      <c r="X21" s="95">
        <f>('Balance Sheet'!V6+'Balance Sheet'!V7+'Balance Sheet'!V12)*'Income Statement &amp; Segments'!X144</f>
        <v>29.1536469218868</v>
      </c>
      <c r="Y21" s="95">
        <f>('Balance Sheet'!X6+'Balance Sheet'!X7+'Balance Sheet'!X12)*'Income Statement &amp; Segments'!Y144</f>
        <v>58.892856358979579</v>
      </c>
      <c r="Z21" s="95">
        <f>('Balance Sheet'!Y6+'Balance Sheet'!Y7+'Balance Sheet'!Y12)*'Income Statement &amp; Segments'!Z144</f>
        <v>52.49625805484159</v>
      </c>
      <c r="AA21" s="95">
        <f>('Balance Sheet'!Z6+'Balance Sheet'!Z7+'Balance Sheet'!Z12)*'Income Statement &amp; Segments'!AA144</f>
        <v>29.243394547991983</v>
      </c>
      <c r="AB21" s="160">
        <f t="shared" ref="AB21:AB22" si="59">SUM(X21:AA21)</f>
        <v>169.78615588369993</v>
      </c>
      <c r="AC21" s="95">
        <f>('Balance Sheet'!AA6+'Balance Sheet'!AA7+'Balance Sheet'!AA12)*'Income Statement &amp; Segments'!AC144</f>
        <v>33.444272793866865</v>
      </c>
      <c r="AD21" s="95">
        <f>('Balance Sheet'!AC6+'Balance Sheet'!AC7+'Balance Sheet'!AC12)*'Income Statement &amp; Segments'!AD144</f>
        <v>43.669535899630588</v>
      </c>
      <c r="AE21" s="95">
        <f>('Balance Sheet'!AD6+'Balance Sheet'!AD7+'Balance Sheet'!AD12)*'Income Statement &amp; Segments'!AE144</f>
        <v>42.279664645929067</v>
      </c>
      <c r="AF21" s="95">
        <f>('Balance Sheet'!AE6+'Balance Sheet'!AE7+'Balance Sheet'!AE12)*'Income Statement &amp; Segments'!AF144</f>
        <v>41.774076525456046</v>
      </c>
      <c r="AG21" s="160">
        <f t="shared" ref="AG21:AG22" si="60">SUM(AC21:AF21)</f>
        <v>161.16754986488257</v>
      </c>
      <c r="AH21" s="95">
        <f>('Balance Sheet'!AF6+'Balance Sheet'!AF7+'Balance Sheet'!AF12)*'Income Statement &amp; Segments'!AH144</f>
        <v>44.217819833167596</v>
      </c>
      <c r="AI21" s="95">
        <f>('Balance Sheet'!AH6+'Balance Sheet'!AH7+'Balance Sheet'!AH12)*'Income Statement &amp; Segments'!AI144</f>
        <v>51.516570528626403</v>
      </c>
      <c r="AJ21" s="95">
        <f>('Balance Sheet'!AI6+'Balance Sheet'!AI7+'Balance Sheet'!AI12)*'Income Statement &amp; Segments'!AJ144</f>
        <v>47.689659565441296</v>
      </c>
      <c r="AK21" s="95">
        <f>('Balance Sheet'!AJ6+'Balance Sheet'!AJ7+'Balance Sheet'!AJ12)*'Income Statement &amp; Segments'!AK144</f>
        <v>49.918673818241189</v>
      </c>
      <c r="AL21" s="160">
        <f t="shared" ref="AL21:AL22" si="61">SUM(AH21:AK21)</f>
        <v>193.34272374547649</v>
      </c>
      <c r="AM21" s="95">
        <f>('Balance Sheet'!AK6+'Balance Sheet'!AK7+'Balance Sheet'!AK12)*'Income Statement &amp; Segments'!AM144</f>
        <v>9.1244248737760039</v>
      </c>
      <c r="AN21" s="95">
        <f>('Balance Sheet'!AM6+'Balance Sheet'!AM7+'Balance Sheet'!AM12)*'Income Statement &amp; Segments'!AN144</f>
        <v>21.701344786072685</v>
      </c>
      <c r="AO21" s="95">
        <f>('Balance Sheet'!AN6+'Balance Sheet'!AN7+'Balance Sheet'!AN12)*'Income Statement &amp; Segments'!AO144</f>
        <v>18.830812993601729</v>
      </c>
      <c r="AP21" s="95">
        <f>('Balance Sheet'!AO6+'Balance Sheet'!AO7+'Balance Sheet'!AO12)*'Income Statement &amp; Segments'!AP144</f>
        <v>20.136937504714858</v>
      </c>
      <c r="AQ21" s="160">
        <f t="shared" ref="AQ21:AQ22" si="62">SUM(AM21:AP21)</f>
        <v>69.793520158165279</v>
      </c>
      <c r="AR21" s="95">
        <f>('Balance Sheet'!AP6+'Balance Sheet'!AP7+'Balance Sheet'!AP12)*'Income Statement &amp; Segments'!AR144</f>
        <v>25.199736932246498</v>
      </c>
      <c r="AS21" s="95">
        <f>('Balance Sheet'!AR6+'Balance Sheet'!AR7+'Balance Sheet'!AR12)*'Income Statement &amp; Segments'!AS144</f>
        <v>38.820512877907348</v>
      </c>
      <c r="AT21" s="95">
        <f>('Balance Sheet'!AS6+'Balance Sheet'!AS7+'Balance Sheet'!AS12)*'Income Statement &amp; Segments'!AT144</f>
        <v>37.089378353971775</v>
      </c>
      <c r="AU21" s="95">
        <f>('Balance Sheet'!AT6+'Balance Sheet'!AT7+'Balance Sheet'!AT12)*'Income Statement &amp; Segments'!AU144</f>
        <v>38.111063060486579</v>
      </c>
      <c r="AV21" s="160">
        <f t="shared" ref="AV21:AV22" si="63">SUM(AR21:AU21)</f>
        <v>139.22069122461218</v>
      </c>
    </row>
    <row r="22" spans="1:48" ht="16.2" x14ac:dyDescent="0.45">
      <c r="B22" s="35" t="s">
        <v>35</v>
      </c>
      <c r="C22" s="325"/>
      <c r="D22" s="94">
        <v>-75</v>
      </c>
      <c r="E22" s="94">
        <v>-73.900000000000006</v>
      </c>
      <c r="F22" s="94">
        <v>-86.4</v>
      </c>
      <c r="G22" s="94">
        <f t="shared" si="55"/>
        <v>-95.699999999999989</v>
      </c>
      <c r="H22" s="163">
        <v>-331</v>
      </c>
      <c r="I22" s="94">
        <v>-91.9</v>
      </c>
      <c r="J22" s="94">
        <v>-99.2</v>
      </c>
      <c r="K22" s="94">
        <v>-120.8</v>
      </c>
      <c r="L22" s="94">
        <v>-125</v>
      </c>
      <c r="M22" s="163">
        <f t="shared" si="56"/>
        <v>-436.90000000000003</v>
      </c>
      <c r="N22" s="94">
        <v>-120.7</v>
      </c>
      <c r="O22" s="94">
        <v>-115</v>
      </c>
      <c r="P22" s="94">
        <v>-113.4</v>
      </c>
      <c r="Q22" s="94">
        <v>-120.6</v>
      </c>
      <c r="R22" s="163">
        <f t="shared" ref="R22" si="64">SUM(N22:Q22)</f>
        <v>-469.70000000000005</v>
      </c>
      <c r="S22" s="94">
        <v>-115.3</v>
      </c>
      <c r="T22" s="94">
        <v>-119.1</v>
      </c>
      <c r="U22" s="94">
        <v>-123.1</v>
      </c>
      <c r="V22" s="94">
        <v>-125.3</v>
      </c>
      <c r="W22" s="163">
        <f t="shared" si="58"/>
        <v>-482.8</v>
      </c>
      <c r="X22" s="94">
        <f>-('Balance Sheet'!V28+'Balance Sheet'!V31)*'Income Statement &amp; Segments'!X145</f>
        <v>-137.50000000000003</v>
      </c>
      <c r="Y22" s="94">
        <f>-('Balance Sheet'!X28+'Balance Sheet'!X31)*'Income Statement &amp; Segments'!Y145</f>
        <v>-137.50000000000003</v>
      </c>
      <c r="Z22" s="94">
        <f>-('Balance Sheet'!Y28+'Balance Sheet'!Y31)*'Income Statement &amp; Segments'!Z145</f>
        <v>-137.50000000000003</v>
      </c>
      <c r="AA22" s="94">
        <f>-('Balance Sheet'!Z28+'Balance Sheet'!Z31)*'Income Statement &amp; Segments'!AA145</f>
        <v>-137.50000000000003</v>
      </c>
      <c r="AB22" s="163">
        <f t="shared" si="59"/>
        <v>-550.00000000000011</v>
      </c>
      <c r="AC22" s="94">
        <f>-('Balance Sheet'!AA28+'Balance Sheet'!AA31)*'Income Statement &amp; Segments'!AC145</f>
        <v>-139.00439000000003</v>
      </c>
      <c r="AD22" s="94">
        <f>-('Balance Sheet'!AC28+'Balance Sheet'!AC31)*'Income Statement &amp; Segments'!AD145</f>
        <v>-140.50878000000003</v>
      </c>
      <c r="AE22" s="94">
        <f>-('Balance Sheet'!AD28+'Balance Sheet'!AD31)*'Income Statement &amp; Segments'!AE145</f>
        <v>-142.01033802484727</v>
      </c>
      <c r="AF22" s="94">
        <f>-('Balance Sheet'!AE28+'Balance Sheet'!AE31)*'Income Statement &amp; Segments'!AF145</f>
        <v>-143.51469802484726</v>
      </c>
      <c r="AG22" s="163">
        <f t="shared" si="60"/>
        <v>-565.03820604969462</v>
      </c>
      <c r="AH22" s="94">
        <f>-('Balance Sheet'!AF28+'Balance Sheet'!AF31)*'Income Statement &amp; Segments'!AH145</f>
        <v>-145.98304974242049</v>
      </c>
      <c r="AI22" s="94">
        <f>-('Balance Sheet'!AH28+'Balance Sheet'!AH31)*'Income Statement &amp; Segments'!AI145</f>
        <v>-147.4974097424205</v>
      </c>
      <c r="AJ22" s="94">
        <f>-('Balance Sheet'!AI28+'Balance Sheet'!AI31)*'Income Statement &amp; Segments'!AJ145</f>
        <v>-149.01176974242048</v>
      </c>
      <c r="AK22" s="94">
        <f>-('Balance Sheet'!AJ28+'Balance Sheet'!AJ31)*'Income Statement &amp; Segments'!AK145</f>
        <v>-206.96357372073936</v>
      </c>
      <c r="AL22" s="163">
        <f t="shared" si="61"/>
        <v>-649.45580294800084</v>
      </c>
      <c r="AM22" s="94">
        <f>-('Balance Sheet'!AK28+'Balance Sheet'!AK31)*'Income Statement &amp; Segments'!AM145</f>
        <v>-206.96357372073936</v>
      </c>
      <c r="AN22" s="94">
        <f>-('Balance Sheet'!AM28+'Balance Sheet'!AM31)*'Income Statement &amp; Segments'!AN145</f>
        <v>-206.96357372073936</v>
      </c>
      <c r="AO22" s="94">
        <f>-('Balance Sheet'!AN28+'Balance Sheet'!AN31)*'Income Statement &amp; Segments'!AO145</f>
        <v>-206.96357372073936</v>
      </c>
      <c r="AP22" s="94">
        <f>-('Balance Sheet'!AO28+'Balance Sheet'!AO31)*'Income Statement &amp; Segments'!AP145</f>
        <v>-206.96357372073936</v>
      </c>
      <c r="AQ22" s="163">
        <f t="shared" si="62"/>
        <v>-827.85429488295745</v>
      </c>
      <c r="AR22" s="94">
        <f>-('Balance Sheet'!AP28+'Balance Sheet'!AP31)*'Income Statement &amp; Segments'!AR145</f>
        <v>-206.96357372073936</v>
      </c>
      <c r="AS22" s="94">
        <f>-('Balance Sheet'!AR28+'Balance Sheet'!AR31)*'Income Statement &amp; Segments'!AS145</f>
        <v>-206.96357372073936</v>
      </c>
      <c r="AT22" s="94">
        <f>-('Balance Sheet'!AS28+'Balance Sheet'!AS31)*'Income Statement &amp; Segments'!AT145</f>
        <v>-206.96357372073936</v>
      </c>
      <c r="AU22" s="94">
        <f>-('Balance Sheet'!AT28+'Balance Sheet'!AT31)*'Income Statement &amp; Segments'!AU145</f>
        <v>-206.96357372073936</v>
      </c>
      <c r="AV22" s="163">
        <f t="shared" si="63"/>
        <v>-827.85429488295745</v>
      </c>
    </row>
    <row r="23" spans="1:48" x14ac:dyDescent="0.3">
      <c r="B23" s="524" t="s">
        <v>11</v>
      </c>
      <c r="C23" s="525"/>
      <c r="D23" s="93">
        <f t="shared" ref="D23:W23" si="65">D17+D21+D22+D20</f>
        <v>965.50000000000045</v>
      </c>
      <c r="E23" s="93">
        <f t="shared" si="65"/>
        <v>819.99999999999966</v>
      </c>
      <c r="F23" s="93">
        <f t="shared" si="65"/>
        <v>1676.900000000001</v>
      </c>
      <c r="G23" s="93">
        <f t="shared" si="65"/>
        <v>1003.8000000000011</v>
      </c>
      <c r="H23" s="161">
        <f t="shared" si="65"/>
        <v>4466.2000000000053</v>
      </c>
      <c r="I23" s="93">
        <f t="shared" si="65"/>
        <v>1143.7999999999988</v>
      </c>
      <c r="J23" s="93">
        <f t="shared" si="65"/>
        <v>390.19999999999908</v>
      </c>
      <c r="K23" s="93">
        <f t="shared" si="65"/>
        <v>-811.9999999999992</v>
      </c>
      <c r="L23" s="47">
        <f t="shared" si="65"/>
        <v>442.40000000000043</v>
      </c>
      <c r="M23" s="48">
        <f t="shared" si="65"/>
        <v>1164.4000000000044</v>
      </c>
      <c r="N23" s="47">
        <f t="shared" si="65"/>
        <v>808.30000000000018</v>
      </c>
      <c r="O23" s="93">
        <f t="shared" si="65"/>
        <v>889.9</v>
      </c>
      <c r="P23" s="93">
        <f t="shared" si="65"/>
        <v>1411.2999999999988</v>
      </c>
      <c r="Q23" s="93">
        <f>Q17+Q21+Q22+Q20</f>
        <v>2247.6</v>
      </c>
      <c r="R23" s="161">
        <f t="shared" si="65"/>
        <v>5357.0999999999976</v>
      </c>
      <c r="S23" s="47">
        <f t="shared" si="65"/>
        <v>1062.4000000000001</v>
      </c>
      <c r="T23" s="47">
        <f t="shared" si="65"/>
        <v>876.10000000000014</v>
      </c>
      <c r="U23" s="47">
        <f t="shared" si="65"/>
        <v>1192.1999999999996</v>
      </c>
      <c r="V23" s="47">
        <f t="shared" si="65"/>
        <v>1101.1999999999987</v>
      </c>
      <c r="W23" s="161">
        <f t="shared" si="65"/>
        <v>4231.8999999999951</v>
      </c>
      <c r="X23" s="47">
        <f>X17+X21+X22+X20</f>
        <v>1090.2396672274463</v>
      </c>
      <c r="Y23" s="47">
        <f t="shared" ref="Y23:AU23" si="66">Y17+Y21+Y22+Y20</f>
        <v>1087.4722321032075</v>
      </c>
      <c r="Z23" s="47">
        <f t="shared" si="66"/>
        <v>1394.5529577966729</v>
      </c>
      <c r="AA23" s="47">
        <f t="shared" si="66"/>
        <v>1549.7147596891662</v>
      </c>
      <c r="AB23" s="161">
        <f t="shared" si="66"/>
        <v>5121.9796168164939</v>
      </c>
      <c r="AC23" s="93">
        <f t="shared" si="66"/>
        <v>1475.7605621772248</v>
      </c>
      <c r="AD23" s="93">
        <f t="shared" si="66"/>
        <v>1230.8627103542742</v>
      </c>
      <c r="AE23" s="93">
        <f t="shared" si="66"/>
        <v>1531.4947273267617</v>
      </c>
      <c r="AF23" s="93">
        <f t="shared" si="66"/>
        <v>1579.7675588431923</v>
      </c>
      <c r="AG23" s="161">
        <f t="shared" ref="AG23" si="67">AG17+AG21+AG22+AG20</f>
        <v>5817.8855587014514</v>
      </c>
      <c r="AH23" s="93">
        <f t="shared" si="66"/>
        <v>1684.4126179311847</v>
      </c>
      <c r="AI23" s="93">
        <f t="shared" si="66"/>
        <v>1411.8709701001358</v>
      </c>
      <c r="AJ23" s="93">
        <f t="shared" si="66"/>
        <v>1814.5357075996076</v>
      </c>
      <c r="AK23" s="93">
        <f t="shared" si="66"/>
        <v>1756.6557325234037</v>
      </c>
      <c r="AL23" s="161">
        <f t="shared" ref="AL23" si="68">AL17+AL21+AL22+AL20</f>
        <v>6667.4750281543274</v>
      </c>
      <c r="AM23" s="93">
        <f t="shared" si="66"/>
        <v>1758.0080384005842</v>
      </c>
      <c r="AN23" s="93">
        <f t="shared" si="66"/>
        <v>1451.2878858967222</v>
      </c>
      <c r="AO23" s="93">
        <f t="shared" si="66"/>
        <v>1868.8068361948101</v>
      </c>
      <c r="AP23" s="93">
        <f t="shared" si="66"/>
        <v>1838.6599145173152</v>
      </c>
      <c r="AQ23" s="161">
        <f t="shared" ref="AQ23" si="69">AQ17+AQ21+AQ22+AQ20</f>
        <v>6916.7626750094278</v>
      </c>
      <c r="AR23" s="93">
        <f t="shared" si="66"/>
        <v>1878.398676445576</v>
      </c>
      <c r="AS23" s="93">
        <f t="shared" si="66"/>
        <v>1557.2617622349978</v>
      </c>
      <c r="AT23" s="93">
        <f t="shared" si="66"/>
        <v>1998.283275230074</v>
      </c>
      <c r="AU23" s="93">
        <f t="shared" si="66"/>
        <v>1970.8218846040156</v>
      </c>
      <c r="AV23" s="161">
        <f t="shared" ref="AV23" si="70">AV17+AV21+AV22+AV20</f>
        <v>7404.7655985146712</v>
      </c>
    </row>
    <row r="24" spans="1:48" ht="16.2" x14ac:dyDescent="0.45">
      <c r="B24" s="526" t="s">
        <v>5</v>
      </c>
      <c r="C24" s="527"/>
      <c r="D24" s="94">
        <v>205.1</v>
      </c>
      <c r="E24" s="94">
        <v>161.19999999999999</v>
      </c>
      <c r="F24" s="94">
        <v>303.7</v>
      </c>
      <c r="G24" s="94">
        <f t="shared" ref="G24" si="71">H24-F24-E24-D24</f>
        <v>201.60000000000011</v>
      </c>
      <c r="H24" s="163">
        <v>871.6</v>
      </c>
      <c r="I24" s="94">
        <v>258.5</v>
      </c>
      <c r="J24" s="94">
        <v>65.400000000000006</v>
      </c>
      <c r="K24" s="94">
        <v>-133.9</v>
      </c>
      <c r="L24" s="49">
        <v>49.7</v>
      </c>
      <c r="M24" s="50">
        <f>SUM(I24:L24)</f>
        <v>239.7</v>
      </c>
      <c r="N24" s="49">
        <v>186.1</v>
      </c>
      <c r="O24" s="94">
        <v>230.5</v>
      </c>
      <c r="P24" s="94">
        <v>257.10000000000002</v>
      </c>
      <c r="Q24" s="94">
        <v>483</v>
      </c>
      <c r="R24" s="163">
        <f>SUM(N24:Q24)</f>
        <v>1156.7</v>
      </c>
      <c r="S24" s="49">
        <v>246.3</v>
      </c>
      <c r="T24" s="49">
        <v>201.1</v>
      </c>
      <c r="U24" s="49">
        <v>278.5</v>
      </c>
      <c r="V24" s="49">
        <v>222.7</v>
      </c>
      <c r="W24" s="163">
        <f>SUM(S24:V24)</f>
        <v>948.59999999999991</v>
      </c>
      <c r="X24" s="94">
        <f>X23*X143</f>
        <v>267.10871847072434</v>
      </c>
      <c r="Y24" s="94">
        <f t="shared" ref="Y24:AU24" si="72">Y23*Y143</f>
        <v>266.43069686528582</v>
      </c>
      <c r="Z24" s="94">
        <f t="shared" si="72"/>
        <v>341.66547466018483</v>
      </c>
      <c r="AA24" s="94">
        <f t="shared" si="72"/>
        <v>379.68011612384572</v>
      </c>
      <c r="AB24" s="163">
        <f>SUM(X24:AA24)</f>
        <v>1254.8850061200408</v>
      </c>
      <c r="AC24" s="94">
        <f t="shared" si="72"/>
        <v>361.56133773342003</v>
      </c>
      <c r="AD24" s="94">
        <f t="shared" si="72"/>
        <v>301.56136403679716</v>
      </c>
      <c r="AE24" s="94">
        <f t="shared" si="72"/>
        <v>375.21620819505659</v>
      </c>
      <c r="AF24" s="94">
        <f t="shared" si="72"/>
        <v>387.0430519165821</v>
      </c>
      <c r="AG24" s="163">
        <f>SUM(AC24:AF24)</f>
        <v>1425.3819618818559</v>
      </c>
      <c r="AH24" s="94">
        <f t="shared" si="72"/>
        <v>412.68109139314026</v>
      </c>
      <c r="AI24" s="94">
        <f t="shared" si="72"/>
        <v>345.90838767453323</v>
      </c>
      <c r="AJ24" s="94">
        <f t="shared" si="72"/>
        <v>444.56124836190384</v>
      </c>
      <c r="AK24" s="94">
        <f t="shared" si="72"/>
        <v>430.3806544682339</v>
      </c>
      <c r="AL24" s="163">
        <f>SUM(AH24:AK24)</f>
        <v>1633.5313818978111</v>
      </c>
      <c r="AM24" s="94">
        <f t="shared" si="72"/>
        <v>430.71196940814309</v>
      </c>
      <c r="AN24" s="94">
        <f t="shared" si="72"/>
        <v>355.56553204469691</v>
      </c>
      <c r="AO24" s="94">
        <f t="shared" si="72"/>
        <v>457.85767486772846</v>
      </c>
      <c r="AP24" s="94">
        <f t="shared" si="72"/>
        <v>450.47167905674223</v>
      </c>
      <c r="AQ24" s="163">
        <f>SUM(AM24:AP24)</f>
        <v>1694.6068553773107</v>
      </c>
      <c r="AR24" s="94">
        <f t="shared" si="72"/>
        <v>460.20767572916611</v>
      </c>
      <c r="AS24" s="94">
        <f t="shared" si="72"/>
        <v>381.52913174757447</v>
      </c>
      <c r="AT24" s="94">
        <f t="shared" si="72"/>
        <v>489.57940243136812</v>
      </c>
      <c r="AU24" s="94">
        <f t="shared" si="72"/>
        <v>482.85136172798383</v>
      </c>
      <c r="AV24" s="163">
        <f>SUM(AR24:AU24)</f>
        <v>1814.1675716360926</v>
      </c>
    </row>
    <row r="25" spans="1:48" x14ac:dyDescent="0.3">
      <c r="A25" s="23"/>
      <c r="B25" s="524" t="s">
        <v>36</v>
      </c>
      <c r="C25" s="525"/>
      <c r="D25" s="93">
        <f t="shared" ref="D25:AU25" si="73">+D23-D24</f>
        <v>760.40000000000043</v>
      </c>
      <c r="E25" s="93">
        <f t="shared" si="73"/>
        <v>658.79999999999973</v>
      </c>
      <c r="F25" s="93">
        <f t="shared" si="73"/>
        <v>1373.200000000001</v>
      </c>
      <c r="G25" s="93">
        <f t="shared" si="73"/>
        <v>802.20000000000095</v>
      </c>
      <c r="H25" s="161">
        <f t="shared" si="73"/>
        <v>3594.6000000000054</v>
      </c>
      <c r="I25" s="93">
        <f t="shared" si="73"/>
        <v>885.29999999999882</v>
      </c>
      <c r="J25" s="93">
        <f t="shared" si="73"/>
        <v>324.79999999999905</v>
      </c>
      <c r="K25" s="93">
        <f t="shared" si="73"/>
        <v>-678.09999999999923</v>
      </c>
      <c r="L25" s="47">
        <f t="shared" si="73"/>
        <v>392.70000000000044</v>
      </c>
      <c r="M25" s="48">
        <f t="shared" si="73"/>
        <v>924.70000000000437</v>
      </c>
      <c r="N25" s="47">
        <f t="shared" si="73"/>
        <v>622.20000000000016</v>
      </c>
      <c r="O25" s="93">
        <f t="shared" si="73"/>
        <v>659.4</v>
      </c>
      <c r="P25" s="93">
        <f t="shared" si="73"/>
        <v>1154.1999999999989</v>
      </c>
      <c r="Q25" s="93">
        <f>+Q23-Q24</f>
        <v>1764.6</v>
      </c>
      <c r="R25" s="161">
        <f t="shared" si="73"/>
        <v>4200.3999999999978</v>
      </c>
      <c r="S25" s="47">
        <f t="shared" si="73"/>
        <v>816.10000000000014</v>
      </c>
      <c r="T25" s="47">
        <f t="shared" si="73"/>
        <v>675.00000000000011</v>
      </c>
      <c r="U25" s="47">
        <f t="shared" si="73"/>
        <v>913.69999999999959</v>
      </c>
      <c r="V25" s="47">
        <f t="shared" si="73"/>
        <v>878.49999999999864</v>
      </c>
      <c r="W25" s="161">
        <f t="shared" si="73"/>
        <v>3283.2999999999952</v>
      </c>
      <c r="X25" s="47">
        <f t="shared" si="73"/>
        <v>823.13094875672186</v>
      </c>
      <c r="Y25" s="93">
        <f t="shared" si="73"/>
        <v>821.04153523792161</v>
      </c>
      <c r="Z25" s="93">
        <f t="shared" si="73"/>
        <v>1052.8874831364881</v>
      </c>
      <c r="AA25" s="93">
        <f t="shared" si="73"/>
        <v>1170.0346435653205</v>
      </c>
      <c r="AB25" s="161">
        <f t="shared" si="73"/>
        <v>3867.0946106964529</v>
      </c>
      <c r="AC25" s="93">
        <f t="shared" si="73"/>
        <v>1114.1992244438047</v>
      </c>
      <c r="AD25" s="93">
        <f t="shared" si="73"/>
        <v>929.30134631747705</v>
      </c>
      <c r="AE25" s="93">
        <f t="shared" si="73"/>
        <v>1156.278519131705</v>
      </c>
      <c r="AF25" s="93">
        <f t="shared" si="73"/>
        <v>1192.7245069266103</v>
      </c>
      <c r="AG25" s="161">
        <f t="shared" ref="AG25" si="74">+AG23-AG24</f>
        <v>4392.5035968195953</v>
      </c>
      <c r="AH25" s="93">
        <f t="shared" si="73"/>
        <v>1271.7315265380444</v>
      </c>
      <c r="AI25" s="93">
        <f t="shared" si="73"/>
        <v>1065.9625824256025</v>
      </c>
      <c r="AJ25" s="93">
        <f t="shared" si="73"/>
        <v>1369.9744592377037</v>
      </c>
      <c r="AK25" s="93">
        <f t="shared" si="73"/>
        <v>1326.2750780551698</v>
      </c>
      <c r="AL25" s="161">
        <f t="shared" ref="AL25" si="75">+AL23-AL24</f>
        <v>5033.9436462565163</v>
      </c>
      <c r="AM25" s="93">
        <f t="shared" si="73"/>
        <v>1327.2960689924412</v>
      </c>
      <c r="AN25" s="93">
        <f t="shared" si="73"/>
        <v>1095.7223538520252</v>
      </c>
      <c r="AO25" s="93">
        <f t="shared" si="73"/>
        <v>1410.9491613270816</v>
      </c>
      <c r="AP25" s="93">
        <f t="shared" si="73"/>
        <v>1388.188235460573</v>
      </c>
      <c r="AQ25" s="161">
        <f t="shared" ref="AQ25" si="76">+AQ23-AQ24</f>
        <v>5222.1558196321166</v>
      </c>
      <c r="AR25" s="93">
        <f t="shared" si="73"/>
        <v>1418.1910007164099</v>
      </c>
      <c r="AS25" s="93">
        <f t="shared" si="73"/>
        <v>1175.7326304874234</v>
      </c>
      <c r="AT25" s="93">
        <f t="shared" si="73"/>
        <v>1508.7038727987058</v>
      </c>
      <c r="AU25" s="93">
        <f t="shared" si="73"/>
        <v>1487.9705228760317</v>
      </c>
      <c r="AV25" s="161">
        <f t="shared" ref="AV25" si="77">+AV23-AV24</f>
        <v>5590.5980268785788</v>
      </c>
    </row>
    <row r="26" spans="1:48" ht="16.2" x14ac:dyDescent="0.45">
      <c r="A26" s="23"/>
      <c r="B26" s="198" t="s">
        <v>37</v>
      </c>
      <c r="C26" s="189"/>
      <c r="D26" s="94">
        <v>-0.2</v>
      </c>
      <c r="E26" s="94">
        <v>-4.4000000000000004</v>
      </c>
      <c r="F26" s="94">
        <v>0.4</v>
      </c>
      <c r="G26" s="94">
        <f t="shared" ref="G26" si="78">H26-F26-E26-D26</f>
        <v>-0.39999999999999963</v>
      </c>
      <c r="H26" s="163">
        <v>-4.5999999999999996</v>
      </c>
      <c r="I26" s="94">
        <v>-0.4</v>
      </c>
      <c r="J26" s="94">
        <v>-3.6</v>
      </c>
      <c r="K26" s="94">
        <v>0.3</v>
      </c>
      <c r="L26" s="94">
        <v>0.1</v>
      </c>
      <c r="M26" s="163">
        <f>SUM(I26:L26)</f>
        <v>-3.6</v>
      </c>
      <c r="N26" s="94">
        <v>0</v>
      </c>
      <c r="O26" s="94">
        <v>0</v>
      </c>
      <c r="P26" s="94">
        <v>0.8</v>
      </c>
      <c r="Q26" s="94">
        <v>0.2</v>
      </c>
      <c r="R26" s="163">
        <f>SUM(N26:Q26)</f>
        <v>1</v>
      </c>
      <c r="S26" s="94">
        <v>0.2</v>
      </c>
      <c r="T26" s="94">
        <v>0.3</v>
      </c>
      <c r="U26" s="94">
        <v>0.8</v>
      </c>
      <c r="V26" s="94">
        <v>0.2</v>
      </c>
      <c r="W26" s="163">
        <f>SUM(S26:V26)</f>
        <v>1.5</v>
      </c>
      <c r="X26" s="94">
        <f>AVERAGE(S26,T26,U26,V26)</f>
        <v>0.375</v>
      </c>
      <c r="Y26" s="94">
        <f>AVERAGE(T26,U26,V26,X26)</f>
        <v>0.41875000000000001</v>
      </c>
      <c r="Z26" s="94">
        <f>AVERAGE(U26,V26,X26,Y26)</f>
        <v>0.44843749999999999</v>
      </c>
      <c r="AA26" s="94">
        <f>AVERAGE(V26,X26,Y26,Z26)</f>
        <v>0.36054687499999999</v>
      </c>
      <c r="AB26" s="163">
        <f>SUM(X26:AA26)</f>
        <v>1.602734375</v>
      </c>
      <c r="AC26" s="94">
        <f>AVERAGE(X26,Y26,Z26,AA26)</f>
        <v>0.40068359375000001</v>
      </c>
      <c r="AD26" s="94">
        <f>AVERAGE(Y26,Z26,AA26,AC26)</f>
        <v>0.4071044921875</v>
      </c>
      <c r="AE26" s="94">
        <f>AVERAGE(Z26,AA26,AC26,AD26)</f>
        <v>0.40419311523437501</v>
      </c>
      <c r="AF26" s="94">
        <f>AVERAGE(AA26,AC26,AD26,AE26)</f>
        <v>0.39313201904296874</v>
      </c>
      <c r="AG26" s="163">
        <f>SUM(AC26:AF26)</f>
        <v>1.6051132202148437</v>
      </c>
      <c r="AH26" s="94">
        <f>AVERAGE(AC26,AD26,AE26,AF26)</f>
        <v>0.40127830505371093</v>
      </c>
      <c r="AI26" s="94">
        <f>AVERAGE(AD26,AE26,AF26,AH26)</f>
        <v>0.40142698287963868</v>
      </c>
      <c r="AJ26" s="94">
        <f>AVERAGE(AE26,AF26,AH26,AI26)</f>
        <v>0.40000760555267334</v>
      </c>
      <c r="AK26" s="94">
        <f>AVERAGE(AF26,AH26,AI26,AJ26)</f>
        <v>0.39896122813224794</v>
      </c>
      <c r="AL26" s="163">
        <f>SUM(AH26:AK26)</f>
        <v>1.6016741216182708</v>
      </c>
      <c r="AM26" s="94">
        <f>AVERAGE(AH26,AI26,AJ26,AK26)</f>
        <v>0.40041853040456771</v>
      </c>
      <c r="AN26" s="94">
        <f>AVERAGE(AI26,AJ26,AK26,AM26)</f>
        <v>0.4002035867422819</v>
      </c>
      <c r="AO26" s="94">
        <f>AVERAGE(AJ26,AK26,AM26,AN26)</f>
        <v>0.39989773770794274</v>
      </c>
      <c r="AP26" s="94">
        <f>AVERAGE(AK26,AM26,AN26,AO26)</f>
        <v>0.39987027074676007</v>
      </c>
      <c r="AQ26" s="163">
        <f>SUM(AM26:AP26)</f>
        <v>1.6003901256015525</v>
      </c>
      <c r="AR26" s="94">
        <f>AVERAGE(AM26,AN26,AO26,AP26)</f>
        <v>0.40009753140038812</v>
      </c>
      <c r="AS26" s="94">
        <f>AVERAGE(AN26,AO26,AP26,AR26)</f>
        <v>0.40001728164934319</v>
      </c>
      <c r="AT26" s="94">
        <f>AVERAGE(AO26,AP26,AR26,AS26)</f>
        <v>0.39997070537610852</v>
      </c>
      <c r="AU26" s="94">
        <f>AVERAGE(AP26,AR26,AS26,AT26)</f>
        <v>0.39998894729314999</v>
      </c>
      <c r="AV26" s="163">
        <f>SUM(AR26:AU26)</f>
        <v>1.6000744657189898</v>
      </c>
    </row>
    <row r="27" spans="1:48" s="8" customFormat="1" x14ac:dyDescent="0.3">
      <c r="A27" s="20"/>
      <c r="B27" s="197" t="s">
        <v>16</v>
      </c>
      <c r="C27" s="190"/>
      <c r="D27" s="93">
        <f t="shared" ref="D27:AU27" si="79">+D25-D26</f>
        <v>760.60000000000048</v>
      </c>
      <c r="E27" s="93">
        <f t="shared" si="79"/>
        <v>663.1999999999997</v>
      </c>
      <c r="F27" s="93">
        <f t="shared" si="79"/>
        <v>1372.8000000000009</v>
      </c>
      <c r="G27" s="93">
        <f t="shared" si="79"/>
        <v>802.60000000000093</v>
      </c>
      <c r="H27" s="161">
        <f t="shared" si="79"/>
        <v>3599.2000000000053</v>
      </c>
      <c r="I27" s="93">
        <f t="shared" si="79"/>
        <v>885.69999999999879</v>
      </c>
      <c r="J27" s="93">
        <f t="shared" si="79"/>
        <v>328.39999999999907</v>
      </c>
      <c r="K27" s="93">
        <f t="shared" si="79"/>
        <v>-678.39999999999918</v>
      </c>
      <c r="L27" s="47">
        <f t="shared" si="79"/>
        <v>392.60000000000042</v>
      </c>
      <c r="M27" s="48">
        <f t="shared" si="79"/>
        <v>928.30000000000439</v>
      </c>
      <c r="N27" s="47">
        <f t="shared" si="79"/>
        <v>622.20000000000016</v>
      </c>
      <c r="O27" s="93">
        <f t="shared" si="79"/>
        <v>659.4</v>
      </c>
      <c r="P27" s="93">
        <f t="shared" si="79"/>
        <v>1153.399999999999</v>
      </c>
      <c r="Q27" s="93">
        <f t="shared" si="79"/>
        <v>1764.3999999999999</v>
      </c>
      <c r="R27" s="161">
        <f t="shared" si="79"/>
        <v>4199.3999999999978</v>
      </c>
      <c r="S27" s="47">
        <f t="shared" si="79"/>
        <v>815.90000000000009</v>
      </c>
      <c r="T27" s="47">
        <f t="shared" si="79"/>
        <v>674.70000000000016</v>
      </c>
      <c r="U27" s="47">
        <f t="shared" si="79"/>
        <v>912.89999999999964</v>
      </c>
      <c r="V27" s="93">
        <f t="shared" si="79"/>
        <v>878.29999999999859</v>
      </c>
      <c r="W27" s="161">
        <f t="shared" si="79"/>
        <v>3281.7999999999952</v>
      </c>
      <c r="X27" s="47">
        <f t="shared" si="79"/>
        <v>822.75594875672186</v>
      </c>
      <c r="Y27" s="93">
        <f t="shared" si="79"/>
        <v>820.62278523792156</v>
      </c>
      <c r="Z27" s="93">
        <f t="shared" si="79"/>
        <v>1052.4390456364881</v>
      </c>
      <c r="AA27" s="93">
        <f t="shared" si="79"/>
        <v>1169.6740966903205</v>
      </c>
      <c r="AB27" s="161">
        <f t="shared" si="79"/>
        <v>3865.4918763214528</v>
      </c>
      <c r="AC27" s="93">
        <f t="shared" si="79"/>
        <v>1113.7985408500547</v>
      </c>
      <c r="AD27" s="93">
        <f t="shared" si="79"/>
        <v>928.89424182528955</v>
      </c>
      <c r="AE27" s="93">
        <f t="shared" si="79"/>
        <v>1155.8743260164706</v>
      </c>
      <c r="AF27" s="93">
        <f t="shared" si="79"/>
        <v>1192.3313749075674</v>
      </c>
      <c r="AG27" s="161">
        <f t="shared" ref="AG27" si="80">+AG25-AG26</f>
        <v>4390.8984835993806</v>
      </c>
      <c r="AH27" s="93">
        <f t="shared" si="79"/>
        <v>1271.3302482329907</v>
      </c>
      <c r="AI27" s="93">
        <f t="shared" si="79"/>
        <v>1065.5611554427228</v>
      </c>
      <c r="AJ27" s="93">
        <f t="shared" si="79"/>
        <v>1369.5744516321511</v>
      </c>
      <c r="AK27" s="93">
        <f t="shared" si="79"/>
        <v>1325.8761168270375</v>
      </c>
      <c r="AL27" s="161">
        <f t="shared" ref="AL27" si="81">+AL25-AL26</f>
        <v>5032.3419721348982</v>
      </c>
      <c r="AM27" s="93">
        <f t="shared" si="79"/>
        <v>1326.8956504620367</v>
      </c>
      <c r="AN27" s="93">
        <f t="shared" si="79"/>
        <v>1095.322150265283</v>
      </c>
      <c r="AO27" s="93">
        <f t="shared" si="79"/>
        <v>1410.5492635893736</v>
      </c>
      <c r="AP27" s="93">
        <f t="shared" si="79"/>
        <v>1387.7883651898262</v>
      </c>
      <c r="AQ27" s="161">
        <f t="shared" ref="AQ27" si="82">+AQ25-AQ26</f>
        <v>5220.5554295065149</v>
      </c>
      <c r="AR27" s="93">
        <f t="shared" si="79"/>
        <v>1417.7909031850095</v>
      </c>
      <c r="AS27" s="93">
        <f t="shared" si="79"/>
        <v>1175.3326132057741</v>
      </c>
      <c r="AT27" s="93">
        <f t="shared" si="79"/>
        <v>1508.3039020933297</v>
      </c>
      <c r="AU27" s="93">
        <f t="shared" si="79"/>
        <v>1487.5705339287385</v>
      </c>
      <c r="AV27" s="161">
        <f t="shared" ref="AV27" si="83">+AV25-AV26</f>
        <v>5588.9979524128594</v>
      </c>
    </row>
    <row r="28" spans="1:48" s="8" customFormat="1" ht="16.2" x14ac:dyDescent="0.45">
      <c r="A28" s="20"/>
      <c r="B28" s="79" t="s">
        <v>69</v>
      </c>
      <c r="C28" s="76"/>
      <c r="D28" s="99">
        <f t="shared" ref="D28:AU28" si="84">-D171-D172</f>
        <v>41.449999999998646</v>
      </c>
      <c r="E28" s="99">
        <f t="shared" si="84"/>
        <v>-54.179999999999545</v>
      </c>
      <c r="F28" s="99">
        <f t="shared" si="84"/>
        <v>-544.16000000000076</v>
      </c>
      <c r="G28" s="99">
        <f t="shared" si="84"/>
        <v>-30</v>
      </c>
      <c r="H28" s="168">
        <f>SUM(D28:G28)</f>
        <v>-586.89000000000169</v>
      </c>
      <c r="I28" s="99">
        <f t="shared" si="84"/>
        <v>-11</v>
      </c>
      <c r="J28" s="99">
        <f t="shared" si="84"/>
        <v>-23</v>
      </c>
      <c r="K28" s="99">
        <f t="shared" si="84"/>
        <v>-35.055</v>
      </c>
      <c r="L28" s="83">
        <f>-L171-L172</f>
        <v>-50.810000000000372</v>
      </c>
      <c r="M28" s="84">
        <f>SUM(I28:L28)</f>
        <v>-119.86500000000038</v>
      </c>
      <c r="N28" s="99">
        <f t="shared" si="84"/>
        <v>-35.49</v>
      </c>
      <c r="O28" s="99">
        <f t="shared" si="84"/>
        <v>-11.847999999999999</v>
      </c>
      <c r="P28" s="99">
        <f t="shared" si="84"/>
        <v>-11.862</v>
      </c>
      <c r="Q28" s="99">
        <f t="shared" si="84"/>
        <v>-696.10940000000005</v>
      </c>
      <c r="R28" s="168">
        <f>SUM(N28:Q28)</f>
        <v>-755.3094000000001</v>
      </c>
      <c r="S28" s="83">
        <f t="shared" si="84"/>
        <v>-3.9480000000003299</v>
      </c>
      <c r="T28" s="83">
        <f t="shared" si="84"/>
        <v>-46.156000000000006</v>
      </c>
      <c r="U28" s="83">
        <f t="shared" si="84"/>
        <v>-23.02</v>
      </c>
      <c r="V28" s="99">
        <f t="shared" si="84"/>
        <v>-23.05</v>
      </c>
      <c r="W28" s="168">
        <f>SUM(S28:V28)</f>
        <v>-96.174000000000333</v>
      </c>
      <c r="X28" s="83">
        <f t="shared" si="84"/>
        <v>-18</v>
      </c>
      <c r="Y28" s="99">
        <f t="shared" si="84"/>
        <v>-3</v>
      </c>
      <c r="Z28" s="99">
        <f t="shared" si="84"/>
        <v>-3</v>
      </c>
      <c r="AA28" s="99">
        <f t="shared" si="84"/>
        <v>-3</v>
      </c>
      <c r="AB28" s="168">
        <f>SUM(X28:AA28)</f>
        <v>-27</v>
      </c>
      <c r="AC28" s="99">
        <f t="shared" si="84"/>
        <v>-3</v>
      </c>
      <c r="AD28" s="99">
        <f t="shared" si="84"/>
        <v>-12.6</v>
      </c>
      <c r="AE28" s="99">
        <f t="shared" si="84"/>
        <v>-12.6</v>
      </c>
      <c r="AF28" s="99">
        <f t="shared" si="84"/>
        <v>-12.6</v>
      </c>
      <c r="AG28" s="168">
        <f>SUM(AC28:AF28)</f>
        <v>-40.799999999999997</v>
      </c>
      <c r="AH28" s="99">
        <f t="shared" si="84"/>
        <v>-12.6</v>
      </c>
      <c r="AI28" s="99">
        <f t="shared" si="84"/>
        <v>-12.6</v>
      </c>
      <c r="AJ28" s="99">
        <f t="shared" si="84"/>
        <v>-12.6</v>
      </c>
      <c r="AK28" s="99">
        <f t="shared" si="84"/>
        <v>-12.6</v>
      </c>
      <c r="AL28" s="168">
        <f>SUM(AH28:AK28)</f>
        <v>-50.4</v>
      </c>
      <c r="AM28" s="99">
        <f t="shared" si="84"/>
        <v>-12.6</v>
      </c>
      <c r="AN28" s="99">
        <f t="shared" si="84"/>
        <v>-12.6</v>
      </c>
      <c r="AO28" s="99">
        <f t="shared" si="84"/>
        <v>-12.6</v>
      </c>
      <c r="AP28" s="99">
        <f t="shared" si="84"/>
        <v>-12.6</v>
      </c>
      <c r="AQ28" s="168">
        <f>SUM(AM28:AP28)</f>
        <v>-50.4</v>
      </c>
      <c r="AR28" s="99">
        <f t="shared" si="84"/>
        <v>-12.6</v>
      </c>
      <c r="AS28" s="99">
        <f t="shared" si="84"/>
        <v>-12.6</v>
      </c>
      <c r="AT28" s="99">
        <f t="shared" si="84"/>
        <v>-12.6</v>
      </c>
      <c r="AU28" s="99">
        <f t="shared" si="84"/>
        <v>-12.6</v>
      </c>
      <c r="AV28" s="168">
        <f>SUM(AR28:AU28)</f>
        <v>-50.4</v>
      </c>
    </row>
    <row r="29" spans="1:48" s="8" customFormat="1" x14ac:dyDescent="0.3">
      <c r="A29" s="20"/>
      <c r="B29" s="77" t="s">
        <v>70</v>
      </c>
      <c r="C29" s="78"/>
      <c r="D29" s="98">
        <f t="shared" ref="D29:AU29" si="85">+D19+D20+D21+D22-D24-D26+D28</f>
        <v>940.04999999999916</v>
      </c>
      <c r="E29" s="98">
        <f t="shared" si="85"/>
        <v>750.42000000000007</v>
      </c>
      <c r="F29" s="98">
        <f t="shared" si="85"/>
        <v>953.94</v>
      </c>
      <c r="G29" s="98">
        <f t="shared" si="85"/>
        <v>850.00000000000102</v>
      </c>
      <c r="H29" s="167">
        <f t="shared" si="85"/>
        <v>3494.4100000000039</v>
      </c>
      <c r="I29" s="98">
        <f t="shared" si="85"/>
        <v>946.2999999999987</v>
      </c>
      <c r="J29" s="98">
        <f t="shared" si="85"/>
        <v>372.19999999999902</v>
      </c>
      <c r="K29" s="98">
        <f t="shared" si="85"/>
        <v>-539.7749999999993</v>
      </c>
      <c r="L29" s="74">
        <f>+L19+L20+L21+L22-L24-L26+L28</f>
        <v>601.29</v>
      </c>
      <c r="M29" s="75">
        <f t="shared" si="85"/>
        <v>1380.0150000000035</v>
      </c>
      <c r="N29" s="98">
        <f t="shared" si="85"/>
        <v>721.61000000000024</v>
      </c>
      <c r="O29" s="98">
        <f t="shared" si="85"/>
        <v>735.75199999999995</v>
      </c>
      <c r="P29" s="98">
        <f t="shared" si="85"/>
        <v>1193.2379999999987</v>
      </c>
      <c r="Q29" s="98">
        <f t="shared" si="85"/>
        <v>1183.4905999999996</v>
      </c>
      <c r="R29" s="167">
        <f t="shared" si="85"/>
        <v>3834.0905999999977</v>
      </c>
      <c r="S29" s="74">
        <f t="shared" si="85"/>
        <v>847.15199999999982</v>
      </c>
      <c r="T29" s="74">
        <f t="shared" si="85"/>
        <v>676.04400000000032</v>
      </c>
      <c r="U29" s="74">
        <f t="shared" si="85"/>
        <v>967.37999999999965</v>
      </c>
      <c r="V29" s="98">
        <f t="shared" si="85"/>
        <v>932.34999999999854</v>
      </c>
      <c r="W29" s="167">
        <f t="shared" si="85"/>
        <v>3422.9259999999949</v>
      </c>
      <c r="X29" s="74">
        <f t="shared" si="85"/>
        <v>864.75594875672186</v>
      </c>
      <c r="Y29" s="98">
        <f t="shared" si="85"/>
        <v>827.62278523792156</v>
      </c>
      <c r="Z29" s="98">
        <f t="shared" si="85"/>
        <v>1059.4390456364881</v>
      </c>
      <c r="AA29" s="98">
        <f t="shared" si="85"/>
        <v>1176.6740966903205</v>
      </c>
      <c r="AB29" s="167">
        <f t="shared" si="85"/>
        <v>3928.4918763214528</v>
      </c>
      <c r="AC29" s="98">
        <f t="shared" si="85"/>
        <v>1120.7985408500547</v>
      </c>
      <c r="AD29" s="98">
        <f t="shared" si="85"/>
        <v>958.29424182528953</v>
      </c>
      <c r="AE29" s="98">
        <f t="shared" si="85"/>
        <v>1185.2743260164707</v>
      </c>
      <c r="AF29" s="98">
        <f t="shared" si="85"/>
        <v>1221.7313749075674</v>
      </c>
      <c r="AG29" s="167">
        <f t="shared" ref="AG29" si="86">+AG19+AG20+AG21+AG22-AG24-AG26+AG28</f>
        <v>4486.0984835993804</v>
      </c>
      <c r="AH29" s="98">
        <f t="shared" si="85"/>
        <v>1300.7302482329908</v>
      </c>
      <c r="AI29" s="98">
        <f t="shared" si="85"/>
        <v>1094.9611554427229</v>
      </c>
      <c r="AJ29" s="98">
        <f t="shared" si="85"/>
        <v>1398.9744516321512</v>
      </c>
      <c r="AK29" s="98">
        <f t="shared" si="85"/>
        <v>1355.2761168270376</v>
      </c>
      <c r="AL29" s="167">
        <f t="shared" ref="AL29" si="87">+AL19+AL20+AL21+AL22-AL24-AL26+AL28</f>
        <v>5149.9419721348986</v>
      </c>
      <c r="AM29" s="98">
        <f t="shared" si="85"/>
        <v>1356.2956504620367</v>
      </c>
      <c r="AN29" s="98">
        <f t="shared" si="85"/>
        <v>1124.7221502652831</v>
      </c>
      <c r="AO29" s="98">
        <f t="shared" si="85"/>
        <v>1439.9492635893737</v>
      </c>
      <c r="AP29" s="98">
        <f t="shared" si="85"/>
        <v>1417.1883651898263</v>
      </c>
      <c r="AQ29" s="167">
        <f t="shared" ref="AQ29" si="88">+AQ19+AQ20+AQ21+AQ22-AQ24-AQ26+AQ28</f>
        <v>5338.1554295065152</v>
      </c>
      <c r="AR29" s="98">
        <f t="shared" si="85"/>
        <v>1447.1909031850096</v>
      </c>
      <c r="AS29" s="98">
        <f t="shared" si="85"/>
        <v>1204.7326132057742</v>
      </c>
      <c r="AT29" s="98">
        <f t="shared" si="85"/>
        <v>1537.7039020933298</v>
      </c>
      <c r="AU29" s="98">
        <f t="shared" si="85"/>
        <v>1516.9705339287386</v>
      </c>
      <c r="AV29" s="167">
        <f t="shared" ref="AV29" si="89">+AV19+AV20+AV21+AV22-AV24-AV26+AV28</f>
        <v>5706.5979524128597</v>
      </c>
    </row>
    <row r="30" spans="1:48" x14ac:dyDescent="0.3">
      <c r="B30" s="511" t="s">
        <v>0</v>
      </c>
      <c r="C30" s="512"/>
      <c r="D30" s="91">
        <v>1242</v>
      </c>
      <c r="E30" s="91">
        <v>1239.2</v>
      </c>
      <c r="F30" s="91">
        <v>1211</v>
      </c>
      <c r="G30" s="91">
        <v>1210.7904210526317</v>
      </c>
      <c r="H30" s="159">
        <v>1221.2</v>
      </c>
      <c r="I30" s="91">
        <v>1180.4000000000001</v>
      </c>
      <c r="J30" s="91">
        <v>1171.8</v>
      </c>
      <c r="K30" s="91">
        <v>1168.5</v>
      </c>
      <c r="L30" s="91">
        <v>1167.3874645009873</v>
      </c>
      <c r="M30" s="17">
        <f>+(I27/M27*I30)+(J27/M27*J30)+(K27/M27*K30)+(L27/M27*L30)</f>
        <v>1180.550811766758</v>
      </c>
      <c r="N30" s="91">
        <v>1175</v>
      </c>
      <c r="O30" s="91">
        <v>1177.5</v>
      </c>
      <c r="P30" s="91">
        <v>1178.5</v>
      </c>
      <c r="Q30" s="91">
        <v>1179.5008492569002</v>
      </c>
      <c r="R30" s="159">
        <f>+(N27/R27*N30)+(O27/R27*O30)+(P27/R27*P30)+(Q27/R27*Q30)</f>
        <v>1178.2449155662418</v>
      </c>
      <c r="S30" s="16">
        <v>1169.5999999999999</v>
      </c>
      <c r="T30" s="16">
        <v>1149.2</v>
      </c>
      <c r="U30" s="16">
        <v>1147</v>
      </c>
      <c r="V30" s="91">
        <f>U30*(1+V151)-V155-V158-V161</f>
        <v>1148.1469999999999</v>
      </c>
      <c r="W30" s="159">
        <f>+(S27/W27*S30)+(T27/W27*T30)+(U27/W27*U30)+(V27/W27*V30)</f>
        <v>1153.377929825097</v>
      </c>
      <c r="X30" s="91">
        <f>V30*(1+X151)-X155</f>
        <v>1150.055973655655</v>
      </c>
      <c r="Y30" s="91">
        <f>X30*(1+Y151)-Y155</f>
        <v>1152.3560856029662</v>
      </c>
      <c r="Z30" s="91">
        <f>Y30*(1+Z151)-Z155</f>
        <v>1154.6607977741721</v>
      </c>
      <c r="AA30" s="91">
        <f>Z30*(1+AA151)-AA155</f>
        <v>1156.9701193697206</v>
      </c>
      <c r="AB30" s="159">
        <f>+(X27/AB27*X30)+(Y27/AB27*Y30)+(Z27/AB27*Z30)+(AA27/AB27*AA30)</f>
        <v>1153.8901863742096</v>
      </c>
      <c r="AC30" s="91">
        <f>AA30*(1+AC151)-AC155</f>
        <v>1159.28405960846</v>
      </c>
      <c r="AD30" s="91">
        <f>AC30*(1+AD151)-AD155</f>
        <v>1161.6026277276769</v>
      </c>
      <c r="AE30" s="91">
        <f>AD30*(1+AE151)-AE155</f>
        <v>1163.0384526408254</v>
      </c>
      <c r="AF30" s="91">
        <f>AE30*(1+AF151)-AF155</f>
        <v>1164.4771492038003</v>
      </c>
      <c r="AG30" s="159">
        <f>+(AC27/AG27*AC30)+(AD27/AG27*AD30)+(AE27/AG27*AE30)+(AF27/AG27*AF30)</f>
        <v>1162.1730343355505</v>
      </c>
      <c r="AH30" s="91">
        <f>AF30*(1+AH151)-AH155</f>
        <v>1165.9609793666775</v>
      </c>
      <c r="AI30" s="91">
        <f>AH30*(1+AI151)-AI155</f>
        <v>1167.4477771898805</v>
      </c>
      <c r="AJ30" s="91">
        <f>AI30*(1+AJ151)-AJ155</f>
        <v>1122.6428436749763</v>
      </c>
      <c r="AK30" s="91">
        <f>AJ30*(1+AK151)-AK155</f>
        <v>1077.7483002930423</v>
      </c>
      <c r="AL30" s="159">
        <f>+(AH27/AL27*AH30)+(AI27/AL27*AI30)+(AJ27/AL27*AJ30)+(AK27/AL27*AK30)</f>
        <v>1131.2450909628876</v>
      </c>
      <c r="AM30" s="91">
        <f>AK30*(1+AM151)-AM155</f>
        <v>1079.9037968936284</v>
      </c>
      <c r="AN30" s="91">
        <f>AM30*(1+AN151)-AN155</f>
        <v>1082.0636044874157</v>
      </c>
      <c r="AO30" s="91">
        <f>AN30*(1+AO151)-AO155</f>
        <v>1084.2277316963905</v>
      </c>
      <c r="AP30" s="91">
        <f>AO30*(1+AP151)-AP155</f>
        <v>1086.3961871597833</v>
      </c>
      <c r="AQ30" s="159">
        <f>+(AM27/AQ27*AM30)+(AN27/AQ27*AN30)+(AO27/AQ27*AO30)+(AP27/AQ27*AP30)</f>
        <v>1083.2511173194416</v>
      </c>
      <c r="AR30" s="91">
        <f>AP30*(1+AR151)-AR155</f>
        <v>1088.5689795341029</v>
      </c>
      <c r="AS30" s="91">
        <f>AR30*(1+AS151)-AS155</f>
        <v>1090.7461174931711</v>
      </c>
      <c r="AT30" s="91">
        <f>AS30*(1+AT151)-AT155</f>
        <v>1092.9276097281574</v>
      </c>
      <c r="AU30" s="91">
        <f>AT30*(1+AU151)-AU155</f>
        <v>1095.1134649476137</v>
      </c>
      <c r="AV30" s="159">
        <f>+(AR27/AV27*AR30)+(AS27/AV27*AS30)+(AT27/AV27*AT30)+(AU27/AV27*AU30)</f>
        <v>1091.944966427948</v>
      </c>
    </row>
    <row r="31" spans="1:48" ht="15.75" customHeight="1" x14ac:dyDescent="0.3">
      <c r="B31" s="511" t="s">
        <v>1</v>
      </c>
      <c r="C31" s="512"/>
      <c r="D31" s="91">
        <v>1253.4000000000001</v>
      </c>
      <c r="E31" s="91">
        <v>1250.7</v>
      </c>
      <c r="F31" s="91">
        <v>1223</v>
      </c>
      <c r="G31" s="91">
        <v>1222.8144210526316</v>
      </c>
      <c r="H31" s="159">
        <v>1233.2</v>
      </c>
      <c r="I31" s="91">
        <v>1191</v>
      </c>
      <c r="J31" s="91">
        <v>1180.7</v>
      </c>
      <c r="K31" s="91">
        <v>1168.5</v>
      </c>
      <c r="L31" s="91">
        <v>1179</v>
      </c>
      <c r="M31" s="17">
        <f>+(I27/M27*I31)+(J27/M27*J31)+(K27/M27*K31)+(L27/M27*L31)</f>
        <v>1198.7240978132002</v>
      </c>
      <c r="N31" s="91">
        <v>1183</v>
      </c>
      <c r="O31" s="91">
        <v>1184.8</v>
      </c>
      <c r="P31" s="91">
        <v>1186.2</v>
      </c>
      <c r="Q31" s="91">
        <v>1187.9000000000001</v>
      </c>
      <c r="R31" s="159">
        <f>+(N27/R27*N31)+(O27/R27*O31)+(P27/R27*P31)+(Q27/R27*Q31)</f>
        <v>1186.2203076629999</v>
      </c>
      <c r="S31" s="16">
        <v>1176.5999999999999</v>
      </c>
      <c r="T31" s="16">
        <v>1153.9000000000001</v>
      </c>
      <c r="U31" s="16">
        <v>1151</v>
      </c>
      <c r="V31" s="16">
        <v>1152.5</v>
      </c>
      <c r="W31" s="159">
        <f>+(S27/W27*S31)+(T27/W27*T31)+(U27/W27*U31)+(V27/W27*V31)</f>
        <v>1158.3621549149868</v>
      </c>
      <c r="X31" s="91">
        <f>V31*(1+X152)-X155</f>
        <v>1153.9475866167252</v>
      </c>
      <c r="Y31" s="91">
        <f>X31*(1+Y152)-Y155</f>
        <v>1155.1015342033418</v>
      </c>
      <c r="Z31" s="91">
        <f>Y31*(1+Z152)-Z155</f>
        <v>1156.2566357375449</v>
      </c>
      <c r="AA31" s="91">
        <f>Z31*(1+AA152)-AA155</f>
        <v>1157.4128923732824</v>
      </c>
      <c r="AB31" s="159">
        <f>+(X27/AB27*X31)+(Y27/AB27*Y31)+(Z27/AB27*Z31)+(AA27/AB27*AA31)</f>
        <v>1155.869817410085</v>
      </c>
      <c r="AC31" s="91">
        <f>AA31*(1+AC152)-AC155</f>
        <v>1158.5703052656556</v>
      </c>
      <c r="AD31" s="91">
        <f>AC31*(1+AD152)-AD155</f>
        <v>1159.7288755709212</v>
      </c>
      <c r="AE31" s="91">
        <f>AD31*(1+AE152)-AE155</f>
        <v>1160.0012241041852</v>
      </c>
      <c r="AF31" s="91">
        <f>AE31*(1+AF152)-AF155</f>
        <v>1160.2738449859824</v>
      </c>
      <c r="AG31" s="159">
        <f>+(AC27/AG27*AC31)+(AD27/AG27*AD31)+(AE27/AG27*AE31)+(AF27/AG27*AF31)</f>
        <v>1159.6546700051533</v>
      </c>
      <c r="AH31" s="91">
        <f>AF31*(1+AH152)-AH155</f>
        <v>1160.5889946954378</v>
      </c>
      <c r="AI31" s="91">
        <f>AH31*(1+AI152)-AI155</f>
        <v>1160.9044595546027</v>
      </c>
      <c r="AJ31" s="91">
        <f>AI31*(1+AJ152)-AJ155</f>
        <v>1114.9255349448733</v>
      </c>
      <c r="AK31" s="91">
        <f>AJ31*(1+AK152)-AK155</f>
        <v>1068.9006314105343</v>
      </c>
      <c r="AL31" s="159">
        <f>+(AH27/AL27*AH31)+(AI27/AL27*AI31)+(AJ27/AL27*AJ31)+(AK27/AL27*AK31)</f>
        <v>1124.0710527837675</v>
      </c>
      <c r="AM31" s="91">
        <f>AK31*(1+AM152)-AM155</f>
        <v>1069.9695320419446</v>
      </c>
      <c r="AN31" s="91">
        <f>AM31*(1+AN152)-AN155</f>
        <v>1071.0395015739864</v>
      </c>
      <c r="AO31" s="91">
        <f>AN31*(1+AO152)-AO155</f>
        <v>1072.1105410755604</v>
      </c>
      <c r="AP31" s="91">
        <f>AO31*(1+AP152)-AP155</f>
        <v>1073.1826516166359</v>
      </c>
      <c r="AQ31" s="159">
        <f>+(AM27/AQ27*AM31)+(AN27/AQ27*AN31)+(AO27/AQ27*AO31)+(AP27/AQ27*AP31)</f>
        <v>1071.6266526534964</v>
      </c>
      <c r="AR31" s="91">
        <f>AP31*(1+AR152)-AR155</f>
        <v>1074.2558342682523</v>
      </c>
      <c r="AS31" s="91">
        <f>AR31*(1+AS152)-AS155</f>
        <v>1075.3300901025204</v>
      </c>
      <c r="AT31" s="91">
        <f>AS31*(1+AT152)-AT155</f>
        <v>1076.4054201926228</v>
      </c>
      <c r="AU31" s="91">
        <f>AT31*(1+AU152)-AU155</f>
        <v>1077.4818256128153</v>
      </c>
      <c r="AV31" s="159">
        <f>+(AR27/AV27*AR31)+(AS27/AV27*AS31)+(AT27/AV27*AT31)+(AU27/AV27*AU31)</f>
        <v>1075.9204844435867</v>
      </c>
    </row>
    <row r="32" spans="1:48" ht="15.75" customHeight="1" x14ac:dyDescent="0.3">
      <c r="B32" s="518" t="s">
        <v>6</v>
      </c>
      <c r="C32" s="519"/>
      <c r="D32" s="100">
        <f t="shared" ref="D32:W32" si="90">D27/D30</f>
        <v>0.61239935587761718</v>
      </c>
      <c r="E32" s="100">
        <f t="shared" si="90"/>
        <v>0.53518398967075509</v>
      </c>
      <c r="F32" s="100">
        <f t="shared" si="90"/>
        <v>1.1336085879438487</v>
      </c>
      <c r="G32" s="100">
        <f t="shared" si="90"/>
        <v>0.66287276975832043</v>
      </c>
      <c r="H32" s="164">
        <f t="shared" si="90"/>
        <v>2.947264985260404</v>
      </c>
      <c r="I32" s="100">
        <f t="shared" si="90"/>
        <v>0.75033886818027684</v>
      </c>
      <c r="J32" s="100">
        <f t="shared" si="90"/>
        <v>0.28025260283324721</v>
      </c>
      <c r="K32" s="100">
        <f t="shared" si="90"/>
        <v>-0.58057338468121455</v>
      </c>
      <c r="L32" s="100">
        <f t="shared" si="90"/>
        <v>0.3363065065700544</v>
      </c>
      <c r="M32" s="25">
        <f t="shared" si="90"/>
        <v>0.78632786555858059</v>
      </c>
      <c r="N32" s="100">
        <f t="shared" si="90"/>
        <v>0.52953191489361717</v>
      </c>
      <c r="O32" s="100">
        <f t="shared" si="90"/>
        <v>0.55999999999999994</v>
      </c>
      <c r="P32" s="100">
        <f t="shared" si="90"/>
        <v>0.97870173949936268</v>
      </c>
      <c r="Q32" s="100">
        <f t="shared" si="90"/>
        <v>1.495887011112873</v>
      </c>
      <c r="R32" s="164">
        <f t="shared" si="90"/>
        <v>3.5641146798260079</v>
      </c>
      <c r="S32" s="24">
        <f t="shared" si="90"/>
        <v>0.69758891928864586</v>
      </c>
      <c r="T32" s="24">
        <f t="shared" si="90"/>
        <v>0.58710407239819018</v>
      </c>
      <c r="U32" s="24">
        <f t="shared" si="90"/>
        <v>0.79590235396686981</v>
      </c>
      <c r="V32" s="24">
        <f t="shared" si="90"/>
        <v>0.76497173271366703</v>
      </c>
      <c r="W32" s="164">
        <f t="shared" si="90"/>
        <v>2.8453813057595623</v>
      </c>
      <c r="X32" s="100">
        <f>X27/X30</f>
        <v>0.71540513470961553</v>
      </c>
      <c r="Y32" s="100">
        <f>Y27/Y30</f>
        <v>0.71212604809435587</v>
      </c>
      <c r="Z32" s="100">
        <f>Z27/Z30</f>
        <v>0.91147031895883546</v>
      </c>
      <c r="AA32" s="100">
        <f>AA27/AA30</f>
        <v>1.0109803849796231</v>
      </c>
      <c r="AB32" s="164">
        <f t="shared" ref="AB32" si="91">AB27/AB30</f>
        <v>3.3499651197032225</v>
      </c>
      <c r="AC32" s="100">
        <f>AC27/AC30</f>
        <v>0.96076412991155269</v>
      </c>
      <c r="AD32" s="100">
        <f>AD27/AD30</f>
        <v>0.79966609893297957</v>
      </c>
      <c r="AE32" s="100">
        <f>AE27/AE30</f>
        <v>0.99384016357491212</v>
      </c>
      <c r="AF32" s="100">
        <f>AF27/AF30</f>
        <v>1.0239199418578648</v>
      </c>
      <c r="AG32" s="164">
        <f t="shared" ref="AG32" si="92">AG27/AG30</f>
        <v>3.7781796289136844</v>
      </c>
      <c r="AH32" s="100">
        <f>AH27/AH30</f>
        <v>1.0903711794227859</v>
      </c>
      <c r="AI32" s="100">
        <f>AI27/AI30</f>
        <v>0.91272704121086667</v>
      </c>
      <c r="AJ32" s="100">
        <f>AJ27/AJ30</f>
        <v>1.2199556246658492</v>
      </c>
      <c r="AK32" s="100">
        <f>AK27/AK30</f>
        <v>1.2302279822353035</v>
      </c>
      <c r="AL32" s="164">
        <f t="shared" ref="AL32" si="93">AL27/AL30</f>
        <v>4.4484983955612076</v>
      </c>
      <c r="AM32" s="100">
        <f>AM27/AM30</f>
        <v>1.2287165340828385</v>
      </c>
      <c r="AN32" s="100">
        <f>AN27/AN30</f>
        <v>1.0122530188825156</v>
      </c>
      <c r="AO32" s="100">
        <f>AO27/AO30</f>
        <v>1.3009713940653576</v>
      </c>
      <c r="AP32" s="100">
        <f>AP27/AP30</f>
        <v>1.2774238179332962</v>
      </c>
      <c r="AQ32" s="164">
        <f t="shared" ref="AQ32" si="94">AQ27/AQ30</f>
        <v>4.819339990550886</v>
      </c>
      <c r="AR32" s="100">
        <f>AR27/AR30</f>
        <v>1.3024355184104275</v>
      </c>
      <c r="AS32" s="100">
        <f>AS27/AS30</f>
        <v>1.0775492063240213</v>
      </c>
      <c r="AT32" s="100">
        <f>AT27/AT30</f>
        <v>1.3800583759325911</v>
      </c>
      <c r="AU32" s="100">
        <f>AU27/AU30</f>
        <v>1.3583711474133857</v>
      </c>
      <c r="AV32" s="164">
        <f t="shared" ref="AV32" si="95">AV27/AV30</f>
        <v>5.1183879446745451</v>
      </c>
    </row>
    <row r="33" spans="2:48" x14ac:dyDescent="0.3">
      <c r="B33" s="518" t="s">
        <v>7</v>
      </c>
      <c r="C33" s="519"/>
      <c r="D33" s="100">
        <f t="shared" ref="D33:W33" si="96">D27/D31</f>
        <v>0.60682942396681061</v>
      </c>
      <c r="E33" s="100">
        <f t="shared" si="96"/>
        <v>0.53026305269049312</v>
      </c>
      <c r="F33" s="100">
        <f t="shared" si="96"/>
        <v>1.1224856909239582</v>
      </c>
      <c r="G33" s="100">
        <f t="shared" si="96"/>
        <v>0.65635470614510849</v>
      </c>
      <c r="H33" s="164">
        <f t="shared" si="96"/>
        <v>2.9185857930587131</v>
      </c>
      <c r="I33" s="100">
        <f t="shared" si="96"/>
        <v>0.74366078925272783</v>
      </c>
      <c r="J33" s="100">
        <f t="shared" si="96"/>
        <v>0.27814008638942922</v>
      </c>
      <c r="K33" s="100">
        <f t="shared" si="96"/>
        <v>-0.58057338468121455</v>
      </c>
      <c r="L33" s="100">
        <f t="shared" si="96"/>
        <v>0.3329940627650555</v>
      </c>
      <c r="M33" s="164">
        <f t="shared" si="96"/>
        <v>0.7744067226924668</v>
      </c>
      <c r="N33" s="100">
        <f t="shared" si="96"/>
        <v>0.52595097210481845</v>
      </c>
      <c r="O33" s="100">
        <f t="shared" si="96"/>
        <v>0.55654962862930457</v>
      </c>
      <c r="P33" s="100">
        <f t="shared" si="96"/>
        <v>0.97234867644579237</v>
      </c>
      <c r="Q33" s="100">
        <f t="shared" si="96"/>
        <v>1.4853102112972469</v>
      </c>
      <c r="R33" s="164">
        <f t="shared" si="96"/>
        <v>3.5401518359379072</v>
      </c>
      <c r="S33" s="24">
        <f t="shared" si="96"/>
        <v>0.69343872174060861</v>
      </c>
      <c r="T33" s="24">
        <f t="shared" si="96"/>
        <v>0.58471271340670783</v>
      </c>
      <c r="U33" s="24">
        <f t="shared" si="96"/>
        <v>0.79313640312771472</v>
      </c>
      <c r="V33" s="24">
        <f t="shared" si="96"/>
        <v>0.7620824295010834</v>
      </c>
      <c r="W33" s="164">
        <f t="shared" si="96"/>
        <v>2.8331381391175103</v>
      </c>
      <c r="X33" s="100">
        <f>X27/X31</f>
        <v>0.71299247756041617</v>
      </c>
      <c r="Y33" s="100">
        <f>Y27/Y31</f>
        <v>0.71043346488488068</v>
      </c>
      <c r="Z33" s="100">
        <f>Z27/Z31</f>
        <v>0.91021232925955542</v>
      </c>
      <c r="AA33" s="100">
        <f>AA27/AA31</f>
        <v>1.0105936303265954</v>
      </c>
      <c r="AB33" s="164">
        <f t="shared" ref="AB33" si="97">AB27/AB31</f>
        <v>3.3442277132754605</v>
      </c>
      <c r="AC33" s="100">
        <f>AC27/AC31</f>
        <v>0.96135602283942967</v>
      </c>
      <c r="AD33" s="100">
        <f>AD27/AD31</f>
        <v>0.80095810442592075</v>
      </c>
      <c r="AE33" s="100">
        <f>AE27/AE31</f>
        <v>0.99644233298900042</v>
      </c>
      <c r="AF33" s="100">
        <f>AF27/AF31</f>
        <v>1.0276292791224406</v>
      </c>
      <c r="AG33" s="164">
        <f t="shared" ref="AG33" si="98">AG27/AG31</f>
        <v>3.7863845135723619</v>
      </c>
      <c r="AH33" s="100">
        <f>AH27/AH31</f>
        <v>1.095418148925851</v>
      </c>
      <c r="AI33" s="100">
        <f>AI27/AI31</f>
        <v>0.91787153255621079</v>
      </c>
      <c r="AJ33" s="100">
        <f>AJ27/AJ31</f>
        <v>1.2283999322877368</v>
      </c>
      <c r="AK33" s="100">
        <f>AK27/AK31</f>
        <v>1.2404110147052634</v>
      </c>
      <c r="AL33" s="164">
        <f t="shared" ref="AL33" si="99">AL27/AL31</f>
        <v>4.4768895699896181</v>
      </c>
      <c r="AM33" s="100">
        <f>AM27/AM31</f>
        <v>1.2401247051677917</v>
      </c>
      <c r="AN33" s="100">
        <f>AN27/AN31</f>
        <v>1.0226720383847758</v>
      </c>
      <c r="AO33" s="100">
        <f>AO27/AO31</f>
        <v>1.3156752121607587</v>
      </c>
      <c r="AP33" s="100">
        <f>AP27/AP31</f>
        <v>1.2931520679161839</v>
      </c>
      <c r="AQ33" s="164">
        <f t="shared" ref="AQ33" si="100">AQ27/AQ31</f>
        <v>4.8716177565943273</v>
      </c>
      <c r="AR33" s="100">
        <f>AR27/AR31</f>
        <v>1.3197888789226468</v>
      </c>
      <c r="AS33" s="100">
        <f>AS27/AS31</f>
        <v>1.0929970471613228</v>
      </c>
      <c r="AT33" s="100">
        <f>AT27/AT31</f>
        <v>1.4012414595825973</v>
      </c>
      <c r="AU33" s="100">
        <f>AU27/AU31</f>
        <v>1.3805991883739535</v>
      </c>
      <c r="AV33" s="164">
        <f t="shared" ref="AV33" si="101">AV27/AV31</f>
        <v>5.1946198935911285</v>
      </c>
    </row>
    <row r="34" spans="2:48" x14ac:dyDescent="0.3">
      <c r="B34" s="85" t="s">
        <v>71</v>
      </c>
      <c r="C34" s="90"/>
      <c r="D34" s="101">
        <f t="shared" ref="D34:W34" si="102">+D29/D31</f>
        <v>0.74999999999999922</v>
      </c>
      <c r="E34" s="101">
        <f t="shared" si="102"/>
        <v>0.60000000000000009</v>
      </c>
      <c r="F34" s="101">
        <f t="shared" si="102"/>
        <v>0.78</v>
      </c>
      <c r="G34" s="101">
        <f t="shared" si="102"/>
        <v>0.69511774261567683</v>
      </c>
      <c r="H34" s="162">
        <f t="shared" si="102"/>
        <v>2.8336117418099285</v>
      </c>
      <c r="I34" s="101">
        <f t="shared" si="102"/>
        <v>0.79454240134340781</v>
      </c>
      <c r="J34" s="101">
        <f t="shared" si="102"/>
        <v>0.31523672397730074</v>
      </c>
      <c r="K34" s="101">
        <f t="shared" si="102"/>
        <v>-0.46193838254171954</v>
      </c>
      <c r="L34" s="101">
        <f t="shared" si="102"/>
        <v>0.51</v>
      </c>
      <c r="M34" s="162">
        <f t="shared" si="102"/>
        <v>1.1512365543643674</v>
      </c>
      <c r="N34" s="101">
        <f t="shared" si="102"/>
        <v>0.60998309382924787</v>
      </c>
      <c r="O34" s="101">
        <f t="shared" si="102"/>
        <v>0.62099257258609042</v>
      </c>
      <c r="P34" s="101">
        <f t="shared" si="102"/>
        <v>1.0059332321699532</v>
      </c>
      <c r="Q34" s="101">
        <f t="shared" si="102"/>
        <v>0.99628807138648001</v>
      </c>
      <c r="R34" s="162">
        <f>+R29/R31+0.01</f>
        <v>3.2421909979383412</v>
      </c>
      <c r="S34" s="101">
        <f t="shared" si="102"/>
        <v>0.71999999999999986</v>
      </c>
      <c r="T34" s="101">
        <f t="shared" si="102"/>
        <v>0.58587745905191113</v>
      </c>
      <c r="U34" s="101">
        <f t="shared" si="102"/>
        <v>0.84046915725456095</v>
      </c>
      <c r="V34" s="101">
        <f t="shared" si="102"/>
        <v>0.80898047722342603</v>
      </c>
      <c r="W34" s="162">
        <f t="shared" si="102"/>
        <v>2.9549705033752645</v>
      </c>
      <c r="X34" s="101">
        <f>X29/X31</f>
        <v>0.74938927797588428</v>
      </c>
      <c r="Y34" s="101">
        <f t="shared" ref="Y34:AU34" si="103">Y29/Y31</f>
        <v>0.71649353821412942</v>
      </c>
      <c r="Z34" s="101">
        <f t="shared" si="103"/>
        <v>0.91626634856949429</v>
      </c>
      <c r="AA34" s="101">
        <f t="shared" si="103"/>
        <v>1.0166416016651956</v>
      </c>
      <c r="AB34" s="162">
        <f t="shared" ref="AB34" si="104">+AB29/AB31</f>
        <v>3.3987321211690431</v>
      </c>
      <c r="AC34" s="101">
        <f t="shared" si="103"/>
        <v>0.96739795224862069</v>
      </c>
      <c r="AD34" s="101">
        <f t="shared" si="103"/>
        <v>0.82630885719175728</v>
      </c>
      <c r="AE34" s="101">
        <f t="shared" si="103"/>
        <v>1.0217871338297964</v>
      </c>
      <c r="AF34" s="101">
        <f t="shared" si="103"/>
        <v>1.0529681248846281</v>
      </c>
      <c r="AG34" s="162">
        <f t="shared" ref="AG34" si="105">+AG29/AG31</f>
        <v>3.8684779181542424</v>
      </c>
      <c r="AH34" s="101">
        <f t="shared" si="103"/>
        <v>1.1207501141042</v>
      </c>
      <c r="AI34" s="101">
        <f t="shared" si="103"/>
        <v>0.94319661401147525</v>
      </c>
      <c r="AJ34" s="101">
        <f t="shared" si="103"/>
        <v>1.254769406372348</v>
      </c>
      <c r="AK34" s="101">
        <f t="shared" si="103"/>
        <v>1.2679159100491866</v>
      </c>
      <c r="AL34" s="162">
        <f t="shared" ref="AL34" si="106">+AL29/AL31</f>
        <v>4.5815092910550819</v>
      </c>
      <c r="AM34" s="101">
        <f t="shared" si="103"/>
        <v>1.2676021230937888</v>
      </c>
      <c r="AN34" s="101">
        <f t="shared" si="103"/>
        <v>1.0501220063428149</v>
      </c>
      <c r="AO34" s="101">
        <f t="shared" si="103"/>
        <v>1.3430977575733851</v>
      </c>
      <c r="AP34" s="101">
        <f t="shared" si="103"/>
        <v>1.320547218178548</v>
      </c>
      <c r="AQ34" s="162">
        <f t="shared" ref="AQ34" si="107">+AQ29/AQ31</f>
        <v>4.9813574683762303</v>
      </c>
      <c r="AR34" s="101">
        <f t="shared" si="103"/>
        <v>1.3471566614025312</v>
      </c>
      <c r="AS34" s="101">
        <f t="shared" si="103"/>
        <v>1.1203374891991693</v>
      </c>
      <c r="AT34" s="101">
        <f t="shared" si="103"/>
        <v>1.4285545884915347</v>
      </c>
      <c r="AU34" s="101">
        <f t="shared" si="103"/>
        <v>1.407885031439825</v>
      </c>
      <c r="AV34" s="162">
        <f t="shared" ref="AV34" si="108">+AV29/AV31</f>
        <v>5.303921651202721</v>
      </c>
    </row>
    <row r="35" spans="2:48" x14ac:dyDescent="0.3">
      <c r="B35" s="35" t="s">
        <v>38</v>
      </c>
      <c r="C35" s="195"/>
      <c r="D35" s="226">
        <v>0.36</v>
      </c>
      <c r="E35" s="226">
        <v>0.36</v>
      </c>
      <c r="F35" s="226">
        <v>0.36</v>
      </c>
      <c r="G35" s="226">
        <v>0.41</v>
      </c>
      <c r="H35" s="164">
        <f>+SUM(D35:G35)</f>
        <v>1.49</v>
      </c>
      <c r="I35" s="226">
        <v>0.41</v>
      </c>
      <c r="J35" s="226">
        <v>0.41</v>
      </c>
      <c r="K35" s="226">
        <v>0.41</v>
      </c>
      <c r="L35" s="226">
        <f>K35*1.1</f>
        <v>0.45100000000000001</v>
      </c>
      <c r="M35" s="25">
        <f>+SUM(I35:L35)</f>
        <v>1.681</v>
      </c>
      <c r="N35" s="226">
        <f>+L35</f>
        <v>0.45100000000000001</v>
      </c>
      <c r="O35" s="226">
        <v>0.45</v>
      </c>
      <c r="P35" s="226">
        <v>0.45</v>
      </c>
      <c r="Q35" s="226">
        <v>0.49</v>
      </c>
      <c r="R35" s="25">
        <f>+SUM(N35:Q35)</f>
        <v>1.841</v>
      </c>
      <c r="S35" s="226">
        <v>0.49</v>
      </c>
      <c r="T35" s="226">
        <v>0.49</v>
      </c>
      <c r="U35" s="226">
        <v>0.49</v>
      </c>
      <c r="V35" s="226">
        <v>0.53</v>
      </c>
      <c r="W35" s="25">
        <f>+SUM(S35:V35)</f>
        <v>2</v>
      </c>
      <c r="X35" s="226">
        <f>V35</f>
        <v>0.53</v>
      </c>
      <c r="Y35" s="226">
        <f>X35</f>
        <v>0.53</v>
      </c>
      <c r="Z35" s="226">
        <f>Y35</f>
        <v>0.53</v>
      </c>
      <c r="AA35" s="226">
        <f>Z35*1.05</f>
        <v>0.55650000000000011</v>
      </c>
      <c r="AB35" s="25">
        <f>+SUM(X35:AA35)</f>
        <v>2.1465000000000001</v>
      </c>
      <c r="AC35" s="226">
        <f>AA35</f>
        <v>0.55650000000000011</v>
      </c>
      <c r="AD35" s="226">
        <f>AC35</f>
        <v>0.55650000000000011</v>
      </c>
      <c r="AE35" s="226">
        <f>AD35</f>
        <v>0.55650000000000011</v>
      </c>
      <c r="AF35" s="226">
        <f>AE35*1.05</f>
        <v>0.58432500000000009</v>
      </c>
      <c r="AG35" s="25">
        <f>+SUM(AC35:AF35)</f>
        <v>2.2538250000000004</v>
      </c>
      <c r="AH35" s="226">
        <f>AF35</f>
        <v>0.58432500000000009</v>
      </c>
      <c r="AI35" s="226">
        <f>AH35</f>
        <v>0.58432500000000009</v>
      </c>
      <c r="AJ35" s="226">
        <f>AI35</f>
        <v>0.58432500000000009</v>
      </c>
      <c r="AK35" s="226">
        <f>AJ35*1.05</f>
        <v>0.61354125000000015</v>
      </c>
      <c r="AL35" s="25">
        <f>+SUM(AH35:AK35)</f>
        <v>2.3665162500000001</v>
      </c>
      <c r="AM35" s="226">
        <f>AK35</f>
        <v>0.61354125000000015</v>
      </c>
      <c r="AN35" s="226">
        <f>AM35</f>
        <v>0.61354125000000015</v>
      </c>
      <c r="AO35" s="226">
        <f>AN35</f>
        <v>0.61354125000000015</v>
      </c>
      <c r="AP35" s="226">
        <f>AO35*1.05</f>
        <v>0.64421831250000017</v>
      </c>
      <c r="AQ35" s="25">
        <f>+SUM(AM35:AP35)</f>
        <v>2.4848420625000007</v>
      </c>
      <c r="AR35" s="226">
        <f>AP35</f>
        <v>0.64421831250000017</v>
      </c>
      <c r="AS35" s="226">
        <f>AR35</f>
        <v>0.64421831250000017</v>
      </c>
      <c r="AT35" s="226">
        <f>AS35</f>
        <v>0.64421831250000017</v>
      </c>
      <c r="AU35" s="226">
        <f>AT35*1.05</f>
        <v>0.67642922812500017</v>
      </c>
      <c r="AV35" s="25">
        <f>+SUM(AR35:AU35)</f>
        <v>2.609084165625001</v>
      </c>
    </row>
    <row r="36" spans="2:48" s="227" customFormat="1" x14ac:dyDescent="0.3">
      <c r="B36" s="228" t="s">
        <v>167</v>
      </c>
      <c r="C36" s="229"/>
      <c r="D36" s="199"/>
      <c r="E36" s="199"/>
      <c r="F36" s="199"/>
      <c r="G36" s="199"/>
      <c r="H36" s="230">
        <f>H35/H33</f>
        <v>0.51052122693931912</v>
      </c>
      <c r="I36" s="199"/>
      <c r="J36" s="199"/>
      <c r="K36" s="199"/>
      <c r="L36" s="199"/>
      <c r="M36" s="230">
        <f>M35/M33</f>
        <v>2.1706939657696651</v>
      </c>
      <c r="N36" s="199"/>
      <c r="O36" s="199"/>
      <c r="P36" s="199"/>
      <c r="Q36" s="199"/>
      <c r="R36" s="230">
        <f>R35/R33</f>
        <v>0.52003419212449009</v>
      </c>
      <c r="S36" s="199"/>
      <c r="T36" s="199"/>
      <c r="U36" s="199"/>
      <c r="V36" s="199"/>
      <c r="W36" s="230">
        <f>W35/W33</f>
        <v>0.7059309859924362</v>
      </c>
      <c r="X36" s="199"/>
      <c r="Y36" s="199"/>
      <c r="Z36" s="199"/>
      <c r="AA36" s="199"/>
      <c r="AB36" s="439">
        <f>AB35/AB33</f>
        <v>0.64185222539694775</v>
      </c>
      <c r="AC36" s="199"/>
      <c r="AD36" s="199"/>
      <c r="AE36" s="199"/>
      <c r="AF36" s="199"/>
      <c r="AG36" s="439">
        <f>AG35/AG33</f>
        <v>0.59524461710666865</v>
      </c>
      <c r="AH36" s="199"/>
      <c r="AI36" s="199"/>
      <c r="AJ36" s="199"/>
      <c r="AK36" s="199"/>
      <c r="AL36" s="439">
        <f>AL35/AL33</f>
        <v>0.52860724237285306</v>
      </c>
      <c r="AM36" s="199"/>
      <c r="AN36" s="199"/>
      <c r="AO36" s="199"/>
      <c r="AP36" s="199"/>
      <c r="AQ36" s="230">
        <f>AQ35/AQ33</f>
        <v>0.51006507214907504</v>
      </c>
      <c r="AR36" s="199"/>
      <c r="AS36" s="199"/>
      <c r="AT36" s="199"/>
      <c r="AU36" s="199"/>
      <c r="AV36" s="230">
        <f>AV35/AV33</f>
        <v>0.50226661797602612</v>
      </c>
    </row>
    <row r="37" spans="2:48" s="58" customFormat="1" x14ac:dyDescent="0.3">
      <c r="B37" s="186"/>
      <c r="C37" s="338"/>
      <c r="D37" s="339"/>
      <c r="E37" s="185"/>
      <c r="F37" s="185"/>
      <c r="G37" s="185">
        <f>G35/F35-1</f>
        <v>0.13888888888888884</v>
      </c>
      <c r="H37" s="185"/>
      <c r="I37" s="185"/>
      <c r="J37" s="185"/>
      <c r="K37" s="185"/>
      <c r="L37" s="185">
        <f>L35/K35-1</f>
        <v>0.10000000000000009</v>
      </c>
      <c r="M37" s="185"/>
      <c r="N37" s="185"/>
      <c r="O37" s="185"/>
      <c r="P37" s="185"/>
      <c r="Q37" s="185">
        <f>Q35/P35-1</f>
        <v>8.8888888888888795E-2</v>
      </c>
      <c r="R37" s="185"/>
      <c r="S37" s="185"/>
      <c r="T37" s="185"/>
      <c r="U37" s="185"/>
      <c r="V37" s="185"/>
      <c r="W37" s="353"/>
      <c r="X37" s="185"/>
      <c r="Y37" s="185"/>
      <c r="Z37" s="185"/>
      <c r="AA37" s="185"/>
      <c r="AB37" s="353"/>
      <c r="AC37" s="185"/>
      <c r="AD37" s="185"/>
      <c r="AE37" s="185"/>
      <c r="AF37" s="353"/>
      <c r="AG37" s="353"/>
      <c r="AH37" s="185"/>
      <c r="AI37" s="185"/>
      <c r="AJ37" s="185"/>
      <c r="AK37" s="185"/>
      <c r="AL37" s="339"/>
      <c r="AM37" s="185"/>
      <c r="AN37" s="185"/>
      <c r="AO37" s="185"/>
      <c r="AP37" s="185"/>
      <c r="AQ37" s="185"/>
      <c r="AR37" s="185"/>
      <c r="AS37" s="185"/>
      <c r="AT37" s="185"/>
      <c r="AU37" s="185"/>
      <c r="AV37" s="185"/>
    </row>
    <row r="38" spans="2:48" ht="15.6" x14ac:dyDescent="0.3">
      <c r="B38" s="514" t="s">
        <v>13</v>
      </c>
      <c r="C38" s="515"/>
      <c r="D38" s="13" t="s">
        <v>15</v>
      </c>
      <c r="E38" s="13" t="s">
        <v>79</v>
      </c>
      <c r="F38" s="13" t="s">
        <v>81</v>
      </c>
      <c r="G38" s="13" t="s">
        <v>144</v>
      </c>
      <c r="H38" s="36" t="s">
        <v>144</v>
      </c>
      <c r="I38" s="13" t="s">
        <v>143</v>
      </c>
      <c r="J38" s="13" t="s">
        <v>142</v>
      </c>
      <c r="K38" s="13" t="s">
        <v>141</v>
      </c>
      <c r="L38" s="13" t="s">
        <v>138</v>
      </c>
      <c r="M38" s="36" t="s">
        <v>138</v>
      </c>
      <c r="N38" s="13" t="s">
        <v>145</v>
      </c>
      <c r="O38" s="13" t="s">
        <v>153</v>
      </c>
      <c r="P38" s="13" t="s">
        <v>155</v>
      </c>
      <c r="Q38" s="13" t="s">
        <v>168</v>
      </c>
      <c r="R38" s="36" t="s">
        <v>168</v>
      </c>
      <c r="S38" s="13" t="s">
        <v>184</v>
      </c>
      <c r="T38" s="13" t="s">
        <v>187</v>
      </c>
      <c r="U38" s="13" t="s">
        <v>200</v>
      </c>
      <c r="V38" s="13" t="s">
        <v>323</v>
      </c>
      <c r="W38" s="36" t="s">
        <v>323</v>
      </c>
      <c r="X38" s="15" t="s">
        <v>20</v>
      </c>
      <c r="Y38" s="15" t="s">
        <v>21</v>
      </c>
      <c r="Z38" s="15" t="s">
        <v>22</v>
      </c>
      <c r="AA38" s="15" t="s">
        <v>23</v>
      </c>
      <c r="AB38" s="38" t="s">
        <v>23</v>
      </c>
      <c r="AC38" s="15" t="s">
        <v>83</v>
      </c>
      <c r="AD38" s="15" t="s">
        <v>84</v>
      </c>
      <c r="AE38" s="15" t="s">
        <v>85</v>
      </c>
      <c r="AF38" s="15" t="s">
        <v>86</v>
      </c>
      <c r="AG38" s="38" t="s">
        <v>86</v>
      </c>
      <c r="AH38" s="15" t="s">
        <v>102</v>
      </c>
      <c r="AI38" s="15" t="s">
        <v>103</v>
      </c>
      <c r="AJ38" s="15" t="s">
        <v>104</v>
      </c>
      <c r="AK38" s="15" t="s">
        <v>105</v>
      </c>
      <c r="AL38" s="38" t="s">
        <v>105</v>
      </c>
      <c r="AM38" s="15" t="s">
        <v>157</v>
      </c>
      <c r="AN38" s="15" t="s">
        <v>158</v>
      </c>
      <c r="AO38" s="15" t="s">
        <v>159</v>
      </c>
      <c r="AP38" s="15" t="s">
        <v>160</v>
      </c>
      <c r="AQ38" s="38" t="s">
        <v>160</v>
      </c>
      <c r="AR38" s="15" t="s">
        <v>188</v>
      </c>
      <c r="AS38" s="15" t="s">
        <v>189</v>
      </c>
      <c r="AT38" s="15" t="s">
        <v>190</v>
      </c>
      <c r="AU38" s="15" t="s">
        <v>191</v>
      </c>
      <c r="AV38" s="38" t="s">
        <v>191</v>
      </c>
    </row>
    <row r="39" spans="2:48" ht="16.2" x14ac:dyDescent="0.45">
      <c r="B39" s="516"/>
      <c r="C39" s="517"/>
      <c r="D39" s="14" t="s">
        <v>19</v>
      </c>
      <c r="E39" s="14" t="s">
        <v>78</v>
      </c>
      <c r="F39" s="14" t="s">
        <v>82</v>
      </c>
      <c r="G39" s="14" t="s">
        <v>92</v>
      </c>
      <c r="H39" s="37" t="s">
        <v>93</v>
      </c>
      <c r="I39" s="14" t="s">
        <v>94</v>
      </c>
      <c r="J39" s="14" t="s">
        <v>95</v>
      </c>
      <c r="K39" s="14" t="s">
        <v>96</v>
      </c>
      <c r="L39" s="14" t="s">
        <v>139</v>
      </c>
      <c r="M39" s="37" t="s">
        <v>140</v>
      </c>
      <c r="N39" s="14" t="s">
        <v>146</v>
      </c>
      <c r="O39" s="14" t="s">
        <v>154</v>
      </c>
      <c r="P39" s="14" t="s">
        <v>156</v>
      </c>
      <c r="Q39" s="14" t="s">
        <v>169</v>
      </c>
      <c r="R39" s="37" t="s">
        <v>170</v>
      </c>
      <c r="S39" s="14" t="s">
        <v>185</v>
      </c>
      <c r="T39" s="14" t="s">
        <v>186</v>
      </c>
      <c r="U39" s="14" t="s">
        <v>201</v>
      </c>
      <c r="V39" s="14" t="s">
        <v>324</v>
      </c>
      <c r="W39" s="37" t="s">
        <v>325</v>
      </c>
      <c r="X39" s="12" t="s">
        <v>24</v>
      </c>
      <c r="Y39" s="12" t="s">
        <v>25</v>
      </c>
      <c r="Z39" s="12" t="s">
        <v>26</v>
      </c>
      <c r="AA39" s="12" t="s">
        <v>27</v>
      </c>
      <c r="AB39" s="39" t="s">
        <v>28</v>
      </c>
      <c r="AC39" s="12" t="s">
        <v>87</v>
      </c>
      <c r="AD39" s="12" t="s">
        <v>88</v>
      </c>
      <c r="AE39" s="12" t="s">
        <v>89</v>
      </c>
      <c r="AF39" s="12" t="s">
        <v>90</v>
      </c>
      <c r="AG39" s="39" t="s">
        <v>91</v>
      </c>
      <c r="AH39" s="12" t="s">
        <v>106</v>
      </c>
      <c r="AI39" s="12" t="s">
        <v>107</v>
      </c>
      <c r="AJ39" s="12" t="s">
        <v>108</v>
      </c>
      <c r="AK39" s="12" t="s">
        <v>109</v>
      </c>
      <c r="AL39" s="39" t="s">
        <v>110</v>
      </c>
      <c r="AM39" s="12" t="s">
        <v>161</v>
      </c>
      <c r="AN39" s="12" t="s">
        <v>162</v>
      </c>
      <c r="AO39" s="12" t="s">
        <v>163</v>
      </c>
      <c r="AP39" s="12" t="s">
        <v>164</v>
      </c>
      <c r="AQ39" s="39" t="s">
        <v>165</v>
      </c>
      <c r="AR39" s="12" t="s">
        <v>192</v>
      </c>
      <c r="AS39" s="12" t="s">
        <v>193</v>
      </c>
      <c r="AT39" s="12" t="s">
        <v>194</v>
      </c>
      <c r="AU39" s="12" t="s">
        <v>195</v>
      </c>
      <c r="AV39" s="39" t="s">
        <v>196</v>
      </c>
    </row>
    <row r="40" spans="2:48" ht="17.399999999999999" x14ac:dyDescent="0.45">
      <c r="B40" s="530" t="s">
        <v>171</v>
      </c>
      <c r="C40" s="531"/>
      <c r="D40" s="14"/>
      <c r="E40" s="14"/>
      <c r="F40" s="14"/>
      <c r="G40" s="14"/>
      <c r="H40" s="37"/>
      <c r="I40" s="14"/>
      <c r="J40" s="14"/>
      <c r="K40" s="14"/>
      <c r="L40" s="14"/>
      <c r="M40" s="37"/>
      <c r="N40" s="14"/>
      <c r="O40" s="14"/>
      <c r="P40" s="14"/>
      <c r="Q40" s="14"/>
      <c r="R40" s="37"/>
      <c r="S40" s="14"/>
      <c r="T40" s="14"/>
      <c r="U40" s="14"/>
      <c r="V40" s="14"/>
      <c r="W40" s="37"/>
      <c r="X40" s="12"/>
      <c r="Y40" s="12"/>
      <c r="Z40" s="12"/>
      <c r="AA40" s="12"/>
      <c r="AB40" s="39"/>
      <c r="AC40" s="12"/>
      <c r="AD40" s="12"/>
      <c r="AE40" s="12"/>
      <c r="AF40" s="12"/>
      <c r="AG40" s="39"/>
      <c r="AH40" s="12"/>
      <c r="AI40" s="12"/>
      <c r="AJ40" s="12"/>
      <c r="AK40" s="12"/>
      <c r="AL40" s="39"/>
      <c r="AM40" s="12"/>
      <c r="AN40" s="12"/>
      <c r="AO40" s="12"/>
      <c r="AP40" s="12"/>
      <c r="AQ40" s="39"/>
      <c r="AR40" s="12"/>
      <c r="AS40" s="12"/>
      <c r="AT40" s="12"/>
      <c r="AU40" s="12"/>
      <c r="AV40" s="39"/>
    </row>
    <row r="41" spans="2:48" s="8" customFormat="1" outlineLevel="1" x14ac:dyDescent="0.3">
      <c r="B41" s="532" t="s">
        <v>172</v>
      </c>
      <c r="C41" s="533"/>
      <c r="D41" s="21">
        <v>9777</v>
      </c>
      <c r="E41" s="21">
        <v>9776</v>
      </c>
      <c r="F41" s="106">
        <v>9857</v>
      </c>
      <c r="G41" s="21">
        <v>9974</v>
      </c>
      <c r="H41" s="53"/>
      <c r="I41" s="21">
        <v>10020</v>
      </c>
      <c r="J41" s="21">
        <v>10051</v>
      </c>
      <c r="K41" s="21">
        <v>10017</v>
      </c>
      <c r="L41" s="21">
        <v>10109</v>
      </c>
      <c r="M41" s="53"/>
      <c r="N41" s="21">
        <v>10029</v>
      </c>
      <c r="O41" s="21">
        <f>+N41+O42</f>
        <v>9820</v>
      </c>
      <c r="P41" s="21">
        <f>+O41+P42</f>
        <v>9860</v>
      </c>
      <c r="Q41" s="21">
        <f>+P41+Q42</f>
        <v>9861</v>
      </c>
      <c r="R41" s="180"/>
      <c r="S41" s="21">
        <f>+Q41+S42</f>
        <v>9900</v>
      </c>
      <c r="T41" s="21">
        <f>+S41+T42</f>
        <v>9954</v>
      </c>
      <c r="U41" s="21">
        <f>+T41+U42</f>
        <v>10050</v>
      </c>
      <c r="V41" s="21">
        <f>+U41+V42</f>
        <v>10216</v>
      </c>
      <c r="W41" s="180">
        <f>V41</f>
        <v>10216</v>
      </c>
      <c r="X41" s="106">
        <f>V41+X42</f>
        <v>10280.856250000001</v>
      </c>
      <c r="Y41" s="106">
        <f>X41+Y42</f>
        <v>10345.712500000001</v>
      </c>
      <c r="Z41" s="106">
        <f>Y41+Z42</f>
        <v>10410.568750000002</v>
      </c>
      <c r="AA41" s="106">
        <f>Z41+AA42</f>
        <v>10475.425000000003</v>
      </c>
      <c r="AB41" s="180">
        <f>AA41</f>
        <v>10475.425000000003</v>
      </c>
      <c r="AC41" s="106">
        <f>AA41+AC42</f>
        <v>10553.360593750003</v>
      </c>
      <c r="AD41" s="106">
        <f>AC41+AD42</f>
        <v>10631.296187500004</v>
      </c>
      <c r="AE41" s="106">
        <f>AD41+AE42</f>
        <v>10709.231781250004</v>
      </c>
      <c r="AF41" s="106">
        <f>AE41+AF42</f>
        <v>10787.167375000005</v>
      </c>
      <c r="AG41" s="180">
        <f>AF41</f>
        <v>10787.167375000005</v>
      </c>
      <c r="AH41" s="106">
        <f>AF41+AH42</f>
        <v>10879.354048750005</v>
      </c>
      <c r="AI41" s="106">
        <f>AH41+AI42</f>
        <v>10971.540722500005</v>
      </c>
      <c r="AJ41" s="106">
        <f>AI41+AJ42</f>
        <v>11063.727396250006</v>
      </c>
      <c r="AK41" s="106">
        <f>AJ41+AK42</f>
        <v>11155.914070000006</v>
      </c>
      <c r="AL41" s="180">
        <f>AK41</f>
        <v>11155.914070000006</v>
      </c>
      <c r="AM41" s="106">
        <f>AK41+AM42</f>
        <v>11215.835407937506</v>
      </c>
      <c r="AN41" s="106">
        <f>AM41+AN42</f>
        <v>11275.756745875005</v>
      </c>
      <c r="AO41" s="106">
        <f>AN41+AO42</f>
        <v>11335.678083812505</v>
      </c>
      <c r="AP41" s="106">
        <f>AO41+AP42</f>
        <v>11395.599421750005</v>
      </c>
      <c r="AQ41" s="180">
        <f>AP41</f>
        <v>11395.599421750005</v>
      </c>
      <c r="AR41" s="106">
        <f>AP41+AR42</f>
        <v>11457.018793135941</v>
      </c>
      <c r="AS41" s="106">
        <f>AR41+AS42</f>
        <v>11518.438164521878</v>
      </c>
      <c r="AT41" s="106">
        <f>AS41+AT42</f>
        <v>11579.857535907815</v>
      </c>
      <c r="AU41" s="106">
        <f>AT41+AU42</f>
        <v>11641.276907293752</v>
      </c>
      <c r="AV41" s="180">
        <f>AU41</f>
        <v>11641.276907293752</v>
      </c>
    </row>
    <row r="42" spans="2:48" outlineLevel="1" x14ac:dyDescent="0.3">
      <c r="B42" s="170" t="s">
        <v>43</v>
      </c>
      <c r="C42" s="189"/>
      <c r="D42" s="91">
        <f>+D41-9690</f>
        <v>87</v>
      </c>
      <c r="E42" s="91">
        <f>E41-D41</f>
        <v>-1</v>
      </c>
      <c r="F42" s="91">
        <f>F41-E41</f>
        <v>81</v>
      </c>
      <c r="G42" s="91">
        <f>G41-F41</f>
        <v>117</v>
      </c>
      <c r="H42" s="112">
        <f>+SUM(D42:G42)</f>
        <v>284</v>
      </c>
      <c r="I42" s="91">
        <f>I41-G41</f>
        <v>46</v>
      </c>
      <c r="J42" s="91">
        <f>J41-I41</f>
        <v>31</v>
      </c>
      <c r="K42" s="91">
        <f>K41-J41</f>
        <v>-34</v>
      </c>
      <c r="L42" s="91">
        <f>L41-K41</f>
        <v>92</v>
      </c>
      <c r="M42" s="112"/>
      <c r="N42" s="91">
        <v>-80</v>
      </c>
      <c r="O42" s="91">
        <v>-209</v>
      </c>
      <c r="P42" s="91">
        <v>40</v>
      </c>
      <c r="Q42" s="91">
        <v>1</v>
      </c>
      <c r="R42" s="26"/>
      <c r="S42" s="91">
        <v>39</v>
      </c>
      <c r="T42" s="91">
        <v>54</v>
      </c>
      <c r="U42" s="91">
        <v>96</v>
      </c>
      <c r="V42" s="91">
        <v>166</v>
      </c>
      <c r="W42" s="112">
        <f>+SUM(S42:V42)</f>
        <v>355</v>
      </c>
      <c r="X42" s="391">
        <f>AB42/4</f>
        <v>64.856250000000003</v>
      </c>
      <c r="Y42" s="391">
        <f>AB42/4</f>
        <v>64.856250000000003</v>
      </c>
      <c r="Z42" s="391">
        <f>AB42/4</f>
        <v>64.856250000000003</v>
      </c>
      <c r="AA42" s="391">
        <f>AB42/4</f>
        <v>64.856250000000003</v>
      </c>
      <c r="AB42" s="392">
        <f>AB58/2</f>
        <v>259.42500000000001</v>
      </c>
      <c r="AC42" s="391">
        <f>AG42/4</f>
        <v>77.935593750000024</v>
      </c>
      <c r="AD42" s="391">
        <f>AG42/4</f>
        <v>77.935593750000024</v>
      </c>
      <c r="AE42" s="391">
        <f>AG42/4</f>
        <v>77.935593750000024</v>
      </c>
      <c r="AF42" s="391">
        <f>AG42/4</f>
        <v>77.935593750000024</v>
      </c>
      <c r="AG42" s="392">
        <f>AB42/AB58*AG58</f>
        <v>311.7423750000001</v>
      </c>
      <c r="AH42" s="391">
        <f>AL42/4</f>
        <v>92.186673750000026</v>
      </c>
      <c r="AI42" s="391">
        <f>AL42/4</f>
        <v>92.186673750000026</v>
      </c>
      <c r="AJ42" s="391">
        <f>AL42/4</f>
        <v>92.186673750000026</v>
      </c>
      <c r="AK42" s="391">
        <f>AL42/4</f>
        <v>92.186673750000026</v>
      </c>
      <c r="AL42" s="392">
        <f>AG42/AG58*AL58</f>
        <v>368.7466950000001</v>
      </c>
      <c r="AM42" s="391">
        <f>AQ42/4</f>
        <v>59.921337937500027</v>
      </c>
      <c r="AN42" s="391">
        <f>AQ42/4</f>
        <v>59.921337937500027</v>
      </c>
      <c r="AO42" s="391">
        <f>AQ42/4</f>
        <v>59.921337937500027</v>
      </c>
      <c r="AP42" s="391">
        <f>AQ42/4</f>
        <v>59.921337937500027</v>
      </c>
      <c r="AQ42" s="392">
        <f>AL42/AL58*AQ58</f>
        <v>239.68535175000011</v>
      </c>
      <c r="AR42" s="391">
        <f>AV42/4</f>
        <v>61.419371385937524</v>
      </c>
      <c r="AS42" s="391">
        <f>AV42/4</f>
        <v>61.419371385937524</v>
      </c>
      <c r="AT42" s="391">
        <f>AV42/4</f>
        <v>61.419371385937524</v>
      </c>
      <c r="AU42" s="391">
        <f>AV42/4</f>
        <v>61.419371385937524</v>
      </c>
      <c r="AV42" s="392">
        <f>AQ42/AQ58*AV58</f>
        <v>245.67748554375009</v>
      </c>
    </row>
    <row r="43" spans="2:48" outlineLevel="1" x14ac:dyDescent="0.3">
      <c r="B43" s="170" t="s">
        <v>198</v>
      </c>
      <c r="C43" s="189"/>
      <c r="D43" s="91"/>
      <c r="E43" s="91">
        <f>AVERAGE(D41,E41)</f>
        <v>9776.5</v>
      </c>
      <c r="F43" s="91">
        <f t="shared" ref="F43:G43" si="109">AVERAGE(E41,F41)</f>
        <v>9816.5</v>
      </c>
      <c r="G43" s="91">
        <f t="shared" si="109"/>
        <v>9915.5</v>
      </c>
      <c r="H43" s="112"/>
      <c r="I43" s="91">
        <f>AVERAGE(G41,I41)</f>
        <v>9997</v>
      </c>
      <c r="J43" s="91">
        <f>AVERAGE(I41,J41)</f>
        <v>10035.5</v>
      </c>
      <c r="K43" s="91">
        <f t="shared" ref="K43:L43" si="110">AVERAGE(J41,K41)</f>
        <v>10034</v>
      </c>
      <c r="L43" s="91">
        <f t="shared" si="110"/>
        <v>10063</v>
      </c>
      <c r="M43" s="112"/>
      <c r="N43" s="91">
        <f>AVERAGE(L41,N41)</f>
        <v>10069</v>
      </c>
      <c r="O43" s="91">
        <f>AVERAGE(N41,O41)</f>
        <v>9924.5</v>
      </c>
      <c r="P43" s="91">
        <f t="shared" ref="P43:Q43" si="111">AVERAGE(O41,P41)</f>
        <v>9840</v>
      </c>
      <c r="Q43" s="91">
        <f t="shared" si="111"/>
        <v>9860.5</v>
      </c>
      <c r="R43" s="112"/>
      <c r="S43" s="91">
        <f>AVERAGE(Q41,S41)</f>
        <v>9880.5</v>
      </c>
      <c r="T43" s="91">
        <f>AVERAGE(S41,T41)</f>
        <v>9927</v>
      </c>
      <c r="U43" s="91">
        <f t="shared" ref="U43" si="112">AVERAGE(T41,U41)</f>
        <v>10002</v>
      </c>
      <c r="V43" s="91">
        <f>AVERAGE(U41,V41)</f>
        <v>10133</v>
      </c>
      <c r="W43" s="112"/>
      <c r="X43" s="91">
        <f>AVERAGE(X41,V41)</f>
        <v>10248.428125</v>
      </c>
      <c r="Y43" s="91">
        <f>AVERAGE(X41,Y41)</f>
        <v>10313.284375000001</v>
      </c>
      <c r="Z43" s="91">
        <f>AVERAGE(Y41,Z41)</f>
        <v>10378.140625000002</v>
      </c>
      <c r="AA43" s="91">
        <f>AVERAGE(Z41,AA41)</f>
        <v>10442.996875000003</v>
      </c>
      <c r="AB43" s="112"/>
      <c r="AC43" s="91">
        <f>AVERAGE(AC41,AA41)</f>
        <v>10514.392796875003</v>
      </c>
      <c r="AD43" s="91">
        <f>AVERAGE(AC41,AD41)</f>
        <v>10592.328390625004</v>
      </c>
      <c r="AE43" s="91">
        <f>AVERAGE(AD41,AE41)</f>
        <v>10670.263984375004</v>
      </c>
      <c r="AF43" s="91">
        <f>AVERAGE(AE41,AF41)</f>
        <v>10748.199578125004</v>
      </c>
      <c r="AG43" s="112"/>
      <c r="AH43" s="91">
        <f>AVERAGE(AH41,AF41)</f>
        <v>10833.260711875006</v>
      </c>
      <c r="AI43" s="91">
        <f>AVERAGE(AH41,AI41)</f>
        <v>10925.447385625004</v>
      </c>
      <c r="AJ43" s="91">
        <f>AVERAGE(AI41,AJ41)</f>
        <v>11017.634059375006</v>
      </c>
      <c r="AK43" s="91">
        <f>AVERAGE(AJ41,AK41)</f>
        <v>11109.820733125005</v>
      </c>
      <c r="AL43" s="112"/>
      <c r="AM43" s="91">
        <f>AVERAGE(AM41,AK41)</f>
        <v>11185.874738968756</v>
      </c>
      <c r="AN43" s="91">
        <f>AVERAGE(AM41,AN41)</f>
        <v>11245.796076906256</v>
      </c>
      <c r="AO43" s="91">
        <f>AVERAGE(AN41,AO41)</f>
        <v>11305.717414843755</v>
      </c>
      <c r="AP43" s="91">
        <f>AVERAGE(AO41,AP41)</f>
        <v>11365.638752781255</v>
      </c>
      <c r="AQ43" s="112"/>
      <c r="AR43" s="91">
        <f>AVERAGE(AR41,AP41)</f>
        <v>11426.309107442972</v>
      </c>
      <c r="AS43" s="91">
        <f>AVERAGE(AR41,AS41)</f>
        <v>11487.728478828911</v>
      </c>
      <c r="AT43" s="91">
        <f>AVERAGE(AS41,AT41)</f>
        <v>11549.147850214846</v>
      </c>
      <c r="AU43" s="91">
        <f>AVERAGE(AT41,AU41)</f>
        <v>11610.567221600784</v>
      </c>
      <c r="AV43" s="112"/>
    </row>
    <row r="44" spans="2:48" s="8" customFormat="1" outlineLevel="1" x14ac:dyDescent="0.3">
      <c r="B44" s="170" t="s">
        <v>202</v>
      </c>
      <c r="C44" s="194"/>
      <c r="D44" s="40"/>
      <c r="E44" s="40">
        <f>+E45/E43</f>
        <v>0.39376054825346496</v>
      </c>
      <c r="F44" s="40">
        <f>+F45/F43</f>
        <v>0.42603779351092547</v>
      </c>
      <c r="G44" s="40">
        <f>+G45/G43</f>
        <v>0.4199687358176592</v>
      </c>
      <c r="H44" s="87"/>
      <c r="I44" s="40">
        <f>+I45/I43</f>
        <v>0.44723417025107531</v>
      </c>
      <c r="J44" s="40">
        <f>+J45/J43</f>
        <v>0.38499327387773402</v>
      </c>
      <c r="K44" s="40">
        <f>+K45/K43</f>
        <v>0.25601953358580826</v>
      </c>
      <c r="L44" s="40">
        <f>+L45/L43</f>
        <v>0.3851038457716387</v>
      </c>
      <c r="M44" s="87"/>
      <c r="N44" s="40">
        <f>+N45/N43</f>
        <v>0.42554374813784884</v>
      </c>
      <c r="O44" s="40">
        <f>+O45/O43</f>
        <v>0.43008715804322634</v>
      </c>
      <c r="P44" s="40">
        <f>+P45/P43</f>
        <v>0.50099593495934958</v>
      </c>
      <c r="Q44" s="40">
        <f>+Q45/Q43</f>
        <v>0.53286344505856698</v>
      </c>
      <c r="R44" s="87"/>
      <c r="S44" s="40">
        <f>+S45/S43</f>
        <v>0.52771620869389202</v>
      </c>
      <c r="T44" s="40">
        <f>+T45/T43</f>
        <v>0.49725999798529263</v>
      </c>
      <c r="U44" s="40">
        <f>+U45/U43</f>
        <v>0.55120975804839034</v>
      </c>
      <c r="V44" s="40">
        <f>+V45/V43</f>
        <v>0.54776472910293106</v>
      </c>
      <c r="W44" s="122"/>
      <c r="X44" s="394">
        <f>S44*1.07</f>
        <v>0.5646563433024645</v>
      </c>
      <c r="Y44" s="394">
        <f>T44*1.07</f>
        <v>0.53206819784426318</v>
      </c>
      <c r="Z44" s="394">
        <f>U44*1.05</f>
        <v>0.57877024595080984</v>
      </c>
      <c r="AA44" s="394">
        <f>V44*1.05</f>
        <v>0.5751529655580776</v>
      </c>
      <c r="AB44" s="395"/>
      <c r="AC44" s="394">
        <f>X44*1.0525</f>
        <v>0.59430080132584384</v>
      </c>
      <c r="AD44" s="394">
        <f>Y44*1.0525</f>
        <v>0.56000177823108699</v>
      </c>
      <c r="AE44" s="394">
        <f>Z44*1.0525</f>
        <v>0.60915568386322738</v>
      </c>
      <c r="AF44" s="394">
        <f>AA44*1.0525</f>
        <v>0.60534849624987663</v>
      </c>
      <c r="AG44" s="395"/>
      <c r="AH44" s="394">
        <f>AC44*1.065</f>
        <v>0.63293035341202364</v>
      </c>
      <c r="AI44" s="394">
        <f>AD44*1.065</f>
        <v>0.59640189381610764</v>
      </c>
      <c r="AJ44" s="394">
        <f>AE44*1.065</f>
        <v>0.6487508033143371</v>
      </c>
      <c r="AK44" s="394">
        <f>AF44*1.065</f>
        <v>0.64469614850611856</v>
      </c>
      <c r="AL44" s="395"/>
      <c r="AM44" s="394">
        <f>AH44*1.055</f>
        <v>0.66774152284968491</v>
      </c>
      <c r="AN44" s="394">
        <f>AI44*1.055</f>
        <v>0.62920399797599358</v>
      </c>
      <c r="AO44" s="394">
        <f>AJ44*1.055</f>
        <v>0.68443209749662559</v>
      </c>
      <c r="AP44" s="394">
        <f>AK44*1.05</f>
        <v>0.67693095593142449</v>
      </c>
      <c r="AQ44" s="395"/>
      <c r="AR44" s="394">
        <f>AM44*1.03</f>
        <v>0.68777376853517547</v>
      </c>
      <c r="AS44" s="394">
        <f>AN44*1.03</f>
        <v>0.64808011791527342</v>
      </c>
      <c r="AT44" s="394">
        <f>AO44*1.03</f>
        <v>0.7049650604215244</v>
      </c>
      <c r="AU44" s="394">
        <f>AP44*1.03</f>
        <v>0.69723888460936723</v>
      </c>
      <c r="AV44" s="395"/>
    </row>
    <row r="45" spans="2:48" s="8" customFormat="1" outlineLevel="1" x14ac:dyDescent="0.3">
      <c r="B45" s="518" t="s">
        <v>173</v>
      </c>
      <c r="C45" s="519"/>
      <c r="D45" s="47">
        <v>4092.2</v>
      </c>
      <c r="E45" s="47">
        <v>3849.6</v>
      </c>
      <c r="F45" s="47">
        <v>4182.2</v>
      </c>
      <c r="G45" s="47">
        <v>4164.2</v>
      </c>
      <c r="H45" s="87">
        <f>SUM(D45:G45)</f>
        <v>16288.2</v>
      </c>
      <c r="I45" s="47">
        <v>4471</v>
      </c>
      <c r="J45" s="47">
        <v>3863.6</v>
      </c>
      <c r="K45" s="93">
        <v>2568.9</v>
      </c>
      <c r="L45" s="47">
        <v>3875.3</v>
      </c>
      <c r="M45" s="87"/>
      <c r="N45" s="47">
        <v>4284.8</v>
      </c>
      <c r="O45" s="47">
        <v>4268.3999999999996</v>
      </c>
      <c r="P45" s="47">
        <v>4929.8</v>
      </c>
      <c r="Q45" s="93">
        <v>5254.3</v>
      </c>
      <c r="R45" s="122">
        <f>SUM(N45:Q45)</f>
        <v>18737.3</v>
      </c>
      <c r="S45" s="47">
        <v>5214.1000000000004</v>
      </c>
      <c r="T45" s="47">
        <v>4936.3</v>
      </c>
      <c r="U45" s="47">
        <v>5513.2</v>
      </c>
      <c r="V45" s="47">
        <v>5550.5</v>
      </c>
      <c r="W45" s="122">
        <f>SUM(S45:V45)</f>
        <v>21214.100000000002</v>
      </c>
      <c r="X45" s="93">
        <f>X43*X44</f>
        <v>5786.8399496606326</v>
      </c>
      <c r="Y45" s="93">
        <f t="shared" ref="Y45:AA45" si="113">Y43*Y44</f>
        <v>5487.3706312616487</v>
      </c>
      <c r="Z45" s="93">
        <f t="shared" si="113"/>
        <v>6006.5590020433419</v>
      </c>
      <c r="AA45" s="93">
        <f t="shared" si="113"/>
        <v>6006.3206219699887</v>
      </c>
      <c r="AB45" s="122">
        <f>SUM(X45:AA45)</f>
        <v>23287.090204935612</v>
      </c>
      <c r="AC45" s="459">
        <f>AC43*AC44</f>
        <v>6248.7120646374951</v>
      </c>
      <c r="AD45" s="459">
        <f t="shared" ref="AD45" si="114">AD43*AD44</f>
        <v>5931.7227343576296</v>
      </c>
      <c r="AE45" s="459">
        <f t="shared" ref="AE45" si="115">AE43*AE44</f>
        <v>6499.8519544031205</v>
      </c>
      <c r="AF45" s="459">
        <f t="shared" ref="AF45" si="116">AF43*AF44</f>
        <v>6506.4064520115298</v>
      </c>
      <c r="AG45" s="122">
        <f>SUM(AC45:AF45)</f>
        <v>25186.693205409771</v>
      </c>
      <c r="AH45" s="459">
        <f>AH43*AH44</f>
        <v>6856.6995309716385</v>
      </c>
      <c r="AI45" s="459">
        <f t="shared" ref="AI45" si="117">AI43*AI44</f>
        <v>6515.9575115749949</v>
      </c>
      <c r="AJ45" s="459">
        <f t="shared" ref="AJ45" si="118">AJ43*AJ44</f>
        <v>7147.6989466429359</v>
      </c>
      <c r="AK45" s="459">
        <f t="shared" ref="AK45" si="119">AK43*AK44</f>
        <v>7162.4586372391132</v>
      </c>
      <c r="AL45" s="122">
        <f>SUM(AH45:AK45)</f>
        <v>27682.814626428684</v>
      </c>
      <c r="AM45" s="459">
        <f>AM43*AM44</f>
        <v>7469.2730326048186</v>
      </c>
      <c r="AN45" s="459">
        <f t="shared" ref="AN45" si="120">AN43*AN44</f>
        <v>7075.8998520121604</v>
      </c>
      <c r="AO45" s="459">
        <f t="shared" ref="AO45" si="121">AO43*AO44</f>
        <v>7737.9958839456385</v>
      </c>
      <c r="AP45" s="459">
        <f t="shared" ref="AP45" si="122">AP43*AP44</f>
        <v>7693.7527056914578</v>
      </c>
      <c r="AQ45" s="122">
        <f>SUM(AM45:AP45)</f>
        <v>29976.921474254075</v>
      </c>
      <c r="AR45" s="93">
        <f>AR43*AR44</f>
        <v>7858.7156752738501</v>
      </c>
      <c r="AS45" s="93">
        <f t="shared" ref="AS45" si="123">AS43*AS44</f>
        <v>7444.9684271380847</v>
      </c>
      <c r="AT45" s="93">
        <f t="shared" ref="AT45" si="124">AT43*AT44</f>
        <v>8141.7457120438276</v>
      </c>
      <c r="AU45" s="93">
        <f t="shared" ref="AU45" si="125">AU43*AU44</f>
        <v>8095.3389392710105</v>
      </c>
      <c r="AV45" s="122">
        <f>SUM(AR45:AU45)</f>
        <v>31540.76875372677</v>
      </c>
    </row>
    <row r="46" spans="2:48" s="8" customFormat="1" outlineLevel="1" x14ac:dyDescent="0.3">
      <c r="B46" s="35" t="s">
        <v>197</v>
      </c>
      <c r="C46" s="194"/>
      <c r="D46" s="40"/>
      <c r="E46" s="40"/>
      <c r="F46" s="40"/>
      <c r="G46" s="40"/>
      <c r="H46" s="87"/>
      <c r="I46" s="27">
        <f>I45/D45-1</f>
        <v>9.2566345730902722E-2</v>
      </c>
      <c r="J46" s="27">
        <f>J45/E45-1</f>
        <v>3.6367414796343311E-3</v>
      </c>
      <c r="K46" s="27">
        <f>K45/F45-1</f>
        <v>-0.38575390942566112</v>
      </c>
      <c r="L46" s="27">
        <f>L45/G45-1</f>
        <v>-6.9377071226165765E-2</v>
      </c>
      <c r="M46" s="87"/>
      <c r="N46" s="27">
        <f>N45/I45-1</f>
        <v>-4.1646164169089617E-2</v>
      </c>
      <c r="O46" s="27">
        <f>O45/J45-1</f>
        <v>0.10477275080236037</v>
      </c>
      <c r="P46" s="27">
        <f>P45/K45-1</f>
        <v>0.91903149207832135</v>
      </c>
      <c r="Q46" s="27">
        <f>Q45/L45-1</f>
        <v>0.35584341857404578</v>
      </c>
      <c r="R46" s="87"/>
      <c r="S46" s="27">
        <f>S45/N45-1</f>
        <v>0.21688293502613898</v>
      </c>
      <c r="T46" s="27">
        <f>T45/O45-1</f>
        <v>0.15647549433042851</v>
      </c>
      <c r="U46" s="27">
        <f>U45/P45-1</f>
        <v>0.11834151486875721</v>
      </c>
      <c r="V46" s="27">
        <f>V45/Q45-1</f>
        <v>5.6372875549549839E-2</v>
      </c>
      <c r="W46" s="88">
        <f>W45/R45-1</f>
        <v>0.13218553366813812</v>
      </c>
      <c r="X46" s="103">
        <f>X45/V45-1</f>
        <v>4.2579938683115603E-2</v>
      </c>
      <c r="Y46" s="103">
        <f>Y45/X45-1</f>
        <v>-5.1750060655564867E-2</v>
      </c>
      <c r="Z46" s="103">
        <f t="shared" ref="Z46" si="126">Z45/Y45-1</f>
        <v>9.461514551684691E-2</v>
      </c>
      <c r="AA46" s="103">
        <f t="shared" ref="AA46" si="127">AA45/Z45-1</f>
        <v>-3.9686628113044797E-5</v>
      </c>
      <c r="AB46" s="88">
        <f>AB45/W45-1</f>
        <v>9.7717565436931553E-2</v>
      </c>
      <c r="AC46" s="103">
        <f>AC45/AA45-1</f>
        <v>4.0356061210066629E-2</v>
      </c>
      <c r="AD46" s="103">
        <f>AD45/AC45-1</f>
        <v>-5.0728746500220634E-2</v>
      </c>
      <c r="AE46" s="103">
        <f t="shared" ref="AE46" si="128">AE45/AD45-1</f>
        <v>9.5778114636879685E-2</v>
      </c>
      <c r="AF46" s="103">
        <f t="shared" ref="AF46" si="129">AF45/AE45-1</f>
        <v>1.008407215178142E-3</v>
      </c>
      <c r="AG46" s="88">
        <f>AG45/AB45-1</f>
        <v>8.1573222921236699E-2</v>
      </c>
      <c r="AH46" s="103">
        <f>AH45/AF45-1</f>
        <v>5.383817957634851E-2</v>
      </c>
      <c r="AI46" s="103">
        <f>AI45/AH45-1</f>
        <v>-4.9694757347542473E-2</v>
      </c>
      <c r="AJ46" s="103">
        <f t="shared" ref="AJ46" si="130">AJ45/AI45-1</f>
        <v>9.6952970295725693E-2</v>
      </c>
      <c r="AK46" s="103">
        <f t="shared" ref="AK46" si="131">AK45/AJ45-1</f>
        <v>2.0649569471737905E-3</v>
      </c>
      <c r="AL46" s="88">
        <f>AL45/AG45-1</f>
        <v>9.9104769358241196E-2</v>
      </c>
      <c r="AM46" s="103">
        <f>AM45/AK45-1</f>
        <v>4.283646313439271E-2</v>
      </c>
      <c r="AN46" s="103">
        <f>AN45/AM45-1</f>
        <v>-5.2665524325527846E-2</v>
      </c>
      <c r="AO46" s="103">
        <f t="shared" ref="AO46" si="132">AO45/AN45-1</f>
        <v>9.3570576998090127E-2</v>
      </c>
      <c r="AP46" s="103">
        <f t="shared" ref="AP46" si="133">AP45/AO45-1</f>
        <v>-5.7176533714593525E-3</v>
      </c>
      <c r="AQ46" s="88">
        <f>AQ45/AL45-1</f>
        <v>8.2871155942185748E-2</v>
      </c>
      <c r="AR46" s="103">
        <f>AR45/AP45-1</f>
        <v>2.1441158286821471E-2</v>
      </c>
      <c r="AS46" s="103">
        <f>AS45/AR45-1</f>
        <v>-5.2648201720486343E-2</v>
      </c>
      <c r="AT46" s="103">
        <f t="shared" ref="AT46" si="134">AT45/AS45-1</f>
        <v>9.3590361292316571E-2</v>
      </c>
      <c r="AU46" s="103">
        <f t="shared" ref="AU46" si="135">AU45/AT45-1</f>
        <v>-5.6998553398897034E-3</v>
      </c>
      <c r="AV46" s="88">
        <f>AV45/AQ45-1</f>
        <v>5.2168374955240848E-2</v>
      </c>
    </row>
    <row r="47" spans="2:48" outlineLevel="1" x14ac:dyDescent="0.3">
      <c r="B47" s="207" t="s">
        <v>41</v>
      </c>
      <c r="C47" s="208"/>
      <c r="D47" s="209">
        <v>0.04</v>
      </c>
      <c r="E47" s="209">
        <v>0</v>
      </c>
      <c r="F47" s="209">
        <v>0.03</v>
      </c>
      <c r="G47" s="209">
        <v>0.03</v>
      </c>
      <c r="H47" s="210"/>
      <c r="I47" s="209">
        <v>0.02</v>
      </c>
      <c r="J47" s="209">
        <v>-7.0000000000000007E-2</v>
      </c>
      <c r="K47" s="209">
        <v>-0.53</v>
      </c>
      <c r="L47" s="211">
        <v>-0.25</v>
      </c>
      <c r="M47" s="210"/>
      <c r="N47" s="209">
        <v>-0.21</v>
      </c>
      <c r="O47" s="209">
        <v>-0.1</v>
      </c>
      <c r="P47" s="209">
        <v>0.82</v>
      </c>
      <c r="Q47" s="209">
        <v>0.18</v>
      </c>
      <c r="R47" s="212"/>
      <c r="S47" s="211">
        <v>0.12</v>
      </c>
      <c r="T47" s="211">
        <v>0.05</v>
      </c>
      <c r="U47" s="211">
        <v>0.01</v>
      </c>
      <c r="V47" s="211">
        <v>0.01</v>
      </c>
      <c r="W47" s="210"/>
      <c r="X47" s="209"/>
      <c r="Y47" s="209"/>
      <c r="Z47" s="209"/>
      <c r="AA47" s="209"/>
      <c r="AB47" s="372"/>
      <c r="AC47" s="209"/>
      <c r="AD47" s="209"/>
      <c r="AE47" s="209"/>
      <c r="AF47" s="209"/>
      <c r="AG47" s="210"/>
      <c r="AH47" s="209"/>
      <c r="AI47" s="209"/>
      <c r="AJ47" s="209"/>
      <c r="AK47" s="209"/>
      <c r="AL47" s="210"/>
      <c r="AM47" s="209"/>
      <c r="AN47" s="209"/>
      <c r="AO47" s="209"/>
      <c r="AP47" s="209"/>
      <c r="AQ47" s="210"/>
      <c r="AR47" s="209"/>
      <c r="AS47" s="209"/>
      <c r="AT47" s="209"/>
      <c r="AU47" s="209"/>
      <c r="AV47" s="210"/>
    </row>
    <row r="48" spans="2:48" outlineLevel="1" x14ac:dyDescent="0.3">
      <c r="B48" s="35" t="s">
        <v>40</v>
      </c>
      <c r="C48" s="195"/>
      <c r="D48" s="213">
        <v>0</v>
      </c>
      <c r="E48" s="213">
        <v>0.04</v>
      </c>
      <c r="F48" s="213">
        <v>0.04</v>
      </c>
      <c r="G48" s="213">
        <v>0.03</v>
      </c>
      <c r="H48" s="205"/>
      <c r="I48" s="213">
        <v>0.03</v>
      </c>
      <c r="J48" s="213">
        <v>0.05</v>
      </c>
      <c r="K48" s="213">
        <v>0.27</v>
      </c>
      <c r="L48" s="214">
        <v>0.21</v>
      </c>
      <c r="M48" s="205"/>
      <c r="N48" s="213">
        <v>0.2</v>
      </c>
      <c r="O48" s="213">
        <v>0.22</v>
      </c>
      <c r="P48" s="213">
        <v>0.01</v>
      </c>
      <c r="Q48" s="213">
        <v>0.03</v>
      </c>
      <c r="R48" s="206"/>
      <c r="S48" s="214">
        <v>0.06</v>
      </c>
      <c r="T48" s="214">
        <v>7.0000000000000007E-2</v>
      </c>
      <c r="U48" s="215">
        <v>0.08</v>
      </c>
      <c r="V48" s="215">
        <v>0.1</v>
      </c>
      <c r="W48" s="138"/>
      <c r="X48" s="373"/>
      <c r="Y48" s="373"/>
      <c r="Z48" s="373"/>
      <c r="AA48" s="373"/>
      <c r="AB48" s="374"/>
      <c r="AC48" s="373"/>
      <c r="AD48" s="373"/>
      <c r="AE48" s="373"/>
      <c r="AF48" s="373"/>
      <c r="AG48" s="138"/>
      <c r="AH48" s="373"/>
      <c r="AI48" s="373"/>
      <c r="AJ48" s="373"/>
      <c r="AK48" s="373"/>
      <c r="AL48" s="138"/>
      <c r="AM48" s="373"/>
      <c r="AN48" s="373"/>
      <c r="AO48" s="373"/>
      <c r="AP48" s="373"/>
      <c r="AQ48" s="138"/>
      <c r="AR48" s="373"/>
      <c r="AS48" s="373"/>
      <c r="AT48" s="373"/>
      <c r="AU48" s="373"/>
      <c r="AV48" s="138"/>
    </row>
    <row r="49" spans="2:48" s="8" customFormat="1" outlineLevel="1" x14ac:dyDescent="0.3">
      <c r="B49" s="216" t="s">
        <v>42</v>
      </c>
      <c r="C49" s="217"/>
      <c r="D49" s="218">
        <v>0.04</v>
      </c>
      <c r="E49" s="218">
        <v>4.2999999999999997E-2</v>
      </c>
      <c r="F49" s="218">
        <v>7.0000000000000007E-2</v>
      </c>
      <c r="G49" s="218">
        <v>0.06</v>
      </c>
      <c r="H49" s="219"/>
      <c r="I49" s="218">
        <v>0.06</v>
      </c>
      <c r="J49" s="218">
        <v>-0.03</v>
      </c>
      <c r="K49" s="218">
        <v>-0.41</v>
      </c>
      <c r="L49" s="220">
        <v>-0.09</v>
      </c>
      <c r="M49" s="221"/>
      <c r="N49" s="220">
        <v>-0.06</v>
      </c>
      <c r="O49" s="220">
        <v>0.09</v>
      </c>
      <c r="P49" s="218">
        <v>0.84</v>
      </c>
      <c r="Q49" s="218">
        <v>0.22</v>
      </c>
      <c r="R49" s="222"/>
      <c r="S49" s="220">
        <v>0.18</v>
      </c>
      <c r="T49" s="220">
        <v>0.12</v>
      </c>
      <c r="U49" s="218">
        <v>0.09</v>
      </c>
      <c r="V49" s="218">
        <v>0.11</v>
      </c>
      <c r="W49" s="219"/>
      <c r="X49" s="220"/>
      <c r="Y49" s="220"/>
      <c r="Z49" s="220"/>
      <c r="AA49" s="220"/>
      <c r="AB49" s="329"/>
      <c r="AC49" s="220"/>
      <c r="AD49" s="220"/>
      <c r="AE49" s="220"/>
      <c r="AF49" s="220"/>
      <c r="AG49" s="219"/>
      <c r="AH49" s="220"/>
      <c r="AI49" s="220"/>
      <c r="AJ49" s="220"/>
      <c r="AK49" s="220"/>
      <c r="AL49" s="219"/>
      <c r="AM49" s="220"/>
      <c r="AN49" s="220"/>
      <c r="AO49" s="220"/>
      <c r="AP49" s="220"/>
      <c r="AQ49" s="219"/>
      <c r="AR49" s="220"/>
      <c r="AS49" s="220"/>
      <c r="AT49" s="220"/>
      <c r="AU49" s="220"/>
      <c r="AV49" s="219"/>
    </row>
    <row r="50" spans="2:48" s="8" customFormat="1" outlineLevel="1" x14ac:dyDescent="0.3">
      <c r="B50" s="528" t="s">
        <v>174</v>
      </c>
      <c r="C50" s="529"/>
      <c r="D50" s="62">
        <v>7876</v>
      </c>
      <c r="E50" s="62">
        <v>7943</v>
      </c>
      <c r="F50" s="107">
        <v>7996</v>
      </c>
      <c r="G50" s="62">
        <v>8093</v>
      </c>
      <c r="H50" s="63"/>
      <c r="I50" s="62">
        <v>8183</v>
      </c>
      <c r="J50" s="62">
        <v>8220</v>
      </c>
      <c r="K50" s="62">
        <v>8218</v>
      </c>
      <c r="L50" s="62">
        <v>6831</v>
      </c>
      <c r="M50" s="63"/>
      <c r="N50" s="62">
        <v>8279</v>
      </c>
      <c r="O50" s="62">
        <f>+N50+O51</f>
        <v>8300</v>
      </c>
      <c r="P50" s="62">
        <f t="shared" ref="P50" si="136">+O50+P51</f>
        <v>8315</v>
      </c>
      <c r="Q50" s="62">
        <v>6965</v>
      </c>
      <c r="R50" s="181"/>
      <c r="S50" s="62">
        <f>+Q50+S51</f>
        <v>6988</v>
      </c>
      <c r="T50" s="62">
        <f>+S50+T51</f>
        <v>6972</v>
      </c>
      <c r="U50" s="62">
        <f t="shared" ref="U50:V50" si="137">+T50+U51</f>
        <v>7000</v>
      </c>
      <c r="V50" s="62">
        <f t="shared" si="137"/>
        <v>7079</v>
      </c>
      <c r="W50" s="238">
        <f>V50</f>
        <v>7079</v>
      </c>
      <c r="X50" s="106">
        <f>V50+X51</f>
        <v>7143.8562499999998</v>
      </c>
      <c r="Y50" s="106">
        <f>X50+Y51</f>
        <v>7208.7124999999996</v>
      </c>
      <c r="Z50" s="106">
        <f>Y50+Z51</f>
        <v>7273.5687499999995</v>
      </c>
      <c r="AA50" s="106">
        <f>Z50+AA51</f>
        <v>7338.4249999999993</v>
      </c>
      <c r="AB50" s="238">
        <f>AA50</f>
        <v>7338.4249999999993</v>
      </c>
      <c r="AC50" s="106">
        <f>AA50+AC51</f>
        <v>7416.3605937499997</v>
      </c>
      <c r="AD50" s="106">
        <f>AC50+AD51</f>
        <v>7494.2961875000001</v>
      </c>
      <c r="AE50" s="106">
        <f>AD50+AE51</f>
        <v>7572.2317812500005</v>
      </c>
      <c r="AF50" s="106">
        <f>AE50+AF51</f>
        <v>7650.1673750000009</v>
      </c>
      <c r="AG50" s="180">
        <f>AF50</f>
        <v>7650.1673750000009</v>
      </c>
      <c r="AH50" s="106">
        <f>AF50+AH51</f>
        <v>7742.3540487500013</v>
      </c>
      <c r="AI50" s="106">
        <f>AH50+AI51</f>
        <v>7834.5407225000017</v>
      </c>
      <c r="AJ50" s="106">
        <f>AI50+AJ51</f>
        <v>7926.7273962500021</v>
      </c>
      <c r="AK50" s="106">
        <f>AJ50+AK51</f>
        <v>8018.9140700000025</v>
      </c>
      <c r="AL50" s="180">
        <f>AK50</f>
        <v>8018.9140700000025</v>
      </c>
      <c r="AM50" s="106">
        <f>AK50+AM51</f>
        <v>8078.8354079375022</v>
      </c>
      <c r="AN50" s="106">
        <f>AM50+AN51</f>
        <v>8138.7567458750018</v>
      </c>
      <c r="AO50" s="106">
        <f>AN50+AO51</f>
        <v>8198.6780838125014</v>
      </c>
      <c r="AP50" s="106">
        <f>AO50+AP51</f>
        <v>8258.5994217500011</v>
      </c>
      <c r="AQ50" s="180">
        <f>AP50</f>
        <v>8258.5994217500011</v>
      </c>
      <c r="AR50" s="106">
        <f>AP50+AR51</f>
        <v>8320.0187931359378</v>
      </c>
      <c r="AS50" s="106">
        <f>AR50+AS51</f>
        <v>8381.4381645218746</v>
      </c>
      <c r="AT50" s="106">
        <f>AS50+AT51</f>
        <v>8442.8575359078113</v>
      </c>
      <c r="AU50" s="106">
        <f>AT50+AU51</f>
        <v>8504.2769072937481</v>
      </c>
      <c r="AV50" s="180">
        <f>AU50</f>
        <v>8504.2769072937481</v>
      </c>
    </row>
    <row r="51" spans="2:48" outlineLevel="1" x14ac:dyDescent="0.3">
      <c r="B51" s="170" t="s">
        <v>44</v>
      </c>
      <c r="C51" s="189"/>
      <c r="D51" s="91">
        <f>+D50-7770</f>
        <v>106</v>
      </c>
      <c r="E51" s="91">
        <f>E50-D50</f>
        <v>67</v>
      </c>
      <c r="F51" s="91">
        <f t="shared" ref="F51:G51" si="138">F50-E50</f>
        <v>53</v>
      </c>
      <c r="G51" s="91">
        <f t="shared" si="138"/>
        <v>97</v>
      </c>
      <c r="H51" s="112">
        <f>+SUM(D51:G51)</f>
        <v>323</v>
      </c>
      <c r="I51" s="91">
        <f>I50-G50</f>
        <v>90</v>
      </c>
      <c r="J51" s="91">
        <f t="shared" ref="J51:K51" si="139">J50-I50</f>
        <v>37</v>
      </c>
      <c r="K51" s="91">
        <f t="shared" si="139"/>
        <v>-2</v>
      </c>
      <c r="L51" s="91">
        <v>32</v>
      </c>
      <c r="M51" s="112"/>
      <c r="N51" s="91">
        <v>34</v>
      </c>
      <c r="O51" s="91">
        <v>21</v>
      </c>
      <c r="P51" s="91">
        <v>15</v>
      </c>
      <c r="Q51" s="91">
        <v>73</v>
      </c>
      <c r="R51" s="26"/>
      <c r="S51" s="91">
        <v>23</v>
      </c>
      <c r="T51" s="91">
        <v>-16</v>
      </c>
      <c r="U51" s="91">
        <v>28</v>
      </c>
      <c r="V51" s="91">
        <v>79</v>
      </c>
      <c r="W51" s="112">
        <f>+SUM(S51:V51)</f>
        <v>114</v>
      </c>
      <c r="X51" s="391">
        <f>AB51/4</f>
        <v>64.856250000000003</v>
      </c>
      <c r="Y51" s="391">
        <f>AB51/4</f>
        <v>64.856250000000003</v>
      </c>
      <c r="Z51" s="391">
        <f>AB51/4</f>
        <v>64.856250000000003</v>
      </c>
      <c r="AA51" s="391">
        <f>AB51/4</f>
        <v>64.856250000000003</v>
      </c>
      <c r="AB51" s="392">
        <f>AB58/2</f>
        <v>259.42500000000001</v>
      </c>
      <c r="AC51" s="391">
        <f>AG51/4</f>
        <v>77.935593750000024</v>
      </c>
      <c r="AD51" s="391">
        <f>AG51/4</f>
        <v>77.935593750000024</v>
      </c>
      <c r="AE51" s="391">
        <f>AG51/4</f>
        <v>77.935593750000024</v>
      </c>
      <c r="AF51" s="391">
        <f>AG51/4</f>
        <v>77.935593750000024</v>
      </c>
      <c r="AG51" s="392">
        <f>AB51/AB58*AG58</f>
        <v>311.7423750000001</v>
      </c>
      <c r="AH51" s="391">
        <f>AL51/4</f>
        <v>92.186673750000026</v>
      </c>
      <c r="AI51" s="391">
        <f>AL51/4</f>
        <v>92.186673750000026</v>
      </c>
      <c r="AJ51" s="391">
        <f>AL51/4</f>
        <v>92.186673750000026</v>
      </c>
      <c r="AK51" s="391">
        <f>AL51/4</f>
        <v>92.186673750000026</v>
      </c>
      <c r="AL51" s="392">
        <f>AG51/AG58*AL58</f>
        <v>368.7466950000001</v>
      </c>
      <c r="AM51" s="391">
        <f>AQ51/4</f>
        <v>59.921337937500027</v>
      </c>
      <c r="AN51" s="391">
        <f>AQ51/4</f>
        <v>59.921337937500027</v>
      </c>
      <c r="AO51" s="391">
        <f>AQ51/4</f>
        <v>59.921337937500027</v>
      </c>
      <c r="AP51" s="391">
        <f>AQ51/4</f>
        <v>59.921337937500027</v>
      </c>
      <c r="AQ51" s="392">
        <f>AL51/AL58*AQ58</f>
        <v>239.68535175000011</v>
      </c>
      <c r="AR51" s="391">
        <f>AV51/4</f>
        <v>61.419371385937524</v>
      </c>
      <c r="AS51" s="391">
        <f>AV51/4</f>
        <v>61.419371385937524</v>
      </c>
      <c r="AT51" s="391">
        <f>AV51/4</f>
        <v>61.419371385937524</v>
      </c>
      <c r="AU51" s="391">
        <f>AV51/4</f>
        <v>61.419371385937524</v>
      </c>
      <c r="AV51" s="392">
        <f>AQ51/AQ58*AV58</f>
        <v>245.67748554375009</v>
      </c>
    </row>
    <row r="52" spans="2:48" outlineLevel="1" x14ac:dyDescent="0.3">
      <c r="B52" s="170" t="s">
        <v>46</v>
      </c>
      <c r="C52" s="189"/>
      <c r="D52" s="16">
        <f>AVERAGE(D50,7770)</f>
        <v>7823</v>
      </c>
      <c r="E52" s="16">
        <f>AVERAGE(E50,D50)</f>
        <v>7909.5</v>
      </c>
      <c r="F52" s="16">
        <f t="shared" ref="F52:G52" si="140">AVERAGE(F50,E50)</f>
        <v>7969.5</v>
      </c>
      <c r="G52" s="16">
        <f t="shared" si="140"/>
        <v>8044.5</v>
      </c>
      <c r="H52" s="26"/>
      <c r="I52" s="16">
        <f>AVERAGE(I50,G50)</f>
        <v>8138</v>
      </c>
      <c r="J52" s="16">
        <f>AVERAGE(J50,I50)</f>
        <v>8201.5</v>
      </c>
      <c r="K52" s="16">
        <f t="shared" ref="K52:L52" si="141">AVERAGE(K50,J50)</f>
        <v>8219</v>
      </c>
      <c r="L52" s="16">
        <f t="shared" si="141"/>
        <v>7524.5</v>
      </c>
      <c r="M52" s="6"/>
      <c r="N52" s="16">
        <f>AVERAGE(N50,L50)</f>
        <v>7555</v>
      </c>
      <c r="O52" s="16">
        <f>AVERAGE(O50,N50)</f>
        <v>8289.5</v>
      </c>
      <c r="P52" s="16">
        <f t="shared" ref="P52:Q52" si="142">AVERAGE(P50,O50)</f>
        <v>8307.5</v>
      </c>
      <c r="Q52" s="16">
        <f t="shared" si="142"/>
        <v>7640</v>
      </c>
      <c r="R52" s="6"/>
      <c r="S52" s="16">
        <f>AVERAGE(S50,Q50)</f>
        <v>6976.5</v>
      </c>
      <c r="T52" s="16">
        <f>AVERAGE(T50,S50)</f>
        <v>6980</v>
      </c>
      <c r="U52" s="16">
        <f t="shared" ref="U52:V52" si="143">AVERAGE(U50,T50)</f>
        <v>6986</v>
      </c>
      <c r="V52" s="16">
        <f t="shared" si="143"/>
        <v>7039.5</v>
      </c>
      <c r="W52" s="120"/>
      <c r="X52" s="91">
        <f>AVERAGE(X50,V50)</f>
        <v>7111.4281250000004</v>
      </c>
      <c r="Y52" s="91">
        <f>AVERAGE(X50,Y50)</f>
        <v>7176.2843749999993</v>
      </c>
      <c r="Z52" s="91">
        <f>AVERAGE(Y50,Z50)</f>
        <v>7241.140625</v>
      </c>
      <c r="AA52" s="91">
        <f>AVERAGE(Z50,AA50)</f>
        <v>7305.9968749999989</v>
      </c>
      <c r="AB52" s="120"/>
      <c r="AC52" s="91">
        <f>AVERAGE(AC50,AA50)</f>
        <v>7377.3927968749995</v>
      </c>
      <c r="AD52" s="91">
        <f>AVERAGE(AC50,AD50)</f>
        <v>7455.3283906249999</v>
      </c>
      <c r="AE52" s="91">
        <f>AVERAGE(AD50,AE50)</f>
        <v>7533.2639843750003</v>
      </c>
      <c r="AF52" s="91">
        <f>AVERAGE(AE50,AF50)</f>
        <v>7611.1995781250007</v>
      </c>
      <c r="AG52" s="120"/>
      <c r="AH52" s="91">
        <f>AVERAGE(AH50,AF50)</f>
        <v>7696.2607118750011</v>
      </c>
      <c r="AI52" s="91">
        <f>AVERAGE(AH50,AI50)</f>
        <v>7788.4473856250015</v>
      </c>
      <c r="AJ52" s="91">
        <f>AVERAGE(AI50,AJ50)</f>
        <v>7880.6340593750019</v>
      </c>
      <c r="AK52" s="91">
        <f>AVERAGE(AJ50,AK50)</f>
        <v>7972.8207331250023</v>
      </c>
      <c r="AL52" s="120"/>
      <c r="AM52" s="91">
        <f>AVERAGE(AM50,AK50)</f>
        <v>8048.8747389687524</v>
      </c>
      <c r="AN52" s="91">
        <f>AVERAGE(AM50,AN50)</f>
        <v>8108.796076906252</v>
      </c>
      <c r="AO52" s="91">
        <f>AVERAGE(AN50,AO50)</f>
        <v>8168.7174148437516</v>
      </c>
      <c r="AP52" s="91">
        <f>AVERAGE(AO50,AP50)</f>
        <v>8228.6387527812512</v>
      </c>
      <c r="AQ52" s="120"/>
      <c r="AR52" s="91">
        <f>AVERAGE(AR50,AP50)</f>
        <v>8289.3091074429685</v>
      </c>
      <c r="AS52" s="91">
        <f>AVERAGE(AR50,AS50)</f>
        <v>8350.7284788289071</v>
      </c>
      <c r="AT52" s="91">
        <f>AVERAGE(AS50,AT50)</f>
        <v>8412.147850214842</v>
      </c>
      <c r="AU52" s="91">
        <f>AVERAGE(AT50,AU50)</f>
        <v>8473.5672216007806</v>
      </c>
      <c r="AV52" s="120"/>
    </row>
    <row r="53" spans="2:48" outlineLevel="1" x14ac:dyDescent="0.3">
      <c r="B53" s="170" t="s">
        <v>199</v>
      </c>
      <c r="C53" s="189"/>
      <c r="D53" s="40">
        <f>+D54/D52</f>
        <v>6.5780391154288645E-2</v>
      </c>
      <c r="E53" s="40">
        <f>+E54/E52</f>
        <v>5.8549845122953414E-2</v>
      </c>
      <c r="F53" s="40">
        <f>+F54/F52</f>
        <v>6.2274923144488362E-2</v>
      </c>
      <c r="G53" s="104">
        <f t="shared" ref="G53:S53" si="144">+G54/G52</f>
        <v>6.016533034992852E-2</v>
      </c>
      <c r="H53" s="117"/>
      <c r="I53" s="104">
        <f t="shared" si="144"/>
        <v>6.6023593020398133E-2</v>
      </c>
      <c r="J53" s="104">
        <f t="shared" si="144"/>
        <v>5.6599402548314331E-2</v>
      </c>
      <c r="K53" s="104">
        <f t="shared" si="144"/>
        <v>2.8653120817617714E-2</v>
      </c>
      <c r="L53" s="104">
        <f t="shared" si="144"/>
        <v>4.4773739118878331E-2</v>
      </c>
      <c r="M53" s="6"/>
      <c r="N53" s="104">
        <f t="shared" si="144"/>
        <v>5.5089344804765052E-2</v>
      </c>
      <c r="O53" s="104">
        <f t="shared" si="144"/>
        <v>4.7554134748778572E-2</v>
      </c>
      <c r="P53" s="104">
        <f t="shared" si="144"/>
        <v>5.6394823954258204E-2</v>
      </c>
      <c r="Q53" s="104">
        <f t="shared" si="144"/>
        <v>6.6295811518324602E-2</v>
      </c>
      <c r="R53" s="6"/>
      <c r="S53" s="104">
        <f t="shared" si="144"/>
        <v>7.3948254855586606E-2</v>
      </c>
      <c r="T53" s="104">
        <f>+T54/T52</f>
        <v>7.2636103151862461E-2</v>
      </c>
      <c r="U53" s="104">
        <f>+U54/U52</f>
        <v>7.7898654451760668E-2</v>
      </c>
      <c r="V53" s="104">
        <f>+V54/V52</f>
        <v>8.2875204204844094E-2</v>
      </c>
      <c r="W53" s="120"/>
      <c r="X53" s="396">
        <f>S53*1.1</f>
        <v>8.1343080341145277E-2</v>
      </c>
      <c r="Y53" s="396">
        <f>T53*1.1</f>
        <v>7.9899713467048716E-2</v>
      </c>
      <c r="Z53" s="394">
        <f>U53*1.05</f>
        <v>8.1793587174348703E-2</v>
      </c>
      <c r="AA53" s="394">
        <f>V53*1.05</f>
        <v>8.7018964415086303E-2</v>
      </c>
      <c r="AB53" s="397"/>
      <c r="AC53" s="394">
        <f>X53*1.05</f>
        <v>8.5410234358202539E-2</v>
      </c>
      <c r="AD53" s="394">
        <f>Y53*1.05</f>
        <v>8.3894699140401152E-2</v>
      </c>
      <c r="AE53" s="394">
        <f>Z53*1.05</f>
        <v>8.5883266533066147E-2</v>
      </c>
      <c r="AF53" s="394">
        <f>AA53*1.05</f>
        <v>9.1369912635840628E-2</v>
      </c>
      <c r="AG53" s="397"/>
      <c r="AH53" s="394">
        <f>AC53*1.06</f>
        <v>9.0534848419694697E-2</v>
      </c>
      <c r="AI53" s="394">
        <f>AD53*1.06</f>
        <v>8.8928381088825226E-2</v>
      </c>
      <c r="AJ53" s="394">
        <f>AE53*1.06</f>
        <v>9.1036262525050121E-2</v>
      </c>
      <c r="AK53" s="394">
        <f>AF53*1.06</f>
        <v>9.6852107393991069E-2</v>
      </c>
      <c r="AL53" s="398"/>
      <c r="AM53" s="394">
        <f>AH53*1.05</f>
        <v>9.506159084067943E-2</v>
      </c>
      <c r="AN53" s="394">
        <f>AI53*1.05</f>
        <v>9.337480014326649E-2</v>
      </c>
      <c r="AO53" s="394">
        <f>AJ53*1.05</f>
        <v>9.5588075651302631E-2</v>
      </c>
      <c r="AP53" s="394">
        <f>AK53*1.05</f>
        <v>0.10169471276369063</v>
      </c>
      <c r="AQ53" s="395"/>
      <c r="AR53" s="394">
        <f>AM53*1.03</f>
        <v>9.7913438565899819E-2</v>
      </c>
      <c r="AS53" s="394">
        <f>AN53*1.03</f>
        <v>9.6176044147564491E-2</v>
      </c>
      <c r="AT53" s="394">
        <f>AO53*1.03</f>
        <v>9.8455717920841707E-2</v>
      </c>
      <c r="AU53" s="394">
        <f>AP53*1.03</f>
        <v>0.10474555414660135</v>
      </c>
      <c r="AV53" s="399"/>
    </row>
    <row r="54" spans="2:48" s="8" customFormat="1" outlineLevel="1" x14ac:dyDescent="0.3">
      <c r="B54" s="534" t="s">
        <v>175</v>
      </c>
      <c r="C54" s="535"/>
      <c r="D54" s="105">
        <v>514.6</v>
      </c>
      <c r="E54" s="105">
        <v>463.1</v>
      </c>
      <c r="F54" s="105">
        <v>496.3</v>
      </c>
      <c r="G54" s="105">
        <v>484</v>
      </c>
      <c r="H54" s="143"/>
      <c r="I54" s="105">
        <v>537.29999999999995</v>
      </c>
      <c r="J54" s="105">
        <v>464.2</v>
      </c>
      <c r="K54" s="105">
        <v>235.5</v>
      </c>
      <c r="L54" s="66">
        <v>336.9</v>
      </c>
      <c r="M54" s="67"/>
      <c r="N54" s="66">
        <v>416.2</v>
      </c>
      <c r="O54" s="66">
        <v>394.2</v>
      </c>
      <c r="P54" s="66">
        <v>468.5</v>
      </c>
      <c r="Q54" s="105">
        <v>506.5</v>
      </c>
      <c r="R54" s="67"/>
      <c r="S54" s="66">
        <v>515.9</v>
      </c>
      <c r="T54" s="66">
        <v>507</v>
      </c>
      <c r="U54" s="66">
        <v>544.20000000000005</v>
      </c>
      <c r="V54" s="66">
        <v>583.4</v>
      </c>
      <c r="W54" s="201">
        <f>SUM(S54:V54)</f>
        <v>2150.5</v>
      </c>
      <c r="X54" s="105">
        <f>X52*X53</f>
        <v>578.46546931215516</v>
      </c>
      <c r="Y54" s="105">
        <f t="shared" ref="Y54" si="145">Y52*Y53</f>
        <v>573.38306532055867</v>
      </c>
      <c r="Z54" s="105">
        <f t="shared" ref="Z54" si="146">Z52*Z53</f>
        <v>592.27886695265533</v>
      </c>
      <c r="AA54" s="105">
        <f t="shared" ref="AA54" si="147">AA52*AA53</f>
        <v>635.76028208235664</v>
      </c>
      <c r="AB54" s="201">
        <f>SUM(X54:AA54)</f>
        <v>2379.8876836677259</v>
      </c>
      <c r="AC54" s="105">
        <f>AC52*AC53</f>
        <v>630.10484773360895</v>
      </c>
      <c r="AD54" s="105">
        <f t="shared" ref="AD54" si="148">AD52*AD53</f>
        <v>625.4625323243755</v>
      </c>
      <c r="AE54" s="105">
        <f t="shared" ref="AE54" si="149">AE52*AE53</f>
        <v>646.98131863402602</v>
      </c>
      <c r="AF54" s="105">
        <f t="shared" ref="AF54" si="150">AF52*AF53</f>
        <v>695.43464050722832</v>
      </c>
      <c r="AG54" s="201">
        <f>SUM(AC54:AF54)</f>
        <v>2597.9833391992388</v>
      </c>
      <c r="AH54" s="105">
        <f>AH52*AH53</f>
        <v>696.77979694805481</v>
      </c>
      <c r="AI54" s="105">
        <f t="shared" ref="AI54" si="151">AI52*AI53</f>
        <v>692.61401719912465</v>
      </c>
      <c r="AJ54" s="105">
        <f t="shared" ref="AJ54" si="152">AJ52*AJ53</f>
        <v>717.42347109311413</v>
      </c>
      <c r="AK54" s="105">
        <f t="shared" ref="AK54" si="153">AK52*AK53</f>
        <v>772.18448987766135</v>
      </c>
      <c r="AL54" s="201">
        <f>SUM(AH54:AK54)</f>
        <v>2879.0017751179548</v>
      </c>
      <c r="AM54" s="105">
        <f>AM52*AM53</f>
        <v>765.138837163728</v>
      </c>
      <c r="AN54" s="105">
        <f t="shared" ref="AN54" si="154">AN52*AN53</f>
        <v>757.1572130836247</v>
      </c>
      <c r="AO54" s="105">
        <f t="shared" ref="AO54" si="155">AO52*AO53</f>
        <v>780.83197822419777</v>
      </c>
      <c r="AP54" s="105">
        <f t="shared" ref="AP54" si="156">AP52*AP53</f>
        <v>836.80905440026288</v>
      </c>
      <c r="AQ54" s="201">
        <f>SUM(AM54:AP54)</f>
        <v>3139.9370828718133</v>
      </c>
      <c r="AR54" s="105">
        <f>AR52*AR53</f>
        <v>811.63475804537097</v>
      </c>
      <c r="AS54" s="105">
        <f t="shared" ref="AS54" si="157">AS52*AS53</f>
        <v>803.140030844173</v>
      </c>
      <c r="AT54" s="105">
        <f t="shared" ref="AT54" si="158">AT52*AT53</f>
        <v>828.22405584916748</v>
      </c>
      <c r="AU54" s="105">
        <f t="shared" ref="AU54" si="159">AU52*AU53</f>
        <v>887.56849422505093</v>
      </c>
      <c r="AV54" s="201">
        <f>SUM(AR54:AU54)</f>
        <v>3330.5673389637623</v>
      </c>
    </row>
    <row r="55" spans="2:48" s="8" customFormat="1" outlineLevel="1" x14ac:dyDescent="0.3">
      <c r="B55" s="518" t="s">
        <v>176</v>
      </c>
      <c r="C55" s="519"/>
      <c r="D55" s="93">
        <v>5.7</v>
      </c>
      <c r="E55" s="93">
        <v>1.4</v>
      </c>
      <c r="F55" s="93">
        <v>2.6</v>
      </c>
      <c r="G55" s="93">
        <v>3.2</v>
      </c>
      <c r="H55" s="144"/>
      <c r="I55" s="93">
        <v>2.6</v>
      </c>
      <c r="J55" s="93">
        <v>2.2000000000000002</v>
      </c>
      <c r="K55" s="93">
        <v>1.1000000000000001</v>
      </c>
      <c r="L55" s="47">
        <v>1.7</v>
      </c>
      <c r="M55" s="87"/>
      <c r="N55" s="47">
        <v>2.2000000000000002</v>
      </c>
      <c r="O55" s="47">
        <v>2</v>
      </c>
      <c r="P55" s="47">
        <v>2</v>
      </c>
      <c r="Q55" s="93">
        <v>2.2000000000000002</v>
      </c>
      <c r="R55" s="180"/>
      <c r="S55" s="47">
        <v>2.2999999999999998</v>
      </c>
      <c r="T55" s="47">
        <v>2.4</v>
      </c>
      <c r="U55" s="47">
        <v>1</v>
      </c>
      <c r="V55" s="47">
        <v>0.5</v>
      </c>
      <c r="W55" s="156">
        <f>SUM(S55:V55)</f>
        <v>6.1999999999999993</v>
      </c>
      <c r="X55" s="93">
        <f>S55*(1+X56)</f>
        <v>2</v>
      </c>
      <c r="Y55" s="93">
        <f t="shared" ref="Y55:AA55" si="160">T55*(1+Y56)</f>
        <v>1.9999999999999998</v>
      </c>
      <c r="Z55" s="93">
        <f t="shared" si="160"/>
        <v>2</v>
      </c>
      <c r="AA55" s="93">
        <f t="shared" si="160"/>
        <v>2</v>
      </c>
      <c r="AB55" s="156"/>
      <c r="AC55" s="93">
        <f>X55*(1+AC56)</f>
        <v>2</v>
      </c>
      <c r="AD55" s="93">
        <f t="shared" ref="AD55" si="161">Y55*(1+AD56)</f>
        <v>1.9999999999999998</v>
      </c>
      <c r="AE55" s="93">
        <f t="shared" ref="AE55" si="162">Z55*(1+AE56)</f>
        <v>2</v>
      </c>
      <c r="AF55" s="93">
        <f t="shared" ref="AF55" si="163">AA55*(1+AF56)</f>
        <v>2</v>
      </c>
      <c r="AG55" s="156"/>
      <c r="AH55" s="93">
        <f>AC55*(1+AH56)</f>
        <v>2</v>
      </c>
      <c r="AI55" s="93">
        <f t="shared" ref="AI55" si="164">AD55*(1+AI56)</f>
        <v>1.9999999999999998</v>
      </c>
      <c r="AJ55" s="93">
        <f t="shared" ref="AJ55" si="165">AE55*(1+AJ56)</f>
        <v>2</v>
      </c>
      <c r="AK55" s="93">
        <f t="shared" ref="AK55" si="166">AF55*(1+AK56)</f>
        <v>2</v>
      </c>
      <c r="AL55" s="156"/>
      <c r="AM55" s="93">
        <f>AH55*(1+AM56)</f>
        <v>2</v>
      </c>
      <c r="AN55" s="93">
        <f t="shared" ref="AN55" si="167">AI55*(1+AN56)</f>
        <v>1.9999999999999998</v>
      </c>
      <c r="AO55" s="93">
        <f t="shared" ref="AO55" si="168">AJ55*(1+AO56)</f>
        <v>2</v>
      </c>
      <c r="AP55" s="93">
        <f t="shared" ref="AP55" si="169">AK55*(1+AP56)</f>
        <v>2</v>
      </c>
      <c r="AQ55" s="156"/>
      <c r="AR55" s="93">
        <f>AM55*(1+AR56)</f>
        <v>2</v>
      </c>
      <c r="AS55" s="93">
        <f t="shared" ref="AS55" si="170">AN55*(1+AS56)</f>
        <v>1.9999999999999998</v>
      </c>
      <c r="AT55" s="93">
        <f t="shared" ref="AT55" si="171">AO55*(1+AT56)</f>
        <v>2</v>
      </c>
      <c r="AU55" s="93">
        <f t="shared" ref="AU55" si="172">AP55*(1+AU56)</f>
        <v>2</v>
      </c>
      <c r="AV55" s="156"/>
    </row>
    <row r="56" spans="2:48" outlineLevel="1" x14ac:dyDescent="0.3">
      <c r="B56" s="64" t="s">
        <v>47</v>
      </c>
      <c r="C56" s="65"/>
      <c r="D56" s="110"/>
      <c r="E56" s="110"/>
      <c r="F56" s="110"/>
      <c r="G56" s="110"/>
      <c r="H56" s="145"/>
      <c r="I56" s="110">
        <f>I55/D55-1</f>
        <v>-0.54385964912280704</v>
      </c>
      <c r="J56" s="110">
        <f t="shared" ref="J56" si="173">J55/E55-1</f>
        <v>0.57142857142857162</v>
      </c>
      <c r="K56" s="110">
        <f>K55/F55-1</f>
        <v>-0.57692307692307687</v>
      </c>
      <c r="L56" s="110">
        <f>L55/G55-1</f>
        <v>-0.46875</v>
      </c>
      <c r="M56" s="54"/>
      <c r="N56" s="110">
        <f>N55/I55-1</f>
        <v>-0.15384615384615385</v>
      </c>
      <c r="O56" s="110">
        <f t="shared" ref="O56" si="174">O55/J55-1</f>
        <v>-9.0909090909090939E-2</v>
      </c>
      <c r="P56" s="110">
        <f>P55/K55-1</f>
        <v>0.81818181818181812</v>
      </c>
      <c r="Q56" s="110">
        <f>Q55/L55-1</f>
        <v>0.29411764705882359</v>
      </c>
      <c r="R56" s="54"/>
      <c r="S56" s="110">
        <f>S55/N55-1</f>
        <v>4.5454545454545192E-2</v>
      </c>
      <c r="T56" s="110">
        <f t="shared" ref="T56:U56" si="175">T55/O55-1</f>
        <v>0.19999999999999996</v>
      </c>
      <c r="U56" s="110">
        <f t="shared" si="175"/>
        <v>-0.5</v>
      </c>
      <c r="V56" s="110">
        <f>V55/Q55-1</f>
        <v>-0.77272727272727271</v>
      </c>
      <c r="W56" s="145"/>
      <c r="X56" s="400">
        <v>-0.13043478260869554</v>
      </c>
      <c r="Y56" s="400">
        <v>-0.16666666666666677</v>
      </c>
      <c r="Z56" s="400">
        <v>1</v>
      </c>
      <c r="AA56" s="400">
        <v>3.0000000000000004</v>
      </c>
      <c r="AB56" s="401"/>
      <c r="AC56" s="400"/>
      <c r="AD56" s="400"/>
      <c r="AE56" s="400"/>
      <c r="AF56" s="400"/>
      <c r="AG56" s="402"/>
      <c r="AH56" s="400"/>
      <c r="AI56" s="400"/>
      <c r="AJ56" s="400"/>
      <c r="AK56" s="400"/>
      <c r="AL56" s="402"/>
      <c r="AM56" s="400"/>
      <c r="AN56" s="400"/>
      <c r="AO56" s="400"/>
      <c r="AP56" s="400"/>
      <c r="AQ56" s="402"/>
      <c r="AR56" s="400"/>
      <c r="AS56" s="400"/>
      <c r="AT56" s="400"/>
      <c r="AU56" s="400"/>
      <c r="AV56" s="402"/>
    </row>
    <row r="57" spans="2:48" outlineLevel="1" x14ac:dyDescent="0.3">
      <c r="B57" s="170" t="s">
        <v>177</v>
      </c>
      <c r="C57" s="195"/>
      <c r="D57" s="91">
        <f t="shared" ref="D57:G58" si="176">+D50+D41</f>
        <v>17653</v>
      </c>
      <c r="E57" s="91">
        <f t="shared" si="176"/>
        <v>17719</v>
      </c>
      <c r="F57" s="91">
        <f t="shared" si="176"/>
        <v>17853</v>
      </c>
      <c r="G57" s="91">
        <f t="shared" si="176"/>
        <v>18067</v>
      </c>
      <c r="H57" s="112"/>
      <c r="I57" s="91">
        <f t="shared" ref="I57:L58" si="177">+I50+I41</f>
        <v>18203</v>
      </c>
      <c r="J57" s="91">
        <f t="shared" si="177"/>
        <v>18271</v>
      </c>
      <c r="K57" s="91">
        <f t="shared" si="177"/>
        <v>18235</v>
      </c>
      <c r="L57" s="16">
        <f t="shared" si="177"/>
        <v>16940</v>
      </c>
      <c r="M57" s="6"/>
      <c r="N57" s="16">
        <f t="shared" ref="N57:Q58" si="178">+N50+N41</f>
        <v>18308</v>
      </c>
      <c r="O57" s="16">
        <f t="shared" si="178"/>
        <v>18120</v>
      </c>
      <c r="P57" s="16">
        <f t="shared" si="178"/>
        <v>18175</v>
      </c>
      <c r="Q57" s="91">
        <f t="shared" si="178"/>
        <v>16826</v>
      </c>
      <c r="R57" s="6"/>
      <c r="S57" s="16">
        <f t="shared" ref="S57:AH58" si="179">+S50+S41</f>
        <v>16888</v>
      </c>
      <c r="T57" s="16">
        <f t="shared" si="179"/>
        <v>16926</v>
      </c>
      <c r="U57" s="16">
        <f t="shared" si="179"/>
        <v>17050</v>
      </c>
      <c r="V57" s="16">
        <f t="shared" si="179"/>
        <v>17295</v>
      </c>
      <c r="W57" s="112">
        <v>17295</v>
      </c>
      <c r="X57" s="16">
        <f t="shared" si="179"/>
        <v>17424.712500000001</v>
      </c>
      <c r="Y57" s="16">
        <f t="shared" si="179"/>
        <v>17554.425000000003</v>
      </c>
      <c r="Z57" s="16">
        <f t="shared" si="179"/>
        <v>17684.137500000001</v>
      </c>
      <c r="AA57" s="16">
        <f>+AA50+AA41</f>
        <v>17813.850000000002</v>
      </c>
      <c r="AB57" s="239">
        <v>0.03</v>
      </c>
      <c r="AC57" s="16">
        <f t="shared" si="179"/>
        <v>17969.721187500003</v>
      </c>
      <c r="AD57" s="16">
        <f t="shared" si="179"/>
        <v>18125.592375000004</v>
      </c>
      <c r="AE57" s="16">
        <f t="shared" si="179"/>
        <v>18281.463562500005</v>
      </c>
      <c r="AF57" s="16">
        <f t="shared" si="179"/>
        <v>18437.334750000005</v>
      </c>
      <c r="AG57" s="239">
        <v>3.5000000000000003E-2</v>
      </c>
      <c r="AH57" s="16">
        <f t="shared" si="179"/>
        <v>18621.708097500006</v>
      </c>
      <c r="AI57" s="16">
        <f t="shared" ref="AI57:AK58" si="180">+AI50+AI41</f>
        <v>18806.081445000007</v>
      </c>
      <c r="AJ57" s="16">
        <f t="shared" si="180"/>
        <v>18990.454792500008</v>
      </c>
      <c r="AK57" s="16">
        <f t="shared" si="180"/>
        <v>19174.828140000009</v>
      </c>
      <c r="AL57" s="239">
        <v>0.04</v>
      </c>
      <c r="AM57" s="16">
        <f t="shared" ref="AM57:AP58" si="181">+AM50+AM41</f>
        <v>19294.670815875008</v>
      </c>
      <c r="AN57" s="16">
        <f t="shared" si="181"/>
        <v>19414.513491750007</v>
      </c>
      <c r="AO57" s="16">
        <f t="shared" si="181"/>
        <v>19534.356167625006</v>
      </c>
      <c r="AP57" s="16">
        <f t="shared" si="181"/>
        <v>19654.198843500006</v>
      </c>
      <c r="AQ57" s="239">
        <v>2.5000000000000001E-2</v>
      </c>
      <c r="AR57" s="16">
        <f t="shared" ref="AR57:AU58" si="182">+AR50+AR41</f>
        <v>19777.037586271879</v>
      </c>
      <c r="AS57" s="16">
        <f t="shared" si="182"/>
        <v>19899.876329043753</v>
      </c>
      <c r="AT57" s="16">
        <f t="shared" si="182"/>
        <v>20022.715071815626</v>
      </c>
      <c r="AU57" s="16">
        <f t="shared" si="182"/>
        <v>20145.5538145875</v>
      </c>
      <c r="AV57" s="239">
        <v>2.5000000000000001E-2</v>
      </c>
    </row>
    <row r="58" spans="2:48" outlineLevel="1" x14ac:dyDescent="0.3">
      <c r="B58" s="170" t="s">
        <v>178</v>
      </c>
      <c r="C58" s="195"/>
      <c r="D58" s="91">
        <f t="shared" si="176"/>
        <v>193</v>
      </c>
      <c r="E58" s="91">
        <f t="shared" si="176"/>
        <v>66</v>
      </c>
      <c r="F58" s="91">
        <f t="shared" si="176"/>
        <v>134</v>
      </c>
      <c r="G58" s="91">
        <f t="shared" si="176"/>
        <v>214</v>
      </c>
      <c r="H58" s="112">
        <f>+H51+H42</f>
        <v>607</v>
      </c>
      <c r="I58" s="91">
        <f t="shared" si="177"/>
        <v>136</v>
      </c>
      <c r="J58" s="91">
        <f t="shared" si="177"/>
        <v>68</v>
      </c>
      <c r="K58" s="91">
        <f t="shared" si="177"/>
        <v>-36</v>
      </c>
      <c r="L58" s="16">
        <f t="shared" si="177"/>
        <v>124</v>
      </c>
      <c r="M58" s="112"/>
      <c r="N58" s="16">
        <f t="shared" si="178"/>
        <v>-46</v>
      </c>
      <c r="O58" s="16">
        <f t="shared" si="178"/>
        <v>-188</v>
      </c>
      <c r="P58" s="16">
        <f t="shared" si="178"/>
        <v>55</v>
      </c>
      <c r="Q58" s="91">
        <f t="shared" si="178"/>
        <v>74</v>
      </c>
      <c r="R58" s="112"/>
      <c r="S58" s="16">
        <f t="shared" si="179"/>
        <v>62</v>
      </c>
      <c r="T58" s="16">
        <f t="shared" si="179"/>
        <v>38</v>
      </c>
      <c r="U58" s="16">
        <f t="shared" si="179"/>
        <v>124</v>
      </c>
      <c r="V58" s="16">
        <f t="shared" si="179"/>
        <v>245</v>
      </c>
      <c r="W58" s="112">
        <f>+W51+W42</f>
        <v>469</v>
      </c>
      <c r="X58" s="16">
        <v>130</v>
      </c>
      <c r="Y58" s="16">
        <v>130</v>
      </c>
      <c r="Z58" s="16">
        <v>130</v>
      </c>
      <c r="AA58" s="16">
        <v>129</v>
      </c>
      <c r="AB58" s="112">
        <f>V57*AB57</f>
        <v>518.85</v>
      </c>
      <c r="AC58" s="16">
        <f t="shared" si="179"/>
        <v>155.87118750000005</v>
      </c>
      <c r="AD58" s="16">
        <f t="shared" si="179"/>
        <v>155.87118750000005</v>
      </c>
      <c r="AE58" s="16">
        <f t="shared" si="179"/>
        <v>155.87118750000005</v>
      </c>
      <c r="AF58" s="16">
        <f t="shared" si="179"/>
        <v>155.87118750000005</v>
      </c>
      <c r="AG58" s="112">
        <f>AA57*AG57</f>
        <v>623.48475000000019</v>
      </c>
      <c r="AH58" s="16">
        <f t="shared" si="179"/>
        <v>184.37334750000005</v>
      </c>
      <c r="AI58" s="16">
        <f t="shared" si="180"/>
        <v>184.37334750000005</v>
      </c>
      <c r="AJ58" s="16">
        <f t="shared" si="180"/>
        <v>184.37334750000005</v>
      </c>
      <c r="AK58" s="16">
        <f t="shared" si="180"/>
        <v>184.37334750000005</v>
      </c>
      <c r="AL58" s="112">
        <f>AF57*AL57</f>
        <v>737.4933900000002</v>
      </c>
      <c r="AM58" s="16">
        <f t="shared" si="181"/>
        <v>119.84267587500005</v>
      </c>
      <c r="AN58" s="16">
        <f t="shared" si="181"/>
        <v>119.84267587500005</v>
      </c>
      <c r="AO58" s="16">
        <f t="shared" si="181"/>
        <v>119.84267587500005</v>
      </c>
      <c r="AP58" s="16">
        <f t="shared" si="181"/>
        <v>119.84267587500005</v>
      </c>
      <c r="AQ58" s="112">
        <f>AK57*AQ57</f>
        <v>479.37070350000022</v>
      </c>
      <c r="AR58" s="16">
        <f>+AR51+AR42</f>
        <v>122.83874277187505</v>
      </c>
      <c r="AS58" s="16">
        <f t="shared" si="182"/>
        <v>122.83874277187505</v>
      </c>
      <c r="AT58" s="16">
        <f t="shared" si="182"/>
        <v>122.83874277187505</v>
      </c>
      <c r="AU58" s="16">
        <f t="shared" si="182"/>
        <v>122.83874277187505</v>
      </c>
      <c r="AV58" s="112">
        <f>AP57*AV57</f>
        <v>491.35497108750019</v>
      </c>
    </row>
    <row r="59" spans="2:48" outlineLevel="1" x14ac:dyDescent="0.3">
      <c r="B59" s="536" t="s">
        <v>179</v>
      </c>
      <c r="C59" s="537"/>
      <c r="D59" s="105">
        <f>+D55+D54+D45</f>
        <v>4612.5</v>
      </c>
      <c r="E59" s="105">
        <f>+E55+E54+E45</f>
        <v>4314.1000000000004</v>
      </c>
      <c r="F59" s="105">
        <f>+F55+F54+F45</f>
        <v>4681.0999999999995</v>
      </c>
      <c r="G59" s="105">
        <f>+G55+G54+G45</f>
        <v>4651.3999999999996</v>
      </c>
      <c r="H59" s="122">
        <f>SUM(D59:G59)</f>
        <v>18259.099999999999</v>
      </c>
      <c r="I59" s="105">
        <f>+I55+I54+I45</f>
        <v>5010.8999999999996</v>
      </c>
      <c r="J59" s="105">
        <f>+J55+J54+J45</f>
        <v>4330</v>
      </c>
      <c r="K59" s="105">
        <f>+K55+K54+K45</f>
        <v>2805.5</v>
      </c>
      <c r="L59" s="66">
        <f>+L55+L54+L45</f>
        <v>4213.9000000000005</v>
      </c>
      <c r="M59" s="87"/>
      <c r="N59" s="66">
        <f>+N55+N54+N45</f>
        <v>4703.2</v>
      </c>
      <c r="O59" s="66">
        <f>+O55+O54+O45</f>
        <v>4664.5999999999995</v>
      </c>
      <c r="P59" s="66">
        <f>+P55+P54+P45</f>
        <v>5400.3</v>
      </c>
      <c r="Q59" s="105">
        <f>+Q55+Q54+Q45</f>
        <v>5763</v>
      </c>
      <c r="R59" s="87"/>
      <c r="S59" s="66">
        <f>+S55+S54+S45</f>
        <v>5732.3</v>
      </c>
      <c r="T59" s="66">
        <f>+T55+T54+T45</f>
        <v>5445.7</v>
      </c>
      <c r="U59" s="66">
        <f>+U55+U54+U45</f>
        <v>6058.4</v>
      </c>
      <c r="V59" s="66">
        <f>+V55+V54+V45</f>
        <v>6134.4</v>
      </c>
      <c r="W59" s="87">
        <f>SUM(S59:V59)</f>
        <v>23370.800000000003</v>
      </c>
      <c r="X59" s="66">
        <f>+X55+X54+X45</f>
        <v>6367.3054189727882</v>
      </c>
      <c r="Y59" s="66">
        <f>+Y55+Y54+Y45</f>
        <v>6062.7536965822073</v>
      </c>
      <c r="Z59" s="66">
        <f>+Z55+Z54+Z45</f>
        <v>6600.8378689959973</v>
      </c>
      <c r="AA59" s="66">
        <f>+AA55+AA54+AA45</f>
        <v>6644.0809040523454</v>
      </c>
      <c r="AB59" s="87">
        <f>SUM(X59:AA59)</f>
        <v>25674.977888603338</v>
      </c>
      <c r="AC59" s="66">
        <f>+AC55+AC54+AC45</f>
        <v>6880.8169123711041</v>
      </c>
      <c r="AD59" s="66">
        <f>+AD55+AD54+AD45</f>
        <v>6559.185266682005</v>
      </c>
      <c r="AE59" s="66">
        <f>+AE55+AE54+AE45</f>
        <v>7148.8332730371467</v>
      </c>
      <c r="AF59" s="66">
        <f>+AF55+AF54+AF45</f>
        <v>7203.8410925187582</v>
      </c>
      <c r="AG59" s="87">
        <f>SUM(AC59:AF59)</f>
        <v>27792.676544609014</v>
      </c>
      <c r="AH59" s="66">
        <f>+AH55+AH54+AH45</f>
        <v>7555.4793279196929</v>
      </c>
      <c r="AI59" s="66">
        <f>+AI55+AI54+AI45</f>
        <v>7210.5715287741195</v>
      </c>
      <c r="AJ59" s="66">
        <f>+AJ55+AJ54+AJ45</f>
        <v>7867.12241773605</v>
      </c>
      <c r="AK59" s="66">
        <f>+AK55+AK54+AK45</f>
        <v>7936.6431271167748</v>
      </c>
      <c r="AL59" s="87">
        <f>SUM(AH59:AK59)</f>
        <v>30569.816401546635</v>
      </c>
      <c r="AM59" s="66">
        <f>+AM55+AM54+AM45</f>
        <v>8236.4118697685462</v>
      </c>
      <c r="AN59" s="66">
        <f>+AN55+AN54+AN45</f>
        <v>7835.0570650957852</v>
      </c>
      <c r="AO59" s="66">
        <f>+AO55+AO54+AO45</f>
        <v>8520.8278621698355</v>
      </c>
      <c r="AP59" s="66">
        <f>+AP55+AP54+AP45</f>
        <v>8532.5617600917212</v>
      </c>
      <c r="AQ59" s="87">
        <f>SUM(AM59:AP59)</f>
        <v>33124.858557125888</v>
      </c>
      <c r="AR59" s="66">
        <f>+AR55+AR54+AR45</f>
        <v>8672.3504333192213</v>
      </c>
      <c r="AS59" s="66">
        <f>+AS55+AS54+AS45</f>
        <v>8250.1084579822582</v>
      </c>
      <c r="AT59" s="66">
        <f>+AT55+AT54+AT45</f>
        <v>8971.9697678929952</v>
      </c>
      <c r="AU59" s="66">
        <f>+AU55+AU54+AU45</f>
        <v>8984.9074334960605</v>
      </c>
      <c r="AV59" s="87">
        <f>SUM(AR59:AU59)</f>
        <v>34879.336092690537</v>
      </c>
    </row>
    <row r="60" spans="2:48" outlineLevel="1" x14ac:dyDescent="0.3">
      <c r="B60" s="538" t="s">
        <v>97</v>
      </c>
      <c r="C60" s="539"/>
      <c r="D60" s="95">
        <v>1351.3</v>
      </c>
      <c r="E60" s="95">
        <v>1220.5</v>
      </c>
      <c r="F60" s="95">
        <v>1324</v>
      </c>
      <c r="G60" s="95">
        <v>1278.9000000000001</v>
      </c>
      <c r="H60" s="119"/>
      <c r="I60" s="95">
        <v>1388.4</v>
      </c>
      <c r="J60" s="95">
        <v>1248.2</v>
      </c>
      <c r="K60" s="95">
        <v>805.6</v>
      </c>
      <c r="L60" s="45">
        <v>1158.3</v>
      </c>
      <c r="M60" s="70"/>
      <c r="N60" s="45">
        <v>1276.2</v>
      </c>
      <c r="O60" s="45">
        <v>1227.5999999999999</v>
      </c>
      <c r="P60" s="45">
        <v>1416.2</v>
      </c>
      <c r="Q60" s="95">
        <v>1580.3</v>
      </c>
      <c r="R60" s="70"/>
      <c r="S60" s="45">
        <v>1629.4</v>
      </c>
      <c r="T60" s="45">
        <v>1564</v>
      </c>
      <c r="U60" s="45">
        <v>1713.2</v>
      </c>
      <c r="V60" s="45">
        <v>1770.6</v>
      </c>
      <c r="W60" s="70">
        <f>SUM(S60:V60)</f>
        <v>6677.2000000000007</v>
      </c>
      <c r="X60" s="95">
        <f>X59*X61</f>
        <v>1841.7361223139317</v>
      </c>
      <c r="Y60" s="95">
        <f t="shared" ref="Y60:AU60" si="183">Y59*Y61</f>
        <v>1744.248627422978</v>
      </c>
      <c r="Z60" s="95">
        <f t="shared" si="183"/>
        <v>1869.8915052219572</v>
      </c>
      <c r="AA60" s="95">
        <f t="shared" si="183"/>
        <v>1834.6605250704793</v>
      </c>
      <c r="AB60" s="70">
        <f>SUM(X60:AA60)</f>
        <v>7290.5367800293461</v>
      </c>
      <c r="AC60" s="460">
        <f t="shared" si="183"/>
        <v>1955.8646750898379</v>
      </c>
      <c r="AD60" s="460">
        <f t="shared" si="183"/>
        <v>1913.3082717595757</v>
      </c>
      <c r="AE60" s="460">
        <f t="shared" si="183"/>
        <v>2053.7234872447179</v>
      </c>
      <c r="AF60" s="460">
        <f t="shared" si="183"/>
        <v>2097.2872889620144</v>
      </c>
      <c r="AG60" s="70">
        <f>SUM(AC60:AF60)</f>
        <v>8020.183723056145</v>
      </c>
      <c r="AH60" s="460">
        <f t="shared" si="183"/>
        <v>2177.8586454857709</v>
      </c>
      <c r="AI60" s="460">
        <f t="shared" si="183"/>
        <v>2132.1593276684002</v>
      </c>
      <c r="AJ60" s="460">
        <f t="shared" si="183"/>
        <v>2291.5427520365288</v>
      </c>
      <c r="AK60" s="460">
        <f t="shared" si="183"/>
        <v>2342.3778779124877</v>
      </c>
      <c r="AL60" s="70">
        <f>SUM(AH60:AK60)</f>
        <v>8943.9386031031881</v>
      </c>
      <c r="AM60" s="460">
        <f t="shared" si="183"/>
        <v>2415.3187646233691</v>
      </c>
      <c r="AN60" s="460">
        <f t="shared" si="183"/>
        <v>2355.9944081222989</v>
      </c>
      <c r="AO60" s="460">
        <f t="shared" si="183"/>
        <v>2524.5588226250588</v>
      </c>
      <c r="AP60" s="460">
        <f t="shared" si="183"/>
        <v>2560.9168853223018</v>
      </c>
      <c r="AQ60" s="70">
        <f>SUM(AM60:AP60)</f>
        <v>9856.7888806930277</v>
      </c>
      <c r="AR60" s="95">
        <f t="shared" si="183"/>
        <v>2543.1572711739759</v>
      </c>
      <c r="AS60" s="95">
        <f t="shared" si="183"/>
        <v>2480.7999778328426</v>
      </c>
      <c r="AT60" s="95">
        <f t="shared" si="183"/>
        <v>2658.2235670339728</v>
      </c>
      <c r="AU60" s="95">
        <f t="shared" si="183"/>
        <v>2696.6814664170197</v>
      </c>
      <c r="AV60" s="70">
        <f>SUM(AR60:AU60)</f>
        <v>10378.862282457811</v>
      </c>
    </row>
    <row r="61" spans="2:48" s="174" customFormat="1" outlineLevel="1" x14ac:dyDescent="0.3">
      <c r="B61" s="171" t="s">
        <v>148</v>
      </c>
      <c r="C61" s="175"/>
      <c r="D61" s="157">
        <f>D60/D59</f>
        <v>0.29296476964769647</v>
      </c>
      <c r="E61" s="157">
        <f t="shared" ref="E61:U61" si="184">E60/E59</f>
        <v>0.28290952921814511</v>
      </c>
      <c r="F61" s="157">
        <f t="shared" si="184"/>
        <v>0.28283950353549381</v>
      </c>
      <c r="G61" s="157">
        <f t="shared" si="184"/>
        <v>0.27494947757664362</v>
      </c>
      <c r="H61" s="176"/>
      <c r="I61" s="157">
        <f t="shared" si="184"/>
        <v>0.27707597437586068</v>
      </c>
      <c r="J61" s="157">
        <f t="shared" si="184"/>
        <v>0.28826789838337186</v>
      </c>
      <c r="K61" s="157">
        <f t="shared" si="184"/>
        <v>0.28715024059882377</v>
      </c>
      <c r="L61" s="177">
        <f t="shared" si="184"/>
        <v>0.27487600560051256</v>
      </c>
      <c r="M61" s="178"/>
      <c r="N61" s="177">
        <f t="shared" si="184"/>
        <v>0.27134716788569485</v>
      </c>
      <c r="O61" s="157">
        <f t="shared" si="184"/>
        <v>0.26317369120610556</v>
      </c>
      <c r="P61" s="157">
        <f t="shared" si="184"/>
        <v>0.26224469010980872</v>
      </c>
      <c r="Q61" s="157">
        <f t="shared" si="184"/>
        <v>0.27421481867083114</v>
      </c>
      <c r="R61" s="178"/>
      <c r="S61" s="177">
        <f t="shared" si="184"/>
        <v>0.28424890532595992</v>
      </c>
      <c r="T61" s="157">
        <f t="shared" si="184"/>
        <v>0.28719907449914611</v>
      </c>
      <c r="U61" s="157">
        <f t="shared" si="184"/>
        <v>0.28278093225934242</v>
      </c>
      <c r="V61" s="157">
        <f>V60/V59</f>
        <v>0.28863458528951486</v>
      </c>
      <c r="W61" s="178">
        <f t="shared" ref="W61" si="185">W60/W59</f>
        <v>0.28570695055368239</v>
      </c>
      <c r="X61" s="407">
        <f>S61+0.005</f>
        <v>0.28924890532595993</v>
      </c>
      <c r="Y61" s="407">
        <f>T61+0.003-0.25%</f>
        <v>0.28769907449914611</v>
      </c>
      <c r="Z61" s="407">
        <f>U61+0.003-0.25%</f>
        <v>0.28328093225934242</v>
      </c>
      <c r="AA61" s="407">
        <f>V61-0.01-0.25%</f>
        <v>0.27613458528951484</v>
      </c>
      <c r="AB61" s="178">
        <f t="shared" ref="AB61" si="186">AB60/AB59</f>
        <v>0.28395493899394886</v>
      </c>
      <c r="AC61" s="407">
        <f>X61-0.01+0.5%</f>
        <v>0.28424890532595992</v>
      </c>
      <c r="AD61" s="407">
        <f>Y61-0.001+0.5%</f>
        <v>0.29169907449914612</v>
      </c>
      <c r="AE61" s="407">
        <f>Z61-0.001+0.5%</f>
        <v>0.28728093225934243</v>
      </c>
      <c r="AF61" s="407">
        <f>AA61+0.01+0.5%</f>
        <v>0.29113458528951486</v>
      </c>
      <c r="AG61" s="178">
        <f t="shared" ref="AG61" si="187">AG60/AG59</f>
        <v>0.28857183690758392</v>
      </c>
      <c r="AH61" s="407">
        <f>AC61-0.1%+0.5%</f>
        <v>0.28824890532595993</v>
      </c>
      <c r="AI61" s="407">
        <f>AD61-0.1%+0.5%</f>
        <v>0.29569907449914612</v>
      </c>
      <c r="AJ61" s="407">
        <f>AE61-0.1%+0.5%</f>
        <v>0.29128093225934243</v>
      </c>
      <c r="AK61" s="407">
        <f>AF61-0.1%+0.5%</f>
        <v>0.29513458528951486</v>
      </c>
      <c r="AL61" s="178">
        <f t="shared" ref="AL61" si="188">AL60/AL59</f>
        <v>0.29257416811475134</v>
      </c>
      <c r="AM61" s="407">
        <f>AH61+0.5%</f>
        <v>0.29324890532595993</v>
      </c>
      <c r="AN61" s="407">
        <f>AI61+0.5%</f>
        <v>0.30069907449914612</v>
      </c>
      <c r="AO61" s="407">
        <f>AJ61+0.5%</f>
        <v>0.29628093225934243</v>
      </c>
      <c r="AP61" s="407">
        <f>AK61+0.5%</f>
        <v>0.30013458528951487</v>
      </c>
      <c r="AQ61" s="178">
        <f t="shared" ref="AQ61" si="189">AQ60/AQ59</f>
        <v>0.29756470850115119</v>
      </c>
      <c r="AR61" s="407">
        <f>AM61</f>
        <v>0.29324890532595993</v>
      </c>
      <c r="AS61" s="407">
        <f>AN61</f>
        <v>0.30069907449914612</v>
      </c>
      <c r="AT61" s="407">
        <f>AO61</f>
        <v>0.29628093225934243</v>
      </c>
      <c r="AU61" s="407">
        <f>AP61</f>
        <v>0.30013458528951487</v>
      </c>
      <c r="AV61" s="178">
        <f t="shared" ref="AV61" si="190">AV60/AV59</f>
        <v>0.29756478893051092</v>
      </c>
    </row>
    <row r="62" spans="2:48" outlineLevel="1" x14ac:dyDescent="0.3">
      <c r="B62" s="170" t="s">
        <v>29</v>
      </c>
      <c r="C62" s="18"/>
      <c r="D62" s="45">
        <v>1983.1</v>
      </c>
      <c r="E62" s="45">
        <v>1935.7</v>
      </c>
      <c r="F62" s="45">
        <v>2034</v>
      </c>
      <c r="G62" s="45">
        <v>2112.1</v>
      </c>
      <c r="H62" s="46"/>
      <c r="I62" s="45">
        <v>2214.4</v>
      </c>
      <c r="J62" s="45">
        <v>2158.6</v>
      </c>
      <c r="K62" s="45">
        <v>2054.4</v>
      </c>
      <c r="L62" s="45">
        <v>2060.6999999999998</v>
      </c>
      <c r="M62" s="155"/>
      <c r="N62" s="45">
        <v>2238.8000000000002</v>
      </c>
      <c r="O62" s="45">
        <v>2203.1</v>
      </c>
      <c r="P62" s="45">
        <v>2346.8000000000002</v>
      </c>
      <c r="Q62" s="95">
        <v>2570.8000000000002</v>
      </c>
      <c r="R62" s="46"/>
      <c r="S62" s="45">
        <v>2702.4</v>
      </c>
      <c r="T62" s="45">
        <v>2625.4</v>
      </c>
      <c r="U62" s="45">
        <v>2670</v>
      </c>
      <c r="V62" s="45">
        <v>2862.2</v>
      </c>
      <c r="W62" s="46">
        <f>SUM(S62:V62)</f>
        <v>10860</v>
      </c>
      <c r="X62" s="95">
        <f>X45*X63</f>
        <v>3028.1778429394371</v>
      </c>
      <c r="Y62" s="95">
        <f>Y45*Y63</f>
        <v>2929.4648766502291</v>
      </c>
      <c r="Z62" s="95">
        <f>Z45*Z63</f>
        <v>2968.9955282515375</v>
      </c>
      <c r="AA62" s="95">
        <f>AA45*AA63</f>
        <v>3097.2508574367175</v>
      </c>
      <c r="AB62" s="46">
        <f>SUM(X62:AA62)</f>
        <v>12023.889105277922</v>
      </c>
      <c r="AC62" s="95">
        <f>AC45*AC63</f>
        <v>3207.3823738699357</v>
      </c>
      <c r="AD62" s="95">
        <f>AD45*AD63</f>
        <v>3160.7531207009565</v>
      </c>
      <c r="AE62" s="95">
        <f>AE45*AE63</f>
        <v>3206.3265567023636</v>
      </c>
      <c r="AF62" s="95">
        <f>AF45*AF63</f>
        <v>3420.1918092183228</v>
      </c>
      <c r="AG62" s="46">
        <f>SUM(AC62:AF62)</f>
        <v>12994.653860491577</v>
      </c>
      <c r="AH62" s="95">
        <f>AH45*AH63</f>
        <v>3512.5977082048903</v>
      </c>
      <c r="AI62" s="95">
        <f>AI45*AI63</f>
        <v>3465.5500781737319</v>
      </c>
      <c r="AJ62" s="95">
        <f>AJ45*AJ63</f>
        <v>3518.7567543709088</v>
      </c>
      <c r="AK62" s="95">
        <f>AK45*AK63</f>
        <v>3757.8931900729212</v>
      </c>
      <c r="AL62" s="46">
        <f>SUM(AH62:AK62)</f>
        <v>14254.797730822451</v>
      </c>
      <c r="AM62" s="95">
        <f>AM45*AM63</f>
        <v>3826.4111206527359</v>
      </c>
      <c r="AN62" s="95">
        <f>AN45*AN63</f>
        <v>3763.3586839277855</v>
      </c>
      <c r="AO62" s="95">
        <f>AO45*AO63</f>
        <v>3809.3553583025846</v>
      </c>
      <c r="AP62" s="95">
        <f>AP45*AP63</f>
        <v>4036.644728180624</v>
      </c>
      <c r="AQ62" s="46">
        <f>SUM(AM62:AP62)</f>
        <v>15435.76989106373</v>
      </c>
      <c r="AR62" s="95">
        <f>AR45*AR63</f>
        <v>4025.9175053116314</v>
      </c>
      <c r="AS62" s="95">
        <f>AS45*AS63</f>
        <v>3959.6499622406109</v>
      </c>
      <c r="AT62" s="95">
        <f>AT45*AT63</f>
        <v>4008.1182672194263</v>
      </c>
      <c r="AU62" s="95">
        <f>AU45*AU63</f>
        <v>4247.3430719796952</v>
      </c>
      <c r="AV62" s="46">
        <f>SUM(AR62:AU62)</f>
        <v>16241.028806751365</v>
      </c>
    </row>
    <row r="63" spans="2:48" s="174" customFormat="1" outlineLevel="1" x14ac:dyDescent="0.3">
      <c r="B63" s="171" t="s">
        <v>147</v>
      </c>
      <c r="C63" s="179"/>
      <c r="D63" s="177">
        <f>D62/D45</f>
        <v>0.48460485802257952</v>
      </c>
      <c r="E63" s="177">
        <f>E62/E45</f>
        <v>0.50283146300914383</v>
      </c>
      <c r="F63" s="177">
        <f>F62/F45</f>
        <v>0.48634689876141746</v>
      </c>
      <c r="G63" s="177">
        <f>G62/G45</f>
        <v>0.5072042649248355</v>
      </c>
      <c r="H63" s="178"/>
      <c r="I63" s="177">
        <f>I62/I45</f>
        <v>0.49528069783046302</v>
      </c>
      <c r="J63" s="177">
        <f>J62/J45</f>
        <v>0.55870172895744896</v>
      </c>
      <c r="K63" s="177">
        <f>K62/K45</f>
        <v>0.79971972439565575</v>
      </c>
      <c r="L63" s="177">
        <f>L62/L45</f>
        <v>0.53175238046086748</v>
      </c>
      <c r="M63" s="178"/>
      <c r="N63" s="177">
        <f>N62/N45</f>
        <v>0.52249813293502612</v>
      </c>
      <c r="O63" s="177">
        <f>O62/O45</f>
        <v>0.51614187986130633</v>
      </c>
      <c r="P63" s="177">
        <f>P62/P45</f>
        <v>0.47604365288652684</v>
      </c>
      <c r="Q63" s="157">
        <f>Q62/Q45</f>
        <v>0.48927545058333177</v>
      </c>
      <c r="R63" s="178"/>
      <c r="S63" s="177">
        <f>S62/S45</f>
        <v>0.51828695268598601</v>
      </c>
      <c r="T63" s="177">
        <f>T62/T45</f>
        <v>0.53185584344549564</v>
      </c>
      <c r="U63" s="177">
        <f>U62/U45</f>
        <v>0.48429224406878041</v>
      </c>
      <c r="V63" s="177">
        <f>V62/V45</f>
        <v>0.51566525538239794</v>
      </c>
      <c r="W63" s="178">
        <f>W62/W45</f>
        <v>0.51192367340589506</v>
      </c>
      <c r="X63" s="407">
        <f>S63+0.005</f>
        <v>0.52328695268598602</v>
      </c>
      <c r="Y63" s="407">
        <f>T63+0.002</f>
        <v>0.53385584344549564</v>
      </c>
      <c r="Z63" s="407">
        <f>U63+0.01</f>
        <v>0.49429224406878042</v>
      </c>
      <c r="AA63" s="407">
        <f>V63+0</f>
        <v>0.51566525538239794</v>
      </c>
      <c r="AB63" s="178">
        <f>AB62/AB45</f>
        <v>0.51633282644860046</v>
      </c>
      <c r="AC63" s="407">
        <f>X63-0.01</f>
        <v>0.51328695268598601</v>
      </c>
      <c r="AD63" s="407">
        <f>Y63-0.001</f>
        <v>0.53285584344549564</v>
      </c>
      <c r="AE63" s="407">
        <f>Z63-0.001</f>
        <v>0.49329224406878042</v>
      </c>
      <c r="AF63" s="407">
        <f>AA63+0.01</f>
        <v>0.52566525538239794</v>
      </c>
      <c r="AG63" s="178">
        <f>AG62/AG45</f>
        <v>0.51593330472221322</v>
      </c>
      <c r="AH63" s="407">
        <f>AC63-0.1%</f>
        <v>0.51228695268598601</v>
      </c>
      <c r="AI63" s="407">
        <f>AD63-0.1%</f>
        <v>0.53185584344549564</v>
      </c>
      <c r="AJ63" s="407">
        <f>AE63-0.1%</f>
        <v>0.49229224406878042</v>
      </c>
      <c r="AK63" s="407">
        <f>AF63-0.1%</f>
        <v>0.52466525538239794</v>
      </c>
      <c r="AL63" s="178">
        <f>AL62/AL45</f>
        <v>0.51493310644841173</v>
      </c>
      <c r="AM63" s="407">
        <f>AH63</f>
        <v>0.51228695268598601</v>
      </c>
      <c r="AN63" s="407">
        <f>AI63</f>
        <v>0.53185584344549564</v>
      </c>
      <c r="AO63" s="407">
        <f>AJ63</f>
        <v>0.49229224406878042</v>
      </c>
      <c r="AP63" s="407">
        <f>AK63</f>
        <v>0.52466525538239794</v>
      </c>
      <c r="AQ63" s="178">
        <f>AQ62/AQ45</f>
        <v>0.51492178422393597</v>
      </c>
      <c r="AR63" s="407">
        <f>AM63</f>
        <v>0.51228695268598601</v>
      </c>
      <c r="AS63" s="407">
        <f>AN63</f>
        <v>0.53185584344549564</v>
      </c>
      <c r="AT63" s="407">
        <f>AO63</f>
        <v>0.49229224406878042</v>
      </c>
      <c r="AU63" s="407">
        <f>AP63</f>
        <v>0.52466525538239794</v>
      </c>
      <c r="AV63" s="178">
        <f>AV62/AV45</f>
        <v>0.51492178055528115</v>
      </c>
    </row>
    <row r="64" spans="2:48" outlineLevel="1" x14ac:dyDescent="0.3">
      <c r="B64" s="170" t="s">
        <v>30</v>
      </c>
      <c r="C64" s="18"/>
      <c r="D64" s="45">
        <v>44.5</v>
      </c>
      <c r="E64" s="45">
        <v>39.4</v>
      </c>
      <c r="F64" s="45">
        <v>41.7</v>
      </c>
      <c r="G64" s="45">
        <v>34.200000000000003</v>
      </c>
      <c r="H64" s="46"/>
      <c r="I64" s="45">
        <v>42.5</v>
      </c>
      <c r="J64" s="45">
        <v>41.8</v>
      </c>
      <c r="K64" s="45">
        <v>40.700000000000003</v>
      </c>
      <c r="L64" s="45">
        <v>38</v>
      </c>
      <c r="M64" s="46"/>
      <c r="N64" s="45">
        <v>42.8</v>
      </c>
      <c r="O64" s="45">
        <v>41.9</v>
      </c>
      <c r="P64" s="45">
        <v>39.700000000000003</v>
      </c>
      <c r="Q64" s="95">
        <v>47.3</v>
      </c>
      <c r="R64" s="46"/>
      <c r="S64" s="45">
        <v>48.2</v>
      </c>
      <c r="T64" s="45">
        <v>47.1</v>
      </c>
      <c r="U64" s="45">
        <v>55.4</v>
      </c>
      <c r="V64" s="45">
        <v>51.4</v>
      </c>
      <c r="W64" s="46">
        <f>SUM(S64:V64)</f>
        <v>202.10000000000002</v>
      </c>
      <c r="X64" s="95">
        <f>X59*X65</f>
        <v>53.539438130329607</v>
      </c>
      <c r="Y64" s="95">
        <f t="shared" ref="Y64:AA64" si="191">Y59*Y65</f>
        <v>52.436913364493449</v>
      </c>
      <c r="Z64" s="95">
        <f t="shared" si="191"/>
        <v>60.360230084243071</v>
      </c>
      <c r="AA64" s="95">
        <f t="shared" si="191"/>
        <v>55.670604862462604</v>
      </c>
      <c r="AB64" s="46">
        <f>SUM(X64:AA64)</f>
        <v>222.00718644152875</v>
      </c>
      <c r="AC64" s="95">
        <f>AC59*AC65</f>
        <v>57.857295531686624</v>
      </c>
      <c r="AD64" s="95">
        <f t="shared" ref="AD64" si="192">AD59*AD65</f>
        <v>56.730562840538859</v>
      </c>
      <c r="AE64" s="95">
        <f t="shared" ref="AE64" si="193">AE59*AE65</f>
        <v>65.371280094787053</v>
      </c>
      <c r="AF64" s="95">
        <f t="shared" ref="AF64" si="194">AF59*AF65</f>
        <v>60.36082292570817</v>
      </c>
      <c r="AG64" s="46">
        <f>SUM(AC64:AF64)</f>
        <v>240.3199613927207</v>
      </c>
      <c r="AH64" s="95">
        <f>AH59*AH65</f>
        <v>63.530189209519605</v>
      </c>
      <c r="AI64" s="95">
        <f t="shared" ref="AI64" si="195">AI59*AI65</f>
        <v>62.364419451174513</v>
      </c>
      <c r="AJ64" s="95">
        <f t="shared" ref="AJ64" si="196">AJ59*AJ65</f>
        <v>71.93955201745959</v>
      </c>
      <c r="AK64" s="95">
        <f t="shared" ref="AK64" si="197">AK59*AK65</f>
        <v>66.500954736209295</v>
      </c>
      <c r="AL64" s="46">
        <f>SUM(AH64:AK64)</f>
        <v>264.33511541436297</v>
      </c>
      <c r="AM64" s="95">
        <f>AM59*AM65</f>
        <v>69.255805195618507</v>
      </c>
      <c r="AN64" s="95">
        <f t="shared" ref="AN64" si="198">AN59*AN65</f>
        <v>67.765610989590229</v>
      </c>
      <c r="AO64" s="95">
        <f t="shared" ref="AO64" si="199">AO59*AO65</f>
        <v>77.917249366863999</v>
      </c>
      <c r="AP64" s="95">
        <f t="shared" ref="AP64" si="200">AP59*AP65</f>
        <v>71.494143594926072</v>
      </c>
      <c r="AQ64" s="46">
        <f>SUM(AM64:AP64)</f>
        <v>286.43280914699881</v>
      </c>
      <c r="AR64" s="95">
        <f>AR59*AR65</f>
        <v>72.921391219229022</v>
      </c>
      <c r="AS64" s="95">
        <f t="shared" ref="AS64" si="201">AS59*AS65</f>
        <v>71.355401210306184</v>
      </c>
      <c r="AT64" s="95">
        <f t="shared" ref="AT64" si="202">AT59*AT65</f>
        <v>82.042639168967369</v>
      </c>
      <c r="AU64" s="95">
        <f t="shared" ref="AU64" si="203">AU59*AU65</f>
        <v>75.284337845868791</v>
      </c>
      <c r="AV64" s="46">
        <f>SUM(AR64:AU64)</f>
        <v>301.60376944437132</v>
      </c>
    </row>
    <row r="65" spans="2:48" s="174" customFormat="1" outlineLevel="1" x14ac:dyDescent="0.3">
      <c r="B65" s="171" t="s">
        <v>149</v>
      </c>
      <c r="C65" s="179"/>
      <c r="D65" s="177">
        <f>D64/D59</f>
        <v>9.6476964769647705E-3</v>
      </c>
      <c r="E65" s="177">
        <f t="shared" ref="E65:V65" si="204">E64/E59</f>
        <v>9.1328434667717479E-3</v>
      </c>
      <c r="F65" s="177">
        <f t="shared" si="204"/>
        <v>8.908162611352034E-3</v>
      </c>
      <c r="G65" s="177">
        <f t="shared" si="204"/>
        <v>7.352625016124179E-3</v>
      </c>
      <c r="H65" s="178"/>
      <c r="I65" s="177">
        <f t="shared" si="204"/>
        <v>8.4815103075295863E-3</v>
      </c>
      <c r="J65" s="177">
        <f t="shared" si="204"/>
        <v>9.6535796766743648E-3</v>
      </c>
      <c r="K65" s="177">
        <f t="shared" si="204"/>
        <v>1.4507217964712174E-2</v>
      </c>
      <c r="L65" s="177">
        <f t="shared" si="204"/>
        <v>9.017774508175324E-3</v>
      </c>
      <c r="M65" s="178"/>
      <c r="N65" s="177">
        <f t="shared" si="204"/>
        <v>9.1001871066507915E-3</v>
      </c>
      <c r="O65" s="177">
        <f t="shared" si="204"/>
        <v>8.982549414740814E-3</v>
      </c>
      <c r="P65" s="177">
        <f t="shared" si="204"/>
        <v>7.3514434383275002E-3</v>
      </c>
      <c r="Q65" s="157">
        <f t="shared" si="204"/>
        <v>8.2075307999305916E-3</v>
      </c>
      <c r="R65" s="178"/>
      <c r="S65" s="177">
        <f t="shared" si="204"/>
        <v>8.4084922282504412E-3</v>
      </c>
      <c r="T65" s="177">
        <f t="shared" si="204"/>
        <v>8.6490258368988378E-3</v>
      </c>
      <c r="U65" s="177">
        <f t="shared" si="204"/>
        <v>9.1443285355869534E-3</v>
      </c>
      <c r="V65" s="177">
        <f t="shared" si="204"/>
        <v>8.3789775691184148E-3</v>
      </c>
      <c r="W65" s="178">
        <f t="shared" ref="W65" si="205">W64/W59</f>
        <v>8.6475430879559105E-3</v>
      </c>
      <c r="X65" s="407">
        <f>S65</f>
        <v>8.4084922282504412E-3</v>
      </c>
      <c r="Y65" s="407">
        <f>T65</f>
        <v>8.6490258368988378E-3</v>
      </c>
      <c r="Z65" s="407">
        <f>U65</f>
        <v>9.1443285355869534E-3</v>
      </c>
      <c r="AA65" s="407">
        <f>V65</f>
        <v>8.3789775691184148E-3</v>
      </c>
      <c r="AB65" s="178">
        <f t="shared" ref="AB65" si="206">AB64/AB59</f>
        <v>8.6468306771190547E-3</v>
      </c>
      <c r="AC65" s="407">
        <f>X65</f>
        <v>8.4084922282504412E-3</v>
      </c>
      <c r="AD65" s="407">
        <f>Y65</f>
        <v>8.6490258368988378E-3</v>
      </c>
      <c r="AE65" s="407">
        <f>Z65</f>
        <v>9.1443285355869534E-3</v>
      </c>
      <c r="AF65" s="407">
        <f>AA65</f>
        <v>8.3789775691184148E-3</v>
      </c>
      <c r="AG65" s="178">
        <f t="shared" ref="AG65" si="207">AG64/AG59</f>
        <v>8.6468808071432732E-3</v>
      </c>
      <c r="AH65" s="407">
        <f>AC65</f>
        <v>8.4084922282504412E-3</v>
      </c>
      <c r="AI65" s="407">
        <f>AD65</f>
        <v>8.6490258368988378E-3</v>
      </c>
      <c r="AJ65" s="407">
        <f>AE65</f>
        <v>9.1443285355869534E-3</v>
      </c>
      <c r="AK65" s="407">
        <f>AF65</f>
        <v>8.3789775691184148E-3</v>
      </c>
      <c r="AL65" s="178">
        <f t="shared" ref="AL65" si="208">AL64/AL59</f>
        <v>8.646931729723745E-3</v>
      </c>
      <c r="AM65" s="407">
        <f>AH65</f>
        <v>8.4084922282504412E-3</v>
      </c>
      <c r="AN65" s="407">
        <f>AI65</f>
        <v>8.6490258368988378E-3</v>
      </c>
      <c r="AO65" s="407">
        <f>AJ65</f>
        <v>9.1443285355869534E-3</v>
      </c>
      <c r="AP65" s="407">
        <f>AK65</f>
        <v>8.3789775691184148E-3</v>
      </c>
      <c r="AQ65" s="178">
        <f t="shared" ref="AQ65" si="209">AQ64/AQ59</f>
        <v>8.6470651234035467E-3</v>
      </c>
      <c r="AR65" s="407">
        <f>AM65</f>
        <v>8.4084922282504412E-3</v>
      </c>
      <c r="AS65" s="407">
        <f>AN65</f>
        <v>8.6490258368988378E-3</v>
      </c>
      <c r="AT65" s="407">
        <f>AO65</f>
        <v>9.1443285355869534E-3</v>
      </c>
      <c r="AU65" s="407">
        <f>AP65</f>
        <v>8.3789775691184148E-3</v>
      </c>
      <c r="AV65" s="178">
        <f t="shared" ref="AV65" si="210">AV64/AV59</f>
        <v>8.6470616482742253E-3</v>
      </c>
    </row>
    <row r="66" spans="2:48" outlineLevel="1" x14ac:dyDescent="0.3">
      <c r="B66" s="170" t="s">
        <v>31</v>
      </c>
      <c r="C66" s="18"/>
      <c r="D66" s="327">
        <v>166.9</v>
      </c>
      <c r="E66" s="327">
        <v>173</v>
      </c>
      <c r="F66" s="327">
        <v>175.6</v>
      </c>
      <c r="G66" s="327">
        <v>180.6</v>
      </c>
      <c r="H66" s="120"/>
      <c r="I66" s="327">
        <v>189.2</v>
      </c>
      <c r="J66" s="327">
        <v>191.5</v>
      </c>
      <c r="K66" s="327">
        <v>191.3</v>
      </c>
      <c r="L66" s="327">
        <v>190.1</v>
      </c>
      <c r="M66" s="328"/>
      <c r="N66" s="327">
        <v>188.9</v>
      </c>
      <c r="O66" s="327">
        <v>186</v>
      </c>
      <c r="P66" s="327">
        <v>188.9</v>
      </c>
      <c r="Q66" s="327">
        <v>189.9</v>
      </c>
      <c r="R66" s="160"/>
      <c r="S66" s="327">
        <v>200</v>
      </c>
      <c r="T66" s="327">
        <v>202</v>
      </c>
      <c r="U66" s="327">
        <v>201.2</v>
      </c>
      <c r="V66" s="327">
        <v>205.2</v>
      </c>
      <c r="W66" s="160">
        <f t="shared" ref="W66:W67" si="211">SUM(S66:V66)</f>
        <v>808.40000000000009</v>
      </c>
      <c r="X66" s="327">
        <f>(V66/(V66+V99+V114+V127))*'Cash Flow Statement'!X7*0.95</f>
        <v>215.4912702407436</v>
      </c>
      <c r="Y66" s="327">
        <f>(X66/(X66+X99+X114+X127))*'Cash Flow Statement'!Y7*0.95</f>
        <v>224.67167134077008</v>
      </c>
      <c r="Z66" s="327">
        <f>(Y66/(Y66+Y99+Y114+Y127))*'Cash Flow Statement'!Z7*0.95</f>
        <v>228.72377828700996</v>
      </c>
      <c r="AA66" s="327">
        <f>(Z66/(Z66+Z99+Z114+Z127))*'Cash Flow Statement'!AA7*0.95</f>
        <v>229.99918252841601</v>
      </c>
      <c r="AB66" s="160">
        <f t="shared" ref="AB66:AB67" si="212">SUM(X66:AA66)</f>
        <v>898.88590239693963</v>
      </c>
      <c r="AC66" s="327">
        <f>(AA66/(AA66+AA99+AA114+AA127))*'Cash Flow Statement'!AC7*0.95</f>
        <v>247.8249042536751</v>
      </c>
      <c r="AD66" s="327">
        <f>(AC66/(AC66+AC99+AC114+AC127))*'Cash Flow Statement'!AD7*0.95</f>
        <v>257.40198814810401</v>
      </c>
      <c r="AE66" s="327">
        <f>(AD66/(AD66+AD99+AD114+AD127))*'Cash Flow Statement'!AE7*0.95</f>
        <v>260.72803299947032</v>
      </c>
      <c r="AF66" s="327">
        <f>(AE66/(AE66+AE99+AE114+AE127))*'Cash Flow Statement'!AF7*0.95</f>
        <v>258.33193796518958</v>
      </c>
      <c r="AG66" s="160">
        <f t="shared" ref="AG66:AG67" si="213">SUM(AC66:AF66)</f>
        <v>1024.2868633664389</v>
      </c>
      <c r="AH66" s="327">
        <f>(AF66/(AF66+AF99+AF114+AF127))*'Cash Flow Statement'!AH7*0.95</f>
        <v>278.13360625081134</v>
      </c>
      <c r="AI66" s="327">
        <f>(AH66/(AH66+AH99+AH114+AH127))*'Cash Flow Statement'!AI7*0.95</f>
        <v>286.64205999219956</v>
      </c>
      <c r="AJ66" s="327">
        <f>(AI66/(AI66+AI99+AI114+AI127))*'Cash Flow Statement'!AJ7*0.95</f>
        <v>289.44300922950316</v>
      </c>
      <c r="AK66" s="327">
        <f>(AJ66/(AJ66+AJ99+AJ114+AJ127))*'Cash Flow Statement'!AK7*0.95</f>
        <v>281.17833389771698</v>
      </c>
      <c r="AL66" s="160">
        <f t="shared" ref="AL66:AL67" si="214">SUM(AH66:AK66)</f>
        <v>1135.397009370231</v>
      </c>
      <c r="AM66" s="327">
        <f>(AK66/(AK66+AK99+AK114+AK127))*'Cash Flow Statement'!AM7*0.95</f>
        <v>304.45091900119121</v>
      </c>
      <c r="AN66" s="327">
        <f>(AM66/(AM66+AM99+AM114+AM127))*'Cash Flow Statement'!AN7*0.95</f>
        <v>314.12221255252263</v>
      </c>
      <c r="AO66" s="327">
        <f>(AN66/(AN66+AN99+AN114+AN127))*'Cash Flow Statement'!AO7*0.95</f>
        <v>316.54310376910468</v>
      </c>
      <c r="AP66" s="327">
        <f>(AO66/(AO66+AO99+AO114+AO127))*'Cash Flow Statement'!AP7*0.95</f>
        <v>311.21241435040719</v>
      </c>
      <c r="AQ66" s="160">
        <f t="shared" ref="AQ66:AQ67" si="215">SUM(AM66:AP66)</f>
        <v>1246.3286496732258</v>
      </c>
      <c r="AR66" s="327">
        <f>(AP66/(AP66+AP99+AP114+AP127))*'Cash Flow Statement'!AR7*0.95</f>
        <v>333.3405247707563</v>
      </c>
      <c r="AS66" s="327">
        <f>(AR66/(AR66+AR99+AR114+AR127))*'Cash Flow Statement'!AS7*0.95</f>
        <v>342.60381393378128</v>
      </c>
      <c r="AT66" s="327">
        <f>(AS66/(AS66+AS99+AS114+AS127))*'Cash Flow Statement'!AT7*0.95</f>
        <v>344.25864864388575</v>
      </c>
      <c r="AU66" s="327">
        <f>(AT66/(AT66+AT99+AT114+AT127))*'Cash Flow Statement'!AU7*0.95</f>
        <v>336.13623135186657</v>
      </c>
      <c r="AV66" s="160">
        <f t="shared" ref="AV66:AV67" si="216">SUM(AR66:AU66)</f>
        <v>1356.3392187002898</v>
      </c>
    </row>
    <row r="67" spans="2:48" outlineLevel="1" x14ac:dyDescent="0.3">
      <c r="B67" s="170" t="s">
        <v>32</v>
      </c>
      <c r="C67" s="18"/>
      <c r="D67" s="45">
        <v>75.099999999999994</v>
      </c>
      <c r="E67" s="45">
        <v>70.900000000000006</v>
      </c>
      <c r="F67" s="45">
        <v>72</v>
      </c>
      <c r="G67" s="45">
        <v>106</v>
      </c>
      <c r="H67" s="46"/>
      <c r="I67" s="45">
        <v>72.400000000000006</v>
      </c>
      <c r="J67" s="45">
        <v>68.2</v>
      </c>
      <c r="K67" s="45">
        <v>62.2</v>
      </c>
      <c r="L67" s="45">
        <v>65.2</v>
      </c>
      <c r="M67" s="155"/>
      <c r="N67" s="45">
        <v>70.8</v>
      </c>
      <c r="O67" s="45">
        <v>77.7</v>
      </c>
      <c r="P67" s="45">
        <v>73.2</v>
      </c>
      <c r="Q67" s="95">
        <v>78.400000000000006</v>
      </c>
      <c r="R67" s="46"/>
      <c r="S67" s="45">
        <v>76.7</v>
      </c>
      <c r="T67" s="45">
        <v>71.3</v>
      </c>
      <c r="U67" s="45">
        <v>76.5</v>
      </c>
      <c r="V67" s="45">
        <v>78.8</v>
      </c>
      <c r="W67" s="46">
        <f t="shared" si="211"/>
        <v>303.3</v>
      </c>
      <c r="X67" s="95">
        <f>X59*X68</f>
        <v>117.03310187901914</v>
      </c>
      <c r="Y67" s="95">
        <f t="shared" ref="Y67:AA67" si="217">Y59*Y68</f>
        <v>94.535905958830952</v>
      </c>
      <c r="Z67" s="95">
        <f t="shared" si="217"/>
        <v>99.851509861020602</v>
      </c>
      <c r="AA67" s="95">
        <f t="shared" si="217"/>
        <v>18.906343939283019</v>
      </c>
      <c r="AB67" s="46">
        <f t="shared" si="212"/>
        <v>330.32686163815373</v>
      </c>
      <c r="AC67" s="95">
        <f>AC59*AC68</f>
        <v>105.82915596748835</v>
      </c>
      <c r="AD67" s="95">
        <f t="shared" ref="AD67" si="218">AD59*AD68</f>
        <v>115.39508381748773</v>
      </c>
      <c r="AE67" s="95">
        <f t="shared" ref="AE67" si="219">AE59*AE68</f>
        <v>100.99225581661729</v>
      </c>
      <c r="AF67" s="95">
        <f t="shared" ref="AF67" si="220">AF59*AF68</f>
        <v>13.295352000694507</v>
      </c>
      <c r="AG67" s="46">
        <f t="shared" si="213"/>
        <v>335.51184760228784</v>
      </c>
      <c r="AH67" s="95">
        <f>AH59*AH68</f>
        <v>108.65019950157432</v>
      </c>
      <c r="AI67" s="95">
        <f t="shared" ref="AI67" si="221">AI59*AI68</f>
        <v>119.64428499760417</v>
      </c>
      <c r="AJ67" s="95">
        <f t="shared" ref="AJ67" si="222">AJ59*AJ68</f>
        <v>103.27247329073913</v>
      </c>
      <c r="AK67" s="95">
        <f t="shared" ref="AK67" si="223">AK59*AK68</f>
        <v>6.7111624982035964</v>
      </c>
      <c r="AL67" s="46">
        <f t="shared" si="214"/>
        <v>338.27812028812122</v>
      </c>
      <c r="AM67" s="95">
        <f>AM59*AM68</f>
        <v>118.4422263615515</v>
      </c>
      <c r="AN67" s="95">
        <f t="shared" ref="AN67" si="224">AN59*AN68</f>
        <v>130.00631041908332</v>
      </c>
      <c r="AO67" s="95">
        <f t="shared" ref="AO67" si="225">AO59*AO68</f>
        <v>111.8537275874946</v>
      </c>
      <c r="AP67" s="95">
        <f t="shared" ref="AP67" si="226">AP59*AP68</f>
        <v>7.2150665691751081</v>
      </c>
      <c r="AQ67" s="46">
        <f t="shared" si="215"/>
        <v>367.51733093730451</v>
      </c>
      <c r="AR67" s="95">
        <f>AR59*AR68</f>
        <v>124.7111617718019</v>
      </c>
      <c r="AS67" s="95">
        <f t="shared" ref="AS67" si="227">AS59*AS68</f>
        <v>136.89321625463282</v>
      </c>
      <c r="AT67" s="95">
        <f t="shared" ref="AT67" si="228">AT59*AT68</f>
        <v>117.77591081221372</v>
      </c>
      <c r="AU67" s="95">
        <f t="shared" ref="AU67" si="229">AU59*AU68</f>
        <v>7.5975664839317245</v>
      </c>
      <c r="AV67" s="46">
        <f t="shared" si="216"/>
        <v>386.97785532258013</v>
      </c>
    </row>
    <row r="68" spans="2:48" s="174" customFormat="1" outlineLevel="1" x14ac:dyDescent="0.3">
      <c r="B68" s="171" t="s">
        <v>150</v>
      </c>
      <c r="C68" s="179"/>
      <c r="D68" s="177">
        <f>D67/D59</f>
        <v>1.6281842818428184E-2</v>
      </c>
      <c r="E68" s="177">
        <f t="shared" ref="E68:Q68" si="230">E67/E59</f>
        <v>1.6434482279038501E-2</v>
      </c>
      <c r="F68" s="177">
        <f t="shared" si="230"/>
        <v>1.5381000192262503E-2</v>
      </c>
      <c r="G68" s="177">
        <f t="shared" si="230"/>
        <v>2.2788837769273769E-2</v>
      </c>
      <c r="H68" s="178"/>
      <c r="I68" s="177">
        <f t="shared" si="230"/>
        <v>1.4448502265062167E-2</v>
      </c>
      <c r="J68" s="177">
        <f t="shared" si="230"/>
        <v>1.5750577367205542E-2</v>
      </c>
      <c r="K68" s="177">
        <f t="shared" si="230"/>
        <v>2.2170736054179293E-2</v>
      </c>
      <c r="L68" s="177">
        <f t="shared" si="230"/>
        <v>1.5472602577185029E-2</v>
      </c>
      <c r="M68" s="178"/>
      <c r="N68" s="177">
        <f t="shared" si="230"/>
        <v>1.5053580540908319E-2</v>
      </c>
      <c r="O68" s="177">
        <f t="shared" si="230"/>
        <v>1.6657376838314114E-2</v>
      </c>
      <c r="P68" s="177">
        <f t="shared" si="230"/>
        <v>1.3554802510971613E-2</v>
      </c>
      <c r="Q68" s="157">
        <f t="shared" si="230"/>
        <v>1.3604025681068889E-2</v>
      </c>
      <c r="R68" s="178"/>
      <c r="S68" s="177">
        <f t="shared" ref="S68:V68" si="231">S67/S59</f>
        <v>1.3380318545784415E-2</v>
      </c>
      <c r="T68" s="177">
        <f t="shared" si="231"/>
        <v>1.3092898984519897E-2</v>
      </c>
      <c r="U68" s="177">
        <f t="shared" si="231"/>
        <v>1.2627096263039747E-2</v>
      </c>
      <c r="V68" s="177">
        <f t="shared" si="231"/>
        <v>1.2845592070944184E-2</v>
      </c>
      <c r="W68" s="178">
        <f t="shared" ref="W68" si="232">W67/W59</f>
        <v>1.2977732897461789E-2</v>
      </c>
      <c r="X68" s="407">
        <f>S68+0.5%</f>
        <v>1.8380318545784414E-2</v>
      </c>
      <c r="Y68" s="407">
        <f>T68+0.25%</f>
        <v>1.5592898984519897E-2</v>
      </c>
      <c r="Z68" s="407">
        <f>U68+0.25%</f>
        <v>1.5127096263039748E-2</v>
      </c>
      <c r="AA68" s="407">
        <f>V68-1%</f>
        <v>2.8455920709441838E-3</v>
      </c>
      <c r="AB68" s="178">
        <f t="shared" ref="AB68" si="233">AB67/AB59</f>
        <v>1.2865711630652655E-2</v>
      </c>
      <c r="AC68" s="407">
        <f>X68-0.003</f>
        <v>1.5380318545784415E-2</v>
      </c>
      <c r="AD68" s="407">
        <f>Y68+0.002</f>
        <v>1.7592898984519899E-2</v>
      </c>
      <c r="AE68" s="407">
        <f>Z68-0.001</f>
        <v>1.4127096263039748E-2</v>
      </c>
      <c r="AF68" s="407">
        <f>AA68-0.001</f>
        <v>1.8455920709441838E-3</v>
      </c>
      <c r="AG68" s="178">
        <f t="shared" ref="AG68" si="234">AG67/AG59</f>
        <v>1.2071951654737893E-2</v>
      </c>
      <c r="AH68" s="407">
        <f>AC68-0.1%</f>
        <v>1.4380318545784414E-2</v>
      </c>
      <c r="AI68" s="407">
        <f>AD68-0.1%</f>
        <v>1.6592898984519898E-2</v>
      </c>
      <c r="AJ68" s="407">
        <f>AE68-0.1%</f>
        <v>1.3127096263039748E-2</v>
      </c>
      <c r="AK68" s="407">
        <f>AF68-0.1%</f>
        <v>8.4559207094418373E-4</v>
      </c>
      <c r="AL68" s="178">
        <f t="shared" ref="AL68" si="235">AL67/AL59</f>
        <v>1.1065755706370762E-2</v>
      </c>
      <c r="AM68" s="407">
        <f>AH68</f>
        <v>1.4380318545784414E-2</v>
      </c>
      <c r="AN68" s="407">
        <f>AI68</f>
        <v>1.6592898984519898E-2</v>
      </c>
      <c r="AO68" s="407">
        <f>AJ68</f>
        <v>1.3127096263039748E-2</v>
      </c>
      <c r="AP68" s="407">
        <f>AK68</f>
        <v>8.4559207094418373E-4</v>
      </c>
      <c r="AQ68" s="178">
        <f t="shared" ref="AQ68" si="236">AQ67/AQ59</f>
        <v>1.109491019572198E-2</v>
      </c>
      <c r="AR68" s="407">
        <f>AM68</f>
        <v>1.4380318545784414E-2</v>
      </c>
      <c r="AS68" s="407">
        <f>AN68</f>
        <v>1.6592898984519898E-2</v>
      </c>
      <c r="AT68" s="407">
        <f>AO68</f>
        <v>1.3127096263039748E-2</v>
      </c>
      <c r="AU68" s="407">
        <f>AP68</f>
        <v>8.4559207094418373E-4</v>
      </c>
      <c r="AV68" s="178">
        <f t="shared" ref="AV68" si="237">AV67/AV59</f>
        <v>1.1094759782531436E-2</v>
      </c>
    </row>
    <row r="69" spans="2:48" ht="16.2" outlineLevel="1" x14ac:dyDescent="0.45">
      <c r="B69" s="170" t="s">
        <v>39</v>
      </c>
      <c r="C69" s="18"/>
      <c r="D69" s="109">
        <v>22.9</v>
      </c>
      <c r="E69" s="109">
        <v>18.2</v>
      </c>
      <c r="F69" s="109">
        <v>15.1</v>
      </c>
      <c r="G69" s="109">
        <v>0.7</v>
      </c>
      <c r="H69" s="121"/>
      <c r="I69" s="109">
        <v>5.2</v>
      </c>
      <c r="J69" s="109">
        <v>0.5</v>
      </c>
      <c r="K69" s="109">
        <v>56.2</v>
      </c>
      <c r="L69" s="109">
        <v>195.6</v>
      </c>
      <c r="M69" s="326"/>
      <c r="N69" s="109">
        <v>72.2</v>
      </c>
      <c r="O69" s="109">
        <v>23</v>
      </c>
      <c r="P69" s="109">
        <v>19.8</v>
      </c>
      <c r="Q69" s="109">
        <v>40.5</v>
      </c>
      <c r="R69" s="163"/>
      <c r="S69" s="109">
        <v>-7.5</v>
      </c>
      <c r="T69" s="109">
        <v>4.4000000000000004</v>
      </c>
      <c r="U69" s="109">
        <v>12</v>
      </c>
      <c r="V69" s="109">
        <v>24.4</v>
      </c>
      <c r="W69" s="163">
        <f>SUM(S69:V69)</f>
        <v>33.299999999999997</v>
      </c>
      <c r="X69" s="109">
        <f>IFERROR((X163*(V69/V163)),0)</f>
        <v>34.757834757834758</v>
      </c>
      <c r="Y69" s="109">
        <f>IFERROR((Y163*(X69/X163)),0)</f>
        <v>0</v>
      </c>
      <c r="Z69" s="109">
        <f>IFERROR((Z163*(Y69/Y163)),0)</f>
        <v>0</v>
      </c>
      <c r="AA69" s="109">
        <f>IFERROR((AA163*(Z69/Z163)),0)</f>
        <v>0</v>
      </c>
      <c r="AB69" s="163">
        <f>SUM(X69:AA69)</f>
        <v>34.757834757834758</v>
      </c>
      <c r="AC69" s="109">
        <f>IFERROR((AC163*(AA69/AA163)),0)</f>
        <v>0</v>
      </c>
      <c r="AD69" s="109">
        <f>IFERROR((AD163*(AC69/AC163)),0)</f>
        <v>0</v>
      </c>
      <c r="AE69" s="109">
        <f>IFERROR((AE163*(AD69/AD163)),0)</f>
        <v>0</v>
      </c>
      <c r="AF69" s="109">
        <f>IFERROR((AF163*(AE69/AE163)),0)</f>
        <v>0</v>
      </c>
      <c r="AG69" s="163">
        <f>SUM(AC69:AF69)</f>
        <v>0</v>
      </c>
      <c r="AH69" s="109">
        <f>IFERROR((AH163*(AF69/AF163)),0)</f>
        <v>0</v>
      </c>
      <c r="AI69" s="109">
        <f>IFERROR((AI163*(AH69/AH163)),0)</f>
        <v>0</v>
      </c>
      <c r="AJ69" s="109">
        <f>IFERROR((AJ163*(AI69/AI163)),0)</f>
        <v>0</v>
      </c>
      <c r="AK69" s="109">
        <f>IFERROR((AK163*(AJ69/AJ163)),0)</f>
        <v>0</v>
      </c>
      <c r="AL69" s="163">
        <f>SUM(AH69:AK69)</f>
        <v>0</v>
      </c>
      <c r="AM69" s="109">
        <f>IFERROR((AM163*(AK69/AK163)),0)</f>
        <v>0</v>
      </c>
      <c r="AN69" s="109">
        <f>IFERROR((AN163*(AM69/AM163)),0)</f>
        <v>0</v>
      </c>
      <c r="AO69" s="109">
        <f>IFERROR((AO163*(AN69/AN163)),0)</f>
        <v>0</v>
      </c>
      <c r="AP69" s="109">
        <f>IFERROR((AP163*(AO69/AO163)),0)</f>
        <v>0</v>
      </c>
      <c r="AQ69" s="163">
        <f>SUM(AM69:AP69)</f>
        <v>0</v>
      </c>
      <c r="AR69" s="109">
        <f>IFERROR((AR163*(AP69/AP163)),0)</f>
        <v>0</v>
      </c>
      <c r="AS69" s="109">
        <f>IFERROR((AS163*(AR69/AR163)),0)</f>
        <v>0</v>
      </c>
      <c r="AT69" s="109">
        <f>IFERROR((AT163*(AS69/AS163)),0)</f>
        <v>0</v>
      </c>
      <c r="AU69" s="109">
        <f>IFERROR((AU163*(AT69/AT163)),0)</f>
        <v>0</v>
      </c>
      <c r="AV69" s="163">
        <f>SUM(AR69:AU69)</f>
        <v>0</v>
      </c>
    </row>
    <row r="70" spans="2:48" ht="16.2" outlineLevel="1" x14ac:dyDescent="0.45">
      <c r="B70" s="43" t="s">
        <v>180</v>
      </c>
      <c r="C70" s="19"/>
      <c r="D70" s="96">
        <f>+D60+D62+D64+D66+D67+D69</f>
        <v>3643.7999999999997</v>
      </c>
      <c r="E70" s="96">
        <f t="shared" ref="E70:G70" si="238">+E60+E62+E64+E66+E67+E69</f>
        <v>3457.7</v>
      </c>
      <c r="F70" s="96">
        <f t="shared" si="238"/>
        <v>3662.3999999999996</v>
      </c>
      <c r="G70" s="96">
        <f t="shared" si="238"/>
        <v>3712.4999999999995</v>
      </c>
      <c r="H70" s="409">
        <f>+H60+H62+H64+H66+H67+H69</f>
        <v>0</v>
      </c>
      <c r="I70" s="96">
        <f t="shared" ref="I70:L70" si="239">+I60+I62+I64+I66+I67+I69</f>
        <v>3912.1</v>
      </c>
      <c r="J70" s="96">
        <f t="shared" si="239"/>
        <v>3708.8</v>
      </c>
      <c r="K70" s="96">
        <f t="shared" si="239"/>
        <v>3210.3999999999996</v>
      </c>
      <c r="L70" s="51">
        <f t="shared" si="239"/>
        <v>3707.8999999999996</v>
      </c>
      <c r="M70" s="410"/>
      <c r="N70" s="51">
        <f t="shared" ref="N70:Q70" si="240">+N60+N62+N64+N66+N67+N69</f>
        <v>3889.7000000000003</v>
      </c>
      <c r="O70" s="51">
        <f t="shared" si="240"/>
        <v>3759.2999999999997</v>
      </c>
      <c r="P70" s="51">
        <f t="shared" si="240"/>
        <v>4084.6</v>
      </c>
      <c r="Q70" s="96">
        <f t="shared" si="240"/>
        <v>4507.2</v>
      </c>
      <c r="R70" s="410"/>
      <c r="S70" s="51">
        <f>+S60+S62+S64+S66+S67+S69</f>
        <v>4649.2</v>
      </c>
      <c r="T70" s="51">
        <f t="shared" ref="T70:U70" si="241">+T60+T62+T64+T66+T67+T69</f>
        <v>4514.2</v>
      </c>
      <c r="U70" s="51">
        <f t="shared" si="241"/>
        <v>4728.2999999999993</v>
      </c>
      <c r="V70" s="51">
        <f>+V60+V62+V64+V66+V67+V69</f>
        <v>4992.5999999999985</v>
      </c>
      <c r="W70" s="410">
        <f>+W60+W62+W64+W66+W67+W69</f>
        <v>18884.3</v>
      </c>
      <c r="X70" s="51">
        <f>+X60+X62+X64+X66+X67+X69</f>
        <v>5290.7356102612957</v>
      </c>
      <c r="Y70" s="96">
        <f t="shared" ref="Y70:AV70" si="242">+Y60+Y62+Y64+Y66+Y67+Y69</f>
        <v>5045.3579947373019</v>
      </c>
      <c r="Z70" s="96">
        <f t="shared" si="242"/>
        <v>5227.8225517057681</v>
      </c>
      <c r="AA70" s="96">
        <f t="shared" si="242"/>
        <v>5236.4875138373582</v>
      </c>
      <c r="AB70" s="409">
        <f t="shared" si="242"/>
        <v>20800.403670541724</v>
      </c>
      <c r="AC70" s="96">
        <f t="shared" si="242"/>
        <v>5574.7584047126238</v>
      </c>
      <c r="AD70" s="96">
        <f t="shared" si="242"/>
        <v>5503.5890272666638</v>
      </c>
      <c r="AE70" s="96">
        <f t="shared" si="242"/>
        <v>5687.1416128579558</v>
      </c>
      <c r="AF70" s="96">
        <f t="shared" si="242"/>
        <v>5849.4672110719293</v>
      </c>
      <c r="AG70" s="409">
        <f t="shared" si="242"/>
        <v>22614.956255909168</v>
      </c>
      <c r="AH70" s="96">
        <f t="shared" si="242"/>
        <v>6140.7703486525661</v>
      </c>
      <c r="AI70" s="96">
        <f t="shared" si="242"/>
        <v>6066.3601702831093</v>
      </c>
      <c r="AJ70" s="96">
        <f t="shared" si="242"/>
        <v>6274.9545409451393</v>
      </c>
      <c r="AK70" s="96">
        <f t="shared" si="242"/>
        <v>6454.6615191175388</v>
      </c>
      <c r="AL70" s="409">
        <f t="shared" si="242"/>
        <v>24936.746578998354</v>
      </c>
      <c r="AM70" s="96">
        <f t="shared" si="242"/>
        <v>6733.8788358344664</v>
      </c>
      <c r="AN70" s="96">
        <f t="shared" si="242"/>
        <v>6631.2472260112809</v>
      </c>
      <c r="AO70" s="96">
        <f t="shared" si="242"/>
        <v>6840.2282616511065</v>
      </c>
      <c r="AP70" s="96">
        <f t="shared" si="242"/>
        <v>6987.4832380174339</v>
      </c>
      <c r="AQ70" s="409">
        <f t="shared" si="242"/>
        <v>27192.837561514287</v>
      </c>
      <c r="AR70" s="96">
        <f t="shared" si="242"/>
        <v>7100.0478542473948</v>
      </c>
      <c r="AS70" s="96">
        <f t="shared" si="242"/>
        <v>6991.302371472173</v>
      </c>
      <c r="AT70" s="96">
        <f t="shared" si="242"/>
        <v>7210.4190328784653</v>
      </c>
      <c r="AU70" s="96">
        <f t="shared" si="242"/>
        <v>7363.0426740783823</v>
      </c>
      <c r="AV70" s="409">
        <f t="shared" si="242"/>
        <v>28664.811932676417</v>
      </c>
    </row>
    <row r="71" spans="2:48" outlineLevel="1" x14ac:dyDescent="0.3">
      <c r="B71" s="43" t="s">
        <v>181</v>
      </c>
      <c r="C71" s="41"/>
      <c r="D71" s="146">
        <f t="shared" ref="D71:G71" si="243">+D59-D70</f>
        <v>968.70000000000027</v>
      </c>
      <c r="E71" s="146">
        <f t="shared" si="243"/>
        <v>856.40000000000055</v>
      </c>
      <c r="F71" s="146">
        <f t="shared" si="243"/>
        <v>1018.6999999999998</v>
      </c>
      <c r="G71" s="146">
        <f t="shared" si="243"/>
        <v>938.90000000000009</v>
      </c>
      <c r="H71" s="122">
        <f>SUM(D71:G71)</f>
        <v>3782.7000000000007</v>
      </c>
      <c r="I71" s="146">
        <f t="shared" ref="I71:L71" si="244">+I59-I70</f>
        <v>1098.7999999999997</v>
      </c>
      <c r="J71" s="146">
        <f t="shared" si="244"/>
        <v>621.19999999999982</v>
      </c>
      <c r="K71" s="146">
        <f t="shared" si="244"/>
        <v>-404.89999999999964</v>
      </c>
      <c r="L71" s="68">
        <f t="shared" si="244"/>
        <v>506.00000000000091</v>
      </c>
      <c r="M71" s="87"/>
      <c r="N71" s="68">
        <f>+N59-N70</f>
        <v>813.49999999999955</v>
      </c>
      <c r="O71" s="68">
        <f t="shared" ref="O71:Q71" si="245">+O59-O70</f>
        <v>905.29999999999973</v>
      </c>
      <c r="P71" s="68">
        <f t="shared" si="245"/>
        <v>1315.7000000000003</v>
      </c>
      <c r="Q71" s="68">
        <f t="shared" si="245"/>
        <v>1255.8000000000002</v>
      </c>
      <c r="R71" s="87"/>
      <c r="S71" s="68">
        <f t="shared" ref="S71:U71" si="246">+S59-S70</f>
        <v>1083.1000000000004</v>
      </c>
      <c r="T71" s="68">
        <f t="shared" si="246"/>
        <v>931.5</v>
      </c>
      <c r="U71" s="68">
        <f t="shared" si="246"/>
        <v>1330.1000000000004</v>
      </c>
      <c r="V71" s="146">
        <f>+V59-V70</f>
        <v>1141.8000000000011</v>
      </c>
      <c r="W71" s="87">
        <f>SUM(S71:V71)</f>
        <v>4486.5000000000018</v>
      </c>
      <c r="X71" s="146">
        <f>+X59-X70</f>
        <v>1076.5698087114924</v>
      </c>
      <c r="Y71" s="146">
        <f t="shared" ref="Y71:AV71" si="247">+Y59-Y70</f>
        <v>1017.3957018449055</v>
      </c>
      <c r="Z71" s="146">
        <f t="shared" si="247"/>
        <v>1373.0153172902292</v>
      </c>
      <c r="AA71" s="146">
        <f t="shared" si="247"/>
        <v>1407.5933902149873</v>
      </c>
      <c r="AB71" s="122">
        <f t="shared" si="247"/>
        <v>4874.5742180616144</v>
      </c>
      <c r="AC71" s="146">
        <f t="shared" si="247"/>
        <v>1306.0585076584803</v>
      </c>
      <c r="AD71" s="146">
        <f t="shared" si="247"/>
        <v>1055.5962394153412</v>
      </c>
      <c r="AE71" s="146">
        <f t="shared" si="247"/>
        <v>1461.6916601791909</v>
      </c>
      <c r="AF71" s="146">
        <f t="shared" si="247"/>
        <v>1354.3738814468288</v>
      </c>
      <c r="AG71" s="122">
        <f t="shared" si="247"/>
        <v>5177.7202886998457</v>
      </c>
      <c r="AH71" s="146">
        <f t="shared" si="247"/>
        <v>1414.7089792671268</v>
      </c>
      <c r="AI71" s="146">
        <f t="shared" si="247"/>
        <v>1144.2113584910103</v>
      </c>
      <c r="AJ71" s="146">
        <f t="shared" si="247"/>
        <v>1592.1678767909107</v>
      </c>
      <c r="AK71" s="146">
        <f t="shared" si="247"/>
        <v>1481.9816079992361</v>
      </c>
      <c r="AL71" s="122">
        <f t="shared" si="247"/>
        <v>5633.0698225482811</v>
      </c>
      <c r="AM71" s="146">
        <f t="shared" si="247"/>
        <v>1502.5330339340799</v>
      </c>
      <c r="AN71" s="146">
        <f t="shared" si="247"/>
        <v>1203.8098390845043</v>
      </c>
      <c r="AO71" s="146">
        <f t="shared" si="247"/>
        <v>1680.5996005187289</v>
      </c>
      <c r="AP71" s="146">
        <f t="shared" si="247"/>
        <v>1545.0785220742873</v>
      </c>
      <c r="AQ71" s="122">
        <f t="shared" si="247"/>
        <v>5932.0209956116014</v>
      </c>
      <c r="AR71" s="146">
        <f t="shared" si="247"/>
        <v>1572.3025790718266</v>
      </c>
      <c r="AS71" s="146">
        <f t="shared" si="247"/>
        <v>1258.8060865100852</v>
      </c>
      <c r="AT71" s="146">
        <f t="shared" si="247"/>
        <v>1761.5507350145299</v>
      </c>
      <c r="AU71" s="146">
        <f t="shared" si="247"/>
        <v>1621.8647594176782</v>
      </c>
      <c r="AV71" s="122">
        <f t="shared" si="247"/>
        <v>6214.5241600141198</v>
      </c>
    </row>
    <row r="72" spans="2:48" outlineLevel="1" x14ac:dyDescent="0.3">
      <c r="B72" s="43" t="s">
        <v>182</v>
      </c>
      <c r="C72" s="41"/>
      <c r="D72" s="147">
        <f t="shared" ref="D72:G72" si="248">+D71/D59</f>
        <v>0.21001626016260169</v>
      </c>
      <c r="E72" s="147">
        <f t="shared" si="248"/>
        <v>0.19851185647064287</v>
      </c>
      <c r="F72" s="147">
        <f t="shared" si="248"/>
        <v>0.21761979022024736</v>
      </c>
      <c r="G72" s="147">
        <f t="shared" si="248"/>
        <v>0.20185320548652022</v>
      </c>
      <c r="H72" s="123">
        <f>H71/H59</f>
        <v>0.20716793270205</v>
      </c>
      <c r="I72" s="147">
        <f t="shared" ref="I72:L72" si="249">+I71/I59</f>
        <v>0.21928196531561192</v>
      </c>
      <c r="J72" s="147">
        <f t="shared" si="249"/>
        <v>0.14346420323325632</v>
      </c>
      <c r="K72" s="147">
        <f t="shared" si="249"/>
        <v>-0.14432364997326666</v>
      </c>
      <c r="L72" s="69">
        <f t="shared" si="249"/>
        <v>0.12007878687201899</v>
      </c>
      <c r="M72" s="88"/>
      <c r="N72" s="69">
        <f>+N71/N59</f>
        <v>0.17296734138458913</v>
      </c>
      <c r="O72" s="69">
        <f t="shared" ref="O72:Q72" si="250">+O71/O59</f>
        <v>0.19407880632851687</v>
      </c>
      <c r="P72" s="69">
        <f t="shared" si="250"/>
        <v>0.24363461289187641</v>
      </c>
      <c r="Q72" s="69">
        <f t="shared" si="250"/>
        <v>0.21790733992712133</v>
      </c>
      <c r="R72" s="88"/>
      <c r="S72" s="69">
        <f t="shared" ref="S72:AV72" si="251">+S71/S59</f>
        <v>0.188946845070914</v>
      </c>
      <c r="T72" s="69">
        <f t="shared" si="251"/>
        <v>0.17105238995905026</v>
      </c>
      <c r="U72" s="69">
        <f t="shared" si="251"/>
        <v>0.21954641489502186</v>
      </c>
      <c r="V72" s="69">
        <f t="shared" si="251"/>
        <v>0.18613067292644778</v>
      </c>
      <c r="W72" s="88">
        <f>W71/W59</f>
        <v>0.19197032194019895</v>
      </c>
      <c r="X72" s="69">
        <f t="shared" si="251"/>
        <v>0.16907777118773284</v>
      </c>
      <c r="Y72" s="147">
        <f t="shared" si="251"/>
        <v>0.16781082537106004</v>
      </c>
      <c r="Z72" s="147">
        <f t="shared" si="251"/>
        <v>0.20800621747418679</v>
      </c>
      <c r="AA72" s="147">
        <f t="shared" si="251"/>
        <v>0.21185675047341318</v>
      </c>
      <c r="AB72" s="123">
        <f t="shared" si="251"/>
        <v>0.18985699770457642</v>
      </c>
      <c r="AC72" s="147">
        <f t="shared" si="251"/>
        <v>0.18981154771176978</v>
      </c>
      <c r="AD72" s="147">
        <f t="shared" si="251"/>
        <v>0.16093404843698211</v>
      </c>
      <c r="AE72" s="147">
        <f t="shared" si="251"/>
        <v>0.2044657644614781</v>
      </c>
      <c r="AF72" s="147">
        <f t="shared" si="251"/>
        <v>0.18800718450790871</v>
      </c>
      <c r="AG72" s="123">
        <f t="shared" si="251"/>
        <v>0.18629800841201008</v>
      </c>
      <c r="AH72" s="147">
        <f t="shared" si="251"/>
        <v>0.1872427833981844</v>
      </c>
      <c r="AI72" s="147">
        <f t="shared" si="251"/>
        <v>0.15868525177581028</v>
      </c>
      <c r="AJ72" s="147">
        <f t="shared" si="251"/>
        <v>0.20238249670571345</v>
      </c>
      <c r="AK72" s="147">
        <f t="shared" si="251"/>
        <v>0.1867265019055494</v>
      </c>
      <c r="AL72" s="123">
        <f t="shared" si="251"/>
        <v>0.18426901060038045</v>
      </c>
      <c r="AM72" s="147">
        <f t="shared" si="251"/>
        <v>0.18242567973671561</v>
      </c>
      <c r="AN72" s="147">
        <f t="shared" si="251"/>
        <v>0.15364404229387543</v>
      </c>
      <c r="AO72" s="147">
        <f t="shared" si="251"/>
        <v>0.19723430958864166</v>
      </c>
      <c r="AP72" s="147">
        <f t="shared" si="251"/>
        <v>0.18108026235460598</v>
      </c>
      <c r="AQ72" s="123">
        <f t="shared" si="251"/>
        <v>0.17908064378241678</v>
      </c>
      <c r="AR72" s="147">
        <f t="shared" si="251"/>
        <v>0.18130062791639864</v>
      </c>
      <c r="AS72" s="147">
        <f t="shared" si="251"/>
        <v>0.15258055005230237</v>
      </c>
      <c r="AT72" s="147">
        <f t="shared" si="251"/>
        <v>0.19633935251525239</v>
      </c>
      <c r="AU72" s="147">
        <f t="shared" si="251"/>
        <v>0.18050990190186128</v>
      </c>
      <c r="AV72" s="123">
        <f t="shared" si="251"/>
        <v>0.17817208858274289</v>
      </c>
    </row>
    <row r="73" spans="2:48" ht="17.399999999999999" x14ac:dyDescent="0.45">
      <c r="B73" s="530" t="s">
        <v>111</v>
      </c>
      <c r="C73" s="531"/>
      <c r="D73" s="14" t="s">
        <v>19</v>
      </c>
      <c r="E73" s="14" t="s">
        <v>78</v>
      </c>
      <c r="F73" s="14" t="s">
        <v>82</v>
      </c>
      <c r="G73" s="14" t="s">
        <v>92</v>
      </c>
      <c r="H73" s="37" t="s">
        <v>93</v>
      </c>
      <c r="I73" s="14" t="s">
        <v>94</v>
      </c>
      <c r="J73" s="14" t="s">
        <v>95</v>
      </c>
      <c r="K73" s="14" t="s">
        <v>96</v>
      </c>
      <c r="L73" s="14" t="s">
        <v>139</v>
      </c>
      <c r="M73" s="37" t="s">
        <v>140</v>
      </c>
      <c r="N73" s="14" t="s">
        <v>146</v>
      </c>
      <c r="O73" s="14" t="s">
        <v>154</v>
      </c>
      <c r="P73" s="14" t="s">
        <v>156</v>
      </c>
      <c r="Q73" s="14" t="s">
        <v>169</v>
      </c>
      <c r="R73" s="37" t="s">
        <v>170</v>
      </c>
      <c r="S73" s="14" t="s">
        <v>185</v>
      </c>
      <c r="T73" s="14" t="s">
        <v>186</v>
      </c>
      <c r="U73" s="14" t="s">
        <v>201</v>
      </c>
      <c r="V73" s="14" t="s">
        <v>324</v>
      </c>
      <c r="W73" s="37" t="s">
        <v>325</v>
      </c>
      <c r="X73" s="12" t="s">
        <v>24</v>
      </c>
      <c r="Y73" s="12" t="s">
        <v>25</v>
      </c>
      <c r="Z73" s="12" t="s">
        <v>26</v>
      </c>
      <c r="AA73" s="12" t="s">
        <v>27</v>
      </c>
      <c r="AB73" s="39" t="s">
        <v>28</v>
      </c>
      <c r="AC73" s="12" t="s">
        <v>87</v>
      </c>
      <c r="AD73" s="12" t="s">
        <v>88</v>
      </c>
      <c r="AE73" s="12" t="s">
        <v>89</v>
      </c>
      <c r="AF73" s="12" t="s">
        <v>90</v>
      </c>
      <c r="AG73" s="39" t="s">
        <v>91</v>
      </c>
      <c r="AH73" s="12" t="s">
        <v>106</v>
      </c>
      <c r="AI73" s="12" t="s">
        <v>107</v>
      </c>
      <c r="AJ73" s="12" t="s">
        <v>108</v>
      </c>
      <c r="AK73" s="12" t="s">
        <v>109</v>
      </c>
      <c r="AL73" s="39" t="s">
        <v>110</v>
      </c>
      <c r="AM73" s="12" t="s">
        <v>161</v>
      </c>
      <c r="AN73" s="12" t="s">
        <v>162</v>
      </c>
      <c r="AO73" s="12" t="s">
        <v>163</v>
      </c>
      <c r="AP73" s="12" t="s">
        <v>164</v>
      </c>
      <c r="AQ73" s="39" t="s">
        <v>165</v>
      </c>
      <c r="AR73" s="12" t="s">
        <v>192</v>
      </c>
      <c r="AS73" s="12" t="s">
        <v>193</v>
      </c>
      <c r="AT73" s="12" t="s">
        <v>194</v>
      </c>
      <c r="AU73" s="12" t="s">
        <v>195</v>
      </c>
      <c r="AV73" s="39" t="s">
        <v>196</v>
      </c>
    </row>
    <row r="74" spans="2:48" s="8" customFormat="1" hidden="1" outlineLevel="1" x14ac:dyDescent="0.3">
      <c r="B74" s="532" t="s">
        <v>112</v>
      </c>
      <c r="C74" s="533"/>
      <c r="D74" s="21">
        <v>5839</v>
      </c>
      <c r="E74" s="21">
        <v>5879</v>
      </c>
      <c r="F74" s="106">
        <v>5646</v>
      </c>
      <c r="G74" s="21">
        <v>5860</v>
      </c>
      <c r="H74" s="180">
        <f>G74</f>
        <v>5860</v>
      </c>
      <c r="I74" s="21">
        <v>6059</v>
      </c>
      <c r="J74" s="21">
        <v>6137</v>
      </c>
      <c r="K74" s="21">
        <v>6254</v>
      </c>
      <c r="L74" s="21">
        <v>6528</v>
      </c>
      <c r="M74" s="180">
        <f>L74</f>
        <v>6528</v>
      </c>
      <c r="N74" s="21">
        <v>6713</v>
      </c>
      <c r="O74" s="21">
        <f>+N74+O75</f>
        <v>6836</v>
      </c>
      <c r="P74" s="21">
        <f t="shared" ref="P74:Q74" si="252">+O74+P75</f>
        <v>7013</v>
      </c>
      <c r="Q74" s="21">
        <f t="shared" si="252"/>
        <v>7272</v>
      </c>
      <c r="R74" s="180">
        <f>Q74</f>
        <v>7272</v>
      </c>
      <c r="S74" s="21">
        <f>+Q74+S75</f>
        <v>7485</v>
      </c>
      <c r="T74" s="21">
        <f>+S74+T75</f>
        <v>7587</v>
      </c>
      <c r="U74" s="21">
        <f t="shared" ref="U74:V74" si="253">+T74+U75</f>
        <v>7717</v>
      </c>
      <c r="V74" s="21">
        <f t="shared" si="253"/>
        <v>8037</v>
      </c>
      <c r="W74" s="180">
        <f>V74</f>
        <v>8037</v>
      </c>
      <c r="X74" s="106">
        <f>V74+X75</f>
        <v>8305.8901703335705</v>
      </c>
      <c r="Y74" s="106">
        <f>X74+Y75</f>
        <v>8574.780340667141</v>
      </c>
      <c r="Z74" s="106">
        <f>Y74+Z75</f>
        <v>8843.6705110007115</v>
      </c>
      <c r="AA74" s="106">
        <f>Z74+AA75</f>
        <v>9112.560681334282</v>
      </c>
      <c r="AB74" s="156">
        <f>AA74</f>
        <v>9112.560681334282</v>
      </c>
      <c r="AC74" s="106">
        <f>AA74+AC75</f>
        <v>9390.9522711142672</v>
      </c>
      <c r="AD74" s="106">
        <f>AC74+AD75</f>
        <v>9669.3438608942524</v>
      </c>
      <c r="AE74" s="106">
        <f>AD74+AE75</f>
        <v>9947.7354506742377</v>
      </c>
      <c r="AF74" s="106">
        <f>AE74+AF75</f>
        <v>10226.127040454223</v>
      </c>
      <c r="AG74" s="156">
        <f>AF74</f>
        <v>10226.127040454223</v>
      </c>
      <c r="AH74" s="106">
        <f>AF74+AH75</f>
        <v>10514.427253371185</v>
      </c>
      <c r="AI74" s="106">
        <f>AH74+AI75</f>
        <v>10802.727466288146</v>
      </c>
      <c r="AJ74" s="106">
        <f>AI74+AJ75</f>
        <v>11091.027679205108</v>
      </c>
      <c r="AK74" s="106">
        <f>AJ74+AK75</f>
        <v>11379.32789212207</v>
      </c>
      <c r="AL74" s="156">
        <f>AK74</f>
        <v>11379.32789212207</v>
      </c>
      <c r="AM74" s="106">
        <f>AK74+AM75</f>
        <v>11479.38598296664</v>
      </c>
      <c r="AN74" s="106">
        <f>AM74+AN75</f>
        <v>11579.44407381121</v>
      </c>
      <c r="AO74" s="106">
        <f>AN74+AO75</f>
        <v>11679.50216465578</v>
      </c>
      <c r="AP74" s="106">
        <f>AO74+AP75</f>
        <v>11779.56025550035</v>
      </c>
      <c r="AQ74" s="156"/>
      <c r="AR74" s="106">
        <f>AP74+AR75</f>
        <v>11882.620089070257</v>
      </c>
      <c r="AS74" s="106">
        <f>AR74+AS75</f>
        <v>11985.679922640164</v>
      </c>
      <c r="AT74" s="106">
        <f>AS74+AT75</f>
        <v>12088.73975621007</v>
      </c>
      <c r="AU74" s="106">
        <f>AT74+AU75</f>
        <v>12191.799589779977</v>
      </c>
      <c r="AV74" s="156"/>
    </row>
    <row r="75" spans="2:48" hidden="1" outlineLevel="1" x14ac:dyDescent="0.3">
      <c r="B75" s="170" t="s">
        <v>43</v>
      </c>
      <c r="C75" s="189"/>
      <c r="D75" s="91">
        <f>+D74-5651</f>
        <v>188</v>
      </c>
      <c r="E75" s="91">
        <f>+E74-D74</f>
        <v>40</v>
      </c>
      <c r="F75" s="91">
        <f t="shared" ref="F75:G75" si="254">+F74-E74</f>
        <v>-233</v>
      </c>
      <c r="G75" s="91">
        <f t="shared" si="254"/>
        <v>214</v>
      </c>
      <c r="H75" s="26">
        <f>+SUM(D75:G75)</f>
        <v>209</v>
      </c>
      <c r="I75" s="91">
        <f>+I74-G74</f>
        <v>199</v>
      </c>
      <c r="J75" s="91">
        <f t="shared" ref="J75:L75" si="255">+J74-I74</f>
        <v>78</v>
      </c>
      <c r="K75" s="91">
        <f t="shared" si="255"/>
        <v>117</v>
      </c>
      <c r="L75" s="91">
        <f t="shared" si="255"/>
        <v>274</v>
      </c>
      <c r="M75" s="26">
        <f>+SUM(I75:L75)</f>
        <v>668</v>
      </c>
      <c r="N75" s="91">
        <v>185</v>
      </c>
      <c r="O75" s="91">
        <v>123</v>
      </c>
      <c r="P75" s="91">
        <v>177</v>
      </c>
      <c r="Q75" s="91">
        <v>259</v>
      </c>
      <c r="R75" s="26">
        <f>+SUM(N75:Q75)</f>
        <v>744</v>
      </c>
      <c r="S75" s="91">
        <v>213</v>
      </c>
      <c r="T75" s="91">
        <v>102</v>
      </c>
      <c r="U75" s="91">
        <v>130</v>
      </c>
      <c r="V75" s="91">
        <v>320</v>
      </c>
      <c r="W75" s="112">
        <f>+SUM(S75:V75)</f>
        <v>765</v>
      </c>
      <c r="X75" s="391">
        <f>AB75/4</f>
        <v>268.89017033356993</v>
      </c>
      <c r="Y75" s="391">
        <f>AB75/4</f>
        <v>268.89017033356993</v>
      </c>
      <c r="Z75" s="391">
        <f>AB75/4</f>
        <v>268.89017033356993</v>
      </c>
      <c r="AA75" s="391">
        <f>AB75/4</f>
        <v>268.89017033356993</v>
      </c>
      <c r="AB75" s="392">
        <f>W75/W91*AB91</f>
        <v>1075.5606813342797</v>
      </c>
      <c r="AC75" s="391">
        <f>AG75/4</f>
        <v>278.39158977998579</v>
      </c>
      <c r="AD75" s="391">
        <f>AG75/4</f>
        <v>278.39158977998579</v>
      </c>
      <c r="AE75" s="391">
        <f>AG75/4</f>
        <v>278.39158977998579</v>
      </c>
      <c r="AF75" s="391">
        <f>AG75/4</f>
        <v>278.39158977998579</v>
      </c>
      <c r="AG75" s="392">
        <f>AB75/AB91*AG91</f>
        <v>1113.5663591199432</v>
      </c>
      <c r="AH75" s="393">
        <f>AL75/4</f>
        <v>288.30021291696238</v>
      </c>
      <c r="AI75" s="391">
        <f>AL75/4</f>
        <v>288.30021291696238</v>
      </c>
      <c r="AJ75" s="391">
        <f>AL75/4</f>
        <v>288.30021291696238</v>
      </c>
      <c r="AK75" s="391">
        <f>AL75/4</f>
        <v>288.30021291696238</v>
      </c>
      <c r="AL75" s="392">
        <f>AG75/AG91*AL91</f>
        <v>1153.2008516678495</v>
      </c>
      <c r="AM75" s="393">
        <f>AQ75/4</f>
        <v>100.05809084457061</v>
      </c>
      <c r="AN75" s="391">
        <f>AQ75/4</f>
        <v>100.05809084457061</v>
      </c>
      <c r="AO75" s="391">
        <f>AQ75/4</f>
        <v>100.05809084457061</v>
      </c>
      <c r="AP75" s="391">
        <f>AQ75/4</f>
        <v>100.05809084457061</v>
      </c>
      <c r="AQ75" s="392">
        <f>AL75/AL91*AQ91</f>
        <v>400.23236337828246</v>
      </c>
      <c r="AR75" s="393">
        <f>AV75/4</f>
        <v>103.05983356990772</v>
      </c>
      <c r="AS75" s="391">
        <f>AV75/4</f>
        <v>103.05983356990772</v>
      </c>
      <c r="AT75" s="391">
        <f>AV75/4</f>
        <v>103.05983356990772</v>
      </c>
      <c r="AU75" s="391">
        <f>AV75/4</f>
        <v>103.05983356990772</v>
      </c>
      <c r="AV75" s="392">
        <f>AQ75/AQ91*AV91</f>
        <v>412.2393342796309</v>
      </c>
    </row>
    <row r="76" spans="2:48" hidden="1" outlineLevel="1" x14ac:dyDescent="0.3">
      <c r="B76" s="170" t="s">
        <v>198</v>
      </c>
      <c r="C76" s="189"/>
      <c r="D76" s="91"/>
      <c r="E76" s="91">
        <f>AVERAGE(D74,E74)</f>
        <v>5859</v>
      </c>
      <c r="F76" s="91">
        <f t="shared" ref="F76:G76" si="256">AVERAGE(E74,F74)</f>
        <v>5762.5</v>
      </c>
      <c r="G76" s="91">
        <f t="shared" si="256"/>
        <v>5753</v>
      </c>
      <c r="H76" s="26"/>
      <c r="I76" s="91">
        <f>AVERAGE(G74,I74)</f>
        <v>5959.5</v>
      </c>
      <c r="J76" s="91">
        <f t="shared" ref="J76:L76" si="257">AVERAGE(I74,J74)</f>
        <v>6098</v>
      </c>
      <c r="K76" s="91">
        <f t="shared" si="257"/>
        <v>6195.5</v>
      </c>
      <c r="L76" s="91">
        <f t="shared" si="257"/>
        <v>6391</v>
      </c>
      <c r="M76" s="26"/>
      <c r="N76" s="91">
        <f>AVERAGE(L74,N74)</f>
        <v>6620.5</v>
      </c>
      <c r="O76" s="91">
        <f t="shared" ref="O76:Q76" si="258">AVERAGE(N74,O74)</f>
        <v>6774.5</v>
      </c>
      <c r="P76" s="91">
        <f t="shared" si="258"/>
        <v>6924.5</v>
      </c>
      <c r="Q76" s="91">
        <f t="shared" si="258"/>
        <v>7142.5</v>
      </c>
      <c r="R76" s="26"/>
      <c r="S76" s="91">
        <f>AVERAGE(Q74,S74)</f>
        <v>7378.5</v>
      </c>
      <c r="T76" s="91">
        <f>AVERAGE(S74,T74)</f>
        <v>7536</v>
      </c>
      <c r="U76" s="91">
        <f t="shared" ref="U76:V76" si="259">AVERAGE(T74,U74)</f>
        <v>7652</v>
      </c>
      <c r="V76" s="91">
        <f t="shared" si="259"/>
        <v>7877</v>
      </c>
      <c r="W76" s="112"/>
      <c r="X76" s="91">
        <f>AVERAGE(X74,V74)</f>
        <v>8171.4450851667852</v>
      </c>
      <c r="Y76" s="91">
        <f>AVERAGE(X74,Y74)</f>
        <v>8440.3352555003548</v>
      </c>
      <c r="Z76" s="91">
        <f>AVERAGE(Y74,Z74)</f>
        <v>8709.2254258339271</v>
      </c>
      <c r="AA76" s="91">
        <f>AVERAGE(Z74,AA74)</f>
        <v>8978.1155961674958</v>
      </c>
      <c r="AB76" s="112"/>
      <c r="AC76" s="91">
        <f>AVERAGE(AC74,AA74)</f>
        <v>9251.7564762242746</v>
      </c>
      <c r="AD76" s="91">
        <f>AVERAGE(AC74,AD74)</f>
        <v>9530.1480660042598</v>
      </c>
      <c r="AE76" s="91">
        <f>AVERAGE(AD74,AE74)</f>
        <v>9808.539655784245</v>
      </c>
      <c r="AF76" s="91">
        <f>AVERAGE(AE74,AF74)</f>
        <v>10086.93124556423</v>
      </c>
      <c r="AG76" s="112"/>
      <c r="AH76" s="91">
        <f>AVERAGE(AH74,AF74)</f>
        <v>10370.277146912704</v>
      </c>
      <c r="AI76" s="91">
        <f>AVERAGE(AH74,AI74)</f>
        <v>10658.577359829666</v>
      </c>
      <c r="AJ76" s="91">
        <f>AVERAGE(AI74,AJ74)</f>
        <v>10946.877572746627</v>
      </c>
      <c r="AK76" s="91">
        <f>AVERAGE(AJ74,AK74)</f>
        <v>11235.177785663589</v>
      </c>
      <c r="AL76" s="112"/>
      <c r="AM76" s="91">
        <f>AVERAGE(AM74,AK74)</f>
        <v>11429.356937544355</v>
      </c>
      <c r="AN76" s="91">
        <f>AVERAGE(AM74,AN74)</f>
        <v>11529.415028388925</v>
      </c>
      <c r="AO76" s="91">
        <f>AVERAGE(AN74,AO74)</f>
        <v>11629.473119233495</v>
      </c>
      <c r="AP76" s="91">
        <f>AVERAGE(AO74,AP74)</f>
        <v>11729.531210078065</v>
      </c>
      <c r="AQ76" s="112"/>
      <c r="AR76" s="91">
        <f>AVERAGE(AR74,AP74)</f>
        <v>11831.090172285303</v>
      </c>
      <c r="AS76" s="91">
        <f>AVERAGE(AR74,AS74)</f>
        <v>11934.15000585521</v>
      </c>
      <c r="AT76" s="91">
        <f>AVERAGE(AS74,AT74)</f>
        <v>12037.209839425117</v>
      </c>
      <c r="AU76" s="91">
        <f>AVERAGE(AT74,AU74)</f>
        <v>12140.269672995024</v>
      </c>
      <c r="AV76" s="112"/>
    </row>
    <row r="77" spans="2:48" s="20" customFormat="1" hidden="1" outlineLevel="1" x14ac:dyDescent="0.3">
      <c r="B77" s="170" t="s">
        <v>203</v>
      </c>
      <c r="C77" s="194"/>
      <c r="D77" s="40"/>
      <c r="E77" s="40">
        <f>+E78/E76</f>
        <v>0.22348523638846221</v>
      </c>
      <c r="F77" s="104">
        <f>+F78/F76</f>
        <v>0.2347592190889371</v>
      </c>
      <c r="G77" s="40">
        <f>+G78/G76</f>
        <v>0.22873283504258649</v>
      </c>
      <c r="H77" s="87"/>
      <c r="I77" s="40">
        <f>+I78/I76</f>
        <v>0.21976675895628828</v>
      </c>
      <c r="J77" s="40">
        <f>+J78/J76</f>
        <v>0.14798294522794359</v>
      </c>
      <c r="K77" s="40">
        <f>+K78/K76</f>
        <v>0.14131224275683965</v>
      </c>
      <c r="L77" s="40">
        <f>+L78/L76</f>
        <v>0.20314504772336098</v>
      </c>
      <c r="M77" s="87"/>
      <c r="N77" s="40">
        <f>+N78/N76</f>
        <v>0.21776300883619062</v>
      </c>
      <c r="O77" s="40">
        <f>+O78/O76</f>
        <v>0.20439884862351465</v>
      </c>
      <c r="P77" s="40">
        <f>+P78/P76</f>
        <v>0.20698967434471802</v>
      </c>
      <c r="Q77" s="40">
        <f>+Q78/Q76</f>
        <v>0.22541127056352817</v>
      </c>
      <c r="R77" s="87"/>
      <c r="S77" s="40">
        <f>+S78/S76</f>
        <v>0.20441824219014704</v>
      </c>
      <c r="T77" s="40">
        <f>+T78/T76</f>
        <v>0.17786624203821658</v>
      </c>
      <c r="U77" s="40">
        <f>+U78/U76</f>
        <v>0.15189492943021432</v>
      </c>
      <c r="V77" s="40">
        <f>+V78/V76</f>
        <v>0.17149930176463121</v>
      </c>
      <c r="W77" s="122"/>
      <c r="X77" s="396">
        <f>S77*0.85</f>
        <v>0.17375550586162497</v>
      </c>
      <c r="Y77" s="396">
        <f>T77*0.95</f>
        <v>0.16897292993630575</v>
      </c>
      <c r="Z77" s="396">
        <f>U77*1.2</f>
        <v>0.18227391531625717</v>
      </c>
      <c r="AA77" s="396">
        <f>V77*1.2</f>
        <v>0.20579916211755744</v>
      </c>
      <c r="AB77" s="395"/>
      <c r="AC77" s="396">
        <f>X77*1.2</f>
        <v>0.20850660703394996</v>
      </c>
      <c r="AD77" s="396">
        <f>Y77*1.05</f>
        <v>0.17742157643312104</v>
      </c>
      <c r="AE77" s="396">
        <f>Z77*1.05</f>
        <v>0.19138761108207003</v>
      </c>
      <c r="AF77" s="396">
        <f>AA77*1.05</f>
        <v>0.21608912022343532</v>
      </c>
      <c r="AG77" s="395"/>
      <c r="AH77" s="396">
        <f>AC77*1.05</f>
        <v>0.21893193738564748</v>
      </c>
      <c r="AI77" s="396">
        <f>AD77*1.05</f>
        <v>0.18629265525477709</v>
      </c>
      <c r="AJ77" s="396">
        <f>AE77*1.05</f>
        <v>0.20095699163617353</v>
      </c>
      <c r="AK77" s="396">
        <f>AF77*1.05</f>
        <v>0.2268935762346071</v>
      </c>
      <c r="AL77" s="395"/>
      <c r="AM77" s="396">
        <f>AH77*1.05</f>
        <v>0.22987853425492985</v>
      </c>
      <c r="AN77" s="396">
        <f>AI77*1.05</f>
        <v>0.19560728801751595</v>
      </c>
      <c r="AO77" s="396">
        <f>AJ77*1.05</f>
        <v>0.21100484121798221</v>
      </c>
      <c r="AP77" s="396">
        <f>AK77*1.05</f>
        <v>0.23823825504633747</v>
      </c>
      <c r="AQ77" s="395"/>
      <c r="AR77" s="396">
        <f>AM77*1.03</f>
        <v>0.23677489028257775</v>
      </c>
      <c r="AS77" s="396">
        <f>AN77*1.03</f>
        <v>0.20147550665804143</v>
      </c>
      <c r="AT77" s="396">
        <f>AO77*1.03</f>
        <v>0.21733498645452168</v>
      </c>
      <c r="AU77" s="396">
        <f>AP77*1.03</f>
        <v>0.2453854026977276</v>
      </c>
      <c r="AV77" s="395"/>
    </row>
    <row r="78" spans="2:48" s="8" customFormat="1" hidden="1" outlineLevel="1" x14ac:dyDescent="0.3">
      <c r="B78" s="518" t="s">
        <v>113</v>
      </c>
      <c r="C78" s="519"/>
      <c r="D78" s="47">
        <v>1278.0999999999999</v>
      </c>
      <c r="E78" s="47">
        <v>1309.4000000000001</v>
      </c>
      <c r="F78" s="93">
        <v>1352.8</v>
      </c>
      <c r="G78" s="47">
        <v>1315.9</v>
      </c>
      <c r="H78" s="87">
        <f>SUM(D78:G78)</f>
        <v>5256.2000000000007</v>
      </c>
      <c r="I78" s="47">
        <v>1309.7</v>
      </c>
      <c r="J78" s="47">
        <v>902.4</v>
      </c>
      <c r="K78" s="93">
        <v>875.5</v>
      </c>
      <c r="L78" s="47">
        <v>1298.3</v>
      </c>
      <c r="M78" s="87">
        <f>SUM(I78:L78)</f>
        <v>4385.8999999999996</v>
      </c>
      <c r="N78" s="47">
        <v>1441.7</v>
      </c>
      <c r="O78" s="47">
        <v>1384.7</v>
      </c>
      <c r="P78" s="47">
        <v>1433.3</v>
      </c>
      <c r="Q78" s="93">
        <v>1610</v>
      </c>
      <c r="R78" s="87">
        <f>SUM(N78:Q78)</f>
        <v>5869.7</v>
      </c>
      <c r="S78" s="47">
        <v>1508.3</v>
      </c>
      <c r="T78" s="47">
        <v>1340.4</v>
      </c>
      <c r="U78" s="47">
        <v>1162.3</v>
      </c>
      <c r="V78" s="47">
        <v>1350.9</v>
      </c>
      <c r="W78" s="122">
        <f>SUM(S78:V78)</f>
        <v>5361.9</v>
      </c>
      <c r="X78" s="93">
        <f>X76*X77</f>
        <v>1419.8335743936439</v>
      </c>
      <c r="Y78" s="93">
        <f t="shared" ref="Y78:AA78" si="260">Y76*Y77</f>
        <v>1426.1881777665928</v>
      </c>
      <c r="Z78" s="93">
        <f t="shared" si="260"/>
        <v>1587.4646177386471</v>
      </c>
      <c r="AA78" s="93">
        <f t="shared" si="260"/>
        <v>1847.6886670858453</v>
      </c>
      <c r="AB78" s="122"/>
      <c r="AC78" s="93">
        <f>AC76*AC77</f>
        <v>1929.0523519618964</v>
      </c>
      <c r="AD78" s="93">
        <f t="shared" ref="AD78" si="261">AD76*AD77</f>
        <v>1690.8538935115355</v>
      </c>
      <c r="AE78" s="93">
        <f t="shared" ref="AE78" si="262">AE76*AE77</f>
        <v>1877.2329729242961</v>
      </c>
      <c r="AF78" s="93">
        <f t="shared" ref="AF78" si="263">AF76*AF77</f>
        <v>2179.676098608255</v>
      </c>
      <c r="AG78" s="122"/>
      <c r="AH78" s="93">
        <f>AH76*AH77</f>
        <v>2270.3848669997033</v>
      </c>
      <c r="AI78" s="93">
        <f t="shared" ref="AI78" si="264">AI76*AI77</f>
        <v>1985.6146776011201</v>
      </c>
      <c r="AJ78" s="93">
        <f t="shared" ref="AJ78" si="265">AJ76*AJ77</f>
        <v>2199.8515848286597</v>
      </c>
      <c r="AK78" s="93">
        <f t="shared" ref="AK78" si="266">AK76*AK77</f>
        <v>2549.1896674208256</v>
      </c>
      <c r="AL78" s="122"/>
      <c r="AM78" s="93">
        <f>AM76*AM77</f>
        <v>2627.3638202791103</v>
      </c>
      <c r="AN78" s="93">
        <f t="shared" ref="AN78" si="267">AN76*AN77</f>
        <v>2255.2376061315495</v>
      </c>
      <c r="AO78" s="93">
        <f t="shared" ref="AO78" si="268">AO76*AO77</f>
        <v>2453.8751289726561</v>
      </c>
      <c r="AP78" s="93">
        <f t="shared" ref="AP78" si="269">AP76*AP77</f>
        <v>2794.4230480005535</v>
      </c>
      <c r="AQ78" s="122"/>
      <c r="AR78" s="93">
        <f>AR76*AR77</f>
        <v>2801.3050774661365</v>
      </c>
      <c r="AS78" s="93">
        <f t="shared" ref="AS78" si="270">AS76*AS77</f>
        <v>2404.4389189627464</v>
      </c>
      <c r="AT78" s="93">
        <f t="shared" ref="AT78" si="271">AT76*AT77</f>
        <v>2616.1068374016927</v>
      </c>
      <c r="AU78" s="93">
        <f t="shared" ref="AU78" si="272">AU76*AU77</f>
        <v>2979.0449625668939</v>
      </c>
      <c r="AV78" s="122"/>
    </row>
    <row r="79" spans="2:48" s="8" customFormat="1" hidden="1" outlineLevel="1" x14ac:dyDescent="0.3">
      <c r="B79" s="35" t="s">
        <v>197</v>
      </c>
      <c r="C79" s="194"/>
      <c r="D79" s="40"/>
      <c r="E79" s="40"/>
      <c r="F79" s="40"/>
      <c r="G79" s="40"/>
      <c r="H79" s="87"/>
      <c r="I79" s="27">
        <f>I78/D78-1</f>
        <v>2.4724199984351936E-2</v>
      </c>
      <c r="J79" s="27">
        <f>J78/E78-1</f>
        <v>-0.31082938750572786</v>
      </c>
      <c r="K79" s="27">
        <f>K78/F78-1</f>
        <v>-0.35282377291543465</v>
      </c>
      <c r="L79" s="27">
        <f>L78/G78-1</f>
        <v>-1.3374876510373279E-2</v>
      </c>
      <c r="M79" s="87"/>
      <c r="N79" s="27">
        <f>N78/I78-1</f>
        <v>0.10078643964266631</v>
      </c>
      <c r="O79" s="27">
        <f>O78/J78-1</f>
        <v>0.53446365248226968</v>
      </c>
      <c r="P79" s="27">
        <f>P78/K78-1</f>
        <v>0.63712164477441457</v>
      </c>
      <c r="Q79" s="27">
        <f>Q78/L78-1</f>
        <v>0.24008318570438281</v>
      </c>
      <c r="R79" s="87"/>
      <c r="S79" s="27">
        <f t="shared" ref="S79:W79" si="273">S78/N78-1</f>
        <v>4.6195463688700755E-2</v>
      </c>
      <c r="T79" s="27">
        <f t="shared" si="273"/>
        <v>-3.1992489347873132E-2</v>
      </c>
      <c r="U79" s="27">
        <f t="shared" si="273"/>
        <v>-0.18907416451545389</v>
      </c>
      <c r="V79" s="27">
        <f t="shared" si="273"/>
        <v>-0.16093167701863353</v>
      </c>
      <c r="W79" s="341">
        <f t="shared" si="273"/>
        <v>-8.6512087500212997E-2</v>
      </c>
      <c r="X79" s="103">
        <f>X78/V78-1</f>
        <v>5.1027888366010687E-2</v>
      </c>
      <c r="Y79" s="103">
        <f>Y78/X78-1</f>
        <v>4.4755973429229101E-3</v>
      </c>
      <c r="Z79" s="103">
        <f t="shared" ref="Z79:AA79" si="274">Z78/Y78-1</f>
        <v>0.11308216018492923</v>
      </c>
      <c r="AA79" s="103">
        <f t="shared" si="274"/>
        <v>0.16392431455756729</v>
      </c>
      <c r="AB79" s="375"/>
      <c r="AC79" s="103">
        <f>AC78/AA78-1</f>
        <v>4.4035386656550157E-2</v>
      </c>
      <c r="AD79" s="103">
        <f>AD78/AC78-1</f>
        <v>-0.123479519987162</v>
      </c>
      <c r="AE79" s="103">
        <f t="shared" ref="AE79" si="275">AE78/AD78-1</f>
        <v>0.11022778498365216</v>
      </c>
      <c r="AF79" s="103">
        <f t="shared" ref="AF79" si="276">AF78/AE78-1</f>
        <v>0.16111113007610456</v>
      </c>
      <c r="AG79" s="375"/>
      <c r="AH79" s="103">
        <f>AH78/AF78-1</f>
        <v>4.1615709989831329E-2</v>
      </c>
      <c r="AI79" s="103">
        <f>AI78/AH78-1</f>
        <v>-0.1254281569339849</v>
      </c>
      <c r="AJ79" s="103">
        <f t="shared" ref="AJ79" si="277">AJ78/AI78-1</f>
        <v>0.10789450221347363</v>
      </c>
      <c r="AK79" s="103">
        <f t="shared" ref="AK79" si="278">AK78/AJ78-1</f>
        <v>0.15880075046943443</v>
      </c>
      <c r="AL79" s="375"/>
      <c r="AM79" s="103">
        <f>AM78/AK78-1</f>
        <v>3.0666275584499081E-2</v>
      </c>
      <c r="AN79" s="103">
        <f>AN78/AM78-1</f>
        <v>-0.1416348247149225</v>
      </c>
      <c r="AO79" s="103">
        <f t="shared" ref="AO79" si="279">AO78/AN78-1</f>
        <v>8.8078312591564734E-2</v>
      </c>
      <c r="AP79" s="103">
        <f t="shared" ref="AP79" si="280">AP78/AO78-1</f>
        <v>0.13877964490005312</v>
      </c>
      <c r="AQ79" s="122"/>
      <c r="AR79" s="103">
        <f>AR78/AP78-1</f>
        <v>2.4627729400197307E-3</v>
      </c>
      <c r="AS79" s="103">
        <f>AS78/AR78-1</f>
        <v>-0.14167188061586189</v>
      </c>
      <c r="AT79" s="103">
        <f t="shared" ref="AT79" si="281">AT78/AS78-1</f>
        <v>8.8032146198273153E-2</v>
      </c>
      <c r="AU79" s="103">
        <f t="shared" ref="AU79" si="282">AU78/AT78-1</f>
        <v>0.1387321496111642</v>
      </c>
      <c r="AV79" s="122"/>
    </row>
    <row r="80" spans="2:48" hidden="1" outlineLevel="1" x14ac:dyDescent="0.3">
      <c r="B80" s="223" t="s">
        <v>41</v>
      </c>
      <c r="C80" s="208"/>
      <c r="D80" s="209">
        <v>0.01</v>
      </c>
      <c r="E80" s="209">
        <v>0</v>
      </c>
      <c r="F80" s="209">
        <v>0.01</v>
      </c>
      <c r="G80" s="209">
        <v>0.01</v>
      </c>
      <c r="H80" s="210"/>
      <c r="I80" s="209">
        <v>-0.01</v>
      </c>
      <c r="J80" s="209">
        <v>-0.32</v>
      </c>
      <c r="K80" s="209">
        <v>-0.44</v>
      </c>
      <c r="L80" s="211">
        <v>-0.15</v>
      </c>
      <c r="M80" s="210"/>
      <c r="N80" s="209">
        <v>-0.03</v>
      </c>
      <c r="O80" s="209">
        <v>0.26</v>
      </c>
      <c r="P80" s="209">
        <v>0.55000000000000004</v>
      </c>
      <c r="Q80" s="209">
        <v>0.06</v>
      </c>
      <c r="R80" s="212"/>
      <c r="S80" s="211">
        <v>0.02</v>
      </c>
      <c r="T80" s="211">
        <v>-0.03</v>
      </c>
      <c r="U80" s="211">
        <v>-0.18</v>
      </c>
      <c r="V80" s="211">
        <v>-0.05</v>
      </c>
      <c r="W80" s="210"/>
      <c r="X80" s="209"/>
      <c r="Y80" s="209"/>
      <c r="Z80" s="209"/>
      <c r="AA80" s="209"/>
      <c r="AB80" s="210"/>
      <c r="AC80" s="209"/>
      <c r="AD80" s="209"/>
      <c r="AE80" s="209"/>
      <c r="AF80" s="209"/>
      <c r="AG80" s="210"/>
      <c r="AH80" s="209"/>
      <c r="AI80" s="209"/>
      <c r="AJ80" s="209"/>
      <c r="AK80" s="209"/>
      <c r="AL80" s="210"/>
      <c r="AM80" s="209"/>
      <c r="AN80" s="209"/>
      <c r="AO80" s="209"/>
      <c r="AP80" s="209"/>
      <c r="AQ80" s="210"/>
      <c r="AR80" s="209"/>
      <c r="AS80" s="209"/>
      <c r="AT80" s="209"/>
      <c r="AU80" s="209"/>
      <c r="AV80" s="210"/>
    </row>
    <row r="81" spans="1:48" hidden="1" outlineLevel="1" x14ac:dyDescent="0.3">
      <c r="B81" s="170" t="s">
        <v>40</v>
      </c>
      <c r="C81" s="195"/>
      <c r="D81" s="141">
        <v>0.01</v>
      </c>
      <c r="E81" s="141">
        <v>0.02</v>
      </c>
      <c r="F81" s="141">
        <v>0.03</v>
      </c>
      <c r="G81" s="141">
        <v>0.03</v>
      </c>
      <c r="H81" s="56"/>
      <c r="I81" s="141">
        <v>0.02</v>
      </c>
      <c r="J81" s="141">
        <v>0.01</v>
      </c>
      <c r="K81" s="141">
        <v>0.13</v>
      </c>
      <c r="L81" s="55">
        <v>7.0000000000000007E-2</v>
      </c>
      <c r="M81" s="56"/>
      <c r="N81" s="141">
        <v>-0.1</v>
      </c>
      <c r="O81" s="55">
        <v>7.0000000000000007E-2</v>
      </c>
      <c r="P81" s="55">
        <v>-0.09</v>
      </c>
      <c r="Q81" s="141">
        <v>-0.02</v>
      </c>
      <c r="R81" s="56"/>
      <c r="S81" s="55">
        <v>-0.05</v>
      </c>
      <c r="T81" s="55">
        <v>-0.05</v>
      </c>
      <c r="U81" s="55">
        <v>-0.15</v>
      </c>
      <c r="V81" s="55">
        <v>-0.01</v>
      </c>
      <c r="W81" s="138"/>
      <c r="X81" s="141"/>
      <c r="Y81" s="141"/>
      <c r="Z81" s="141"/>
      <c r="AA81" s="141"/>
      <c r="AB81" s="138"/>
      <c r="AC81" s="141"/>
      <c r="AD81" s="141"/>
      <c r="AE81" s="141"/>
      <c r="AF81" s="141"/>
      <c r="AG81" s="138"/>
      <c r="AH81" s="141"/>
      <c r="AI81" s="141"/>
      <c r="AJ81" s="141"/>
      <c r="AK81" s="141"/>
      <c r="AL81" s="138"/>
      <c r="AM81" s="141"/>
      <c r="AN81" s="141"/>
      <c r="AO81" s="141"/>
      <c r="AP81" s="141"/>
      <c r="AQ81" s="138"/>
      <c r="AR81" s="141"/>
      <c r="AS81" s="141"/>
      <c r="AT81" s="141"/>
      <c r="AU81" s="141"/>
      <c r="AV81" s="138"/>
    </row>
    <row r="82" spans="1:48" s="8" customFormat="1" hidden="1" outlineLevel="1" x14ac:dyDescent="0.3">
      <c r="B82" s="196" t="s">
        <v>42</v>
      </c>
      <c r="C82" s="194"/>
      <c r="D82" s="142">
        <v>0.02</v>
      </c>
      <c r="E82" s="142">
        <v>0.02</v>
      </c>
      <c r="F82" s="142">
        <v>0.05</v>
      </c>
      <c r="G82" s="142">
        <v>0.03</v>
      </c>
      <c r="H82" s="57"/>
      <c r="I82" s="142">
        <v>0.01</v>
      </c>
      <c r="J82" s="142">
        <v>-0.31</v>
      </c>
      <c r="K82" s="142">
        <v>-0.37</v>
      </c>
      <c r="L82" s="147">
        <v>-0.1</v>
      </c>
      <c r="M82" s="57"/>
      <c r="N82" s="142">
        <v>0.08</v>
      </c>
      <c r="O82" s="142">
        <v>0.35</v>
      </c>
      <c r="P82" s="142">
        <v>0.41</v>
      </c>
      <c r="Q82" s="142">
        <v>0.03</v>
      </c>
      <c r="R82" s="342">
        <f>R92/M92-1</f>
        <v>0.32353965857623956</v>
      </c>
      <c r="S82" s="142">
        <v>-0.03</v>
      </c>
      <c r="T82" s="142">
        <v>-0.08</v>
      </c>
      <c r="U82" s="142">
        <v>-0.04</v>
      </c>
      <c r="V82" s="142">
        <v>-0.05</v>
      </c>
      <c r="W82" s="342">
        <f>W92/R92-1</f>
        <v>1.4886958556345364E-2</v>
      </c>
      <c r="X82" s="147"/>
      <c r="Y82" s="147"/>
      <c r="Z82" s="147"/>
      <c r="AA82" s="147"/>
      <c r="AB82" s="342"/>
      <c r="AC82" s="147"/>
      <c r="AD82" s="147"/>
      <c r="AE82" s="147"/>
      <c r="AF82" s="147"/>
      <c r="AG82" s="342"/>
      <c r="AH82" s="147"/>
      <c r="AI82" s="147"/>
      <c r="AJ82" s="147"/>
      <c r="AK82" s="147"/>
      <c r="AL82" s="342"/>
      <c r="AM82" s="147"/>
      <c r="AN82" s="147"/>
      <c r="AO82" s="147"/>
      <c r="AP82" s="147"/>
      <c r="AQ82" s="124"/>
      <c r="AR82" s="147"/>
      <c r="AS82" s="147"/>
      <c r="AT82" s="147"/>
      <c r="AU82" s="147"/>
      <c r="AV82" s="124"/>
    </row>
    <row r="83" spans="1:48" s="8" customFormat="1" hidden="1" outlineLevel="1" x14ac:dyDescent="0.3">
      <c r="B83" s="528" t="s">
        <v>114</v>
      </c>
      <c r="C83" s="529"/>
      <c r="D83" s="107">
        <v>6373</v>
      </c>
      <c r="E83" s="107">
        <v>6586</v>
      </c>
      <c r="F83" s="107">
        <v>7127</v>
      </c>
      <c r="G83" s="107">
        <v>7329</v>
      </c>
      <c r="H83" s="181">
        <f>G83</f>
        <v>7329</v>
      </c>
      <c r="I83" s="107">
        <v>7533</v>
      </c>
      <c r="J83" s="107">
        <v>7642</v>
      </c>
      <c r="K83" s="107">
        <v>7691</v>
      </c>
      <c r="L83" s="107">
        <v>9735</v>
      </c>
      <c r="M83" s="181">
        <f>L83</f>
        <v>9735</v>
      </c>
      <c r="N83" s="107">
        <v>7917</v>
      </c>
      <c r="O83" s="62">
        <f>+N83+O84</f>
        <v>7987</v>
      </c>
      <c r="P83" s="62">
        <f t="shared" ref="P83" si="283">+O83+P84</f>
        <v>8107</v>
      </c>
      <c r="Q83" s="62">
        <v>9735</v>
      </c>
      <c r="R83" s="181">
        <f>Q83</f>
        <v>9735</v>
      </c>
      <c r="S83" s="62">
        <f>+Q83+S84</f>
        <v>9944</v>
      </c>
      <c r="T83" s="62">
        <f>+S83+T84</f>
        <v>10117</v>
      </c>
      <c r="U83" s="62">
        <f t="shared" ref="U83:V83" si="284">+T83+U84</f>
        <v>10181</v>
      </c>
      <c r="V83" s="62">
        <f t="shared" si="284"/>
        <v>10379</v>
      </c>
      <c r="W83" s="238">
        <f>V83</f>
        <v>10379</v>
      </c>
      <c r="X83" s="107">
        <f>V83+X84</f>
        <v>10605.35982966643</v>
      </c>
      <c r="Y83" s="107">
        <f>X83+Y84</f>
        <v>10831.719659332859</v>
      </c>
      <c r="Z83" s="107">
        <f>Y83+Z84</f>
        <v>11058.079488999289</v>
      </c>
      <c r="AA83" s="107">
        <f>Z83+AA84</f>
        <v>11284.439318665718</v>
      </c>
      <c r="AB83" s="238">
        <f>AA83</f>
        <v>11284.439318665718</v>
      </c>
      <c r="AC83" s="107">
        <f>AA83+AC84</f>
        <v>11518.797728885733</v>
      </c>
      <c r="AD83" s="107">
        <f>AC83+AD84</f>
        <v>11753.156139105748</v>
      </c>
      <c r="AE83" s="107">
        <f>AD83+AE84</f>
        <v>11987.514549325762</v>
      </c>
      <c r="AF83" s="107">
        <f>AE83+AF84</f>
        <v>12221.872959545777</v>
      </c>
      <c r="AG83" s="238">
        <f>AF83</f>
        <v>12221.872959545777</v>
      </c>
      <c r="AH83" s="107">
        <f>AF83+AH84</f>
        <v>12464.572746628815</v>
      </c>
      <c r="AI83" s="107">
        <f>AH83+AI84</f>
        <v>12707.272533711854</v>
      </c>
      <c r="AJ83" s="107">
        <f>AI83+AJ84</f>
        <v>12949.972320794892</v>
      </c>
      <c r="AK83" s="107">
        <f>AJ83+AK84</f>
        <v>13192.67210787793</v>
      </c>
      <c r="AL83" s="238">
        <f>AK83</f>
        <v>13192.67210787793</v>
      </c>
      <c r="AM83" s="107">
        <f>AK83+AM84</f>
        <v>13276.904017033359</v>
      </c>
      <c r="AN83" s="107">
        <f>AM83+AN84</f>
        <v>13361.135926188788</v>
      </c>
      <c r="AO83" s="107">
        <f>AN83+AO84</f>
        <v>13445.367835344217</v>
      </c>
      <c r="AP83" s="107">
        <f>AO83+AP84</f>
        <v>13529.599744499646</v>
      </c>
      <c r="AQ83" s="238"/>
      <c r="AR83" s="107">
        <f>AP83+AR84</f>
        <v>13616.358610929739</v>
      </c>
      <c r="AS83" s="107">
        <f>AR83+AS84</f>
        <v>13703.117477359832</v>
      </c>
      <c r="AT83" s="107">
        <f>AS83+AT84</f>
        <v>13789.876343789925</v>
      </c>
      <c r="AU83" s="107">
        <f>AT83+AU84</f>
        <v>13876.635210220018</v>
      </c>
      <c r="AV83" s="238"/>
    </row>
    <row r="84" spans="1:48" hidden="1" outlineLevel="1" x14ac:dyDescent="0.3">
      <c r="B84" s="170" t="s">
        <v>44</v>
      </c>
      <c r="C84" s="189"/>
      <c r="D84" s="91">
        <f>+D83-6201</f>
        <v>172</v>
      </c>
      <c r="E84" s="91">
        <f>+E83-D83</f>
        <v>213</v>
      </c>
      <c r="F84" s="91">
        <f t="shared" ref="F84:G84" si="285">+F83-E83</f>
        <v>541</v>
      </c>
      <c r="G84" s="91">
        <f t="shared" si="285"/>
        <v>202</v>
      </c>
      <c r="H84" s="112">
        <f>+SUM(D84:G84)</f>
        <v>1128</v>
      </c>
      <c r="I84" s="91">
        <f>+I83-G83</f>
        <v>204</v>
      </c>
      <c r="J84" s="91">
        <f t="shared" ref="J84:K84" si="286">+J83-I83</f>
        <v>109</v>
      </c>
      <c r="K84" s="91">
        <f t="shared" si="286"/>
        <v>49</v>
      </c>
      <c r="L84" s="91">
        <v>82</v>
      </c>
      <c r="M84" s="112">
        <f>+SUM(I84:L84)</f>
        <v>444</v>
      </c>
      <c r="N84" s="91">
        <v>139</v>
      </c>
      <c r="O84" s="91">
        <v>70</v>
      </c>
      <c r="P84" s="91">
        <v>120</v>
      </c>
      <c r="Q84" s="91">
        <v>205</v>
      </c>
      <c r="R84" s="112">
        <f>+SUM(N84:Q84)</f>
        <v>534</v>
      </c>
      <c r="S84" s="91">
        <v>209</v>
      </c>
      <c r="T84" s="91">
        <v>173</v>
      </c>
      <c r="U84" s="91">
        <v>64</v>
      </c>
      <c r="V84" s="91">
        <v>198</v>
      </c>
      <c r="W84" s="112">
        <f>+SUM(S84:V84)</f>
        <v>644</v>
      </c>
      <c r="X84" s="391">
        <f>AB84/4</f>
        <v>226.35982966643007</v>
      </c>
      <c r="Y84" s="391">
        <f>AB84/4</f>
        <v>226.35982966643007</v>
      </c>
      <c r="Z84" s="391">
        <f>AB84/4</f>
        <v>226.35982966643007</v>
      </c>
      <c r="AA84" s="391">
        <f>AB84/4</f>
        <v>226.35982966643007</v>
      </c>
      <c r="AB84" s="392">
        <f>W84/W91*AB91</f>
        <v>905.43931866572029</v>
      </c>
      <c r="AC84" s="391">
        <f>AG84/4</f>
        <v>234.35841022001415</v>
      </c>
      <c r="AD84" s="391">
        <f>AG84/4</f>
        <v>234.35841022001415</v>
      </c>
      <c r="AE84" s="391">
        <f>AG84/4</f>
        <v>234.35841022001415</v>
      </c>
      <c r="AF84" s="391">
        <f>AG84/4</f>
        <v>234.35841022001415</v>
      </c>
      <c r="AG84" s="392">
        <f>AB84/AB91*AG91</f>
        <v>937.4336408800566</v>
      </c>
      <c r="AH84" s="393">
        <f>AL84/4</f>
        <v>242.69978708303759</v>
      </c>
      <c r="AI84" s="391">
        <f>AL84/4</f>
        <v>242.69978708303759</v>
      </c>
      <c r="AJ84" s="391">
        <f>AL84/4</f>
        <v>242.69978708303759</v>
      </c>
      <c r="AK84" s="391">
        <f>AL84/4</f>
        <v>242.69978708303759</v>
      </c>
      <c r="AL84" s="392">
        <f>AG84/AG91*AL91</f>
        <v>970.79914833215037</v>
      </c>
      <c r="AM84" s="393">
        <f>AQ84/4</f>
        <v>84.231909155429364</v>
      </c>
      <c r="AN84" s="391">
        <f>AQ84/4</f>
        <v>84.231909155429364</v>
      </c>
      <c r="AO84" s="391">
        <f>AQ84/4</f>
        <v>84.231909155429364</v>
      </c>
      <c r="AP84" s="391">
        <f>AQ84/4</f>
        <v>84.231909155429364</v>
      </c>
      <c r="AQ84" s="392">
        <f>AL84/AL91*AQ91</f>
        <v>336.92763662171745</v>
      </c>
      <c r="AR84" s="393">
        <f>AV84/4</f>
        <v>86.75886643009224</v>
      </c>
      <c r="AS84" s="391">
        <f>AV84/4</f>
        <v>86.75886643009224</v>
      </c>
      <c r="AT84" s="391">
        <f>AV84/4</f>
        <v>86.75886643009224</v>
      </c>
      <c r="AU84" s="391">
        <f>AV84/4</f>
        <v>86.75886643009224</v>
      </c>
      <c r="AV84" s="392">
        <f>AQ84/AQ91*AV91</f>
        <v>347.03546572036896</v>
      </c>
    </row>
    <row r="85" spans="1:48" hidden="1" outlineLevel="1" x14ac:dyDescent="0.3">
      <c r="B85" s="170" t="s">
        <v>46</v>
      </c>
      <c r="C85" s="189"/>
      <c r="D85" s="16">
        <f>AVERAGE(D83,6201)</f>
        <v>6287</v>
      </c>
      <c r="E85" s="16">
        <f>AVERAGE(E83,D83)</f>
        <v>6479.5</v>
      </c>
      <c r="F85" s="16">
        <f t="shared" ref="F85:G85" si="287">AVERAGE(F83,E83)</f>
        <v>6856.5</v>
      </c>
      <c r="G85" s="16">
        <f t="shared" si="287"/>
        <v>7228</v>
      </c>
      <c r="H85" s="26"/>
      <c r="I85" s="16">
        <f>AVERAGE(I83,G83)</f>
        <v>7431</v>
      </c>
      <c r="J85" s="16">
        <f>AVERAGE(J83,I83)</f>
        <v>7587.5</v>
      </c>
      <c r="K85" s="16">
        <f t="shared" ref="K85:L85" si="288">AVERAGE(K83,J83)</f>
        <v>7666.5</v>
      </c>
      <c r="L85" s="16">
        <f t="shared" si="288"/>
        <v>8713</v>
      </c>
      <c r="M85" s="6"/>
      <c r="N85" s="16">
        <f>AVERAGE(N83,L83)</f>
        <v>8826</v>
      </c>
      <c r="O85" s="16">
        <f>AVERAGE(O83,N83)</f>
        <v>7952</v>
      </c>
      <c r="P85" s="16">
        <f t="shared" ref="P85:Q85" si="289">AVERAGE(P83,O83)</f>
        <v>8047</v>
      </c>
      <c r="Q85" s="16">
        <f t="shared" si="289"/>
        <v>8921</v>
      </c>
      <c r="R85" s="6"/>
      <c r="S85" s="16">
        <f>AVERAGE(S83,Q83)</f>
        <v>9839.5</v>
      </c>
      <c r="T85" s="16">
        <f>AVERAGE(T83,S83)</f>
        <v>10030.5</v>
      </c>
      <c r="U85" s="16">
        <f t="shared" ref="U85:V85" si="290">AVERAGE(U83,T83)</f>
        <v>10149</v>
      </c>
      <c r="V85" s="16">
        <f t="shared" si="290"/>
        <v>10280</v>
      </c>
      <c r="W85" s="120"/>
      <c r="X85" s="91">
        <f>AVERAGE(X83,V83)</f>
        <v>10492.179914833214</v>
      </c>
      <c r="Y85" s="91">
        <f>AVERAGE(X83,Y83)</f>
        <v>10718.539744499645</v>
      </c>
      <c r="Z85" s="91">
        <f>AVERAGE(Y83,Z83)</f>
        <v>10944.899574166073</v>
      </c>
      <c r="AA85" s="91">
        <f>AVERAGE(Z83,AA83)</f>
        <v>11171.259403832504</v>
      </c>
      <c r="AB85" s="120"/>
      <c r="AC85" s="91">
        <f>AVERAGE(AC83,AA83)</f>
        <v>11401.618523775725</v>
      </c>
      <c r="AD85" s="91">
        <f>AVERAGE(AC83,AD83)</f>
        <v>11635.97693399574</v>
      </c>
      <c r="AE85" s="91">
        <f>AVERAGE(AD83,AE83)</f>
        <v>11870.335344215755</v>
      </c>
      <c r="AF85" s="91">
        <f>AVERAGE(AE83,AF83)</f>
        <v>12104.69375443577</v>
      </c>
      <c r="AG85" s="120"/>
      <c r="AH85" s="91">
        <f>AVERAGE(AH83,AF83)</f>
        <v>12343.222853087296</v>
      </c>
      <c r="AI85" s="91">
        <f>AVERAGE(AH83,AI83)</f>
        <v>12585.922640170334</v>
      </c>
      <c r="AJ85" s="91">
        <f>AVERAGE(AI83,AJ83)</f>
        <v>12828.622427253373</v>
      </c>
      <c r="AK85" s="91">
        <f>AVERAGE(AJ83,AK83)</f>
        <v>13071.322214336411</v>
      </c>
      <c r="AL85" s="120"/>
      <c r="AM85" s="91">
        <f>AVERAGE(AM83,AK83)</f>
        <v>13234.788062455646</v>
      </c>
      <c r="AN85" s="91">
        <f>AVERAGE(AM83,AN83)</f>
        <v>13319.019971611073</v>
      </c>
      <c r="AO85" s="91">
        <f>AVERAGE(AN83,AO83)</f>
        <v>13403.251880766504</v>
      </c>
      <c r="AP85" s="91">
        <f>AVERAGE(AO83,AP83)</f>
        <v>13487.483789921931</v>
      </c>
      <c r="AQ85" s="120"/>
      <c r="AR85" s="91">
        <f>AVERAGE(AR83,AP83)</f>
        <v>13572.979177714693</v>
      </c>
      <c r="AS85" s="91">
        <f>AVERAGE(AR83,AS83)</f>
        <v>13659.738044144786</v>
      </c>
      <c r="AT85" s="91">
        <f>AVERAGE(AS83,AT83)</f>
        <v>13746.496910574879</v>
      </c>
      <c r="AU85" s="91">
        <f>AVERAGE(AT83,AU83)</f>
        <v>13833.255777004972</v>
      </c>
      <c r="AV85" s="120"/>
    </row>
    <row r="86" spans="1:48" hidden="1" outlineLevel="1" x14ac:dyDescent="0.3">
      <c r="B86" s="170" t="s">
        <v>45</v>
      </c>
      <c r="C86" s="189"/>
      <c r="D86" s="40">
        <f>+D87/D85</f>
        <v>3.5390488309209482E-2</v>
      </c>
      <c r="E86" s="104">
        <f>+E87/E85</f>
        <v>3.3197005941816495E-2</v>
      </c>
      <c r="F86" s="104">
        <f>+F87/F85</f>
        <v>3.335521038430686E-2</v>
      </c>
      <c r="G86" s="104">
        <f>+G87/G85</f>
        <v>3.468456004427227E-2</v>
      </c>
      <c r="H86" s="26"/>
      <c r="I86" s="104">
        <f t="shared" ref="I86:S86" si="291">+I87/I85</f>
        <v>3.4275333064190554E-2</v>
      </c>
      <c r="J86" s="104">
        <f t="shared" si="291"/>
        <v>2.97331136738056E-2</v>
      </c>
      <c r="K86" s="104">
        <f t="shared" si="291"/>
        <v>8.4784451835909474E-3</v>
      </c>
      <c r="L86" s="104">
        <f t="shared" si="291"/>
        <v>2.3837943303110294E-2</v>
      </c>
      <c r="M86" s="6"/>
      <c r="N86" s="104">
        <f t="shared" si="291"/>
        <v>2.2388397915250397E-2</v>
      </c>
      <c r="O86" s="104">
        <f t="shared" si="291"/>
        <v>2.5251509054325959E-2</v>
      </c>
      <c r="P86" s="104">
        <f t="shared" si="291"/>
        <v>2.6307940847520812E-2</v>
      </c>
      <c r="Q86" s="104">
        <f t="shared" si="291"/>
        <v>3.228337630310503E-2</v>
      </c>
      <c r="R86" s="6"/>
      <c r="S86" s="104">
        <f t="shared" si="291"/>
        <v>3.4036282331419275E-2</v>
      </c>
      <c r="T86" s="104">
        <f>+T87/T85</f>
        <v>3.4145855141817456E-2</v>
      </c>
      <c r="U86" s="104">
        <f>+U87/U85</f>
        <v>4.065425165040891E-2</v>
      </c>
      <c r="V86" s="104">
        <f>+V87/V85</f>
        <v>4.0369649805447473E-2</v>
      </c>
      <c r="W86" s="120"/>
      <c r="X86" s="396">
        <f>S86*1.2</f>
        <v>4.0843538797703131E-2</v>
      </c>
      <c r="Y86" s="396">
        <f>T86*1.2</f>
        <v>4.0975026170180943E-2</v>
      </c>
      <c r="Z86" s="396">
        <f>U86*1.2</f>
        <v>4.8785101980490693E-2</v>
      </c>
      <c r="AA86" s="396">
        <f>V86*1.2</f>
        <v>4.8443579766536966E-2</v>
      </c>
      <c r="AB86" s="399"/>
      <c r="AC86" s="396">
        <f>X86*1.05</f>
        <v>4.2885715737588287E-2</v>
      </c>
      <c r="AD86" s="396">
        <f>Y86*1.05</f>
        <v>4.302377747868999E-2</v>
      </c>
      <c r="AE86" s="396">
        <f>Z86*1.05</f>
        <v>5.1224357079515233E-2</v>
      </c>
      <c r="AF86" s="396">
        <f>AA86*1.05</f>
        <v>5.0865758754863814E-2</v>
      </c>
      <c r="AG86" s="399"/>
      <c r="AH86" s="396">
        <f>AC86*1.05</f>
        <v>4.5030001524467705E-2</v>
      </c>
      <c r="AI86" s="396">
        <f>AD86*1.05</f>
        <v>4.5174966352624489E-2</v>
      </c>
      <c r="AJ86" s="396">
        <f>AE86*1.05</f>
        <v>5.3785574933490995E-2</v>
      </c>
      <c r="AK86" s="396">
        <f>AF86*1.05</f>
        <v>5.3409046692607008E-2</v>
      </c>
      <c r="AL86" s="399"/>
      <c r="AM86" s="396">
        <f>AH86*1.05</f>
        <v>4.7281501600691091E-2</v>
      </c>
      <c r="AN86" s="396">
        <f>AI86*1.05</f>
        <v>4.7433714670255714E-2</v>
      </c>
      <c r="AO86" s="396">
        <f>AJ86*1.05</f>
        <v>5.6474853680165547E-2</v>
      </c>
      <c r="AP86" s="396">
        <f>AK86*1.05</f>
        <v>5.6079499027237363E-2</v>
      </c>
      <c r="AQ86" s="399"/>
      <c r="AR86" s="396">
        <f>AM86*1.03</f>
        <v>4.8699946648711821E-2</v>
      </c>
      <c r="AS86" s="396">
        <f>AN86*1.03</f>
        <v>4.8856726110363388E-2</v>
      </c>
      <c r="AT86" s="396">
        <f>AO86*1.03</f>
        <v>5.8169099290570514E-2</v>
      </c>
      <c r="AU86" s="396">
        <f>AP86*1.03</f>
        <v>5.7761883998054486E-2</v>
      </c>
      <c r="AV86" s="399"/>
    </row>
    <row r="87" spans="1:48" s="8" customFormat="1" hidden="1" outlineLevel="1" x14ac:dyDescent="0.3">
      <c r="B87" s="534" t="s">
        <v>115</v>
      </c>
      <c r="C87" s="535"/>
      <c r="D87" s="105">
        <v>222.5</v>
      </c>
      <c r="E87" s="105">
        <v>215.1</v>
      </c>
      <c r="F87" s="105">
        <v>228.7</v>
      </c>
      <c r="G87" s="105">
        <v>250.7</v>
      </c>
      <c r="H87" s="67">
        <f>SUM(D87:G87)</f>
        <v>917</v>
      </c>
      <c r="I87" s="105">
        <v>254.7</v>
      </c>
      <c r="J87" s="105">
        <v>225.6</v>
      </c>
      <c r="K87" s="105">
        <v>65</v>
      </c>
      <c r="L87" s="66">
        <v>207.7</v>
      </c>
      <c r="M87" s="67">
        <f>SUM(I87:L87)</f>
        <v>753</v>
      </c>
      <c r="N87" s="66">
        <v>197.6</v>
      </c>
      <c r="O87" s="66">
        <v>200.8</v>
      </c>
      <c r="P87" s="66">
        <v>211.7</v>
      </c>
      <c r="Q87" s="105">
        <v>288</v>
      </c>
      <c r="R87" s="67">
        <f>SUM(N87:Q87)</f>
        <v>898.09999999999991</v>
      </c>
      <c r="S87" s="66">
        <v>334.9</v>
      </c>
      <c r="T87" s="66">
        <v>342.5</v>
      </c>
      <c r="U87" s="66">
        <v>412.6</v>
      </c>
      <c r="V87" s="66">
        <v>415</v>
      </c>
      <c r="W87" s="201">
        <f>SUM(S87:V87)</f>
        <v>1505</v>
      </c>
      <c r="X87" s="105">
        <f>X85*X86</f>
        <v>428.53775742397193</v>
      </c>
      <c r="Y87" s="105">
        <f t="shared" ref="Y87" si="292">Y85*Y86</f>
        <v>439.19244653699752</v>
      </c>
      <c r="Z87" s="105">
        <f t="shared" ref="Z87" si="293">Z85*Z86</f>
        <v>533.94804189192098</v>
      </c>
      <c r="AA87" s="105">
        <f t="shared" ref="AA87" si="294">AA85*AA86</f>
        <v>541.17579602223611</v>
      </c>
      <c r="AB87" s="201"/>
      <c r="AC87" s="105">
        <f>AC85*AC86</f>
        <v>488.96657095906676</v>
      </c>
      <c r="AD87" s="105">
        <f t="shared" ref="AD87" si="295">AD85*AD86</f>
        <v>500.62368235540214</v>
      </c>
      <c r="AE87" s="105">
        <f t="shared" ref="AE87" si="296">AE85*AE86</f>
        <v>608.05029632569824</v>
      </c>
      <c r="AF87" s="105">
        <f t="shared" ref="AF87" si="297">AF85*AF86</f>
        <v>615.71443231463661</v>
      </c>
      <c r="AG87" s="201"/>
      <c r="AH87" s="105">
        <f>AH85*AH86</f>
        <v>555.81534389136561</v>
      </c>
      <c r="AI87" s="105">
        <f t="shared" ref="AI87" si="298">AI85*AI86</f>
        <v>568.56863178642959</v>
      </c>
      <c r="AJ87" s="105">
        <f t="shared" ref="AJ87" si="299">AJ85*AJ86</f>
        <v>689.99483285449946</v>
      </c>
      <c r="AK87" s="105">
        <f t="shared" ref="AK87" si="300">AK85*AK86</f>
        <v>698.12685847960461</v>
      </c>
      <c r="AL87" s="201"/>
      <c r="AM87" s="105">
        <f>AM85*AM86</f>
        <v>625.76065295980391</v>
      </c>
      <c r="AN87" s="105">
        <f t="shared" ref="AN87" si="301">AN85*AN86</f>
        <v>631.77059302083694</v>
      </c>
      <c r="AO87" s="105">
        <f t="shared" ref="AO87" si="302">AO85*AO86</f>
        <v>756.94668880469203</v>
      </c>
      <c r="AP87" s="105">
        <f t="shared" ref="AP87" si="303">AP85*AP86</f>
        <v>756.37133407680665</v>
      </c>
      <c r="AQ87" s="201"/>
      <c r="AR87" s="105">
        <f>AR85*AR86</f>
        <v>661.00336181878197</v>
      </c>
      <c r="AS87" s="105">
        <f t="shared" ref="AS87" si="304">AS85*AS86</f>
        <v>667.37008036209272</v>
      </c>
      <c r="AT87" s="105">
        <f t="shared" ref="AT87" si="305">AT85*AT86</f>
        <v>799.62134368875093</v>
      </c>
      <c r="AU87" s="105">
        <f t="shared" ref="AU87" si="306">AU85*AU86</f>
        <v>799.03491550677825</v>
      </c>
      <c r="AV87" s="201"/>
    </row>
    <row r="88" spans="1:48" s="8" customFormat="1" hidden="1" outlineLevel="1" x14ac:dyDescent="0.3">
      <c r="B88" s="518" t="s">
        <v>116</v>
      </c>
      <c r="C88" s="519"/>
      <c r="D88" s="93">
        <v>3.4</v>
      </c>
      <c r="E88" s="93">
        <v>4.9000000000000004</v>
      </c>
      <c r="F88" s="93">
        <v>3.8</v>
      </c>
      <c r="G88" s="93">
        <v>5.5</v>
      </c>
      <c r="H88" s="87">
        <f>SUM(D88:G88)</f>
        <v>17.600000000000001</v>
      </c>
      <c r="I88" s="93">
        <v>6.7</v>
      </c>
      <c r="J88" s="93">
        <v>6.6</v>
      </c>
      <c r="K88" s="93">
        <v>9.1</v>
      </c>
      <c r="L88" s="47">
        <v>5.3</v>
      </c>
      <c r="M88" s="87">
        <f>SUM(I88:L88)</f>
        <v>27.7</v>
      </c>
      <c r="N88" s="47">
        <v>15</v>
      </c>
      <c r="O88" s="47">
        <v>25.4</v>
      </c>
      <c r="P88" s="47">
        <v>13.4</v>
      </c>
      <c r="Q88" s="93">
        <v>16.600000000000001</v>
      </c>
      <c r="R88" s="87">
        <f>SUM(N88:Q88)</f>
        <v>70.400000000000006</v>
      </c>
      <c r="S88" s="47">
        <v>32.700000000000003</v>
      </c>
      <c r="T88" s="47">
        <v>19.5</v>
      </c>
      <c r="U88" s="47">
        <v>9.8000000000000007</v>
      </c>
      <c r="V88" s="47">
        <v>11.1</v>
      </c>
      <c r="W88" s="122">
        <f>SUM(S88:V88)</f>
        <v>73.099999999999994</v>
      </c>
      <c r="X88" s="93">
        <f>S88*(1+X89)</f>
        <v>26.160000000000004</v>
      </c>
      <c r="Y88" s="93">
        <f>T88*(1+Y89)</f>
        <v>17.55</v>
      </c>
      <c r="Z88" s="93">
        <f>U88*(1+Z89)</f>
        <v>10.290000000000001</v>
      </c>
      <c r="AA88" s="93">
        <f t="shared" ref="AA88" si="307">V88*(1+AA89)</f>
        <v>11.654999999999999</v>
      </c>
      <c r="AB88" s="122"/>
      <c r="AC88" s="93">
        <f>X88*(1+AC89)</f>
        <v>28.776000000000007</v>
      </c>
      <c r="AD88" s="93">
        <f>Y88*(1+AD89)</f>
        <v>20.182500000000001</v>
      </c>
      <c r="AE88" s="93">
        <f>Z88*(1+AE89)</f>
        <v>12.348000000000001</v>
      </c>
      <c r="AF88" s="93">
        <f t="shared" ref="AF88" si="308">AA88*(1+AF89)</f>
        <v>13.985999999999999</v>
      </c>
      <c r="AG88" s="122"/>
      <c r="AH88" s="93">
        <f>AC88*(1+AH89)</f>
        <v>35.970000000000006</v>
      </c>
      <c r="AI88" s="93">
        <f>AD88*(1+AI89)</f>
        <v>25.228125000000002</v>
      </c>
      <c r="AJ88" s="93">
        <f>AE88*(1+AJ89)</f>
        <v>15.435</v>
      </c>
      <c r="AK88" s="93">
        <f t="shared" ref="AK88" si="309">AF88*(1+AK89)</f>
        <v>17.482499999999998</v>
      </c>
      <c r="AL88" s="122"/>
      <c r="AM88" s="93">
        <f>AH88*(1+AM89)</f>
        <v>39.567000000000007</v>
      </c>
      <c r="AN88" s="93">
        <f>AI88*(1+AN89)</f>
        <v>27.750937500000006</v>
      </c>
      <c r="AO88" s="93">
        <f>AJ88*(1+AO89)</f>
        <v>16.9785</v>
      </c>
      <c r="AP88" s="93">
        <f t="shared" ref="AP88" si="310">AK88*(1+AP89)</f>
        <v>19.23075</v>
      </c>
      <c r="AQ88" s="122"/>
      <c r="AR88" s="93">
        <f>AM88*(1+AR89)</f>
        <v>41.545350000000006</v>
      </c>
      <c r="AS88" s="93">
        <f>AN88*(1+AS89)</f>
        <v>29.138484375000008</v>
      </c>
      <c r="AT88" s="93">
        <f>AO88*(1+AT89)</f>
        <v>17.827425000000002</v>
      </c>
      <c r="AU88" s="93">
        <f t="shared" ref="AU88" si="311">AP88*(1+AU89)</f>
        <v>20.192287500000003</v>
      </c>
      <c r="AV88" s="122"/>
    </row>
    <row r="89" spans="1:48" hidden="1" outlineLevel="1" x14ac:dyDescent="0.3">
      <c r="B89" s="64" t="s">
        <v>47</v>
      </c>
      <c r="C89" s="65"/>
      <c r="D89" s="110"/>
      <c r="E89" s="110"/>
      <c r="F89" s="110"/>
      <c r="G89" s="110"/>
      <c r="H89" s="54"/>
      <c r="I89" s="110">
        <f>I88/D88-1</f>
        <v>0.97058823529411775</v>
      </c>
      <c r="J89" s="110">
        <f t="shared" ref="J89:L89" si="312">J88/E88-1</f>
        <v>0.3469387755102038</v>
      </c>
      <c r="K89" s="110">
        <f t="shared" si="312"/>
        <v>1.3947368421052633</v>
      </c>
      <c r="L89" s="110">
        <f t="shared" si="312"/>
        <v>-3.6363636363636376E-2</v>
      </c>
      <c r="M89" s="54"/>
      <c r="N89" s="110">
        <f>N88/I88-1</f>
        <v>1.2388059701492535</v>
      </c>
      <c r="O89" s="110">
        <f t="shared" ref="O89:Q89" si="313">O88/J88-1</f>
        <v>2.8484848484848486</v>
      </c>
      <c r="P89" s="110">
        <f t="shared" si="313"/>
        <v>0.47252747252747263</v>
      </c>
      <c r="Q89" s="110">
        <f t="shared" si="313"/>
        <v>2.1320754716981134</v>
      </c>
      <c r="R89" s="54"/>
      <c r="S89" s="110">
        <f>S88/N88-1</f>
        <v>1.1800000000000002</v>
      </c>
      <c r="T89" s="110">
        <f t="shared" ref="T89:U89" si="314">T88/O88-1</f>
        <v>-0.23228346456692905</v>
      </c>
      <c r="U89" s="110">
        <f t="shared" si="314"/>
        <v>-0.26865671641791045</v>
      </c>
      <c r="V89" s="110">
        <f>V88/Q88-1</f>
        <v>-0.3313253012048194</v>
      </c>
      <c r="W89" s="145"/>
      <c r="X89" s="400">
        <v>-0.2</v>
      </c>
      <c r="Y89" s="400">
        <v>-0.1</v>
      </c>
      <c r="Z89" s="400">
        <v>0.05</v>
      </c>
      <c r="AA89" s="400">
        <v>0.05</v>
      </c>
      <c r="AB89" s="402"/>
      <c r="AC89" s="400">
        <v>0.1</v>
      </c>
      <c r="AD89" s="400">
        <v>0.15</v>
      </c>
      <c r="AE89" s="400">
        <v>0.2</v>
      </c>
      <c r="AF89" s="400">
        <v>0.2</v>
      </c>
      <c r="AG89" s="402"/>
      <c r="AH89" s="400">
        <v>0.25</v>
      </c>
      <c r="AI89" s="400">
        <v>0.25</v>
      </c>
      <c r="AJ89" s="400">
        <v>0.25</v>
      </c>
      <c r="AK89" s="400">
        <v>0.25</v>
      </c>
      <c r="AL89" s="402"/>
      <c r="AM89" s="400">
        <v>0.1</v>
      </c>
      <c r="AN89" s="400">
        <v>0.1</v>
      </c>
      <c r="AO89" s="400">
        <v>0.1</v>
      </c>
      <c r="AP89" s="400">
        <v>0.1</v>
      </c>
      <c r="AQ89" s="402"/>
      <c r="AR89" s="400">
        <v>0.05</v>
      </c>
      <c r="AS89" s="400">
        <v>0.05</v>
      </c>
      <c r="AT89" s="400">
        <v>0.05</v>
      </c>
      <c r="AU89" s="400">
        <v>0.05</v>
      </c>
      <c r="AV89" s="402"/>
    </row>
    <row r="90" spans="1:48" hidden="1" outlineLevel="1" x14ac:dyDescent="0.3">
      <c r="B90" s="170" t="s">
        <v>117</v>
      </c>
      <c r="C90" s="195"/>
      <c r="D90" s="91">
        <f t="shared" ref="D90:G91" si="315">+D83+D74</f>
        <v>12212</v>
      </c>
      <c r="E90" s="91">
        <f t="shared" si="315"/>
        <v>12465</v>
      </c>
      <c r="F90" s="91">
        <f t="shared" si="315"/>
        <v>12773</v>
      </c>
      <c r="G90" s="91">
        <f t="shared" si="315"/>
        <v>13189</v>
      </c>
      <c r="H90" s="6"/>
      <c r="I90" s="91">
        <f t="shared" ref="I90:L91" si="316">+I83+I74</f>
        <v>13592</v>
      </c>
      <c r="J90" s="91">
        <f t="shared" si="316"/>
        <v>13779</v>
      </c>
      <c r="K90" s="91">
        <f t="shared" si="316"/>
        <v>13945</v>
      </c>
      <c r="L90" s="16">
        <f t="shared" si="316"/>
        <v>16263</v>
      </c>
      <c r="M90" s="6"/>
      <c r="N90" s="16">
        <f t="shared" ref="N90:Q91" si="317">+N83+N74</f>
        <v>14630</v>
      </c>
      <c r="O90" s="16">
        <f t="shared" si="317"/>
        <v>14823</v>
      </c>
      <c r="P90" s="16">
        <f t="shared" si="317"/>
        <v>15120</v>
      </c>
      <c r="Q90" s="16">
        <f t="shared" si="317"/>
        <v>17007</v>
      </c>
      <c r="R90" s="6"/>
      <c r="S90" s="16">
        <f t="shared" ref="S90:AH91" si="318">+S83+S74</f>
        <v>17429</v>
      </c>
      <c r="T90" s="16">
        <f t="shared" si="318"/>
        <v>17704</v>
      </c>
      <c r="U90" s="16">
        <f t="shared" si="318"/>
        <v>17898</v>
      </c>
      <c r="V90" s="16">
        <f t="shared" si="318"/>
        <v>18416</v>
      </c>
      <c r="W90" s="434">
        <f>W74+W83</f>
        <v>18416</v>
      </c>
      <c r="X90" s="16">
        <f t="shared" si="318"/>
        <v>18911.25</v>
      </c>
      <c r="Y90" s="16">
        <f t="shared" si="318"/>
        <v>19406.5</v>
      </c>
      <c r="Z90" s="16">
        <f t="shared" si="318"/>
        <v>19901.75</v>
      </c>
      <c r="AA90" s="16">
        <f t="shared" si="318"/>
        <v>20397</v>
      </c>
      <c r="AB90" s="308">
        <f t="shared" si="318"/>
        <v>20397</v>
      </c>
      <c r="AC90" s="16">
        <f t="shared" si="318"/>
        <v>20909.75</v>
      </c>
      <c r="AD90" s="16">
        <f t="shared" si="318"/>
        <v>21422.5</v>
      </c>
      <c r="AE90" s="16">
        <f t="shared" si="318"/>
        <v>21935.25</v>
      </c>
      <c r="AF90" s="16">
        <f t="shared" si="318"/>
        <v>22448</v>
      </c>
      <c r="AG90" s="308">
        <f t="shared" si="318"/>
        <v>22448</v>
      </c>
      <c r="AH90" s="16">
        <f t="shared" si="318"/>
        <v>22979</v>
      </c>
      <c r="AI90" s="16">
        <f t="shared" ref="AI90:AL91" si="319">+AI83+AI74</f>
        <v>23510</v>
      </c>
      <c r="AJ90" s="16">
        <f t="shared" si="319"/>
        <v>24041</v>
      </c>
      <c r="AK90" s="16">
        <f t="shared" si="319"/>
        <v>24572</v>
      </c>
      <c r="AL90" s="308">
        <f t="shared" si="319"/>
        <v>24572</v>
      </c>
      <c r="AM90" s="16">
        <f t="shared" ref="AM90:AP91" si="320">+AM83+AM74</f>
        <v>24756.29</v>
      </c>
      <c r="AN90" s="16">
        <f t="shared" si="320"/>
        <v>24940.579999999998</v>
      </c>
      <c r="AO90" s="16">
        <f t="shared" si="320"/>
        <v>25124.869999999995</v>
      </c>
      <c r="AP90" s="16">
        <f t="shared" si="320"/>
        <v>25309.159999999996</v>
      </c>
      <c r="AQ90" s="239">
        <v>0.03</v>
      </c>
      <c r="AR90" s="16">
        <f t="shared" ref="AR90:AU91" si="321">+AR83+AR74</f>
        <v>25498.978699999996</v>
      </c>
      <c r="AS90" s="16">
        <f t="shared" si="321"/>
        <v>25688.797399999996</v>
      </c>
      <c r="AT90" s="16">
        <f t="shared" si="321"/>
        <v>25878.616099999996</v>
      </c>
      <c r="AU90" s="16">
        <f t="shared" si="321"/>
        <v>26068.434799999995</v>
      </c>
      <c r="AV90" s="239">
        <v>0.03</v>
      </c>
    </row>
    <row r="91" spans="1:48" hidden="1" outlineLevel="1" x14ac:dyDescent="0.3">
      <c r="B91" s="170" t="s">
        <v>118</v>
      </c>
      <c r="C91" s="195"/>
      <c r="D91" s="91">
        <f t="shared" si="315"/>
        <v>360</v>
      </c>
      <c r="E91" s="91">
        <f t="shared" si="315"/>
        <v>253</v>
      </c>
      <c r="F91" s="91">
        <f t="shared" si="315"/>
        <v>308</v>
      </c>
      <c r="G91" s="91">
        <f t="shared" si="315"/>
        <v>416</v>
      </c>
      <c r="H91" s="112">
        <f>+H84+H75</f>
        <v>1337</v>
      </c>
      <c r="I91" s="91">
        <f t="shared" si="316"/>
        <v>403</v>
      </c>
      <c r="J91" s="91">
        <f t="shared" si="316"/>
        <v>187</v>
      </c>
      <c r="K91" s="91">
        <f t="shared" si="316"/>
        <v>166</v>
      </c>
      <c r="L91" s="91">
        <f t="shared" si="316"/>
        <v>356</v>
      </c>
      <c r="M91" s="112">
        <f>+M84+M75</f>
        <v>1112</v>
      </c>
      <c r="N91" s="91">
        <f t="shared" si="317"/>
        <v>324</v>
      </c>
      <c r="O91" s="91">
        <f t="shared" si="317"/>
        <v>193</v>
      </c>
      <c r="P91" s="91">
        <f t="shared" si="317"/>
        <v>297</v>
      </c>
      <c r="Q91" s="91">
        <f t="shared" si="317"/>
        <v>464</v>
      </c>
      <c r="R91" s="112">
        <f>+R84+R75</f>
        <v>1278</v>
      </c>
      <c r="S91" s="16">
        <f t="shared" si="318"/>
        <v>422</v>
      </c>
      <c r="T91" s="16">
        <f t="shared" si="318"/>
        <v>275</v>
      </c>
      <c r="U91" s="16">
        <f t="shared" si="318"/>
        <v>194</v>
      </c>
      <c r="V91" s="16">
        <f t="shared" si="318"/>
        <v>518</v>
      </c>
      <c r="W91" s="112">
        <f>+W84+W75</f>
        <v>1409</v>
      </c>
      <c r="X91" s="16">
        <f t="shared" si="318"/>
        <v>495.25</v>
      </c>
      <c r="Y91" s="16">
        <f t="shared" si="318"/>
        <v>495.25</v>
      </c>
      <c r="Z91" s="16">
        <f t="shared" si="318"/>
        <v>495.25</v>
      </c>
      <c r="AA91" s="16">
        <f t="shared" si="318"/>
        <v>495.25</v>
      </c>
      <c r="AB91" s="112">
        <v>1981</v>
      </c>
      <c r="AC91" s="16">
        <f t="shared" si="318"/>
        <v>512.75</v>
      </c>
      <c r="AD91" s="16">
        <f t="shared" si="318"/>
        <v>512.75</v>
      </c>
      <c r="AE91" s="16">
        <f t="shared" si="318"/>
        <v>512.75</v>
      </c>
      <c r="AF91" s="16">
        <f t="shared" si="318"/>
        <v>512.75</v>
      </c>
      <c r="AG91" s="112">
        <v>2051</v>
      </c>
      <c r="AH91" s="16">
        <f t="shared" si="318"/>
        <v>531</v>
      </c>
      <c r="AI91" s="16">
        <f t="shared" si="319"/>
        <v>531</v>
      </c>
      <c r="AJ91" s="16">
        <f t="shared" si="319"/>
        <v>531</v>
      </c>
      <c r="AK91" s="16">
        <f t="shared" si="319"/>
        <v>531</v>
      </c>
      <c r="AL91" s="112">
        <v>2124</v>
      </c>
      <c r="AM91" s="16">
        <f t="shared" si="320"/>
        <v>184.28999999999996</v>
      </c>
      <c r="AN91" s="16">
        <f t="shared" si="320"/>
        <v>184.28999999999996</v>
      </c>
      <c r="AO91" s="16">
        <f t="shared" si="320"/>
        <v>184.28999999999996</v>
      </c>
      <c r="AP91" s="16">
        <f t="shared" si="320"/>
        <v>184.28999999999996</v>
      </c>
      <c r="AQ91" s="112">
        <f>AK90*0.03</f>
        <v>737.16</v>
      </c>
      <c r="AR91" s="16">
        <f t="shared" si="321"/>
        <v>189.81869999999998</v>
      </c>
      <c r="AS91" s="16">
        <f t="shared" si="321"/>
        <v>189.81869999999998</v>
      </c>
      <c r="AT91" s="16">
        <f t="shared" si="321"/>
        <v>189.81869999999998</v>
      </c>
      <c r="AU91" s="16">
        <f t="shared" si="321"/>
        <v>189.81869999999998</v>
      </c>
      <c r="AV91" s="112">
        <f>AP90*0.03</f>
        <v>759.27479999999991</v>
      </c>
    </row>
    <row r="92" spans="1:48" hidden="1" outlineLevel="1" x14ac:dyDescent="0.3">
      <c r="B92" s="536" t="s">
        <v>119</v>
      </c>
      <c r="C92" s="537"/>
      <c r="D92" s="105">
        <f>+D88+D87+D78</f>
        <v>1504</v>
      </c>
      <c r="E92" s="105">
        <f>+E88+E87+E78</f>
        <v>1529.4</v>
      </c>
      <c r="F92" s="105">
        <f>+F88+F87+F78</f>
        <v>1585.3</v>
      </c>
      <c r="G92" s="105">
        <f>+G88+G87+G78</f>
        <v>1572.1000000000001</v>
      </c>
      <c r="H92" s="201">
        <f>SUM(D92:G92)</f>
        <v>6190.8</v>
      </c>
      <c r="I92" s="105">
        <f>+I88+I87+I78</f>
        <v>1571.1</v>
      </c>
      <c r="J92" s="105">
        <f>+J88+J87+J78</f>
        <v>1134.5999999999999</v>
      </c>
      <c r="K92" s="105">
        <f>+K88+K87+K78</f>
        <v>949.6</v>
      </c>
      <c r="L92" s="105">
        <f>+L88+L87+L78</f>
        <v>1511.3</v>
      </c>
      <c r="M92" s="201">
        <f>SUM(I92:L92)</f>
        <v>5166.5999999999995</v>
      </c>
      <c r="N92" s="105">
        <f>+N88+N87+N78</f>
        <v>1654.3</v>
      </c>
      <c r="O92" s="105">
        <f>+O88+O87+O78</f>
        <v>1610.9</v>
      </c>
      <c r="P92" s="105">
        <f>+P88+P87+P78</f>
        <v>1658.3999999999999</v>
      </c>
      <c r="Q92" s="105">
        <f>+Q88+Q87+Q78</f>
        <v>1914.6</v>
      </c>
      <c r="R92" s="67">
        <f>SUM(N92:Q92)</f>
        <v>6838.1999999999989</v>
      </c>
      <c r="S92" s="66">
        <f>+S88+S87+S78</f>
        <v>1875.8999999999999</v>
      </c>
      <c r="T92" s="66">
        <f>+T88+T87+T78</f>
        <v>1702.4</v>
      </c>
      <c r="U92" s="66">
        <f>+U88+U87+U78</f>
        <v>1584.7</v>
      </c>
      <c r="V92" s="66">
        <f>+V88+V87+V78</f>
        <v>1777</v>
      </c>
      <c r="W92" s="201">
        <f>SUM(S92:V92)</f>
        <v>6940</v>
      </c>
      <c r="X92" s="66">
        <f>+X88+X87+X78</f>
        <v>1874.5313318176159</v>
      </c>
      <c r="Y92" s="66">
        <f>+Y88+Y87+Y78</f>
        <v>1882.9306243035903</v>
      </c>
      <c r="Z92" s="66">
        <f>+Z88+Z87+Z78</f>
        <v>2131.7026596305682</v>
      </c>
      <c r="AA92" s="66">
        <f>+AA88+AA87+AA78</f>
        <v>2400.5194631080813</v>
      </c>
      <c r="AB92" s="201">
        <f>SUM(X92:AA92)</f>
        <v>8289.6840788598565</v>
      </c>
      <c r="AC92" s="66">
        <f>+AC88+AC87+AC78</f>
        <v>2446.794922920963</v>
      </c>
      <c r="AD92" s="66">
        <f>+AD88+AD87+AD78</f>
        <v>2211.6600758669374</v>
      </c>
      <c r="AE92" s="66">
        <f>+AE88+AE87+AE78</f>
        <v>2497.6312692499941</v>
      </c>
      <c r="AF92" s="66">
        <f>+AF88+AF87+AF78</f>
        <v>2809.3765309228916</v>
      </c>
      <c r="AG92" s="201">
        <f>SUM(AC92:AF92)</f>
        <v>9965.4627989607852</v>
      </c>
      <c r="AH92" s="66">
        <f>+AH88+AH87+AH78</f>
        <v>2862.170210891069</v>
      </c>
      <c r="AI92" s="66">
        <f>+AI88+AI87+AI78</f>
        <v>2579.4114343875499</v>
      </c>
      <c r="AJ92" s="66">
        <f>+AJ88+AJ87+AJ78</f>
        <v>2905.2814176831589</v>
      </c>
      <c r="AK92" s="66">
        <f>+AK88+AK87+AK78</f>
        <v>3264.79902590043</v>
      </c>
      <c r="AL92" s="201">
        <f>SUM(AH92:AK92)</f>
        <v>11611.662088862206</v>
      </c>
      <c r="AM92" s="66">
        <f>+AM88+AM87+AM78</f>
        <v>3292.6914732389141</v>
      </c>
      <c r="AN92" s="66">
        <f>+AN88+AN87+AN78</f>
        <v>2914.7591366523866</v>
      </c>
      <c r="AO92" s="66">
        <f>+AO88+AO87+AO78</f>
        <v>3227.800317777348</v>
      </c>
      <c r="AP92" s="66">
        <f>+AP88+AP87+AP78</f>
        <v>3570.0251320773605</v>
      </c>
      <c r="AQ92" s="201">
        <f>SUM(AM92:AP92)</f>
        <v>13005.276059746009</v>
      </c>
      <c r="AR92" s="66">
        <f>+AR88+AR87+AR78</f>
        <v>3503.8537892849185</v>
      </c>
      <c r="AS92" s="66">
        <f>+AS88+AS87+AS78</f>
        <v>3100.9474836998388</v>
      </c>
      <c r="AT92" s="66">
        <f>+AT88+AT87+AT78</f>
        <v>3433.5556060904437</v>
      </c>
      <c r="AU92" s="66">
        <f>+AU88+AU87+AU78</f>
        <v>3798.2721655736723</v>
      </c>
      <c r="AV92" s="201">
        <f>SUM(AR92:AU92)</f>
        <v>13836.629044648875</v>
      </c>
    </row>
    <row r="93" spans="1:48" hidden="1" outlineLevel="1" x14ac:dyDescent="0.3">
      <c r="B93" s="538" t="s">
        <v>97</v>
      </c>
      <c r="C93" s="539"/>
      <c r="D93" s="95">
        <v>462.7</v>
      </c>
      <c r="E93" s="95">
        <v>470.2</v>
      </c>
      <c r="F93" s="95">
        <v>476.1</v>
      </c>
      <c r="G93" s="95">
        <v>486.1</v>
      </c>
      <c r="H93" s="119">
        <f>SUM(D93:G93)</f>
        <v>1895.1</v>
      </c>
      <c r="I93" s="95">
        <v>488.5</v>
      </c>
      <c r="J93" s="95">
        <v>387.7</v>
      </c>
      <c r="K93" s="95">
        <v>337.7</v>
      </c>
      <c r="L93" s="95">
        <v>479.2</v>
      </c>
      <c r="M93" s="119">
        <f>SUM(I93:L93)</f>
        <v>1693.1000000000001</v>
      </c>
      <c r="N93" s="95">
        <v>520.4</v>
      </c>
      <c r="O93" s="95">
        <v>513.5</v>
      </c>
      <c r="P93" s="95">
        <v>501.7</v>
      </c>
      <c r="Q93" s="95">
        <v>605.1</v>
      </c>
      <c r="R93" s="70">
        <f>SUM(N93:Q93)</f>
        <v>2140.7000000000003</v>
      </c>
      <c r="S93" s="45">
        <v>615.79999999999995</v>
      </c>
      <c r="T93" s="45">
        <v>580.5</v>
      </c>
      <c r="U93" s="45">
        <v>550.29999999999995</v>
      </c>
      <c r="V93" s="45">
        <v>611</v>
      </c>
      <c r="W93" s="70">
        <f>SUM(S93:V93)</f>
        <v>2357.6</v>
      </c>
      <c r="X93" s="95">
        <f>X92*X94</f>
        <v>652.84133516734425</v>
      </c>
      <c r="Y93" s="95">
        <f>Y92*Y94</f>
        <v>623.22968542063541</v>
      </c>
      <c r="Z93" s="95">
        <f>Z92*Z94</f>
        <v>729.59262167673285</v>
      </c>
      <c r="AA93" s="95">
        <f>AA92*AA94</f>
        <v>813.38704362933163</v>
      </c>
      <c r="AB93" s="119"/>
      <c r="AC93" s="95">
        <f>AC92*AC94</f>
        <v>803.20716111452043</v>
      </c>
      <c r="AD93" s="95">
        <f>AD92*AD94</f>
        <v>687.80237937387267</v>
      </c>
      <c r="AE93" s="95">
        <f>AE92*AE94</f>
        <v>854.83467287585609</v>
      </c>
      <c r="AF93" s="95">
        <f>AF92*AF94</f>
        <v>951.92332578313824</v>
      </c>
      <c r="AG93" s="119"/>
      <c r="AH93" s="95">
        <f>AH92*AH94</f>
        <v>933.83769159843223</v>
      </c>
      <c r="AI93" s="95">
        <f>AI92*AI94</f>
        <v>797.01025424878344</v>
      </c>
      <c r="AJ93" s="95">
        <f>AJ92*AJ94</f>
        <v>965.30344684293834</v>
      </c>
      <c r="AK93" s="95">
        <f>AK92*AK94</f>
        <v>1099.7081427923395</v>
      </c>
      <c r="AL93" s="119"/>
      <c r="AM93" s="95">
        <f>AM92*AM94</f>
        <v>1074.3034753191671</v>
      </c>
      <c r="AN93" s="95">
        <f>AN92*AN94</f>
        <v>900.62906971988104</v>
      </c>
      <c r="AO93" s="95">
        <f>AO92*AO94</f>
        <v>1072.4629819013994</v>
      </c>
      <c r="AP93" s="95">
        <f>AP92*AP94</f>
        <v>1202.5198723023955</v>
      </c>
      <c r="AQ93" s="119"/>
      <c r="AR93" s="95">
        <f>AR92*AR94</f>
        <v>1143.1992136014785</v>
      </c>
      <c r="AS93" s="95">
        <f>AS92*AS94</f>
        <v>958.15925658349204</v>
      </c>
      <c r="AT93" s="95">
        <f>AT92*AT94</f>
        <v>1140.8268546078109</v>
      </c>
      <c r="AU93" s="95">
        <f>AU92*AU94</f>
        <v>1279.402130387137</v>
      </c>
      <c r="AV93" s="119"/>
    </row>
    <row r="94" spans="1:48" s="173" customFormat="1" hidden="1" outlineLevel="1" x14ac:dyDescent="0.3">
      <c r="A94" s="225"/>
      <c r="B94" s="171" t="s">
        <v>148</v>
      </c>
      <c r="C94" s="172"/>
      <c r="D94" s="157">
        <f>D93/D92</f>
        <v>0.30764627659574467</v>
      </c>
      <c r="E94" s="157">
        <f t="shared" ref="E94:V94" si="322">E93/E92</f>
        <v>0.30744082646789589</v>
      </c>
      <c r="F94" s="157">
        <f t="shared" si="322"/>
        <v>0.30032170567085098</v>
      </c>
      <c r="G94" s="157">
        <f t="shared" si="322"/>
        <v>0.30920424909356908</v>
      </c>
      <c r="H94" s="176">
        <f>H93/H92</f>
        <v>0.30611552626477995</v>
      </c>
      <c r="I94" s="157">
        <f t="shared" si="322"/>
        <v>0.31092864871745912</v>
      </c>
      <c r="J94" s="157">
        <f t="shared" si="322"/>
        <v>0.34170632822139962</v>
      </c>
      <c r="K94" s="157">
        <f t="shared" si="322"/>
        <v>0.35562342038753159</v>
      </c>
      <c r="L94" s="157">
        <f t="shared" si="322"/>
        <v>0.31707801230728511</v>
      </c>
      <c r="M94" s="176">
        <f>M93/M92</f>
        <v>0.32770100259358192</v>
      </c>
      <c r="N94" s="157">
        <f t="shared" si="322"/>
        <v>0.31457414011968809</v>
      </c>
      <c r="O94" s="157">
        <f t="shared" si="322"/>
        <v>0.31876590725681292</v>
      </c>
      <c r="P94" s="157">
        <f t="shared" si="322"/>
        <v>0.30252050168837435</v>
      </c>
      <c r="Q94" s="157">
        <f t="shared" si="322"/>
        <v>0.31604512691946102</v>
      </c>
      <c r="R94" s="178">
        <f>R93/R92</f>
        <v>0.31305021789359783</v>
      </c>
      <c r="S94" s="157">
        <f t="shared" si="322"/>
        <v>0.32826909749986671</v>
      </c>
      <c r="T94" s="157">
        <f t="shared" si="322"/>
        <v>0.34098919172932329</v>
      </c>
      <c r="U94" s="157">
        <f t="shared" si="322"/>
        <v>0.34725815611787714</v>
      </c>
      <c r="V94" s="157">
        <f t="shared" si="322"/>
        <v>0.34383792909397859</v>
      </c>
      <c r="W94" s="178">
        <f>W93/W92</f>
        <v>0.33971181556195962</v>
      </c>
      <c r="X94" s="407">
        <f>S94+2%</f>
        <v>0.34826909749986673</v>
      </c>
      <c r="Y94" s="407">
        <f>T94-1%</f>
        <v>0.33098919172932328</v>
      </c>
      <c r="Z94" s="407">
        <f>U94-0.005</f>
        <v>0.34225815611787713</v>
      </c>
      <c r="AA94" s="407">
        <f>V94-0.005</f>
        <v>0.33883792909397858</v>
      </c>
      <c r="AB94" s="408"/>
      <c r="AC94" s="407">
        <f>X94-2%</f>
        <v>0.32826909749986671</v>
      </c>
      <c r="AD94" s="407">
        <f>Y94-2%</f>
        <v>0.31098919172932327</v>
      </c>
      <c r="AE94" s="407">
        <f>Z94</f>
        <v>0.34225815611787713</v>
      </c>
      <c r="AF94" s="407">
        <f>AA94</f>
        <v>0.33883792909397858</v>
      </c>
      <c r="AG94" s="408"/>
      <c r="AH94" s="407">
        <f>AC94-0.2%</f>
        <v>0.32626909749986671</v>
      </c>
      <c r="AI94" s="407">
        <f>AD94-0.2%</f>
        <v>0.30898919172932326</v>
      </c>
      <c r="AJ94" s="407">
        <f>AE94-1%</f>
        <v>0.33225815611787712</v>
      </c>
      <c r="AK94" s="407">
        <f>AF94-0.2%</f>
        <v>0.33683792909397858</v>
      </c>
      <c r="AL94" s="408"/>
      <c r="AM94" s="407">
        <f>AH94</f>
        <v>0.32626909749986671</v>
      </c>
      <c r="AN94" s="407">
        <f>AI94</f>
        <v>0.30898919172932326</v>
      </c>
      <c r="AO94" s="407">
        <f>AJ94</f>
        <v>0.33225815611787712</v>
      </c>
      <c r="AP94" s="407">
        <f>AK94</f>
        <v>0.33683792909397858</v>
      </c>
      <c r="AQ94" s="408"/>
      <c r="AR94" s="407">
        <f>AM94</f>
        <v>0.32626909749986671</v>
      </c>
      <c r="AS94" s="407">
        <f>AN94</f>
        <v>0.30898919172932326</v>
      </c>
      <c r="AT94" s="407">
        <f>AO94</f>
        <v>0.33225815611787712</v>
      </c>
      <c r="AU94" s="407">
        <f>AP94</f>
        <v>0.33683792909397858</v>
      </c>
      <c r="AV94" s="408"/>
    </row>
    <row r="95" spans="1:48" hidden="1" outlineLevel="1" x14ac:dyDescent="0.3">
      <c r="B95" s="170" t="s">
        <v>29</v>
      </c>
      <c r="C95" s="18"/>
      <c r="D95" s="95">
        <v>603.70000000000005</v>
      </c>
      <c r="E95" s="95">
        <v>618.4</v>
      </c>
      <c r="F95" s="95">
        <v>609.20000000000005</v>
      </c>
      <c r="G95" s="95">
        <v>597.29999999999995</v>
      </c>
      <c r="H95" s="160">
        <f>SUM(D95:G95)</f>
        <v>2428.6</v>
      </c>
      <c r="I95" s="95">
        <v>607.1</v>
      </c>
      <c r="J95" s="95">
        <v>562.79999999999995</v>
      </c>
      <c r="K95" s="95">
        <v>483.4</v>
      </c>
      <c r="L95" s="95">
        <v>622.70000000000005</v>
      </c>
      <c r="M95" s="160">
        <f>SUM(I95:L95)</f>
        <v>2276</v>
      </c>
      <c r="N95" s="95">
        <v>628.5</v>
      </c>
      <c r="O95" s="95">
        <v>620.20000000000005</v>
      </c>
      <c r="P95" s="95">
        <v>620.1</v>
      </c>
      <c r="Q95" s="95">
        <v>702.6</v>
      </c>
      <c r="R95" s="46">
        <f>SUM(N95:Q95)</f>
        <v>2571.4</v>
      </c>
      <c r="S95" s="45">
        <v>697.6</v>
      </c>
      <c r="T95" s="45">
        <v>689.3</v>
      </c>
      <c r="U95" s="45">
        <v>632.5</v>
      </c>
      <c r="V95" s="45">
        <v>682.5</v>
      </c>
      <c r="W95" s="46">
        <f>SUM(S95:V95)</f>
        <v>2701.9</v>
      </c>
      <c r="X95" s="95">
        <f>X78*X96</f>
        <v>685.08028979789481</v>
      </c>
      <c r="Y95" s="95">
        <f>Y78*Y96</f>
        <v>719.15464383745825</v>
      </c>
      <c r="Z95" s="95">
        <f>Z78*Z96</f>
        <v>855.92860715280585</v>
      </c>
      <c r="AA95" s="95">
        <f>AA78*AA96</f>
        <v>924.24850261622476</v>
      </c>
      <c r="AB95" s="160"/>
      <c r="AC95" s="95">
        <f>AC78*AC96</f>
        <v>930.78214809911935</v>
      </c>
      <c r="AD95" s="95">
        <f>AD78*AD96</f>
        <v>818.79511491466383</v>
      </c>
      <c r="AE95" s="95">
        <f>AE78*AE96</f>
        <v>1012.1658056891232</v>
      </c>
      <c r="AF95" s="95">
        <f>AF78*AF96</f>
        <v>1090.3148383241428</v>
      </c>
      <c r="AG95" s="160"/>
      <c r="AH95" s="95">
        <f>AH78*AH96</f>
        <v>1090.9368627773752</v>
      </c>
      <c r="AI95" s="95">
        <f>AI78*AI96</f>
        <v>957.56164132127924</v>
      </c>
      <c r="AJ95" s="95">
        <f>AJ78*AJ96</f>
        <v>1142.1181622455206</v>
      </c>
      <c r="AK95" s="95">
        <f>AK78*AK96</f>
        <v>1270.0540719244073</v>
      </c>
      <c r="AL95" s="160"/>
      <c r="AM95" s="95">
        <f>AM78*AM96</f>
        <v>1262.4679124371764</v>
      </c>
      <c r="AN95" s="95">
        <f>AN78*AN96</f>
        <v>1087.5871577993119</v>
      </c>
      <c r="AO95" s="95">
        <f>AO78*AO96</f>
        <v>1274.0020154134752</v>
      </c>
      <c r="AP95" s="95">
        <f>AP78*AP96</f>
        <v>1392.2339385532387</v>
      </c>
      <c r="AQ95" s="160"/>
      <c r="AR95" s="95">
        <f>AR78*AR96</f>
        <v>1346.0479838961321</v>
      </c>
      <c r="AS95" s="95">
        <f>AS78*AS96</f>
        <v>1159.5394129944311</v>
      </c>
      <c r="AT95" s="95">
        <f>AT78*AT96</f>
        <v>1358.2294160102995</v>
      </c>
      <c r="AU95" s="95">
        <f>AU78*AU96</f>
        <v>1484.216036769845</v>
      </c>
      <c r="AV95" s="160"/>
    </row>
    <row r="96" spans="1:48" s="174" customFormat="1" hidden="1" outlineLevel="1" x14ac:dyDescent="0.3">
      <c r="B96" s="171" t="s">
        <v>147</v>
      </c>
      <c r="C96" s="179"/>
      <c r="D96" s="157">
        <f t="shared" ref="D96:V96" si="323">D95/D78</f>
        <v>0.47234175729598632</v>
      </c>
      <c r="E96" s="157">
        <f t="shared" si="323"/>
        <v>0.4722773789521918</v>
      </c>
      <c r="F96" s="157">
        <f t="shared" si="323"/>
        <v>0.45032525133057366</v>
      </c>
      <c r="G96" s="157">
        <f t="shared" si="323"/>
        <v>0.45390987157078799</v>
      </c>
      <c r="H96" s="176">
        <f t="shared" si="323"/>
        <v>0.46204482325634483</v>
      </c>
      <c r="I96" s="157">
        <f t="shared" si="323"/>
        <v>0.46354126899289916</v>
      </c>
      <c r="J96" s="157">
        <f t="shared" si="323"/>
        <v>0.62367021276595747</v>
      </c>
      <c r="K96" s="157">
        <f t="shared" si="323"/>
        <v>0.5521416333523701</v>
      </c>
      <c r="L96" s="157">
        <f t="shared" si="323"/>
        <v>0.47962720480628518</v>
      </c>
      <c r="M96" s="176">
        <f t="shared" si="323"/>
        <v>0.51893568024806769</v>
      </c>
      <c r="N96" s="157">
        <f t="shared" si="323"/>
        <v>0.43594367760282998</v>
      </c>
      <c r="O96" s="157">
        <f t="shared" si="323"/>
        <v>0.44789485087022463</v>
      </c>
      <c r="P96" s="157">
        <f t="shared" si="323"/>
        <v>0.4326379683248448</v>
      </c>
      <c r="Q96" s="157">
        <f t="shared" si="323"/>
        <v>0.43639751552795031</v>
      </c>
      <c r="R96" s="178">
        <f t="shared" si="323"/>
        <v>0.43808031074841985</v>
      </c>
      <c r="S96" s="157">
        <f t="shared" si="323"/>
        <v>0.46250745872836974</v>
      </c>
      <c r="T96" s="157">
        <f t="shared" si="323"/>
        <v>0.51424947776783048</v>
      </c>
      <c r="U96" s="157">
        <f t="shared" si="323"/>
        <v>0.54417964380968775</v>
      </c>
      <c r="V96" s="157">
        <f t="shared" si="323"/>
        <v>0.50521874306018211</v>
      </c>
      <c r="W96" s="178">
        <f>W95/W78</f>
        <v>0.50390719707566356</v>
      </c>
      <c r="X96" s="407">
        <f>S96+2%</f>
        <v>0.48250745872836975</v>
      </c>
      <c r="Y96" s="407">
        <f>T96-1%</f>
        <v>0.50424947776783047</v>
      </c>
      <c r="Z96" s="407">
        <f>U96-0.005</f>
        <v>0.53917964380968775</v>
      </c>
      <c r="AA96" s="407">
        <f>V96-0.005</f>
        <v>0.5002187430601821</v>
      </c>
      <c r="AB96" s="408"/>
      <c r="AC96" s="407">
        <f>X96</f>
        <v>0.48250745872836975</v>
      </c>
      <c r="AD96" s="407">
        <f>Y96-2%</f>
        <v>0.48424947776783045</v>
      </c>
      <c r="AE96" s="407">
        <f>Z96</f>
        <v>0.53917964380968775</v>
      </c>
      <c r="AF96" s="407">
        <f>AA96</f>
        <v>0.5002187430601821</v>
      </c>
      <c r="AG96" s="408"/>
      <c r="AH96" s="407">
        <f>AC96-0.2%</f>
        <v>0.48050745872836975</v>
      </c>
      <c r="AI96" s="407">
        <f>AD96-0.2%</f>
        <v>0.48224947776783045</v>
      </c>
      <c r="AJ96" s="407">
        <f>AE96-2%</f>
        <v>0.51917964380968773</v>
      </c>
      <c r="AK96" s="407">
        <f>AF96-0.2%</f>
        <v>0.4982187430601821</v>
      </c>
      <c r="AL96" s="408"/>
      <c r="AM96" s="407">
        <f>AH96</f>
        <v>0.48050745872836975</v>
      </c>
      <c r="AN96" s="407">
        <f>AI96</f>
        <v>0.48224947776783045</v>
      </c>
      <c r="AO96" s="407">
        <f>AJ96</f>
        <v>0.51917964380968773</v>
      </c>
      <c r="AP96" s="407">
        <f>AK96</f>
        <v>0.4982187430601821</v>
      </c>
      <c r="AQ96" s="408"/>
      <c r="AR96" s="407">
        <f>AM96</f>
        <v>0.48050745872836975</v>
      </c>
      <c r="AS96" s="407">
        <f>AN96</f>
        <v>0.48224947776783045</v>
      </c>
      <c r="AT96" s="407">
        <f>AO96</f>
        <v>0.51917964380968773</v>
      </c>
      <c r="AU96" s="407">
        <f>AP96</f>
        <v>0.4982187430601821</v>
      </c>
      <c r="AV96" s="408"/>
    </row>
    <row r="97" spans="1:48" hidden="1" outlineLevel="1" x14ac:dyDescent="0.3">
      <c r="B97" s="170" t="s">
        <v>30</v>
      </c>
      <c r="C97" s="18"/>
      <c r="D97" s="95">
        <v>31.3</v>
      </c>
      <c r="E97" s="95">
        <v>26.3</v>
      </c>
      <c r="F97" s="95">
        <v>26.7</v>
      </c>
      <c r="G97" s="95">
        <v>31.9</v>
      </c>
      <c r="H97" s="160">
        <f>SUM(D97:G97)</f>
        <v>116.19999999999999</v>
      </c>
      <c r="I97" s="95">
        <v>35.9</v>
      </c>
      <c r="J97" s="95">
        <v>31.8</v>
      </c>
      <c r="K97" s="95">
        <v>37.5</v>
      </c>
      <c r="L97" s="95">
        <v>39.9</v>
      </c>
      <c r="M97" s="160">
        <f>SUM(I97:L97)</f>
        <v>145.1</v>
      </c>
      <c r="N97" s="95">
        <v>34.299999999999997</v>
      </c>
      <c r="O97" s="95">
        <v>29.3</v>
      </c>
      <c r="P97" s="95">
        <v>38.299999999999997</v>
      </c>
      <c r="Q97" s="95">
        <v>39.799999999999997</v>
      </c>
      <c r="R97" s="46">
        <f>SUM(N97:Q97)</f>
        <v>141.69999999999999</v>
      </c>
      <c r="S97" s="45">
        <v>39.200000000000003</v>
      </c>
      <c r="T97" s="45">
        <v>39.5</v>
      </c>
      <c r="U97" s="45">
        <v>60.2</v>
      </c>
      <c r="V97" s="45">
        <v>52.4</v>
      </c>
      <c r="W97" s="46">
        <f>SUM(S97:V97)</f>
        <v>191.3</v>
      </c>
      <c r="X97" s="95">
        <f>X92*X98</f>
        <v>39.171399438803</v>
      </c>
      <c r="Y97" s="95">
        <f>Y92*Y98</f>
        <v>43.688768597269629</v>
      </c>
      <c r="Z97" s="95">
        <f>Z92*Z98</f>
        <v>70.321167467771446</v>
      </c>
      <c r="AA97" s="95">
        <f>AA92*AA98</f>
        <v>58.783682857145834</v>
      </c>
      <c r="AB97" s="160"/>
      <c r="AC97" s="95">
        <f>AC92*AC98</f>
        <v>51.129783559092573</v>
      </c>
      <c r="AD97" s="95">
        <f>AD92*AD98</f>
        <v>51.316126055418245</v>
      </c>
      <c r="AE97" s="95">
        <f>AE92*AE98</f>
        <v>69.904360248024858</v>
      </c>
      <c r="AF97" s="95">
        <f>AF92*AF98</f>
        <v>68.795734239228821</v>
      </c>
      <c r="AG97" s="160"/>
      <c r="AH97" s="95">
        <f>AH92*AH98</f>
        <v>54.085389450241919</v>
      </c>
      <c r="AI97" s="95">
        <f>AI92*AI98</f>
        <v>54.690067907956696</v>
      </c>
      <c r="AJ97" s="95">
        <f>AJ92*AJ98</f>
        <v>63.882091211513938</v>
      </c>
      <c r="AK97" s="95">
        <f>AK92*AK98</f>
        <v>73.418477137876806</v>
      </c>
      <c r="AL97" s="160"/>
      <c r="AM97" s="95">
        <f>AM92*AM98</f>
        <v>62.220793156174473</v>
      </c>
      <c r="AN97" s="95">
        <f>AN92*AN98</f>
        <v>61.800290172283368</v>
      </c>
      <c r="AO97" s="95">
        <f>AO92*AO98</f>
        <v>70.973721532711636</v>
      </c>
      <c r="AP97" s="95">
        <f>AP92*AP98</f>
        <v>80.282371582973212</v>
      </c>
      <c r="AQ97" s="160"/>
      <c r="AR97" s="95">
        <f>AR92*AR98</f>
        <v>66.211050638802533</v>
      </c>
      <c r="AS97" s="95">
        <f>AS92*AS98</f>
        <v>65.7479556001189</v>
      </c>
      <c r="AT97" s="95">
        <f>AT92*AT98</f>
        <v>75.497922876948508</v>
      </c>
      <c r="AU97" s="95">
        <f>AU92*AU98</f>
        <v>85.41516826589168</v>
      </c>
      <c r="AV97" s="160"/>
    </row>
    <row r="98" spans="1:48" s="174" customFormat="1" hidden="1" outlineLevel="1" x14ac:dyDescent="0.3">
      <c r="B98" s="171" t="s">
        <v>149</v>
      </c>
      <c r="C98" s="179"/>
      <c r="D98" s="157">
        <f>D97/D92</f>
        <v>2.0811170212765958E-2</v>
      </c>
      <c r="E98" s="157">
        <f t="shared" ref="E98:V98" si="324">E97/E92</f>
        <v>1.7196286125277887E-2</v>
      </c>
      <c r="F98" s="157">
        <f t="shared" si="324"/>
        <v>1.6842238062196431E-2</v>
      </c>
      <c r="G98" s="157">
        <f t="shared" si="324"/>
        <v>2.0291330068061827E-2</v>
      </c>
      <c r="H98" s="176">
        <f t="shared" si="324"/>
        <v>1.8769787426503842E-2</v>
      </c>
      <c r="I98" s="157">
        <f t="shared" si="324"/>
        <v>2.2850232321303544E-2</v>
      </c>
      <c r="J98" s="157">
        <f t="shared" si="324"/>
        <v>2.8027498677948178E-2</v>
      </c>
      <c r="K98" s="157">
        <f t="shared" si="324"/>
        <v>3.9490311710193765E-2</v>
      </c>
      <c r="L98" s="157">
        <f t="shared" si="324"/>
        <v>2.6401111625752663E-2</v>
      </c>
      <c r="M98" s="176">
        <f t="shared" si="324"/>
        <v>2.8084233344946388E-2</v>
      </c>
      <c r="N98" s="157">
        <f t="shared" si="324"/>
        <v>2.0733845130871061E-2</v>
      </c>
      <c r="O98" s="157">
        <f t="shared" si="324"/>
        <v>1.8188590229064498E-2</v>
      </c>
      <c r="P98" s="157">
        <f t="shared" si="324"/>
        <v>2.3094548962855763E-2</v>
      </c>
      <c r="Q98" s="157">
        <f t="shared" si="324"/>
        <v>2.0787631881332914E-2</v>
      </c>
      <c r="R98" s="178">
        <f t="shared" si="324"/>
        <v>2.0721827381474659E-2</v>
      </c>
      <c r="S98" s="157">
        <f t="shared" si="324"/>
        <v>2.0896636281251667E-2</v>
      </c>
      <c r="T98" s="157">
        <f t="shared" si="324"/>
        <v>2.3202537593984961E-2</v>
      </c>
      <c r="U98" s="157">
        <f t="shared" si="324"/>
        <v>3.7988262762668014E-2</v>
      </c>
      <c r="V98" s="157">
        <f t="shared" si="324"/>
        <v>2.948790095666854E-2</v>
      </c>
      <c r="W98" s="178">
        <f t="shared" ref="W98" si="325">W97/W92</f>
        <v>2.7564841498559079E-2</v>
      </c>
      <c r="X98" s="407">
        <f>S98</f>
        <v>2.0896636281251667E-2</v>
      </c>
      <c r="Y98" s="407">
        <f>T98</f>
        <v>2.3202537593984961E-2</v>
      </c>
      <c r="Z98" s="407">
        <f>U98-0.005</f>
        <v>3.2988262762668016E-2</v>
      </c>
      <c r="AA98" s="407">
        <f>V98-0.005</f>
        <v>2.4487900956668539E-2</v>
      </c>
      <c r="AB98" s="408"/>
      <c r="AC98" s="407">
        <f>X98</f>
        <v>2.0896636281251667E-2</v>
      </c>
      <c r="AD98" s="407">
        <f>Y98</f>
        <v>2.3202537593984961E-2</v>
      </c>
      <c r="AE98" s="407">
        <f>Z98-0.5%</f>
        <v>2.7988262762668015E-2</v>
      </c>
      <c r="AF98" s="407">
        <f>AA98</f>
        <v>2.4487900956668539E-2</v>
      </c>
      <c r="AG98" s="408"/>
      <c r="AH98" s="407">
        <f>AC98-0.2%</f>
        <v>1.8896636281251669E-2</v>
      </c>
      <c r="AI98" s="407">
        <f>AD98-0.2%</f>
        <v>2.1202537593984959E-2</v>
      </c>
      <c r="AJ98" s="407">
        <f>AE98-0.6%</f>
        <v>2.1988262762668014E-2</v>
      </c>
      <c r="AK98" s="407">
        <f>AF98-0.2%</f>
        <v>2.2487900956668541E-2</v>
      </c>
      <c r="AL98" s="408"/>
      <c r="AM98" s="407">
        <f>AH98</f>
        <v>1.8896636281251669E-2</v>
      </c>
      <c r="AN98" s="407">
        <f>AI98</f>
        <v>2.1202537593984959E-2</v>
      </c>
      <c r="AO98" s="407">
        <f>AJ98</f>
        <v>2.1988262762668014E-2</v>
      </c>
      <c r="AP98" s="407">
        <f>AK98</f>
        <v>2.2487900956668541E-2</v>
      </c>
      <c r="AQ98" s="408"/>
      <c r="AR98" s="407">
        <f>AM98</f>
        <v>1.8896636281251669E-2</v>
      </c>
      <c r="AS98" s="407">
        <f>AN98</f>
        <v>2.1202537593984959E-2</v>
      </c>
      <c r="AT98" s="407">
        <f>AO98</f>
        <v>2.1988262762668014E-2</v>
      </c>
      <c r="AU98" s="407">
        <f>AP98</f>
        <v>2.2487900956668541E-2</v>
      </c>
      <c r="AV98" s="408"/>
    </row>
    <row r="99" spans="1:48" hidden="1" outlineLevel="1" x14ac:dyDescent="0.3">
      <c r="B99" s="170" t="s">
        <v>31</v>
      </c>
      <c r="C99" s="18"/>
      <c r="D99" s="327">
        <v>127</v>
      </c>
      <c r="E99" s="327">
        <v>130.4</v>
      </c>
      <c r="F99" s="327">
        <v>127.7</v>
      </c>
      <c r="G99" s="327">
        <v>126.5</v>
      </c>
      <c r="H99" s="116">
        <f>SUM(D99:G99)</f>
        <v>511.59999999999997</v>
      </c>
      <c r="I99" s="327">
        <v>126.6</v>
      </c>
      <c r="J99" s="327">
        <v>130</v>
      </c>
      <c r="K99" s="327">
        <v>128.5</v>
      </c>
      <c r="L99" s="327">
        <v>133.1</v>
      </c>
      <c r="M99" s="116">
        <f>SUM(I99:L99)</f>
        <v>518.20000000000005</v>
      </c>
      <c r="N99" s="327">
        <v>140</v>
      </c>
      <c r="O99" s="327">
        <v>143.4</v>
      </c>
      <c r="P99" s="327">
        <v>129.69999999999999</v>
      </c>
      <c r="Q99" s="327">
        <v>131.6</v>
      </c>
      <c r="R99" s="116">
        <f>SUM(N99:Q99)</f>
        <v>544.69999999999993</v>
      </c>
      <c r="S99" s="327">
        <v>133.1</v>
      </c>
      <c r="T99" s="327">
        <v>133.4</v>
      </c>
      <c r="U99" s="327">
        <v>125</v>
      </c>
      <c r="V99" s="327">
        <v>121.5</v>
      </c>
      <c r="W99" s="116">
        <f>SUM(S99:V99)</f>
        <v>513</v>
      </c>
      <c r="X99" s="327">
        <f>(V99/(V66+V99+V114+V127))*'Cash Flow Statement'!X7*0.95</f>
        <v>127.59351527412447</v>
      </c>
      <c r="Y99" s="327">
        <f>(X99/(X66+X99+X114+X127))*'Cash Flow Statement'!Y7*0.95</f>
        <v>133.02927908335067</v>
      </c>
      <c r="Z99" s="327">
        <f>(Y99/(Y66+Y99+Y114+Y127))*'Cash Flow Statement'!Z7*0.95</f>
        <v>135.42855293309799</v>
      </c>
      <c r="AA99" s="327">
        <f>(Z99/(Z66+Z99+Z114+Z127))*'Cash Flow Statement'!AA7*0.95</f>
        <v>136.18372649708843</v>
      </c>
      <c r="AB99" s="116"/>
      <c r="AC99" s="327">
        <f>(AA99/(AA66+AA99+AA114+AA127))*'Cash Flow Statement'!AC7*0.95</f>
        <v>146.73843015020236</v>
      </c>
      <c r="AD99" s="327">
        <f>(AC99/(AC66+AC99+AC114+AC127))*'Cash Flow Statement'!AD7*0.95</f>
        <v>152.40907192979842</v>
      </c>
      <c r="AE99" s="327">
        <f>(AD99/(AD66+AD99+AD114+AD127))*'Cash Flow Statement'!AE7*0.95</f>
        <v>154.37844059179162</v>
      </c>
      <c r="AF99" s="327">
        <f>(AE99/(AE66+AE99+AE114+AE127))*'Cash Flow Statement'!AF7*0.95</f>
        <v>152.95970011096753</v>
      </c>
      <c r="AG99" s="116"/>
      <c r="AH99" s="327">
        <f>(AF99/(AF66+AF99+AF114+AF127))*'Cash Flow Statement'!AH7*0.95</f>
        <v>164.68437212219098</v>
      </c>
      <c r="AI99" s="327">
        <f>(AH99/(AH66+AH99+AH114+AH127))*'Cash Flow Statement'!AI7*0.95</f>
        <v>169.72227236380246</v>
      </c>
      <c r="AJ99" s="327">
        <f>(AI99/(AI66+AI99+AI114+AI127))*'Cash Flow Statement'!AJ7*0.95</f>
        <v>171.38072914904799</v>
      </c>
      <c r="AK99" s="327">
        <f>(AJ99/(AJ66+AJ99+AJ114+AJ127))*'Cash Flow Statement'!AK7*0.95</f>
        <v>166.48717138680615</v>
      </c>
      <c r="AL99" s="116"/>
      <c r="AM99" s="327">
        <f>(AK99/(AK66+AK99+AK114+AK127))*'Cash Flow Statement'!AM7*0.95</f>
        <v>180.26699151386325</v>
      </c>
      <c r="AN99" s="327">
        <f>(AM99/(AM66+AM99+AM114+AM127))*'Cash Flow Statement'!AN7*0.95</f>
        <v>185.99341532715158</v>
      </c>
      <c r="AO99" s="327">
        <f>(AN99/(AN66+AN99+AN114+AN127))*'Cash Flow Statement'!AO7*0.95</f>
        <v>187.42683775802254</v>
      </c>
      <c r="AP99" s="327">
        <f>(AO99/(AO66+AO99+AO114+AO127))*'Cash Flow Statement'!AP7*0.95</f>
        <v>184.27050849695166</v>
      </c>
      <c r="AQ99" s="116"/>
      <c r="AR99" s="327">
        <f>(AP99/(AP66+AP99+AP114+AP127))*'Cash Flow Statement'!AR7*0.95</f>
        <v>197.37267914057946</v>
      </c>
      <c r="AS99" s="327">
        <f>(AR99/(AR66+AR99+AR114+AR127))*'Cash Flow Statement'!AS7*0.95</f>
        <v>202.85752140816004</v>
      </c>
      <c r="AT99" s="327">
        <f>(AS99/(AS66+AS99+AS114+AS127))*'Cash Flow Statement'!AT7*0.95</f>
        <v>203.83735774966931</v>
      </c>
      <c r="AU99" s="327">
        <f>(AT99/(AT66+AT99+AT114+AT127))*'Cash Flow Statement'!AU7*0.95</f>
        <v>199.02803172150004</v>
      </c>
      <c r="AV99" s="116"/>
    </row>
    <row r="100" spans="1:48" hidden="1" outlineLevel="1" x14ac:dyDescent="0.3">
      <c r="B100" s="170" t="s">
        <v>32</v>
      </c>
      <c r="C100" s="18"/>
      <c r="D100" s="95">
        <v>69.3</v>
      </c>
      <c r="E100" s="95">
        <v>80.2</v>
      </c>
      <c r="F100" s="95">
        <v>86</v>
      </c>
      <c r="G100" s="95">
        <v>82.4</v>
      </c>
      <c r="H100" s="160">
        <f>SUM(D100:G100)</f>
        <v>317.89999999999998</v>
      </c>
      <c r="I100" s="95">
        <v>67.2</v>
      </c>
      <c r="J100" s="95">
        <v>63.7</v>
      </c>
      <c r="K100" s="95">
        <v>66.099999999999994</v>
      </c>
      <c r="L100" s="95">
        <v>84.5</v>
      </c>
      <c r="M100" s="160">
        <f>SUM(I100:L100)</f>
        <v>281.5</v>
      </c>
      <c r="N100" s="95">
        <v>82.6</v>
      </c>
      <c r="O100" s="95">
        <v>79.8</v>
      </c>
      <c r="P100" s="95">
        <v>92.3</v>
      </c>
      <c r="Q100" s="95">
        <v>98.4</v>
      </c>
      <c r="R100" s="46">
        <f>SUM(N100:Q100)</f>
        <v>353.1</v>
      </c>
      <c r="S100" s="45">
        <v>91.3</v>
      </c>
      <c r="T100" s="45">
        <v>79.599999999999994</v>
      </c>
      <c r="U100" s="45">
        <v>81.8</v>
      </c>
      <c r="V100" s="45">
        <v>92.6</v>
      </c>
      <c r="W100" s="46">
        <f>SUM(S100:V100)</f>
        <v>345.29999999999995</v>
      </c>
      <c r="X100" s="95">
        <f>X92*X101</f>
        <v>91.233386958232487</v>
      </c>
      <c r="Y100" s="95">
        <f>Y92*Y101</f>
        <v>88.041164059307903</v>
      </c>
      <c r="Z100" s="95">
        <f>Z92*Z101</f>
        <v>99.37699976916619</v>
      </c>
      <c r="AA100" s="95">
        <f>AA92*AA101</f>
        <v>113.08918787512269</v>
      </c>
      <c r="AB100" s="160"/>
      <c r="AC100" s="95">
        <f>AC92*AC101</f>
        <v>111.74505500024607</v>
      </c>
      <c r="AD100" s="95">
        <f>AD92*AD101</f>
        <v>103.41173756990614</v>
      </c>
      <c r="AE100" s="95">
        <f>AE92*AE101</f>
        <v>116.43608030715414</v>
      </c>
      <c r="AF100" s="95">
        <f>AF92*AF101</f>
        <v>132.35056628374218</v>
      </c>
      <c r="AG100" s="160"/>
      <c r="AH100" s="95">
        <f>AH92*AH101</f>
        <v>124.99089224441697</v>
      </c>
      <c r="AI100" s="95">
        <f>AI92*AI101</f>
        <v>115.44805575977809</v>
      </c>
      <c r="AJ100" s="95">
        <f>AJ92*AJ101</f>
        <v>129.62959785969892</v>
      </c>
      <c r="AK100" s="95">
        <f>AK92*AK101</f>
        <v>147.27605780259108</v>
      </c>
      <c r="AL100" s="160"/>
      <c r="AM100" s="95">
        <f>AM92*AM101</f>
        <v>143.79174360758486</v>
      </c>
      <c r="AN100" s="95">
        <f>AN92*AN101</f>
        <v>130.45738684742474</v>
      </c>
      <c r="AO100" s="95">
        <f>AO92*AO101</f>
        <v>144.01994058756529</v>
      </c>
      <c r="AP100" s="95">
        <f>AP92*AP101</f>
        <v>161.04489848759329</v>
      </c>
      <c r="AQ100" s="160"/>
      <c r="AR100" s="95">
        <f>AR92*AR101</f>
        <v>153.01319598332273</v>
      </c>
      <c r="AS100" s="95">
        <f>AS92*AS101</f>
        <v>138.79071529018205</v>
      </c>
      <c r="AT100" s="95">
        <f>AT92*AT101</f>
        <v>153.20045408935292</v>
      </c>
      <c r="AU100" s="95">
        <f>AU92*AU101</f>
        <v>171.34119024454199</v>
      </c>
      <c r="AV100" s="160"/>
    </row>
    <row r="101" spans="1:48" s="174" customFormat="1" hidden="1" outlineLevel="1" x14ac:dyDescent="0.3">
      <c r="B101" s="171" t="s">
        <v>150</v>
      </c>
      <c r="C101" s="179"/>
      <c r="D101" s="157">
        <f>D100/D92</f>
        <v>4.6077127659574467E-2</v>
      </c>
      <c r="E101" s="157">
        <f t="shared" ref="E101:V101" si="326">E100/E92</f>
        <v>5.2438864914345497E-2</v>
      </c>
      <c r="F101" s="157">
        <f t="shared" si="326"/>
        <v>5.4248407241531571E-2</v>
      </c>
      <c r="G101" s="157">
        <f t="shared" si="326"/>
        <v>5.2413968577062528E-2</v>
      </c>
      <c r="H101" s="176">
        <f t="shared" si="326"/>
        <v>5.1350390902629703E-2</v>
      </c>
      <c r="I101" s="157">
        <f t="shared" si="326"/>
        <v>4.277257972121444E-2</v>
      </c>
      <c r="J101" s="157">
        <f t="shared" si="326"/>
        <v>5.6143134144191795E-2</v>
      </c>
      <c r="K101" s="157">
        <f t="shared" si="326"/>
        <v>6.9608256107834873E-2</v>
      </c>
      <c r="L101" s="157">
        <f t="shared" si="326"/>
        <v>5.5912128630979954E-2</v>
      </c>
      <c r="M101" s="176">
        <f t="shared" si="326"/>
        <v>5.4484573994503162E-2</v>
      </c>
      <c r="N101" s="157">
        <f t="shared" si="326"/>
        <v>4.9930484192709908E-2</v>
      </c>
      <c r="O101" s="157">
        <f t="shared" si="326"/>
        <v>4.9537525606803648E-2</v>
      </c>
      <c r="P101" s="157">
        <f t="shared" si="326"/>
        <v>5.5656054027978775E-2</v>
      </c>
      <c r="Q101" s="157">
        <f t="shared" si="326"/>
        <v>5.139454716389847E-2</v>
      </c>
      <c r="R101" s="178">
        <f t="shared" si="326"/>
        <v>5.1636395542686682E-2</v>
      </c>
      <c r="S101" s="157">
        <f t="shared" si="326"/>
        <v>4.8669971746894823E-2</v>
      </c>
      <c r="T101" s="157">
        <f t="shared" si="326"/>
        <v>4.6757518796992477E-2</v>
      </c>
      <c r="U101" s="157">
        <f t="shared" si="326"/>
        <v>5.1618602890136929E-2</v>
      </c>
      <c r="V101" s="157">
        <f t="shared" si="326"/>
        <v>5.211029825548677E-2</v>
      </c>
      <c r="W101" s="178">
        <f t="shared" ref="W101" si="327">W100/W92</f>
        <v>4.9755043227665698E-2</v>
      </c>
      <c r="X101" s="407">
        <f>S101</f>
        <v>4.8669971746894823E-2</v>
      </c>
      <c r="Y101" s="407">
        <f>T101</f>
        <v>4.6757518796992477E-2</v>
      </c>
      <c r="Z101" s="407">
        <f>U101-0.005</f>
        <v>4.6618602890136931E-2</v>
      </c>
      <c r="AA101" s="407">
        <f>V101-0.005</f>
        <v>4.7110298255486772E-2</v>
      </c>
      <c r="AB101" s="408"/>
      <c r="AC101" s="407">
        <f>X101-0.3%</f>
        <v>4.566997174689482E-2</v>
      </c>
      <c r="AD101" s="407">
        <f>Y101</f>
        <v>4.6757518796992477E-2</v>
      </c>
      <c r="AE101" s="407">
        <f>Z101</f>
        <v>4.6618602890136931E-2</v>
      </c>
      <c r="AF101" s="407">
        <f>AA101</f>
        <v>4.7110298255486772E-2</v>
      </c>
      <c r="AG101" s="408"/>
      <c r="AH101" s="407">
        <f>AC101-0.2%</f>
        <v>4.3669971746894819E-2</v>
      </c>
      <c r="AI101" s="407">
        <f>AD101-0.2%</f>
        <v>4.4757518796992475E-2</v>
      </c>
      <c r="AJ101" s="407">
        <f>AE101-0.2%</f>
        <v>4.461860289013693E-2</v>
      </c>
      <c r="AK101" s="407">
        <f>AF101-0.2%</f>
        <v>4.5110298255486771E-2</v>
      </c>
      <c r="AL101" s="408"/>
      <c r="AM101" s="407">
        <f>AH101</f>
        <v>4.3669971746894819E-2</v>
      </c>
      <c r="AN101" s="407">
        <f>AI101</f>
        <v>4.4757518796992475E-2</v>
      </c>
      <c r="AO101" s="407">
        <f>AJ101</f>
        <v>4.461860289013693E-2</v>
      </c>
      <c r="AP101" s="407">
        <f>AK101</f>
        <v>4.5110298255486771E-2</v>
      </c>
      <c r="AQ101" s="408"/>
      <c r="AR101" s="407">
        <f>AM101</f>
        <v>4.3669971746894819E-2</v>
      </c>
      <c r="AS101" s="407">
        <f>AN101</f>
        <v>4.4757518796992475E-2</v>
      </c>
      <c r="AT101" s="407">
        <f>AO101</f>
        <v>4.461860289013693E-2</v>
      </c>
      <c r="AU101" s="407">
        <f>AP101</f>
        <v>4.5110298255486771E-2</v>
      </c>
      <c r="AV101" s="408"/>
    </row>
    <row r="102" spans="1:48" ht="16.2" hidden="1" outlineLevel="1" x14ac:dyDescent="0.45">
      <c r="B102" s="170" t="s">
        <v>39</v>
      </c>
      <c r="C102" s="18"/>
      <c r="D102" s="109">
        <v>6.4</v>
      </c>
      <c r="E102" s="109">
        <v>24.2</v>
      </c>
      <c r="F102" s="109">
        <v>16.600000000000001</v>
      </c>
      <c r="G102" s="109">
        <v>12</v>
      </c>
      <c r="H102" s="121">
        <f>SUM(D102:G102)</f>
        <v>59.2</v>
      </c>
      <c r="I102" s="109">
        <v>0.8</v>
      </c>
      <c r="J102" s="109">
        <v>-1.2</v>
      </c>
      <c r="K102" s="109">
        <v>-0.2</v>
      </c>
      <c r="L102" s="109">
        <v>-0.6</v>
      </c>
      <c r="M102" s="121">
        <f>SUM(I102:L102)</f>
        <v>-1.1999999999999997</v>
      </c>
      <c r="N102" s="109">
        <v>0</v>
      </c>
      <c r="O102" s="109">
        <v>0</v>
      </c>
      <c r="P102" s="109">
        <v>0</v>
      </c>
      <c r="Q102" s="109">
        <v>0</v>
      </c>
      <c r="R102" s="121">
        <f>SUM(N102:Q102)</f>
        <v>0</v>
      </c>
      <c r="S102" s="109">
        <v>0</v>
      </c>
      <c r="T102" s="109">
        <v>0</v>
      </c>
      <c r="U102" s="109">
        <v>0</v>
      </c>
      <c r="V102" s="109">
        <f>IFERROR((V163*(U102/U163)),0)</f>
        <v>0</v>
      </c>
      <c r="W102" s="121">
        <f>SUM(S102:V102)</f>
        <v>0</v>
      </c>
      <c r="X102" s="109">
        <v>0</v>
      </c>
      <c r="Y102" s="109">
        <v>0</v>
      </c>
      <c r="Z102" s="109">
        <v>0</v>
      </c>
      <c r="AA102" s="109">
        <v>0</v>
      </c>
      <c r="AB102" s="121"/>
      <c r="AC102" s="109">
        <v>0</v>
      </c>
      <c r="AD102" s="109">
        <v>0</v>
      </c>
      <c r="AE102" s="109">
        <v>0</v>
      </c>
      <c r="AF102" s="109">
        <v>0</v>
      </c>
      <c r="AG102" s="121"/>
      <c r="AH102" s="109">
        <v>0</v>
      </c>
      <c r="AI102" s="109">
        <v>0</v>
      </c>
      <c r="AJ102" s="109">
        <v>0</v>
      </c>
      <c r="AK102" s="109">
        <v>0</v>
      </c>
      <c r="AL102" s="121"/>
      <c r="AM102" s="109">
        <v>0</v>
      </c>
      <c r="AN102" s="109">
        <v>0</v>
      </c>
      <c r="AO102" s="109">
        <v>0</v>
      </c>
      <c r="AP102" s="109">
        <v>0</v>
      </c>
      <c r="AQ102" s="121"/>
      <c r="AR102" s="109">
        <v>0</v>
      </c>
      <c r="AS102" s="109">
        <v>0</v>
      </c>
      <c r="AT102" s="109">
        <v>0</v>
      </c>
      <c r="AU102" s="109">
        <v>0</v>
      </c>
      <c r="AV102" s="121"/>
    </row>
    <row r="103" spans="1:48" hidden="1" outlineLevel="1" x14ac:dyDescent="0.3">
      <c r="B103" s="43" t="s">
        <v>120</v>
      </c>
      <c r="C103" s="19"/>
      <c r="D103" s="93">
        <f>D93+D95+D97+D99+D100+D102</f>
        <v>1300.4000000000001</v>
      </c>
      <c r="E103" s="93">
        <f t="shared" ref="E103:G103" si="328">E93+E95+E97+E99+E100+E102</f>
        <v>1349.7</v>
      </c>
      <c r="F103" s="93">
        <f t="shared" si="328"/>
        <v>1342.3000000000002</v>
      </c>
      <c r="G103" s="93">
        <f t="shared" si="328"/>
        <v>1336.2000000000003</v>
      </c>
      <c r="H103" s="161">
        <f>H93+H95+H97+H99+H100+H102</f>
        <v>5328.5999999999995</v>
      </c>
      <c r="I103" s="93">
        <f>I93+I95+I97+I99+I100+I102</f>
        <v>1326.1</v>
      </c>
      <c r="J103" s="93">
        <f t="shared" ref="J103:L103" si="329">J93+J95+J97+J99+J100+J102</f>
        <v>1174.8</v>
      </c>
      <c r="K103" s="93">
        <f t="shared" si="329"/>
        <v>1052.9999999999998</v>
      </c>
      <c r="L103" s="93">
        <f t="shared" si="329"/>
        <v>1358.8000000000002</v>
      </c>
      <c r="M103" s="161">
        <f>M93+M95+M97+M99+M100+M102</f>
        <v>4912.7000000000007</v>
      </c>
      <c r="N103" s="93">
        <f>N93+N95+N97+N99+N100+N102</f>
        <v>1405.8</v>
      </c>
      <c r="O103" s="93">
        <f t="shared" ref="O103:P103" si="330">O93+O95+O97+O99+O100+O102</f>
        <v>1386.2</v>
      </c>
      <c r="P103" s="93">
        <f t="shared" si="330"/>
        <v>1382.1</v>
      </c>
      <c r="Q103" s="93">
        <f>Q93+Q95+Q97+Q99+Q100+Q102</f>
        <v>1577.5</v>
      </c>
      <c r="R103" s="161">
        <f>R93+R95+R97+R99+R100+R102</f>
        <v>5751.6</v>
      </c>
      <c r="S103" s="93">
        <f>S93+S95+S97+S99+S100+S102</f>
        <v>1577</v>
      </c>
      <c r="T103" s="93">
        <f t="shared" ref="T103:V103" si="331">T93+T95+T97+T99+T100+T102</f>
        <v>1522.3</v>
      </c>
      <c r="U103" s="93">
        <f t="shared" si="331"/>
        <v>1449.8</v>
      </c>
      <c r="V103" s="93">
        <f t="shared" si="331"/>
        <v>1560</v>
      </c>
      <c r="W103" s="161">
        <f>W93+W95+W97+W99+W100+W102</f>
        <v>6109.1</v>
      </c>
      <c r="X103" s="93">
        <f>X93+X95+X97+X99+X100+X102</f>
        <v>1595.9199266363992</v>
      </c>
      <c r="Y103" s="93">
        <f>Y93+Y95+Y97+Y99+Y100+Y102</f>
        <v>1607.143540998022</v>
      </c>
      <c r="Z103" s="93">
        <f>Z93+Z95+Z97+Z99+Z100+Z102</f>
        <v>1890.6479489995743</v>
      </c>
      <c r="AA103" s="93">
        <f>AA93+AA95+AA97+AA99+AA100+AA102</f>
        <v>2045.6921434749131</v>
      </c>
      <c r="AB103" s="161">
        <f>SUM(X103:AA103)</f>
        <v>7139.4035601089081</v>
      </c>
      <c r="AC103" s="93">
        <f t="shared" ref="AC103:AU103" si="332">AC93+AC95+AC97+AC99+AC100+AC102</f>
        <v>2043.6025779231811</v>
      </c>
      <c r="AD103" s="93">
        <f t="shared" si="332"/>
        <v>1813.7344298436592</v>
      </c>
      <c r="AE103" s="93">
        <f t="shared" si="332"/>
        <v>2207.7193597119499</v>
      </c>
      <c r="AF103" s="93">
        <f t="shared" si="332"/>
        <v>2396.3441647412192</v>
      </c>
      <c r="AG103" s="161">
        <f>SUM(AC103:AF103)</f>
        <v>8461.4005322200101</v>
      </c>
      <c r="AH103" s="93">
        <f t="shared" si="332"/>
        <v>2368.5352081926571</v>
      </c>
      <c r="AI103" s="93">
        <f t="shared" si="332"/>
        <v>2094.4322916015999</v>
      </c>
      <c r="AJ103" s="93">
        <f t="shared" si="332"/>
        <v>2472.3140273087197</v>
      </c>
      <c r="AK103" s="93">
        <f t="shared" si="332"/>
        <v>2756.9439210440205</v>
      </c>
      <c r="AL103" s="161">
        <f>SUM(AH103:AK103)</f>
        <v>9692.2254481469972</v>
      </c>
      <c r="AM103" s="93">
        <f t="shared" si="332"/>
        <v>2723.0509160339661</v>
      </c>
      <c r="AN103" s="93">
        <f t="shared" si="332"/>
        <v>2366.4673198660525</v>
      </c>
      <c r="AO103" s="93">
        <f t="shared" si="332"/>
        <v>2748.8854971931737</v>
      </c>
      <c r="AP103" s="93">
        <f t="shared" si="332"/>
        <v>3020.3515894231523</v>
      </c>
      <c r="AQ103" s="161">
        <f>SUM(AM103:AP103)</f>
        <v>10858.755322516346</v>
      </c>
      <c r="AR103" s="93">
        <f t="shared" si="332"/>
        <v>2905.8441232603154</v>
      </c>
      <c r="AS103" s="93">
        <f t="shared" si="332"/>
        <v>2525.0948618763846</v>
      </c>
      <c r="AT103" s="93">
        <f t="shared" si="332"/>
        <v>2931.5920053340815</v>
      </c>
      <c r="AU103" s="93">
        <f t="shared" si="332"/>
        <v>3219.4025573889157</v>
      </c>
      <c r="AV103" s="161">
        <f>SUM(AR103:AU103)</f>
        <v>11581.933547859697</v>
      </c>
    </row>
    <row r="104" spans="1:48" ht="16.2" hidden="1" outlineLevel="1" x14ac:dyDescent="0.45">
      <c r="B104" s="170" t="s">
        <v>33</v>
      </c>
      <c r="C104" s="18"/>
      <c r="D104" s="109">
        <v>26.4</v>
      </c>
      <c r="E104" s="94">
        <v>22.1</v>
      </c>
      <c r="F104" s="94">
        <v>27.2</v>
      </c>
      <c r="G104" s="94">
        <v>26.8</v>
      </c>
      <c r="H104" s="202">
        <f>SUM(D104:G104)</f>
        <v>102.5</v>
      </c>
      <c r="I104" s="94">
        <v>30.9</v>
      </c>
      <c r="J104" s="94">
        <v>24.8</v>
      </c>
      <c r="K104" s="94">
        <v>17.399999999999999</v>
      </c>
      <c r="L104" s="94">
        <v>29.2</v>
      </c>
      <c r="M104" s="202">
        <f>SUM(I104:L104)</f>
        <v>102.3</v>
      </c>
      <c r="N104" s="94">
        <v>26.3</v>
      </c>
      <c r="O104" s="94">
        <v>26.8</v>
      </c>
      <c r="P104" s="94">
        <v>42</v>
      </c>
      <c r="Q104" s="94">
        <v>40.299999999999997</v>
      </c>
      <c r="R104" s="182">
        <f>SUM(N104:Q104)</f>
        <v>135.39999999999998</v>
      </c>
      <c r="S104" s="94">
        <v>0.7</v>
      </c>
      <c r="T104" s="94">
        <v>0.6</v>
      </c>
      <c r="U104" s="94">
        <v>0.4</v>
      </c>
      <c r="V104" s="94">
        <v>0.6</v>
      </c>
      <c r="W104" s="182">
        <f>SUM(S104:V104)</f>
        <v>2.2999999999999998</v>
      </c>
      <c r="X104" s="435">
        <v>0.4</v>
      </c>
      <c r="Y104" s="435">
        <v>0.5</v>
      </c>
      <c r="Z104" s="435">
        <v>0.6</v>
      </c>
      <c r="AA104" s="435">
        <v>0.7</v>
      </c>
      <c r="AB104" s="412">
        <f>SUM(X104:AA104)</f>
        <v>2.2000000000000002</v>
      </c>
      <c r="AC104" s="435">
        <v>1</v>
      </c>
      <c r="AD104" s="435">
        <v>1</v>
      </c>
      <c r="AE104" s="435">
        <v>1</v>
      </c>
      <c r="AF104" s="435">
        <v>1</v>
      </c>
      <c r="AG104" s="412">
        <f>SUM(AC104:AF104)</f>
        <v>4</v>
      </c>
      <c r="AH104" s="435">
        <v>1</v>
      </c>
      <c r="AI104" s="435">
        <v>1</v>
      </c>
      <c r="AJ104" s="435">
        <v>1</v>
      </c>
      <c r="AK104" s="435">
        <v>1</v>
      </c>
      <c r="AL104" s="412">
        <f>SUM(AH104:AK104)</f>
        <v>4</v>
      </c>
      <c r="AM104" s="435">
        <v>1</v>
      </c>
      <c r="AN104" s="435">
        <v>1</v>
      </c>
      <c r="AO104" s="435">
        <v>1</v>
      </c>
      <c r="AP104" s="435">
        <v>1</v>
      </c>
      <c r="AQ104" s="412">
        <f>SUM(AM104:AP104)</f>
        <v>4</v>
      </c>
      <c r="AR104" s="435">
        <v>1</v>
      </c>
      <c r="AS104" s="435">
        <v>1</v>
      </c>
      <c r="AT104" s="435">
        <v>1</v>
      </c>
      <c r="AU104" s="435">
        <v>1</v>
      </c>
      <c r="AV104" s="412">
        <f>SUM(AR104:AU104)</f>
        <v>4</v>
      </c>
    </row>
    <row r="105" spans="1:48" hidden="1" outlineLevel="1" x14ac:dyDescent="0.3">
      <c r="B105" s="43" t="s">
        <v>121</v>
      </c>
      <c r="C105" s="41"/>
      <c r="D105" s="146">
        <f>+D92-D103+D104</f>
        <v>229.99999999999991</v>
      </c>
      <c r="E105" s="146">
        <f t="shared" ref="E105:AV105" si="333">+E92-E103+E104</f>
        <v>201.80000000000004</v>
      </c>
      <c r="F105" s="146">
        <f t="shared" si="333"/>
        <v>270.19999999999976</v>
      </c>
      <c r="G105" s="146">
        <f t="shared" si="333"/>
        <v>262.69999999999987</v>
      </c>
      <c r="H105" s="122">
        <f>SUM(D105:G105)</f>
        <v>964.69999999999959</v>
      </c>
      <c r="I105" s="146">
        <f t="shared" si="333"/>
        <v>275.89999999999998</v>
      </c>
      <c r="J105" s="146">
        <f t="shared" si="333"/>
        <v>-15.400000000000045</v>
      </c>
      <c r="K105" s="146">
        <f>+K92-K103+K104</f>
        <v>-85.999999999999744</v>
      </c>
      <c r="L105" s="146">
        <f t="shared" si="333"/>
        <v>181.69999999999976</v>
      </c>
      <c r="M105" s="122">
        <f>SUM(I105:L105)</f>
        <v>356.19999999999993</v>
      </c>
      <c r="N105" s="146">
        <f t="shared" si="333"/>
        <v>274.8</v>
      </c>
      <c r="O105" s="146">
        <f t="shared" si="333"/>
        <v>251.50000000000006</v>
      </c>
      <c r="P105" s="146">
        <f t="shared" si="333"/>
        <v>318.29999999999995</v>
      </c>
      <c r="Q105" s="146">
        <f t="shared" si="333"/>
        <v>377.39999999999992</v>
      </c>
      <c r="R105" s="87">
        <f>SUM(N105:Q105)</f>
        <v>1222</v>
      </c>
      <c r="S105" s="68">
        <f t="shared" si="333"/>
        <v>299.59999999999985</v>
      </c>
      <c r="T105" s="68">
        <f t="shared" si="333"/>
        <v>180.70000000000013</v>
      </c>
      <c r="U105" s="68">
        <f t="shared" si="333"/>
        <v>135.3000000000001</v>
      </c>
      <c r="V105" s="68">
        <f t="shared" si="333"/>
        <v>217.6</v>
      </c>
      <c r="W105" s="87">
        <f>SUM(S105:V105)</f>
        <v>833.2</v>
      </c>
      <c r="X105" s="68">
        <f t="shared" si="333"/>
        <v>279.01140518121667</v>
      </c>
      <c r="Y105" s="146">
        <f t="shared" si="333"/>
        <v>276.28708330556833</v>
      </c>
      <c r="Z105" s="146">
        <f t="shared" si="333"/>
        <v>241.65471063099389</v>
      </c>
      <c r="AA105" s="146">
        <f t="shared" si="333"/>
        <v>355.52731963316813</v>
      </c>
      <c r="AB105" s="122">
        <f t="shared" si="333"/>
        <v>1152.4805187509485</v>
      </c>
      <c r="AC105" s="146">
        <f t="shared" si="333"/>
        <v>404.1923449977819</v>
      </c>
      <c r="AD105" s="146">
        <f t="shared" si="333"/>
        <v>398.9256460232782</v>
      </c>
      <c r="AE105" s="146">
        <f t="shared" si="333"/>
        <v>290.91190953804426</v>
      </c>
      <c r="AF105" s="146">
        <f t="shared" si="333"/>
        <v>414.03236618167239</v>
      </c>
      <c r="AG105" s="122">
        <f t="shared" si="333"/>
        <v>1508.0622667407752</v>
      </c>
      <c r="AH105" s="146">
        <f t="shared" si="333"/>
        <v>494.63500269841188</v>
      </c>
      <c r="AI105" s="146">
        <f t="shared" si="333"/>
        <v>485.97914278594999</v>
      </c>
      <c r="AJ105" s="146">
        <f t="shared" si="333"/>
        <v>433.96739037443922</v>
      </c>
      <c r="AK105" s="146">
        <f t="shared" si="333"/>
        <v>508.85510485640953</v>
      </c>
      <c r="AL105" s="122">
        <f t="shared" si="333"/>
        <v>1923.4366407152083</v>
      </c>
      <c r="AM105" s="146">
        <f t="shared" si="333"/>
        <v>570.64055720494798</v>
      </c>
      <c r="AN105" s="146">
        <f t="shared" si="333"/>
        <v>549.29181678633404</v>
      </c>
      <c r="AO105" s="146">
        <f t="shared" si="333"/>
        <v>479.91482058417432</v>
      </c>
      <c r="AP105" s="146">
        <f t="shared" si="333"/>
        <v>550.67354265420818</v>
      </c>
      <c r="AQ105" s="122">
        <f t="shared" si="333"/>
        <v>2150.5207372296627</v>
      </c>
      <c r="AR105" s="146">
        <f t="shared" si="333"/>
        <v>599.00966602460312</v>
      </c>
      <c r="AS105" s="146">
        <f t="shared" si="333"/>
        <v>576.85262182345423</v>
      </c>
      <c r="AT105" s="146">
        <f t="shared" si="333"/>
        <v>502.96360075636221</v>
      </c>
      <c r="AU105" s="146">
        <f t="shared" si="333"/>
        <v>579.86960818475654</v>
      </c>
      <c r="AV105" s="122">
        <f t="shared" si="333"/>
        <v>2258.6954967891779</v>
      </c>
    </row>
    <row r="106" spans="1:48" hidden="1" outlineLevel="1" x14ac:dyDescent="0.3">
      <c r="B106" s="43" t="s">
        <v>122</v>
      </c>
      <c r="C106" s="41"/>
      <c r="D106" s="147">
        <f t="shared" ref="D106:G106" si="334">+D105/D92</f>
        <v>0.15292553191489355</v>
      </c>
      <c r="E106" s="147">
        <f t="shared" si="334"/>
        <v>0.1319471688243756</v>
      </c>
      <c r="F106" s="147">
        <f t="shared" si="334"/>
        <v>0.17044092600769556</v>
      </c>
      <c r="G106" s="147">
        <f t="shared" si="334"/>
        <v>0.16710132943196987</v>
      </c>
      <c r="H106" s="123">
        <f>H105/H92</f>
        <v>0.15582800284292814</v>
      </c>
      <c r="I106" s="147">
        <f t="shared" ref="I106:L106" si="335">+I105/I92</f>
        <v>0.17560944561135511</v>
      </c>
      <c r="J106" s="147">
        <f t="shared" si="335"/>
        <v>-1.3573065397496956E-2</v>
      </c>
      <c r="K106" s="147">
        <f t="shared" si="335"/>
        <v>-9.0564448188710761E-2</v>
      </c>
      <c r="L106" s="147">
        <f t="shared" si="335"/>
        <v>0.12022761860649757</v>
      </c>
      <c r="M106" s="123">
        <f>M105/M92</f>
        <v>6.8942825068710564E-2</v>
      </c>
      <c r="N106" s="147">
        <f t="shared" ref="N106:Q106" si="336">+N105/N92</f>
        <v>0.16611255515928189</v>
      </c>
      <c r="O106" s="147">
        <f t="shared" si="336"/>
        <v>0.1561239058911168</v>
      </c>
      <c r="P106" s="147">
        <f t="shared" si="336"/>
        <v>0.19193198263386396</v>
      </c>
      <c r="Q106" s="147">
        <f t="shared" si="336"/>
        <v>0.19711689125665932</v>
      </c>
      <c r="R106" s="88">
        <f>R105/R92</f>
        <v>0.17870199760170807</v>
      </c>
      <c r="S106" s="69">
        <f t="shared" ref="S106:AV106" si="337">+S105/S92</f>
        <v>0.15971000586385195</v>
      </c>
      <c r="T106" s="69">
        <f t="shared" si="337"/>
        <v>0.1061442669172933</v>
      </c>
      <c r="U106" s="69">
        <f t="shared" si="337"/>
        <v>8.5378936076228998E-2</v>
      </c>
      <c r="V106" s="69">
        <f t="shared" si="337"/>
        <v>0.12245357343837929</v>
      </c>
      <c r="W106" s="88">
        <f>W105/W92</f>
        <v>0.12005763688760808</v>
      </c>
      <c r="X106" s="69">
        <f t="shared" si="337"/>
        <v>0.14884328709015324</v>
      </c>
      <c r="Y106" s="147">
        <f t="shared" si="337"/>
        <v>0.14673248166418998</v>
      </c>
      <c r="Z106" s="147">
        <f t="shared" si="337"/>
        <v>0.11336229728815628</v>
      </c>
      <c r="AA106" s="147">
        <f t="shared" si="337"/>
        <v>0.14810432704130125</v>
      </c>
      <c r="AB106" s="123">
        <f t="shared" si="337"/>
        <v>0.13902586730536273</v>
      </c>
      <c r="AC106" s="147">
        <f t="shared" si="337"/>
        <v>0.16519257139673174</v>
      </c>
      <c r="AD106" s="147">
        <f t="shared" si="337"/>
        <v>0.18037385146851981</v>
      </c>
      <c r="AE106" s="147">
        <f t="shared" si="337"/>
        <v>0.1164751230974944</v>
      </c>
      <c r="AF106" s="147">
        <f t="shared" si="337"/>
        <v>0.14737517795297489</v>
      </c>
      <c r="AG106" s="123">
        <f t="shared" si="337"/>
        <v>0.15132887424937638</v>
      </c>
      <c r="AH106" s="147">
        <f t="shared" si="337"/>
        <v>0.17281816462774902</v>
      </c>
      <c r="AI106" s="147">
        <f t="shared" si="337"/>
        <v>0.18840698940351092</v>
      </c>
      <c r="AJ106" s="147">
        <f t="shared" si="337"/>
        <v>0.14937189483024682</v>
      </c>
      <c r="AK106" s="147">
        <f t="shared" si="337"/>
        <v>0.15586108082596831</v>
      </c>
      <c r="AL106" s="123">
        <f t="shared" si="337"/>
        <v>0.1656469699165764</v>
      </c>
      <c r="AM106" s="147">
        <f t="shared" si="337"/>
        <v>0.17330520087982229</v>
      </c>
      <c r="AN106" s="147">
        <f t="shared" si="337"/>
        <v>0.18845187236198119</v>
      </c>
      <c r="AO106" s="147">
        <f t="shared" si="337"/>
        <v>0.1486816944471466</v>
      </c>
      <c r="AP106" s="147">
        <f t="shared" si="337"/>
        <v>0.15424920617681392</v>
      </c>
      <c r="AQ106" s="123">
        <f t="shared" si="337"/>
        <v>0.16535756160424495</v>
      </c>
      <c r="AR106" s="147">
        <f t="shared" si="337"/>
        <v>0.17095738065795593</v>
      </c>
      <c r="AS106" s="147">
        <f t="shared" si="337"/>
        <v>0.1860246343595581</v>
      </c>
      <c r="AT106" s="147">
        <f t="shared" si="337"/>
        <v>0.14648476927654963</v>
      </c>
      <c r="AU106" s="147">
        <f t="shared" si="337"/>
        <v>0.15266668182457008</v>
      </c>
      <c r="AV106" s="123">
        <f t="shared" si="337"/>
        <v>0.16324030148533158</v>
      </c>
    </row>
    <row r="107" spans="1:48" ht="17.399999999999999" collapsed="1" x14ac:dyDescent="0.45">
      <c r="B107" s="514" t="s">
        <v>48</v>
      </c>
      <c r="C107" s="515"/>
      <c r="D107" s="14" t="s">
        <v>19</v>
      </c>
      <c r="E107" s="14" t="s">
        <v>78</v>
      </c>
      <c r="F107" s="14" t="s">
        <v>82</v>
      </c>
      <c r="G107" s="14" t="s">
        <v>92</v>
      </c>
      <c r="H107" s="37" t="s">
        <v>93</v>
      </c>
      <c r="I107" s="14" t="s">
        <v>94</v>
      </c>
      <c r="J107" s="14" t="s">
        <v>95</v>
      </c>
      <c r="K107" s="14" t="s">
        <v>96</v>
      </c>
      <c r="L107" s="14" t="s">
        <v>139</v>
      </c>
      <c r="M107" s="37" t="s">
        <v>140</v>
      </c>
      <c r="N107" s="14" t="s">
        <v>146</v>
      </c>
      <c r="O107" s="14" t="s">
        <v>154</v>
      </c>
      <c r="P107" s="14" t="s">
        <v>156</v>
      </c>
      <c r="Q107" s="14" t="s">
        <v>169</v>
      </c>
      <c r="R107" s="37" t="s">
        <v>170</v>
      </c>
      <c r="S107" s="14" t="s">
        <v>185</v>
      </c>
      <c r="T107" s="14" t="s">
        <v>186</v>
      </c>
      <c r="U107" s="14" t="s">
        <v>201</v>
      </c>
      <c r="V107" s="14" t="s">
        <v>324</v>
      </c>
      <c r="W107" s="37" t="s">
        <v>325</v>
      </c>
      <c r="X107" s="12" t="s">
        <v>24</v>
      </c>
      <c r="Y107" s="12" t="s">
        <v>25</v>
      </c>
      <c r="Z107" s="12" t="s">
        <v>26</v>
      </c>
      <c r="AA107" s="12" t="s">
        <v>27</v>
      </c>
      <c r="AB107" s="39" t="s">
        <v>28</v>
      </c>
      <c r="AC107" s="12" t="s">
        <v>87</v>
      </c>
      <c r="AD107" s="12" t="s">
        <v>88</v>
      </c>
      <c r="AE107" s="12" t="s">
        <v>89</v>
      </c>
      <c r="AF107" s="12" t="s">
        <v>90</v>
      </c>
      <c r="AG107" s="39" t="s">
        <v>91</v>
      </c>
      <c r="AH107" s="12" t="s">
        <v>106</v>
      </c>
      <c r="AI107" s="12" t="s">
        <v>107</v>
      </c>
      <c r="AJ107" s="12" t="s">
        <v>108</v>
      </c>
      <c r="AK107" s="12" t="s">
        <v>109</v>
      </c>
      <c r="AL107" s="39" t="s">
        <v>110</v>
      </c>
      <c r="AM107" s="12" t="s">
        <v>161</v>
      </c>
      <c r="AN107" s="12" t="s">
        <v>162</v>
      </c>
      <c r="AO107" s="12" t="s">
        <v>163</v>
      </c>
      <c r="AP107" s="12" t="s">
        <v>164</v>
      </c>
      <c r="AQ107" s="39" t="s">
        <v>165</v>
      </c>
      <c r="AR107" s="12" t="s">
        <v>192</v>
      </c>
      <c r="AS107" s="12" t="s">
        <v>193</v>
      </c>
      <c r="AT107" s="12" t="s">
        <v>194</v>
      </c>
      <c r="AU107" s="12" t="s">
        <v>195</v>
      </c>
      <c r="AV107" s="39" t="s">
        <v>196</v>
      </c>
    </row>
    <row r="108" spans="1:48" s="8" customFormat="1" hidden="1" outlineLevel="1" x14ac:dyDescent="0.3">
      <c r="B108" s="518" t="s">
        <v>123</v>
      </c>
      <c r="C108" s="519"/>
      <c r="D108" s="47">
        <v>504.6</v>
      </c>
      <c r="E108" s="47">
        <v>446.6</v>
      </c>
      <c r="F108" s="93">
        <v>533.29999999999995</v>
      </c>
      <c r="G108" s="47">
        <v>508.1</v>
      </c>
      <c r="H108" s="31">
        <f>SUM(D108:G108)</f>
        <v>1992.6</v>
      </c>
      <c r="I108" s="47">
        <v>494.6</v>
      </c>
      <c r="J108" s="47">
        <v>519.1</v>
      </c>
      <c r="K108" s="47">
        <v>447.3</v>
      </c>
      <c r="L108" s="47">
        <v>464</v>
      </c>
      <c r="M108" s="31">
        <f>SUM(I108:L108)</f>
        <v>1925</v>
      </c>
      <c r="N108" s="47">
        <v>371.4</v>
      </c>
      <c r="O108" s="47">
        <v>369.9</v>
      </c>
      <c r="P108" s="47">
        <v>414</v>
      </c>
      <c r="Q108" s="93">
        <v>438.3</v>
      </c>
      <c r="R108" s="116">
        <f>SUM(N108:Q108)</f>
        <v>1593.6</v>
      </c>
      <c r="S108" s="47">
        <v>417.1</v>
      </c>
      <c r="T108" s="47">
        <v>463.1</v>
      </c>
      <c r="U108" s="47">
        <v>479.7</v>
      </c>
      <c r="V108" s="47">
        <v>483.7</v>
      </c>
      <c r="W108" s="31">
        <f>SUM(S108:V108)</f>
        <v>1843.6000000000001</v>
      </c>
      <c r="X108" s="93">
        <f>S108*(1+X109)</f>
        <v>458.81000000000006</v>
      </c>
      <c r="Y108" s="93">
        <f t="shared" ref="Y108:AA108" si="338">T108*(1+Y109)</f>
        <v>481.62400000000002</v>
      </c>
      <c r="Z108" s="93">
        <f t="shared" si="338"/>
        <v>498.88800000000003</v>
      </c>
      <c r="AA108" s="93">
        <f t="shared" si="338"/>
        <v>503.048</v>
      </c>
      <c r="AB108" s="116"/>
      <c r="AC108" s="93">
        <f>X108*(1+AC109)</f>
        <v>477.1624000000001</v>
      </c>
      <c r="AD108" s="93">
        <f t="shared" ref="AD108" si="339">Y108*(1+AD109)</f>
        <v>500.88896000000005</v>
      </c>
      <c r="AE108" s="93">
        <f t="shared" ref="AE108" si="340">Z108*(1+AE109)</f>
        <v>518.84352000000001</v>
      </c>
      <c r="AF108" s="93">
        <f t="shared" ref="AF108" si="341">AA108*(1+AF109)</f>
        <v>523.16992000000005</v>
      </c>
      <c r="AG108" s="116"/>
      <c r="AH108" s="93">
        <f>AC108*(1+AH109)</f>
        <v>496.24889600000012</v>
      </c>
      <c r="AI108" s="93">
        <f t="shared" ref="AI108" si="342">AD108*(1+AI109)</f>
        <v>520.92451840000012</v>
      </c>
      <c r="AJ108" s="93">
        <f t="shared" ref="AJ108" si="343">AE108*(1+AJ109)</f>
        <v>539.59726080000007</v>
      </c>
      <c r="AK108" s="93">
        <f t="shared" ref="AK108" si="344">AF108*(1+AK109)</f>
        <v>544.09671680000008</v>
      </c>
      <c r="AL108" s="116"/>
      <c r="AM108" s="93">
        <f>AH108*(1+AM109)</f>
        <v>516.09885184000018</v>
      </c>
      <c r="AN108" s="93">
        <f t="shared" ref="AN108" si="345">AI108*(1+AN109)</f>
        <v>541.76149913600011</v>
      </c>
      <c r="AO108" s="93">
        <f t="shared" ref="AO108" si="346">AJ108*(1+AO109)</f>
        <v>561.18115123200005</v>
      </c>
      <c r="AP108" s="93">
        <f t="shared" ref="AP108" si="347">AK108*(1+AP109)</f>
        <v>565.86058547200014</v>
      </c>
      <c r="AQ108" s="116"/>
      <c r="AR108" s="93">
        <f>AM108*(1+AR109)</f>
        <v>536.74280591360025</v>
      </c>
      <c r="AS108" s="93">
        <f t="shared" ref="AS108" si="348">AN108*(1+AS109)</f>
        <v>563.43195910144016</v>
      </c>
      <c r="AT108" s="93">
        <f t="shared" ref="AT108" si="349">AO108*(1+AT109)</f>
        <v>583.62839728128006</v>
      </c>
      <c r="AU108" s="93">
        <f t="shared" ref="AU108" si="350">AP108*(1+AU109)</f>
        <v>588.49500889088017</v>
      </c>
      <c r="AV108" s="116"/>
    </row>
    <row r="109" spans="1:48" hidden="1" outlineLevel="1" x14ac:dyDescent="0.3">
      <c r="B109" s="64" t="s">
        <v>55</v>
      </c>
      <c r="C109" s="65"/>
      <c r="D109" s="110"/>
      <c r="E109" s="110"/>
      <c r="F109" s="110"/>
      <c r="G109" s="110"/>
      <c r="H109" s="54"/>
      <c r="I109" s="110">
        <f>I108/D108-1</f>
        <v>-1.9817677368212494E-2</v>
      </c>
      <c r="J109" s="110">
        <f t="shared" ref="J109" si="351">J108/E108-1</f>
        <v>0.16233766233766223</v>
      </c>
      <c r="K109" s="110">
        <f>K108/F108-1</f>
        <v>-0.1612600787549221</v>
      </c>
      <c r="L109" s="110">
        <f>L108/G108-1</f>
        <v>-8.6793938201141563E-2</v>
      </c>
      <c r="M109" s="158">
        <f>M108/H108-1</f>
        <v>-3.3925524440429511E-2</v>
      </c>
      <c r="N109" s="110">
        <f>N108/I108-1</f>
        <v>-0.24909017387788124</v>
      </c>
      <c r="O109" s="110">
        <f t="shared" ref="O109" si="352">O108/J108-1</f>
        <v>-0.28742053554228475</v>
      </c>
      <c r="P109" s="110">
        <f>P108/K108-1</f>
        <v>-7.4446680080482941E-2</v>
      </c>
      <c r="Q109" s="110">
        <f>Q108/L108-1</f>
        <v>-5.5387931034482696E-2</v>
      </c>
      <c r="R109" s="158">
        <f>R108/M108-1</f>
        <v>-0.17215584415584417</v>
      </c>
      <c r="S109" s="110">
        <f>S108/N108-1</f>
        <v>0.12304792676359733</v>
      </c>
      <c r="T109" s="110">
        <f t="shared" ref="T109:U109" si="353">T108/O108-1</f>
        <v>0.25195998918626672</v>
      </c>
      <c r="U109" s="110">
        <f t="shared" si="353"/>
        <v>0.15869565217391313</v>
      </c>
      <c r="V109" s="110">
        <f>V108/Q108-1</f>
        <v>0.10358202144649775</v>
      </c>
      <c r="W109" s="158">
        <f>W108/R108-1</f>
        <v>0.15687751004016071</v>
      </c>
      <c r="X109" s="403">
        <v>0.1</v>
      </c>
      <c r="Y109" s="403">
        <v>0.04</v>
      </c>
      <c r="Z109" s="403">
        <v>0.04</v>
      </c>
      <c r="AA109" s="403">
        <v>0.04</v>
      </c>
      <c r="AB109" s="404"/>
      <c r="AC109" s="403">
        <v>0.04</v>
      </c>
      <c r="AD109" s="403">
        <v>0.04</v>
      </c>
      <c r="AE109" s="403">
        <v>0.04</v>
      </c>
      <c r="AF109" s="403">
        <v>0.04</v>
      </c>
      <c r="AG109" s="404"/>
      <c r="AH109" s="403">
        <v>0.04</v>
      </c>
      <c r="AI109" s="403">
        <v>0.04</v>
      </c>
      <c r="AJ109" s="403">
        <v>0.04</v>
      </c>
      <c r="AK109" s="403">
        <v>0.04</v>
      </c>
      <c r="AL109" s="404"/>
      <c r="AM109" s="403">
        <v>0.04</v>
      </c>
      <c r="AN109" s="403">
        <v>0.04</v>
      </c>
      <c r="AO109" s="403">
        <v>0.04</v>
      </c>
      <c r="AP109" s="403">
        <v>0.04</v>
      </c>
      <c r="AQ109" s="404"/>
      <c r="AR109" s="403">
        <v>0.04</v>
      </c>
      <c r="AS109" s="403">
        <v>0.04</v>
      </c>
      <c r="AT109" s="403">
        <v>0.04</v>
      </c>
      <c r="AU109" s="403">
        <v>0.04</v>
      </c>
      <c r="AV109" s="404"/>
    </row>
    <row r="110" spans="1:48" hidden="1" outlineLevel="1" x14ac:dyDescent="0.3">
      <c r="B110" s="538" t="s">
        <v>97</v>
      </c>
      <c r="C110" s="539"/>
      <c r="D110" s="45">
        <v>348.4</v>
      </c>
      <c r="E110" s="45">
        <v>305.39999999999998</v>
      </c>
      <c r="F110" s="45">
        <v>377.1</v>
      </c>
      <c r="G110" s="45">
        <v>359.1</v>
      </c>
      <c r="H110" s="70">
        <f>SUM(D110:G110)</f>
        <v>1390</v>
      </c>
      <c r="I110" s="45">
        <v>338.8</v>
      </c>
      <c r="J110" s="45">
        <v>351.6</v>
      </c>
      <c r="K110" s="45">
        <v>319.89999999999998</v>
      </c>
      <c r="L110" s="45">
        <v>327.8</v>
      </c>
      <c r="M110" s="70">
        <f>SUM(I110:L110)</f>
        <v>1338.1000000000001</v>
      </c>
      <c r="N110" s="45">
        <v>233.5</v>
      </c>
      <c r="O110" s="45">
        <v>231.9</v>
      </c>
      <c r="P110" s="45">
        <v>268.3</v>
      </c>
      <c r="Q110" s="95">
        <v>277.5</v>
      </c>
      <c r="R110" s="70">
        <f>SUM(N110:Q110)</f>
        <v>1011.2</v>
      </c>
      <c r="S110" s="45">
        <v>258.8</v>
      </c>
      <c r="T110" s="45">
        <v>300.5</v>
      </c>
      <c r="U110" s="45">
        <v>325.8</v>
      </c>
      <c r="V110" s="45">
        <v>309</v>
      </c>
      <c r="W110" s="70">
        <f>SUM(S110:V110)</f>
        <v>1194.0999999999999</v>
      </c>
      <c r="X110" s="95">
        <f>X108*X111</f>
        <v>291.56215000000003</v>
      </c>
      <c r="Y110" s="95">
        <f t="shared" ref="Y110:AA110" si="354">Y108*Y111</f>
        <v>312.52</v>
      </c>
      <c r="Z110" s="95">
        <f t="shared" si="354"/>
        <v>336.33756000000005</v>
      </c>
      <c r="AA110" s="95">
        <f t="shared" si="354"/>
        <v>306.26855999999998</v>
      </c>
      <c r="AB110" s="119"/>
      <c r="AC110" s="95">
        <f>AC108*AC111</f>
        <v>303.22463600000009</v>
      </c>
      <c r="AD110" s="95">
        <f t="shared" ref="AD110" si="355">AD108*AD111</f>
        <v>325.02080000000001</v>
      </c>
      <c r="AE110" s="95">
        <f t="shared" ref="AE110" si="356">AE108*AE111</f>
        <v>339.41419200000001</v>
      </c>
      <c r="AF110" s="95">
        <f t="shared" ref="AF110" si="357">AF108*AF111</f>
        <v>318.51930240000002</v>
      </c>
      <c r="AG110" s="119"/>
      <c r="AH110" s="95">
        <f>AH108*AH111</f>
        <v>315.3536214400001</v>
      </c>
      <c r="AI110" s="95">
        <f t="shared" ref="AI110" si="358">AI108*AI111</f>
        <v>338.02163200000007</v>
      </c>
      <c r="AJ110" s="95">
        <f t="shared" ref="AJ110" si="359">AJ108*AJ111</f>
        <v>347.59478707200009</v>
      </c>
      <c r="AK110" s="95">
        <f t="shared" ref="AK110" si="360">AK108*AK111</f>
        <v>331.26007449600007</v>
      </c>
      <c r="AL110" s="119"/>
      <c r="AM110" s="95">
        <f>AM108*AM111</f>
        <v>327.96776629760012</v>
      </c>
      <c r="AN110" s="95">
        <f t="shared" ref="AN110" si="361">AN108*AN111</f>
        <v>351.54249728000008</v>
      </c>
      <c r="AO110" s="95">
        <f t="shared" ref="AO110" si="362">AO108*AO111</f>
        <v>361.49857855488005</v>
      </c>
      <c r="AP110" s="95">
        <f t="shared" ref="AP110" si="363">AP108*AP111</f>
        <v>344.5104774758401</v>
      </c>
      <c r="AQ110" s="119"/>
      <c r="AR110" s="95">
        <f>AR108*AR111</f>
        <v>341.08647694950417</v>
      </c>
      <c r="AS110" s="95">
        <f t="shared" ref="AS110" si="364">AS108*AS111</f>
        <v>365.6041971712001</v>
      </c>
      <c r="AT110" s="95">
        <f t="shared" ref="AT110" si="365">AT108*AT111</f>
        <v>375.95852169707524</v>
      </c>
      <c r="AU110" s="95">
        <f t="shared" ref="AU110" si="366">AU108*AU111</f>
        <v>358.29089657487373</v>
      </c>
      <c r="AV110" s="119"/>
    </row>
    <row r="111" spans="1:48" s="173" customFormat="1" hidden="1" outlineLevel="1" x14ac:dyDescent="0.3">
      <c r="A111" s="225"/>
      <c r="B111" s="171" t="s">
        <v>148</v>
      </c>
      <c r="C111" s="172"/>
      <c r="D111" s="157">
        <f>D110/D108</f>
        <v>0.69044787950852149</v>
      </c>
      <c r="E111" s="157">
        <f t="shared" ref="E111:V111" si="367">E110/E108</f>
        <v>0.68383340797133896</v>
      </c>
      <c r="F111" s="157">
        <f t="shared" si="367"/>
        <v>0.70710669416838567</v>
      </c>
      <c r="G111" s="157">
        <f t="shared" si="367"/>
        <v>0.70675063963786655</v>
      </c>
      <c r="H111" s="178">
        <f t="shared" si="367"/>
        <v>0.69758104988457292</v>
      </c>
      <c r="I111" s="157">
        <f t="shared" si="367"/>
        <v>0.68499797816417307</v>
      </c>
      <c r="J111" s="157">
        <f t="shared" si="367"/>
        <v>0.6773261413985745</v>
      </c>
      <c r="K111" s="157">
        <f t="shared" si="367"/>
        <v>0.71517996870109535</v>
      </c>
      <c r="L111" s="177">
        <f t="shared" si="367"/>
        <v>0.70646551724137929</v>
      </c>
      <c r="M111" s="178">
        <f t="shared" si="367"/>
        <v>0.69511688311688313</v>
      </c>
      <c r="N111" s="177">
        <f t="shared" si="367"/>
        <v>0.62870220786214326</v>
      </c>
      <c r="O111" s="157">
        <f t="shared" si="367"/>
        <v>0.62692619626926205</v>
      </c>
      <c r="P111" s="157">
        <f t="shared" si="367"/>
        <v>0.6480676328502416</v>
      </c>
      <c r="Q111" s="157">
        <f t="shared" si="367"/>
        <v>0.63312799452429835</v>
      </c>
      <c r="R111" s="178">
        <f t="shared" si="367"/>
        <v>0.63453815261044189</v>
      </c>
      <c r="S111" s="177">
        <f t="shared" si="367"/>
        <v>0.62047470630544233</v>
      </c>
      <c r="T111" s="157">
        <f t="shared" si="367"/>
        <v>0.64888792917296478</v>
      </c>
      <c r="U111" s="157">
        <f t="shared" si="367"/>
        <v>0.67917448405253289</v>
      </c>
      <c r="V111" s="157">
        <f t="shared" si="367"/>
        <v>0.63882571842050861</v>
      </c>
      <c r="W111" s="178">
        <f t="shared" ref="W111" si="368">W110/W108</f>
        <v>0.64770015187676278</v>
      </c>
      <c r="X111" s="407">
        <f>S111+1.5%</f>
        <v>0.63547470630544234</v>
      </c>
      <c r="Y111" s="407">
        <f>T111</f>
        <v>0.64888792917296478</v>
      </c>
      <c r="Z111" s="407">
        <f>U111-0.5%</f>
        <v>0.67417448405253289</v>
      </c>
      <c r="AA111" s="407">
        <f>V111-3%</f>
        <v>0.60882571842050859</v>
      </c>
      <c r="AB111" s="408"/>
      <c r="AC111" s="407">
        <f>X111</f>
        <v>0.63547470630544234</v>
      </c>
      <c r="AD111" s="407">
        <f>Y111</f>
        <v>0.64888792917296478</v>
      </c>
      <c r="AE111" s="407">
        <f>Z111-2%</f>
        <v>0.65417448405253287</v>
      </c>
      <c r="AF111" s="407">
        <f>AA111</f>
        <v>0.60882571842050859</v>
      </c>
      <c r="AG111" s="408"/>
      <c r="AH111" s="407">
        <f>AC111</f>
        <v>0.63547470630544234</v>
      </c>
      <c r="AI111" s="407">
        <f>AD111</f>
        <v>0.64888792917296478</v>
      </c>
      <c r="AJ111" s="407">
        <f>AE111-1%</f>
        <v>0.64417448405253286</v>
      </c>
      <c r="AK111" s="407">
        <f>AF111</f>
        <v>0.60882571842050859</v>
      </c>
      <c r="AL111" s="408"/>
      <c r="AM111" s="407">
        <f t="shared" ref="AM111:AP111" si="369">AH111</f>
        <v>0.63547470630544234</v>
      </c>
      <c r="AN111" s="407">
        <f t="shared" si="369"/>
        <v>0.64888792917296478</v>
      </c>
      <c r="AO111" s="407">
        <f t="shared" si="369"/>
        <v>0.64417448405253286</v>
      </c>
      <c r="AP111" s="407">
        <f t="shared" si="369"/>
        <v>0.60882571842050859</v>
      </c>
      <c r="AQ111" s="408"/>
      <c r="AR111" s="407">
        <f t="shared" ref="AR111:AU111" si="370">AM111</f>
        <v>0.63547470630544234</v>
      </c>
      <c r="AS111" s="407">
        <f t="shared" si="370"/>
        <v>0.64888792917296478</v>
      </c>
      <c r="AT111" s="407">
        <f t="shared" si="370"/>
        <v>0.64417448405253286</v>
      </c>
      <c r="AU111" s="407">
        <f t="shared" si="370"/>
        <v>0.60882571842050859</v>
      </c>
      <c r="AV111" s="408"/>
    </row>
    <row r="112" spans="1:48" hidden="1" outlineLevel="1" x14ac:dyDescent="0.3">
      <c r="B112" s="170" t="s">
        <v>30</v>
      </c>
      <c r="C112" s="18"/>
      <c r="D112" s="45">
        <v>18.600000000000001</v>
      </c>
      <c r="E112" s="45">
        <v>17.100000000000001</v>
      </c>
      <c r="F112" s="45">
        <v>20.2</v>
      </c>
      <c r="G112" s="45">
        <v>20.3</v>
      </c>
      <c r="H112" s="46">
        <f>SUM(D112:G112)</f>
        <v>76.2</v>
      </c>
      <c r="I112" s="45">
        <v>20.6</v>
      </c>
      <c r="J112" s="45">
        <v>17.7</v>
      </c>
      <c r="K112" s="45">
        <v>51.4</v>
      </c>
      <c r="L112" s="45">
        <v>18.5</v>
      </c>
      <c r="M112" s="46">
        <f>SUM(I112:L112)</f>
        <v>108.19999999999999</v>
      </c>
      <c r="N112" s="45">
        <v>11.1</v>
      </c>
      <c r="O112" s="45">
        <v>13.1</v>
      </c>
      <c r="P112" s="45">
        <v>-9.9</v>
      </c>
      <c r="Q112" s="95">
        <v>17</v>
      </c>
      <c r="R112" s="46">
        <f>SUM(N112:Q112)</f>
        <v>31.299999999999997</v>
      </c>
      <c r="S112" s="45">
        <v>11.4</v>
      </c>
      <c r="T112" s="45">
        <v>10.7</v>
      </c>
      <c r="U112" s="45">
        <v>13.6</v>
      </c>
      <c r="V112" s="45">
        <v>16</v>
      </c>
      <c r="W112" s="46">
        <f>SUM(S112:V112)</f>
        <v>51.7</v>
      </c>
      <c r="X112" s="95">
        <f>X108*X113</f>
        <v>21.716200000000004</v>
      </c>
      <c r="Y112" s="95">
        <f t="shared" ref="Y112:AA112" si="371">Y108*Y113</f>
        <v>11.128</v>
      </c>
      <c r="Z112" s="95">
        <f t="shared" si="371"/>
        <v>11.649560000000001</v>
      </c>
      <c r="AA112" s="95">
        <f t="shared" si="371"/>
        <v>1.5485600000000008</v>
      </c>
      <c r="AB112" s="160"/>
      <c r="AC112" s="95">
        <f>AC108*AC113</f>
        <v>13.041600000000003</v>
      </c>
      <c r="AD112" s="95">
        <f t="shared" ref="AD112" si="372">AD108*AD113</f>
        <v>11.573120000000001</v>
      </c>
      <c r="AE112" s="95">
        <f t="shared" ref="AE112" si="373">AE108*AE113</f>
        <v>12.115542399999999</v>
      </c>
      <c r="AF112" s="95">
        <f t="shared" ref="AF112" si="374">AF108*AF113</f>
        <v>-8.8528959999999994</v>
      </c>
      <c r="AG112" s="160"/>
      <c r="AH112" s="95">
        <f>AH108*AH113</f>
        <v>12.074517312000003</v>
      </c>
      <c r="AI112" s="95">
        <f t="shared" ref="AI112" si="375">AI108*AI113</f>
        <v>12.036044800000003</v>
      </c>
      <c r="AJ112" s="95">
        <f t="shared" ref="AJ112" si="376">AJ108*AJ113</f>
        <v>12.600164096</v>
      </c>
      <c r="AK112" s="95">
        <f t="shared" ref="AK112" si="377">AK108*AK113</f>
        <v>-11.383398707200001</v>
      </c>
      <c r="AL112" s="160"/>
      <c r="AM112" s="95">
        <f>AM108*AM113</f>
        <v>12.557498004480005</v>
      </c>
      <c r="AN112" s="95">
        <f t="shared" ref="AN112" si="378">AN108*AN113</f>
        <v>12.517486592000003</v>
      </c>
      <c r="AO112" s="95">
        <f t="shared" ref="AO112" si="379">AO108*AO113</f>
        <v>13.104170659840001</v>
      </c>
      <c r="AP112" s="95">
        <f t="shared" ref="AP112" si="380">AP108*AP113</f>
        <v>-11.838734655488002</v>
      </c>
      <c r="AQ112" s="160"/>
      <c r="AR112" s="95">
        <f>AR108*AR113</f>
        <v>13.059797924659206</v>
      </c>
      <c r="AS112" s="95">
        <f t="shared" ref="AS112" si="381">AS108*AS113</f>
        <v>13.018186055680003</v>
      </c>
      <c r="AT112" s="95">
        <f t="shared" ref="AT112" si="382">AT108*AT113</f>
        <v>13.628337486233601</v>
      </c>
      <c r="AU112" s="95">
        <f t="shared" ref="AU112" si="383">AU108*AU113</f>
        <v>-12.312284041707523</v>
      </c>
      <c r="AV112" s="160"/>
    </row>
    <row r="113" spans="2:48" s="174" customFormat="1" hidden="1" outlineLevel="1" x14ac:dyDescent="0.3">
      <c r="B113" s="171" t="s">
        <v>151</v>
      </c>
      <c r="C113" s="179"/>
      <c r="D113" s="177">
        <f>D112/D108</f>
        <v>3.6860879904875153E-2</v>
      </c>
      <c r="E113" s="177">
        <f t="shared" ref="E113:V113" si="384">E112/E108</f>
        <v>3.8289296909986566E-2</v>
      </c>
      <c r="F113" s="177">
        <f t="shared" si="384"/>
        <v>3.7877367335458469E-2</v>
      </c>
      <c r="G113" s="177">
        <f t="shared" si="384"/>
        <v>3.9952765203700058E-2</v>
      </c>
      <c r="H113" s="178">
        <f t="shared" si="384"/>
        <v>3.8241493526046375E-2</v>
      </c>
      <c r="I113" s="177">
        <f t="shared" si="384"/>
        <v>4.1649818034775576E-2</v>
      </c>
      <c r="J113" s="177">
        <f t="shared" si="384"/>
        <v>3.4097476401464072E-2</v>
      </c>
      <c r="K113" s="177">
        <f t="shared" si="384"/>
        <v>0.11491169237648111</v>
      </c>
      <c r="L113" s="177">
        <f t="shared" si="384"/>
        <v>3.9870689655172417E-2</v>
      </c>
      <c r="M113" s="178">
        <f t="shared" si="384"/>
        <v>5.62077922077922E-2</v>
      </c>
      <c r="N113" s="177">
        <f t="shared" si="384"/>
        <v>2.9886914378029081E-2</v>
      </c>
      <c r="O113" s="177">
        <f t="shared" si="384"/>
        <v>3.5414977020816439E-2</v>
      </c>
      <c r="P113" s="177">
        <f t="shared" si="384"/>
        <v>-2.391304347826087E-2</v>
      </c>
      <c r="Q113" s="157">
        <f t="shared" si="384"/>
        <v>3.8786219484371436E-2</v>
      </c>
      <c r="R113" s="178">
        <f t="shared" si="384"/>
        <v>1.964106425702811E-2</v>
      </c>
      <c r="S113" s="177">
        <f t="shared" si="384"/>
        <v>2.7331575161831694E-2</v>
      </c>
      <c r="T113" s="177">
        <f t="shared" si="384"/>
        <v>2.3105160872381774E-2</v>
      </c>
      <c r="U113" s="177">
        <f t="shared" si="384"/>
        <v>2.8351052741296644E-2</v>
      </c>
      <c r="V113" s="177">
        <f t="shared" si="384"/>
        <v>3.3078354351870995E-2</v>
      </c>
      <c r="W113" s="178">
        <f t="shared" ref="W113" si="385">W112/W108</f>
        <v>2.8042959427207637E-2</v>
      </c>
      <c r="X113" s="407">
        <f>S113+2%</f>
        <v>4.7331575161831695E-2</v>
      </c>
      <c r="Y113" s="407">
        <f>T113</f>
        <v>2.3105160872381774E-2</v>
      </c>
      <c r="Z113" s="407">
        <f>U113-0.5%</f>
        <v>2.3351052741296643E-2</v>
      </c>
      <c r="AA113" s="407">
        <f>V113-3%</f>
        <v>3.078354351870996E-3</v>
      </c>
      <c r="AB113" s="408"/>
      <c r="AC113" s="407">
        <f>X113-2%</f>
        <v>2.7331575161831694E-2</v>
      </c>
      <c r="AD113" s="407">
        <f>Y113</f>
        <v>2.3105160872381774E-2</v>
      </c>
      <c r="AE113" s="407">
        <f>Z113</f>
        <v>2.3351052741296643E-2</v>
      </c>
      <c r="AF113" s="407">
        <f>AA113-2%</f>
        <v>-1.6921645648129004E-2</v>
      </c>
      <c r="AG113" s="408"/>
      <c r="AH113" s="407">
        <f>AC113-0.3%</f>
        <v>2.4331575161831695E-2</v>
      </c>
      <c r="AI113" s="407">
        <f>AD113</f>
        <v>2.3105160872381774E-2</v>
      </c>
      <c r="AJ113" s="407">
        <f>AE113</f>
        <v>2.3351052741296643E-2</v>
      </c>
      <c r="AK113" s="407">
        <f>AF113-0.4%</f>
        <v>-2.0921645648129004E-2</v>
      </c>
      <c r="AL113" s="408"/>
      <c r="AM113" s="407">
        <f t="shared" ref="AM113:AP113" si="386">AH113</f>
        <v>2.4331575161831695E-2</v>
      </c>
      <c r="AN113" s="407">
        <f t="shared" si="386"/>
        <v>2.3105160872381774E-2</v>
      </c>
      <c r="AO113" s="407">
        <f t="shared" si="386"/>
        <v>2.3351052741296643E-2</v>
      </c>
      <c r="AP113" s="407">
        <f t="shared" si="386"/>
        <v>-2.0921645648129004E-2</v>
      </c>
      <c r="AQ113" s="408"/>
      <c r="AR113" s="407">
        <f t="shared" ref="AR113" si="387">AM113</f>
        <v>2.4331575161831695E-2</v>
      </c>
      <c r="AS113" s="407">
        <f t="shared" ref="AS113" si="388">AN113</f>
        <v>2.3105160872381774E-2</v>
      </c>
      <c r="AT113" s="407">
        <f t="shared" ref="AT113" si="389">AO113</f>
        <v>2.3351052741296643E-2</v>
      </c>
      <c r="AU113" s="407">
        <f t="shared" ref="AU113" si="390">AP113</f>
        <v>-2.0921645648129004E-2</v>
      </c>
      <c r="AV113" s="408"/>
    </row>
    <row r="114" spans="2:48" hidden="1" outlineLevel="1" x14ac:dyDescent="0.3">
      <c r="B114" s="170" t="s">
        <v>31</v>
      </c>
      <c r="C114" s="18"/>
      <c r="D114" s="327">
        <v>0</v>
      </c>
      <c r="E114" s="327">
        <v>12.3</v>
      </c>
      <c r="F114" s="327">
        <v>0.2</v>
      </c>
      <c r="G114" s="327">
        <v>0.3</v>
      </c>
      <c r="H114" s="116">
        <f>SUM(D114:G114)</f>
        <v>12.8</v>
      </c>
      <c r="I114" s="327">
        <v>0.3</v>
      </c>
      <c r="J114" s="327">
        <v>0.3</v>
      </c>
      <c r="K114" s="327">
        <v>0.3</v>
      </c>
      <c r="L114" s="327">
        <v>0.3</v>
      </c>
      <c r="M114" s="116">
        <f>SUM(I114:L114)</f>
        <v>1.2</v>
      </c>
      <c r="N114" s="327">
        <v>0.2</v>
      </c>
      <c r="O114" s="327">
        <v>0.3</v>
      </c>
      <c r="P114" s="327">
        <v>0.2</v>
      </c>
      <c r="Q114" s="327">
        <v>0.3</v>
      </c>
      <c r="R114" s="116">
        <f>SUM(N114:Q114)</f>
        <v>1</v>
      </c>
      <c r="S114" s="327">
        <v>0</v>
      </c>
      <c r="T114" s="327">
        <v>0</v>
      </c>
      <c r="U114" s="327">
        <v>0</v>
      </c>
      <c r="V114" s="327">
        <v>0</v>
      </c>
      <c r="W114" s="116">
        <f>SUM(S114:V114)</f>
        <v>0</v>
      </c>
      <c r="X114" s="327">
        <f>(V114/(V66+V99+V114+V127))*'Cash Flow Statement'!X7*0.95</f>
        <v>0</v>
      </c>
      <c r="Y114" s="327">
        <f>(X114/(X66+X99+X114+X127))*'Cash Flow Statement'!Y7*0.95</f>
        <v>0</v>
      </c>
      <c r="Z114" s="327">
        <f>(Y114/(Y66+Y99+Y114+Y127))*'Cash Flow Statement'!Z7*0.95</f>
        <v>0</v>
      </c>
      <c r="AA114" s="327">
        <f>(Z114/(Z66+Z99+Z114+Z127))*'Cash Flow Statement'!AA7*0.95</f>
        <v>0</v>
      </c>
      <c r="AB114" s="116"/>
      <c r="AC114" s="327">
        <f>(AA114/(AA66+AA99+AA114+AA127))*'Cash Flow Statement'!AC7*0.95</f>
        <v>0</v>
      </c>
      <c r="AD114" s="327">
        <f>(AC114/(AC66+AC99+AC114+AC127))*'Cash Flow Statement'!AD7*0.95</f>
        <v>0</v>
      </c>
      <c r="AE114" s="327">
        <f>(AD114/(AD66+AD99+AD114+AD127))*'Cash Flow Statement'!AE7*0.95</f>
        <v>0</v>
      </c>
      <c r="AF114" s="327">
        <f>(AE114/(AE66+AE99+AE114+AE127))*'Cash Flow Statement'!AF7*0.95</f>
        <v>0</v>
      </c>
      <c r="AG114" s="116"/>
      <c r="AH114" s="327">
        <f>(AF114/(AF66+AF99+AF114+AF127))*'Cash Flow Statement'!AH7*0.95</f>
        <v>0</v>
      </c>
      <c r="AI114" s="327">
        <f>(AH114/(AH66+AH99+AH114+AH127))*'Cash Flow Statement'!AI7*0.95</f>
        <v>0</v>
      </c>
      <c r="AJ114" s="327">
        <f>(AI114/(AI66+AI99+AI114+AI127))*'Cash Flow Statement'!AJ7*0.95</f>
        <v>0</v>
      </c>
      <c r="AK114" s="327">
        <f>(AJ114/(AJ66+AJ99+AJ114+AJ127))*'Cash Flow Statement'!AK7*0.95</f>
        <v>0</v>
      </c>
      <c r="AL114" s="116"/>
      <c r="AM114" s="327">
        <f>(AK114/(AK66+AK99+AK114+AK127))*'Cash Flow Statement'!AM7*0.95</f>
        <v>0</v>
      </c>
      <c r="AN114" s="327">
        <f>(AM114/(AM66+AM99+AM114+AM127))*'Cash Flow Statement'!AN7*0.95</f>
        <v>0</v>
      </c>
      <c r="AO114" s="327">
        <f>(AN114/(AN66+AN99+AN114+AN127))*'Cash Flow Statement'!AO7*0.95</f>
        <v>0</v>
      </c>
      <c r="AP114" s="327">
        <f>(AO114/(AO66+AO99+AO114+AO127))*'Cash Flow Statement'!AP7*0.95</f>
        <v>0</v>
      </c>
      <c r="AQ114" s="116"/>
      <c r="AR114" s="327">
        <f>(AP114/(AP66+AP99+AP114+AP127))*'Cash Flow Statement'!AR7*0.95</f>
        <v>0</v>
      </c>
      <c r="AS114" s="327">
        <f>(AR114/(AR66+AR99+AR114+AR127))*'Cash Flow Statement'!AS7*0.95</f>
        <v>0</v>
      </c>
      <c r="AT114" s="327">
        <f>(AS114/(AS66+AS99+AS114+AS127))*'Cash Flow Statement'!AT7*0.95</f>
        <v>0</v>
      </c>
      <c r="AU114" s="327">
        <f>(AT114/(AT66+AT99+AT114+AT127))*'Cash Flow Statement'!AU7*0.95</f>
        <v>0</v>
      </c>
      <c r="AV114" s="116"/>
    </row>
    <row r="115" spans="2:48" hidden="1" outlineLevel="1" x14ac:dyDescent="0.3">
      <c r="B115" s="170" t="s">
        <v>32</v>
      </c>
      <c r="C115" s="18"/>
      <c r="D115" s="45">
        <v>3.2</v>
      </c>
      <c r="E115" s="45">
        <v>3.1</v>
      </c>
      <c r="F115" s="45">
        <v>2.7</v>
      </c>
      <c r="G115" s="45">
        <v>2.6</v>
      </c>
      <c r="H115" s="46">
        <f>SUM(D115:G115)</f>
        <v>11.6</v>
      </c>
      <c r="I115" s="45">
        <v>2.4</v>
      </c>
      <c r="J115" s="45">
        <v>3</v>
      </c>
      <c r="K115" s="45">
        <v>2.5</v>
      </c>
      <c r="L115" s="45">
        <v>2.5</v>
      </c>
      <c r="M115" s="46">
        <f>SUM(I115:L115)</f>
        <v>10.4</v>
      </c>
      <c r="N115" s="45">
        <v>2.2000000000000002</v>
      </c>
      <c r="O115" s="45">
        <v>2.2999999999999998</v>
      </c>
      <c r="P115" s="45">
        <v>2.9</v>
      </c>
      <c r="Q115" s="95">
        <v>3.4</v>
      </c>
      <c r="R115" s="46">
        <f>SUM(N115:Q115)</f>
        <v>10.8</v>
      </c>
      <c r="S115" s="45">
        <v>3.3</v>
      </c>
      <c r="T115" s="45">
        <v>2.5</v>
      </c>
      <c r="U115" s="45">
        <v>2.2999999999999998</v>
      </c>
      <c r="V115" s="45">
        <v>4.0999999999999996</v>
      </c>
      <c r="W115" s="46">
        <f>SUM(S115:V115)</f>
        <v>12.2</v>
      </c>
      <c r="X115" s="95">
        <f>X108*X116</f>
        <v>3.63</v>
      </c>
      <c r="Y115" s="95">
        <f t="shared" ref="Y115:AA115" si="391">Y108*Y116</f>
        <v>2.6</v>
      </c>
      <c r="Z115" s="95">
        <f t="shared" si="391"/>
        <v>2.3920000000000003</v>
      </c>
      <c r="AA115" s="95">
        <f t="shared" si="391"/>
        <v>4.2639999999999993</v>
      </c>
      <c r="AB115" s="160"/>
      <c r="AC115" s="95">
        <f>AC108*AC116</f>
        <v>3.7751999999999999</v>
      </c>
      <c r="AD115" s="95">
        <f t="shared" ref="AD115" si="392">AD108*AD116</f>
        <v>2.7040000000000002</v>
      </c>
      <c r="AE115" s="95">
        <f t="shared" ref="AE115" si="393">AE108*AE116</f>
        <v>2.4876800000000001</v>
      </c>
      <c r="AF115" s="95">
        <f t="shared" ref="AF115" si="394">AF108*AF116</f>
        <v>4.4345600000000003</v>
      </c>
      <c r="AG115" s="160"/>
      <c r="AH115" s="95">
        <f>AH108*AH116</f>
        <v>3.9262080000000004</v>
      </c>
      <c r="AI115" s="95">
        <f t="shared" ref="AI115" si="395">AI108*AI116</f>
        <v>2.8121600000000004</v>
      </c>
      <c r="AJ115" s="95">
        <f t="shared" ref="AJ115" si="396">AJ108*AJ116</f>
        <v>2.5871872000000002</v>
      </c>
      <c r="AK115" s="95">
        <f t="shared" ref="AK115" si="397">AK108*AK116</f>
        <v>4.6119424000000002</v>
      </c>
      <c r="AL115" s="160"/>
      <c r="AM115" s="95">
        <f>AM108*AM116</f>
        <v>4.0832563200000003</v>
      </c>
      <c r="AN115" s="95">
        <f t="shared" ref="AN115" si="398">AN108*AN116</f>
        <v>2.9246464000000003</v>
      </c>
      <c r="AO115" s="95">
        <f t="shared" ref="AO115" si="399">AO108*AO116</f>
        <v>2.6906746880000001</v>
      </c>
      <c r="AP115" s="95">
        <f t="shared" ref="AP115" si="400">AP108*AP116</f>
        <v>4.7964200960000012</v>
      </c>
      <c r="AQ115" s="160"/>
      <c r="AR115" s="95">
        <f>AR108*AR116</f>
        <v>4.246586572800001</v>
      </c>
      <c r="AS115" s="95">
        <f t="shared" ref="AS115" si="401">AS108*AS116</f>
        <v>3.0416322560000006</v>
      </c>
      <c r="AT115" s="95">
        <f t="shared" ref="AT115" si="402">AT108*AT116</f>
        <v>2.7983016755200003</v>
      </c>
      <c r="AU115" s="95">
        <f t="shared" ref="AU115" si="403">AU108*AU116</f>
        <v>4.9882768998400016</v>
      </c>
      <c r="AV115" s="160"/>
    </row>
    <row r="116" spans="2:48" s="174" customFormat="1" hidden="1" outlineLevel="1" x14ac:dyDescent="0.3">
      <c r="B116" s="171" t="s">
        <v>150</v>
      </c>
      <c r="C116" s="179"/>
      <c r="D116" s="177">
        <f>D115/D108</f>
        <v>6.3416567578279829E-3</v>
      </c>
      <c r="E116" s="177">
        <f t="shared" ref="E116:V116" si="404">E115/E108</f>
        <v>6.9413345275414241E-3</v>
      </c>
      <c r="F116" s="177">
        <f t="shared" si="404"/>
        <v>5.0628164260266275E-3</v>
      </c>
      <c r="G116" s="177">
        <f t="shared" si="404"/>
        <v>5.1171029324936033E-3</v>
      </c>
      <c r="H116" s="178">
        <f t="shared" si="404"/>
        <v>5.8215396968784505E-3</v>
      </c>
      <c r="I116" s="177">
        <f t="shared" si="404"/>
        <v>4.8524059846340476E-3</v>
      </c>
      <c r="J116" s="177">
        <f t="shared" si="404"/>
        <v>5.7792332883837404E-3</v>
      </c>
      <c r="K116" s="177">
        <f t="shared" si="404"/>
        <v>5.5890900961323492E-3</v>
      </c>
      <c r="L116" s="177">
        <f t="shared" si="404"/>
        <v>5.387931034482759E-3</v>
      </c>
      <c r="M116" s="178">
        <f t="shared" si="404"/>
        <v>5.4025974025974028E-3</v>
      </c>
      <c r="N116" s="177">
        <f t="shared" si="404"/>
        <v>5.9235325794291874E-3</v>
      </c>
      <c r="O116" s="177">
        <f t="shared" si="404"/>
        <v>6.2178967288456337E-3</v>
      </c>
      <c r="P116" s="177">
        <f t="shared" si="404"/>
        <v>7.0048309178743955E-3</v>
      </c>
      <c r="Q116" s="157">
        <f t="shared" si="404"/>
        <v>7.7572438968742862E-3</v>
      </c>
      <c r="R116" s="178">
        <f t="shared" si="404"/>
        <v>6.7771084337349408E-3</v>
      </c>
      <c r="S116" s="177">
        <f t="shared" si="404"/>
        <v>7.9117717573723313E-3</v>
      </c>
      <c r="T116" s="177">
        <f t="shared" si="404"/>
        <v>5.3984020729863956E-3</v>
      </c>
      <c r="U116" s="177">
        <f t="shared" si="404"/>
        <v>4.7946633312486971E-3</v>
      </c>
      <c r="V116" s="177">
        <f t="shared" si="404"/>
        <v>8.4763283026669418E-3</v>
      </c>
      <c r="W116" s="178">
        <f t="shared" ref="W116" si="405">W115/W108</f>
        <v>6.6174875244087647E-3</v>
      </c>
      <c r="X116" s="407">
        <f>S116</f>
        <v>7.9117717573723313E-3</v>
      </c>
      <c r="Y116" s="407">
        <f>T116</f>
        <v>5.3984020729863956E-3</v>
      </c>
      <c r="Z116" s="407">
        <f>U116</f>
        <v>4.7946633312486971E-3</v>
      </c>
      <c r="AA116" s="407">
        <f>V116</f>
        <v>8.4763283026669418E-3</v>
      </c>
      <c r="AB116" s="408"/>
      <c r="AC116" s="407">
        <f>X116</f>
        <v>7.9117717573723313E-3</v>
      </c>
      <c r="AD116" s="407">
        <f>Y116</f>
        <v>5.3984020729863956E-3</v>
      </c>
      <c r="AE116" s="407">
        <f>Z116</f>
        <v>4.7946633312486971E-3</v>
      </c>
      <c r="AF116" s="407">
        <f>AA116</f>
        <v>8.4763283026669418E-3</v>
      </c>
      <c r="AG116" s="408"/>
      <c r="AH116" s="407">
        <f>AC116</f>
        <v>7.9117717573723313E-3</v>
      </c>
      <c r="AI116" s="407">
        <f>AD116</f>
        <v>5.3984020729863956E-3</v>
      </c>
      <c r="AJ116" s="407">
        <f>AE116</f>
        <v>4.7946633312486971E-3</v>
      </c>
      <c r="AK116" s="407">
        <f>AF116</f>
        <v>8.4763283026669418E-3</v>
      </c>
      <c r="AL116" s="408"/>
      <c r="AM116" s="407">
        <f t="shared" ref="AM116:AP116" si="406">AH116</f>
        <v>7.9117717573723313E-3</v>
      </c>
      <c r="AN116" s="407">
        <f t="shared" si="406"/>
        <v>5.3984020729863956E-3</v>
      </c>
      <c r="AO116" s="407">
        <f t="shared" si="406"/>
        <v>4.7946633312486971E-3</v>
      </c>
      <c r="AP116" s="407">
        <f t="shared" si="406"/>
        <v>8.4763283026669418E-3</v>
      </c>
      <c r="AQ116" s="408"/>
      <c r="AR116" s="407">
        <f t="shared" ref="AR116" si="407">AM116</f>
        <v>7.9117717573723313E-3</v>
      </c>
      <c r="AS116" s="407">
        <f t="shared" ref="AS116" si="408">AN116</f>
        <v>5.3984020729863956E-3</v>
      </c>
      <c r="AT116" s="407">
        <f t="shared" ref="AT116" si="409">AO116</f>
        <v>4.7946633312486971E-3</v>
      </c>
      <c r="AU116" s="407">
        <f t="shared" ref="AU116" si="410">AP116</f>
        <v>8.4763283026669418E-3</v>
      </c>
      <c r="AV116" s="408"/>
    </row>
    <row r="117" spans="2:48" ht="16.2" hidden="1" outlineLevel="1" x14ac:dyDescent="0.45">
      <c r="B117" s="170" t="s">
        <v>39</v>
      </c>
      <c r="C117" s="18"/>
      <c r="D117" s="109">
        <v>0</v>
      </c>
      <c r="E117" s="109">
        <v>0</v>
      </c>
      <c r="F117" s="109">
        <v>0</v>
      </c>
      <c r="G117" s="109">
        <v>0</v>
      </c>
      <c r="H117" s="121">
        <f>SUM(D117:G117)</f>
        <v>0</v>
      </c>
      <c r="I117" s="109">
        <v>0</v>
      </c>
      <c r="J117" s="109">
        <v>0</v>
      </c>
      <c r="K117" s="109">
        <v>0</v>
      </c>
      <c r="L117" s="109">
        <v>0</v>
      </c>
      <c r="M117" s="121">
        <f>SUM(I117:L117)</f>
        <v>0</v>
      </c>
      <c r="N117" s="109">
        <v>0</v>
      </c>
      <c r="O117" s="109">
        <v>0</v>
      </c>
      <c r="P117" s="109">
        <v>0</v>
      </c>
      <c r="Q117" s="109">
        <v>0</v>
      </c>
      <c r="R117" s="121">
        <f>SUM(N117:Q117)</f>
        <v>0</v>
      </c>
      <c r="S117" s="109">
        <v>0</v>
      </c>
      <c r="T117" s="109">
        <v>0</v>
      </c>
      <c r="U117" s="109">
        <v>0</v>
      </c>
      <c r="V117" s="109">
        <f>IFERROR((V163*(U117/U163)),0)</f>
        <v>0</v>
      </c>
      <c r="W117" s="121">
        <f>SUM(S117:V117)</f>
        <v>0</v>
      </c>
      <c r="X117" s="109">
        <f>IFERROR((X163*(V117/V163)),0)</f>
        <v>0</v>
      </c>
      <c r="Y117" s="109">
        <f>IFERROR((Y163*(X117/X163)),0)</f>
        <v>0</v>
      </c>
      <c r="Z117" s="109">
        <f>IFERROR((Z163*(Y117/Y163)),0)</f>
        <v>0</v>
      </c>
      <c r="AA117" s="109">
        <f>IFERROR((AA163*(Z117/Z163)),0)</f>
        <v>0</v>
      </c>
      <c r="AB117" s="121"/>
      <c r="AC117" s="109">
        <f>IFERROR((AC163*(AA117/AA163)),0)</f>
        <v>0</v>
      </c>
      <c r="AD117" s="109">
        <f>IFERROR((AD163*(AC117/AC163)),0)</f>
        <v>0</v>
      </c>
      <c r="AE117" s="109">
        <f>IFERROR((AE163*(AD117/AD163)),0)</f>
        <v>0</v>
      </c>
      <c r="AF117" s="109">
        <f>IFERROR((AF163*(AE117/AE163)),0)</f>
        <v>0</v>
      </c>
      <c r="AG117" s="121"/>
      <c r="AH117" s="109">
        <f>IFERROR((AH163*(AF117/AF163)),0)</f>
        <v>0</v>
      </c>
      <c r="AI117" s="109">
        <f>IFERROR((AI163*(AH117/AH163)),0)</f>
        <v>0</v>
      </c>
      <c r="AJ117" s="109">
        <f>IFERROR((AJ163*(AI117/AI163)),0)</f>
        <v>0</v>
      </c>
      <c r="AK117" s="109">
        <f>IFERROR((AK163*(AJ117/AJ163)),0)</f>
        <v>0</v>
      </c>
      <c r="AL117" s="121"/>
      <c r="AM117" s="109">
        <f>IFERROR((AM163*(AK117/AK163)),0)</f>
        <v>0</v>
      </c>
      <c r="AN117" s="109">
        <f>IFERROR((AN163*(AM117/AM163)),0)</f>
        <v>0</v>
      </c>
      <c r="AO117" s="109">
        <f>IFERROR((AO163*(AN117/AN163)),0)</f>
        <v>0</v>
      </c>
      <c r="AP117" s="109">
        <f>IFERROR((AP163*(AO117/AO163)),0)</f>
        <v>0</v>
      </c>
      <c r="AQ117" s="121"/>
      <c r="AR117" s="109">
        <f>IFERROR((AR163*(AP117/AP163)),0)</f>
        <v>0</v>
      </c>
      <c r="AS117" s="109">
        <f>IFERROR((AS163*(AR117/AR163)),0)</f>
        <v>0</v>
      </c>
      <c r="AT117" s="109">
        <f>IFERROR((AT163*(AS117/AS163)),0)</f>
        <v>0</v>
      </c>
      <c r="AU117" s="109">
        <f>IFERROR((AU163*(AT117/AT163)),0)</f>
        <v>0</v>
      </c>
      <c r="AV117" s="121"/>
    </row>
    <row r="118" spans="2:48" hidden="1" outlineLevel="1" x14ac:dyDescent="0.3">
      <c r="B118" s="43" t="s">
        <v>49</v>
      </c>
      <c r="C118" s="19"/>
      <c r="D118" s="47">
        <f>D110+D112+D114+D115+D117</f>
        <v>370.2</v>
      </c>
      <c r="E118" s="47">
        <f t="shared" ref="E118:AV118" si="411">E110+E112+E114+E115+E117</f>
        <v>337.90000000000003</v>
      </c>
      <c r="F118" s="47">
        <f t="shared" si="411"/>
        <v>400.2</v>
      </c>
      <c r="G118" s="47">
        <f t="shared" si="411"/>
        <v>382.30000000000007</v>
      </c>
      <c r="H118" s="26">
        <f t="shared" si="411"/>
        <v>1490.6</v>
      </c>
      <c r="I118" s="47">
        <f t="shared" si="411"/>
        <v>362.1</v>
      </c>
      <c r="J118" s="47">
        <f t="shared" si="411"/>
        <v>372.6</v>
      </c>
      <c r="K118" s="47">
        <f t="shared" si="411"/>
        <v>374.09999999999997</v>
      </c>
      <c r="L118" s="47">
        <f t="shared" si="411"/>
        <v>349.1</v>
      </c>
      <c r="M118" s="26">
        <f t="shared" si="411"/>
        <v>1457.9000000000003</v>
      </c>
      <c r="N118" s="47">
        <f t="shared" si="411"/>
        <v>246.99999999999997</v>
      </c>
      <c r="O118" s="47">
        <f t="shared" si="411"/>
        <v>247.60000000000002</v>
      </c>
      <c r="P118" s="47">
        <f t="shared" si="411"/>
        <v>261.5</v>
      </c>
      <c r="Q118" s="93">
        <f t="shared" si="411"/>
        <v>298.2</v>
      </c>
      <c r="R118" s="26">
        <f t="shared" si="411"/>
        <v>1054.3</v>
      </c>
      <c r="S118" s="47">
        <f t="shared" si="411"/>
        <v>273.5</v>
      </c>
      <c r="T118" s="47">
        <f t="shared" si="411"/>
        <v>313.7</v>
      </c>
      <c r="U118" s="47">
        <f t="shared" si="411"/>
        <v>341.70000000000005</v>
      </c>
      <c r="V118" s="47">
        <f t="shared" si="411"/>
        <v>329.1</v>
      </c>
      <c r="W118" s="26">
        <f t="shared" si="411"/>
        <v>1258</v>
      </c>
      <c r="X118" s="47">
        <f t="shared" si="411"/>
        <v>316.90835000000004</v>
      </c>
      <c r="Y118" s="93">
        <f t="shared" si="411"/>
        <v>326.24799999999999</v>
      </c>
      <c r="Z118" s="93">
        <f t="shared" si="411"/>
        <v>350.37912000000006</v>
      </c>
      <c r="AA118" s="93">
        <f t="shared" si="411"/>
        <v>312.08112</v>
      </c>
      <c r="AB118" s="112">
        <f t="shared" si="411"/>
        <v>0</v>
      </c>
      <c r="AC118" s="93">
        <f t="shared" si="411"/>
        <v>320.04143600000009</v>
      </c>
      <c r="AD118" s="93">
        <f t="shared" si="411"/>
        <v>339.29792000000003</v>
      </c>
      <c r="AE118" s="93">
        <f t="shared" si="411"/>
        <v>354.01741440000001</v>
      </c>
      <c r="AF118" s="93">
        <f t="shared" si="411"/>
        <v>314.1009664</v>
      </c>
      <c r="AG118" s="112">
        <f t="shared" si="411"/>
        <v>0</v>
      </c>
      <c r="AH118" s="93">
        <f t="shared" si="411"/>
        <v>331.35434675200008</v>
      </c>
      <c r="AI118" s="93">
        <f t="shared" si="411"/>
        <v>352.86983680000009</v>
      </c>
      <c r="AJ118" s="93">
        <f t="shared" si="411"/>
        <v>362.78213836800012</v>
      </c>
      <c r="AK118" s="93">
        <f t="shared" si="411"/>
        <v>324.48861818880005</v>
      </c>
      <c r="AL118" s="112">
        <f t="shared" si="411"/>
        <v>0</v>
      </c>
      <c r="AM118" s="93">
        <f t="shared" si="411"/>
        <v>344.60852062208011</v>
      </c>
      <c r="AN118" s="93">
        <f t="shared" si="411"/>
        <v>366.98463027200012</v>
      </c>
      <c r="AO118" s="93">
        <f t="shared" si="411"/>
        <v>377.29342390272006</v>
      </c>
      <c r="AP118" s="93">
        <f t="shared" si="411"/>
        <v>337.46816291635213</v>
      </c>
      <c r="AQ118" s="112">
        <f t="shared" si="411"/>
        <v>0</v>
      </c>
      <c r="AR118" s="93">
        <f t="shared" si="411"/>
        <v>358.39286144696342</v>
      </c>
      <c r="AS118" s="93">
        <f t="shared" si="411"/>
        <v>381.66401548288013</v>
      </c>
      <c r="AT118" s="93">
        <f t="shared" si="411"/>
        <v>392.38516085882884</v>
      </c>
      <c r="AU118" s="93">
        <f t="shared" si="411"/>
        <v>350.9668894330062</v>
      </c>
      <c r="AV118" s="112">
        <f t="shared" si="411"/>
        <v>0</v>
      </c>
    </row>
    <row r="119" spans="2:48" ht="16.2" hidden="1" outlineLevel="1" x14ac:dyDescent="0.45">
      <c r="B119" s="44" t="s">
        <v>33</v>
      </c>
      <c r="C119" s="41"/>
      <c r="D119" s="49">
        <v>41.4</v>
      </c>
      <c r="E119" s="94">
        <v>40.200000000000003</v>
      </c>
      <c r="F119" s="94">
        <v>48.8</v>
      </c>
      <c r="G119" s="94">
        <v>65.099999999999994</v>
      </c>
      <c r="H119" s="182">
        <f>SUM(D119:G119)</f>
        <v>195.49999999999997</v>
      </c>
      <c r="I119" s="94">
        <v>43</v>
      </c>
      <c r="J119" s="94">
        <v>43.1</v>
      </c>
      <c r="K119" s="94">
        <v>51</v>
      </c>
      <c r="L119" s="94">
        <v>83</v>
      </c>
      <c r="M119" s="182">
        <f>SUM(I119:L119)</f>
        <v>220.1</v>
      </c>
      <c r="N119" s="94">
        <v>56.4</v>
      </c>
      <c r="O119" s="94">
        <v>50.3</v>
      </c>
      <c r="P119" s="94">
        <v>63.5</v>
      </c>
      <c r="Q119" s="94">
        <v>79.7</v>
      </c>
      <c r="R119" s="182">
        <f>SUM(N119:Q119)</f>
        <v>249.89999999999998</v>
      </c>
      <c r="S119" s="94">
        <v>39.6</v>
      </c>
      <c r="T119" s="94">
        <v>48.5</v>
      </c>
      <c r="U119" s="94">
        <v>53.7</v>
      </c>
      <c r="V119" s="94">
        <v>90</v>
      </c>
      <c r="W119" s="182">
        <f>SUM(S119:V119)</f>
        <v>231.8</v>
      </c>
      <c r="X119" s="435">
        <v>90</v>
      </c>
      <c r="Y119" s="435">
        <v>90</v>
      </c>
      <c r="Z119" s="435">
        <v>90</v>
      </c>
      <c r="AA119" s="435">
        <v>90</v>
      </c>
      <c r="AB119" s="412"/>
      <c r="AC119" s="435">
        <v>90</v>
      </c>
      <c r="AD119" s="435">
        <v>90</v>
      </c>
      <c r="AE119" s="435">
        <v>90</v>
      </c>
      <c r="AF119" s="435">
        <v>90</v>
      </c>
      <c r="AG119" s="412"/>
      <c r="AH119" s="435">
        <v>90</v>
      </c>
      <c r="AI119" s="435">
        <v>90</v>
      </c>
      <c r="AJ119" s="435">
        <v>90</v>
      </c>
      <c r="AK119" s="435">
        <v>90</v>
      </c>
      <c r="AL119" s="412"/>
      <c r="AM119" s="435">
        <v>90</v>
      </c>
      <c r="AN119" s="435">
        <v>90</v>
      </c>
      <c r="AO119" s="435">
        <v>90</v>
      </c>
      <c r="AP119" s="435">
        <v>90</v>
      </c>
      <c r="AQ119" s="412"/>
      <c r="AR119" s="435">
        <v>90</v>
      </c>
      <c r="AS119" s="435">
        <v>90</v>
      </c>
      <c r="AT119" s="435">
        <v>90</v>
      </c>
      <c r="AU119" s="435">
        <v>90</v>
      </c>
      <c r="AV119" s="412"/>
    </row>
    <row r="120" spans="2:48" hidden="1" outlineLevel="1" x14ac:dyDescent="0.3">
      <c r="B120" s="43" t="s">
        <v>50</v>
      </c>
      <c r="C120" s="41"/>
      <c r="D120" s="146">
        <f t="shared" ref="D120:AV120" si="412">D108-D118+D119</f>
        <v>175.80000000000004</v>
      </c>
      <c r="E120" s="146">
        <f t="shared" si="412"/>
        <v>148.89999999999998</v>
      </c>
      <c r="F120" s="146">
        <f t="shared" si="412"/>
        <v>181.89999999999998</v>
      </c>
      <c r="G120" s="146">
        <f t="shared" si="412"/>
        <v>190.89999999999995</v>
      </c>
      <c r="H120" s="87">
        <f t="shared" si="412"/>
        <v>697.5</v>
      </c>
      <c r="I120" s="146">
        <f t="shared" si="412"/>
        <v>175.5</v>
      </c>
      <c r="J120" s="146">
        <f t="shared" si="412"/>
        <v>189.6</v>
      </c>
      <c r="K120" s="146">
        <f t="shared" si="412"/>
        <v>124.20000000000005</v>
      </c>
      <c r="L120" s="68">
        <f t="shared" si="412"/>
        <v>197.89999999999998</v>
      </c>
      <c r="M120" s="87">
        <f t="shared" si="412"/>
        <v>687.1999999999997</v>
      </c>
      <c r="N120" s="68">
        <f t="shared" si="412"/>
        <v>180.8</v>
      </c>
      <c r="O120" s="68">
        <f t="shared" si="412"/>
        <v>172.59999999999997</v>
      </c>
      <c r="P120" s="68">
        <f t="shared" si="412"/>
        <v>216</v>
      </c>
      <c r="Q120" s="68">
        <f t="shared" si="412"/>
        <v>219.8</v>
      </c>
      <c r="R120" s="87">
        <f t="shared" si="412"/>
        <v>789.19999999999993</v>
      </c>
      <c r="S120" s="68">
        <f t="shared" si="412"/>
        <v>183.20000000000002</v>
      </c>
      <c r="T120" s="68">
        <f t="shared" si="412"/>
        <v>197.90000000000003</v>
      </c>
      <c r="U120" s="68">
        <f t="shared" si="412"/>
        <v>191.69999999999993</v>
      </c>
      <c r="V120" s="68">
        <f t="shared" si="412"/>
        <v>244.59999999999997</v>
      </c>
      <c r="W120" s="87">
        <f t="shared" si="412"/>
        <v>817.40000000000009</v>
      </c>
      <c r="X120" s="68">
        <f t="shared" si="412"/>
        <v>231.90165000000002</v>
      </c>
      <c r="Y120" s="146">
        <f t="shared" si="412"/>
        <v>245.37600000000003</v>
      </c>
      <c r="Z120" s="146">
        <f t="shared" si="412"/>
        <v>238.50887999999998</v>
      </c>
      <c r="AA120" s="146">
        <f t="shared" si="412"/>
        <v>280.96688</v>
      </c>
      <c r="AB120" s="122">
        <f t="shared" si="412"/>
        <v>0</v>
      </c>
      <c r="AC120" s="146">
        <f t="shared" si="412"/>
        <v>247.12096400000001</v>
      </c>
      <c r="AD120" s="146">
        <f t="shared" si="412"/>
        <v>251.59104000000002</v>
      </c>
      <c r="AE120" s="146">
        <f t="shared" si="412"/>
        <v>254.82610560000001</v>
      </c>
      <c r="AF120" s="146">
        <f t="shared" si="412"/>
        <v>299.06895360000004</v>
      </c>
      <c r="AG120" s="122">
        <f t="shared" si="412"/>
        <v>0</v>
      </c>
      <c r="AH120" s="146">
        <f t="shared" si="412"/>
        <v>254.89454924800003</v>
      </c>
      <c r="AI120" s="146">
        <f t="shared" si="412"/>
        <v>258.05468160000004</v>
      </c>
      <c r="AJ120" s="146">
        <f t="shared" si="412"/>
        <v>266.81512243199995</v>
      </c>
      <c r="AK120" s="146">
        <f t="shared" si="412"/>
        <v>309.60809861120003</v>
      </c>
      <c r="AL120" s="122">
        <f t="shared" si="412"/>
        <v>0</v>
      </c>
      <c r="AM120" s="146">
        <f t="shared" si="412"/>
        <v>261.49033121792007</v>
      </c>
      <c r="AN120" s="146">
        <f t="shared" si="412"/>
        <v>264.77686886399999</v>
      </c>
      <c r="AO120" s="146">
        <f t="shared" si="412"/>
        <v>273.88772732927998</v>
      </c>
      <c r="AP120" s="146">
        <f t="shared" si="412"/>
        <v>318.39242255564801</v>
      </c>
      <c r="AQ120" s="122">
        <f t="shared" si="412"/>
        <v>0</v>
      </c>
      <c r="AR120" s="146">
        <f t="shared" si="412"/>
        <v>268.34994446663683</v>
      </c>
      <c r="AS120" s="146">
        <f t="shared" si="412"/>
        <v>271.76794361856003</v>
      </c>
      <c r="AT120" s="146">
        <f t="shared" si="412"/>
        <v>281.24323642245122</v>
      </c>
      <c r="AU120" s="146">
        <f t="shared" si="412"/>
        <v>327.52811945787397</v>
      </c>
      <c r="AV120" s="122">
        <f t="shared" si="412"/>
        <v>0</v>
      </c>
    </row>
    <row r="121" spans="2:48" hidden="1" outlineLevel="1" x14ac:dyDescent="0.3">
      <c r="B121" s="43" t="s">
        <v>51</v>
      </c>
      <c r="C121" s="41"/>
      <c r="D121" s="147">
        <f>+D120/D108</f>
        <v>0.34839476813317488</v>
      </c>
      <c r="E121" s="147">
        <f>+E120/E108</f>
        <v>0.33340797133900574</v>
      </c>
      <c r="F121" s="147">
        <f>+F120/F108</f>
        <v>0.34108381773860863</v>
      </c>
      <c r="G121" s="147">
        <f>+G120/G108</f>
        <v>0.37571344223578024</v>
      </c>
      <c r="H121" s="115">
        <f>H120/H108</f>
        <v>0.35004516711833789</v>
      </c>
      <c r="I121" s="147">
        <f t="shared" ref="I121:AV121" si="413">+I120/I108</f>
        <v>0.3548321876263647</v>
      </c>
      <c r="J121" s="147">
        <f t="shared" si="413"/>
        <v>0.36524754382585239</v>
      </c>
      <c r="K121" s="147">
        <f t="shared" si="413"/>
        <v>0.27766599597585523</v>
      </c>
      <c r="L121" s="69">
        <f t="shared" si="413"/>
        <v>0.42650862068965512</v>
      </c>
      <c r="M121" s="88">
        <f t="shared" si="413"/>
        <v>0.35698701298701285</v>
      </c>
      <c r="N121" s="69">
        <f t="shared" si="413"/>
        <v>0.48680667743672595</v>
      </c>
      <c r="O121" s="69">
        <f t="shared" si="413"/>
        <v>0.46661259799945926</v>
      </c>
      <c r="P121" s="69">
        <f t="shared" si="413"/>
        <v>0.52173913043478259</v>
      </c>
      <c r="Q121" s="69">
        <f t="shared" si="413"/>
        <v>0.50148300250969657</v>
      </c>
      <c r="R121" s="88">
        <f t="shared" si="413"/>
        <v>0.49523092369477911</v>
      </c>
      <c r="S121" s="69">
        <f t="shared" si="413"/>
        <v>0.43922320786382163</v>
      </c>
      <c r="T121" s="69">
        <f t="shared" si="413"/>
        <v>0.42733750809760318</v>
      </c>
      <c r="U121" s="69">
        <f t="shared" si="413"/>
        <v>0.3996247654784239</v>
      </c>
      <c r="V121" s="69">
        <f t="shared" si="413"/>
        <v>0.50568534215422778</v>
      </c>
      <c r="W121" s="88">
        <f t="shared" si="413"/>
        <v>0.44337166413538731</v>
      </c>
      <c r="X121" s="69">
        <f t="shared" si="413"/>
        <v>0.50544157712342797</v>
      </c>
      <c r="Y121" s="147">
        <f t="shared" si="413"/>
        <v>0.50947627194658074</v>
      </c>
      <c r="Z121" s="147">
        <f t="shared" si="413"/>
        <v>0.47808101217106835</v>
      </c>
      <c r="AA121" s="147">
        <f t="shared" si="413"/>
        <v>0.55852896741464031</v>
      </c>
      <c r="AB121" s="123" t="e">
        <f t="shared" si="413"/>
        <v>#DIV/0!</v>
      </c>
      <c r="AC121" s="147">
        <f t="shared" si="413"/>
        <v>0.51789697595619433</v>
      </c>
      <c r="AD121" s="147">
        <f t="shared" si="413"/>
        <v>0.50228905025177639</v>
      </c>
      <c r="AE121" s="147">
        <f t="shared" si="413"/>
        <v>0.49114250400583204</v>
      </c>
      <c r="AF121" s="147">
        <f t="shared" si="413"/>
        <v>0.57164783785734474</v>
      </c>
      <c r="AG121" s="123" t="e">
        <f t="shared" si="413"/>
        <v>#DIV/0!</v>
      </c>
      <c r="AH121" s="147">
        <f t="shared" si="413"/>
        <v>0.51364255175693119</v>
      </c>
      <c r="AI121" s="147">
        <f t="shared" si="413"/>
        <v>0.49537826016061826</v>
      </c>
      <c r="AJ121" s="147">
        <f t="shared" si="413"/>
        <v>0.4944708615392584</v>
      </c>
      <c r="AK121" s="147">
        <f t="shared" si="413"/>
        <v>0.56903136712917579</v>
      </c>
      <c r="AL121" s="123" t="e">
        <f t="shared" si="413"/>
        <v>#DIV/0!</v>
      </c>
      <c r="AM121" s="147">
        <f t="shared" si="413"/>
        <v>0.50666714387302436</v>
      </c>
      <c r="AN121" s="147">
        <f t="shared" si="413"/>
        <v>0.48873326968835085</v>
      </c>
      <c r="AO121" s="147">
        <f t="shared" si="413"/>
        <v>0.48805582070601478</v>
      </c>
      <c r="AP121" s="147">
        <f t="shared" si="413"/>
        <v>0.56266937604439793</v>
      </c>
      <c r="AQ121" s="123" t="e">
        <f t="shared" si="413"/>
        <v>#DIV/0!</v>
      </c>
      <c r="AR121" s="147">
        <f t="shared" si="413"/>
        <v>0.49996002090772923</v>
      </c>
      <c r="AS121" s="147">
        <f t="shared" si="413"/>
        <v>0.48234385577270916</v>
      </c>
      <c r="AT121" s="147">
        <f t="shared" si="413"/>
        <v>0.48188751221251125</v>
      </c>
      <c r="AU121" s="147">
        <f t="shared" si="413"/>
        <v>0.55655207692441933</v>
      </c>
      <c r="AV121" s="123" t="e">
        <f t="shared" si="413"/>
        <v>#DIV/0!</v>
      </c>
    </row>
    <row r="122" spans="2:48" ht="17.399999999999999" collapsed="1" x14ac:dyDescent="0.45">
      <c r="B122" s="514" t="s">
        <v>52</v>
      </c>
      <c r="C122" s="515"/>
      <c r="D122" s="14" t="s">
        <v>19</v>
      </c>
      <c r="E122" s="14" t="s">
        <v>78</v>
      </c>
      <c r="F122" s="14" t="s">
        <v>82</v>
      </c>
      <c r="G122" s="14" t="s">
        <v>92</v>
      </c>
      <c r="H122" s="37" t="s">
        <v>93</v>
      </c>
      <c r="I122" s="14" t="s">
        <v>94</v>
      </c>
      <c r="J122" s="14" t="s">
        <v>95</v>
      </c>
      <c r="K122" s="14" t="s">
        <v>96</v>
      </c>
      <c r="L122" s="14" t="s">
        <v>139</v>
      </c>
      <c r="M122" s="37" t="s">
        <v>140</v>
      </c>
      <c r="N122" s="14" t="s">
        <v>146</v>
      </c>
      <c r="O122" s="14" t="s">
        <v>154</v>
      </c>
      <c r="P122" s="14" t="s">
        <v>156</v>
      </c>
      <c r="Q122" s="14" t="s">
        <v>169</v>
      </c>
      <c r="R122" s="37" t="s">
        <v>170</v>
      </c>
      <c r="S122" s="14" t="s">
        <v>185</v>
      </c>
      <c r="T122" s="14" t="s">
        <v>186</v>
      </c>
      <c r="U122" s="14" t="s">
        <v>201</v>
      </c>
      <c r="V122" s="14" t="s">
        <v>324</v>
      </c>
      <c r="W122" s="37" t="s">
        <v>325</v>
      </c>
      <c r="X122" s="12" t="s">
        <v>24</v>
      </c>
      <c r="Y122" s="12" t="s">
        <v>25</v>
      </c>
      <c r="Z122" s="12" t="s">
        <v>26</v>
      </c>
      <c r="AA122" s="12" t="s">
        <v>27</v>
      </c>
      <c r="AB122" s="39" t="s">
        <v>28</v>
      </c>
      <c r="AC122" s="12" t="s">
        <v>87</v>
      </c>
      <c r="AD122" s="12" t="s">
        <v>88</v>
      </c>
      <c r="AE122" s="12" t="s">
        <v>89</v>
      </c>
      <c r="AF122" s="12" t="s">
        <v>90</v>
      </c>
      <c r="AG122" s="39" t="s">
        <v>91</v>
      </c>
      <c r="AH122" s="12" t="s">
        <v>106</v>
      </c>
      <c r="AI122" s="12" t="s">
        <v>107</v>
      </c>
      <c r="AJ122" s="12" t="s">
        <v>108</v>
      </c>
      <c r="AK122" s="12" t="s">
        <v>109</v>
      </c>
      <c r="AL122" s="39" t="s">
        <v>110</v>
      </c>
      <c r="AM122" s="12" t="s">
        <v>161</v>
      </c>
      <c r="AN122" s="12" t="s">
        <v>162</v>
      </c>
      <c r="AO122" s="12" t="s">
        <v>163</v>
      </c>
      <c r="AP122" s="12" t="s">
        <v>164</v>
      </c>
      <c r="AQ122" s="39" t="s">
        <v>165</v>
      </c>
      <c r="AR122" s="12" t="s">
        <v>192</v>
      </c>
      <c r="AS122" s="12" t="s">
        <v>193</v>
      </c>
      <c r="AT122" s="12" t="s">
        <v>194</v>
      </c>
      <c r="AU122" s="12" t="s">
        <v>195</v>
      </c>
      <c r="AV122" s="39" t="s">
        <v>196</v>
      </c>
    </row>
    <row r="123" spans="2:48" s="8" customFormat="1" hidden="1" outlineLevel="1" x14ac:dyDescent="0.3">
      <c r="B123" s="540" t="s">
        <v>124</v>
      </c>
      <c r="C123" s="541"/>
      <c r="D123" s="47">
        <v>11.6</v>
      </c>
      <c r="E123" s="47">
        <v>15.8</v>
      </c>
      <c r="F123" s="47">
        <v>23.3</v>
      </c>
      <c r="G123" s="47">
        <v>15.4</v>
      </c>
      <c r="H123" s="87">
        <f>SUM(D123:G123)</f>
        <v>66.100000000000009</v>
      </c>
      <c r="I123" s="47">
        <v>20.5</v>
      </c>
      <c r="J123" s="47">
        <v>12</v>
      </c>
      <c r="K123" s="47">
        <v>19.7</v>
      </c>
      <c r="L123" s="47">
        <v>13.9</v>
      </c>
      <c r="M123" s="87">
        <f>SUM(I123:L123)</f>
        <v>66.100000000000009</v>
      </c>
      <c r="N123" s="47">
        <v>20.5</v>
      </c>
      <c r="O123" s="47">
        <v>22.6</v>
      </c>
      <c r="P123" s="47">
        <v>23.8</v>
      </c>
      <c r="Q123" s="93">
        <v>30.8</v>
      </c>
      <c r="R123" s="87">
        <f>SUM(N123:Q123)</f>
        <v>97.7</v>
      </c>
      <c r="S123" s="47">
        <v>25.1</v>
      </c>
      <c r="T123" s="47">
        <v>24.4</v>
      </c>
      <c r="U123" s="47">
        <v>27.3</v>
      </c>
      <c r="V123" s="47">
        <v>19.100000000000001</v>
      </c>
      <c r="W123" s="87">
        <f>SUM(S123:V123)</f>
        <v>95.9</v>
      </c>
      <c r="X123" s="93">
        <f>S123*(1+X124)</f>
        <v>27.610000000000003</v>
      </c>
      <c r="Y123" s="93">
        <f>T123*(1+Y124)</f>
        <v>26.84</v>
      </c>
      <c r="Z123" s="93">
        <f>U123*(1+Z124)</f>
        <v>30.030000000000005</v>
      </c>
      <c r="AA123" s="93">
        <f>V123*(1+AA124)</f>
        <v>21.01</v>
      </c>
      <c r="AB123" s="122"/>
      <c r="AC123" s="93">
        <f>X123*(1+AC124)</f>
        <v>30.371000000000006</v>
      </c>
      <c r="AD123" s="93">
        <f>Y123*(1+AD124)</f>
        <v>29.524000000000001</v>
      </c>
      <c r="AE123" s="93">
        <f>Z123*(1+AE124)</f>
        <v>33.033000000000008</v>
      </c>
      <c r="AF123" s="93">
        <f>AA123*(1+AF124)</f>
        <v>23.111000000000004</v>
      </c>
      <c r="AG123" s="122"/>
      <c r="AH123" s="93">
        <f>AC123*(1+AH124)</f>
        <v>33.408100000000012</v>
      </c>
      <c r="AI123" s="93">
        <f>AD123*(1+AI124)</f>
        <v>32.476400000000005</v>
      </c>
      <c r="AJ123" s="93">
        <f>AE123*(1+AJ124)</f>
        <v>36.336300000000016</v>
      </c>
      <c r="AK123" s="93">
        <f>AF123*(1+AK124)</f>
        <v>25.422100000000007</v>
      </c>
      <c r="AL123" s="122"/>
      <c r="AM123" s="93">
        <f>AH123*(1+AM124)</f>
        <v>36.748910000000016</v>
      </c>
      <c r="AN123" s="93">
        <f>AI123*(1+AN124)</f>
        <v>35.724040000000009</v>
      </c>
      <c r="AO123" s="93">
        <f>AJ123*(1+AO124)</f>
        <v>39.969930000000019</v>
      </c>
      <c r="AP123" s="93">
        <f>AK123*(1+AP124)</f>
        <v>27.964310000000012</v>
      </c>
      <c r="AQ123" s="122"/>
      <c r="AR123" s="93">
        <f>AM123*(1+AR124)</f>
        <v>40.423801000000019</v>
      </c>
      <c r="AS123" s="93">
        <f>AN123*(1+AS124)</f>
        <v>39.296444000000015</v>
      </c>
      <c r="AT123" s="93">
        <f>AO123*(1+AT124)</f>
        <v>43.966923000000023</v>
      </c>
      <c r="AU123" s="93">
        <f>AP123*(1+AU124)</f>
        <v>30.760741000000014</v>
      </c>
      <c r="AV123" s="122"/>
    </row>
    <row r="124" spans="2:48" s="8" customFormat="1" hidden="1" outlineLevel="1" x14ac:dyDescent="0.3">
      <c r="B124" s="35" t="s">
        <v>125</v>
      </c>
      <c r="C124" s="189"/>
      <c r="D124" s="30"/>
      <c r="E124" s="30"/>
      <c r="F124" s="30"/>
      <c r="G124" s="108"/>
      <c r="H124" s="120"/>
      <c r="I124" s="108">
        <f t="shared" ref="I124:J124" si="414">I123/D123-1</f>
        <v>0.76724137931034497</v>
      </c>
      <c r="J124" s="108">
        <f t="shared" si="414"/>
        <v>-0.24050632911392411</v>
      </c>
      <c r="K124" s="108">
        <f>K123/F123-1</f>
        <v>-0.15450643776824036</v>
      </c>
      <c r="L124" s="108">
        <f>L123/G123-1</f>
        <v>-9.740259740259738E-2</v>
      </c>
      <c r="M124" s="118">
        <f>M123/H123-1</f>
        <v>0</v>
      </c>
      <c r="N124" s="108">
        <f t="shared" ref="N124:Q124" si="415">N123/I123-1</f>
        <v>0</v>
      </c>
      <c r="O124" s="108">
        <f t="shared" si="415"/>
        <v>0.88333333333333353</v>
      </c>
      <c r="P124" s="108">
        <f t="shared" si="415"/>
        <v>0.20812182741116758</v>
      </c>
      <c r="Q124" s="108">
        <f t="shared" si="415"/>
        <v>1.2158273381294964</v>
      </c>
      <c r="R124" s="118">
        <f>R123/M123-1</f>
        <v>0.47806354009077134</v>
      </c>
      <c r="S124" s="108">
        <f t="shared" ref="S124:V124" si="416">S123/N123-1</f>
        <v>0.224390243902439</v>
      </c>
      <c r="T124" s="108">
        <f t="shared" si="416"/>
        <v>7.9646017699114946E-2</v>
      </c>
      <c r="U124" s="108">
        <f t="shared" si="416"/>
        <v>0.14705882352941169</v>
      </c>
      <c r="V124" s="108">
        <f t="shared" si="416"/>
        <v>-0.3798701298701298</v>
      </c>
      <c r="W124" s="118">
        <f>W123/R123-1</f>
        <v>-1.842374616171949E-2</v>
      </c>
      <c r="X124" s="405">
        <v>0.1</v>
      </c>
      <c r="Y124" s="405">
        <v>0.1</v>
      </c>
      <c r="Z124" s="405">
        <v>0.1</v>
      </c>
      <c r="AA124" s="405">
        <v>0.1</v>
      </c>
      <c r="AB124" s="406"/>
      <c r="AC124" s="405">
        <v>0.1</v>
      </c>
      <c r="AD124" s="405">
        <v>0.1</v>
      </c>
      <c r="AE124" s="405">
        <v>0.1</v>
      </c>
      <c r="AF124" s="405">
        <v>0.1</v>
      </c>
      <c r="AG124" s="406"/>
      <c r="AH124" s="405">
        <v>0.1</v>
      </c>
      <c r="AI124" s="405">
        <v>0.1</v>
      </c>
      <c r="AJ124" s="405">
        <v>0.1</v>
      </c>
      <c r="AK124" s="405">
        <v>0.1</v>
      </c>
      <c r="AL124" s="406"/>
      <c r="AM124" s="405">
        <v>0.1</v>
      </c>
      <c r="AN124" s="405">
        <v>0.1</v>
      </c>
      <c r="AO124" s="405">
        <v>0.1</v>
      </c>
      <c r="AP124" s="405">
        <v>0.1</v>
      </c>
      <c r="AQ124" s="406"/>
      <c r="AR124" s="405">
        <v>0.1</v>
      </c>
      <c r="AS124" s="405">
        <v>0.1</v>
      </c>
      <c r="AT124" s="405">
        <v>0.1</v>
      </c>
      <c r="AU124" s="405">
        <v>0.1</v>
      </c>
      <c r="AV124" s="406"/>
    </row>
    <row r="125" spans="2:48" hidden="1" outlineLevel="1" x14ac:dyDescent="0.3">
      <c r="B125" s="538" t="s">
        <v>97</v>
      </c>
      <c r="C125" s="539"/>
      <c r="D125" s="45">
        <v>13.4</v>
      </c>
      <c r="E125" s="45">
        <v>15.9</v>
      </c>
      <c r="F125" s="45">
        <v>22.4</v>
      </c>
      <c r="G125" s="95">
        <v>15.5</v>
      </c>
      <c r="H125" s="160"/>
      <c r="I125" s="95">
        <v>20.7</v>
      </c>
      <c r="J125" s="95">
        <v>10.199999999999999</v>
      </c>
      <c r="K125" s="95">
        <v>20.8</v>
      </c>
      <c r="L125" s="95">
        <v>11.6</v>
      </c>
      <c r="M125" s="31">
        <f>SUM(I125:L125)</f>
        <v>63.300000000000004</v>
      </c>
      <c r="N125" s="95">
        <v>19</v>
      </c>
      <c r="O125" s="95">
        <v>19.399999999999999</v>
      </c>
      <c r="P125" s="95">
        <v>19.8</v>
      </c>
      <c r="Q125" s="95">
        <v>28.2</v>
      </c>
      <c r="R125" s="31">
        <f>SUM(N125:Q125)</f>
        <v>86.4</v>
      </c>
      <c r="S125" s="95">
        <v>22.9</v>
      </c>
      <c r="T125" s="95">
        <v>20.8</v>
      </c>
      <c r="U125" s="95">
        <v>24.3</v>
      </c>
      <c r="V125" s="95">
        <v>20.399999999999999</v>
      </c>
      <c r="W125" s="31">
        <f>SUM(S125:V125)</f>
        <v>88.4</v>
      </c>
      <c r="X125" s="393">
        <f>AVERAGE(S125:V125)</f>
        <v>22.1</v>
      </c>
      <c r="Y125" s="393">
        <f>AVERAGE(T125,U125,V125,X125)</f>
        <v>21.9</v>
      </c>
      <c r="Z125" s="393">
        <f>AVERAGE(U125,V125,X125,Y125)</f>
        <v>22.175000000000004</v>
      </c>
      <c r="AA125" s="393">
        <f>AVERAGE(V125,X125,Y125,Z125)</f>
        <v>21.643750000000004</v>
      </c>
      <c r="AB125" s="411"/>
      <c r="AC125" s="393">
        <f>AVERAGE(X125:AA125)</f>
        <v>21.954687500000006</v>
      </c>
      <c r="AD125" s="393">
        <f>AVERAGE(Y125,Z125,AA125,AC125)</f>
        <v>21.918359375000001</v>
      </c>
      <c r="AE125" s="393">
        <f>AVERAGE(Z125,AA125,AC125,AD125)</f>
        <v>21.922949218750006</v>
      </c>
      <c r="AF125" s="393">
        <f>AVERAGE(AA125,AC125,AD125,AE125)</f>
        <v>21.859936523437504</v>
      </c>
      <c r="AG125" s="411"/>
      <c r="AH125" s="393">
        <f>AVERAGE(AC125:AF125)</f>
        <v>21.913983154296879</v>
      </c>
      <c r="AI125" s="393">
        <f>AVERAGE(AD125,AE125,AF125,AH125)</f>
        <v>21.903807067871099</v>
      </c>
      <c r="AJ125" s="393">
        <f>AVERAGE(AE125,AF125,AH125,AI125)</f>
        <v>21.900168991088872</v>
      </c>
      <c r="AK125" s="393">
        <f>AVERAGE(AF125,AH125,AI125,AJ125)</f>
        <v>21.89447393417359</v>
      </c>
      <c r="AL125" s="411"/>
      <c r="AM125" s="393">
        <f>AVERAGE(AH125:AK125)</f>
        <v>21.903108286857609</v>
      </c>
      <c r="AN125" s="393">
        <f>AVERAGE(AI125,AJ125,AK125,AM125)</f>
        <v>21.900389569997792</v>
      </c>
      <c r="AO125" s="393">
        <f>AVERAGE(AJ125,AK125,AM125,AN125)</f>
        <v>21.899535195529467</v>
      </c>
      <c r="AP125" s="393">
        <f>AVERAGE(AK125,AM125,AN125,AO125)</f>
        <v>21.899376746639614</v>
      </c>
      <c r="AQ125" s="411"/>
      <c r="AR125" s="393">
        <f>AVERAGE(AM125:AP125)</f>
        <v>21.900602449756121</v>
      </c>
      <c r="AS125" s="393">
        <f>AVERAGE(AN125,AO125,AP125,AR125)</f>
        <v>21.899975990480748</v>
      </c>
      <c r="AT125" s="393">
        <f>AVERAGE(AO125,AP125,AR125,AS125)</f>
        <v>21.899872595601487</v>
      </c>
      <c r="AU125" s="393">
        <f>AVERAGE(AP125,AR125,AS125,AT125)</f>
        <v>21.899956945619493</v>
      </c>
      <c r="AV125" s="411"/>
    </row>
    <row r="126" spans="2:48" hidden="1" outlineLevel="1" x14ac:dyDescent="0.3">
      <c r="B126" s="170" t="s">
        <v>30</v>
      </c>
      <c r="C126" s="18"/>
      <c r="D126" s="45">
        <v>3.2</v>
      </c>
      <c r="E126" s="45">
        <v>4.3</v>
      </c>
      <c r="F126" s="45">
        <v>5.8</v>
      </c>
      <c r="G126" s="95">
        <f>5.2+0.1</f>
        <v>5.3</v>
      </c>
      <c r="H126" s="160"/>
      <c r="I126" s="95">
        <v>2.8</v>
      </c>
      <c r="J126" s="95">
        <v>3.7</v>
      </c>
      <c r="K126" s="95">
        <v>4</v>
      </c>
      <c r="L126" s="95">
        <v>3.4</v>
      </c>
      <c r="M126" s="31">
        <f t="shared" ref="M126:M129" si="417">SUM(I126:L126)</f>
        <v>13.9</v>
      </c>
      <c r="N126" s="95">
        <v>3.6</v>
      </c>
      <c r="O126" s="95">
        <v>3.4</v>
      </c>
      <c r="P126" s="95">
        <v>3.3</v>
      </c>
      <c r="Q126" s="95">
        <v>4.5</v>
      </c>
      <c r="R126" s="31">
        <f t="shared" ref="R126:R129" si="418">SUM(N126:Q126)</f>
        <v>14.8</v>
      </c>
      <c r="S126" s="95">
        <v>2.9</v>
      </c>
      <c r="T126" s="95">
        <v>4.4000000000000004</v>
      </c>
      <c r="U126" s="95">
        <v>5.9</v>
      </c>
      <c r="V126" s="95">
        <v>3.3</v>
      </c>
      <c r="W126" s="31">
        <f t="shared" ref="W126:W129" si="419">SUM(S126:V126)</f>
        <v>16.5</v>
      </c>
      <c r="X126" s="393">
        <f>AVERAGE(S126:V126)</f>
        <v>4.125</v>
      </c>
      <c r="Y126" s="393">
        <f>AVERAGE(T126,U126,V126,X126)</f>
        <v>4.4312500000000004</v>
      </c>
      <c r="Z126" s="393">
        <f>AVERAGE(U126,V126,X126,Y126)</f>
        <v>4.4390625000000004</v>
      </c>
      <c r="AA126" s="393">
        <f>AVERAGE(V126,X126,Y126,Z126)</f>
        <v>4.0738281250000004</v>
      </c>
      <c r="AB126" s="411"/>
      <c r="AC126" s="393">
        <f>AVERAGE(X126:AA126)</f>
        <v>4.2672851562500007</v>
      </c>
      <c r="AD126" s="393">
        <f>AVERAGE(Y126,Z126,AA126,AC126)</f>
        <v>4.3028564453125</v>
      </c>
      <c r="AE126" s="393">
        <f>AVERAGE(Z126,AA126,AC126,AD126)</f>
        <v>4.2707580566406254</v>
      </c>
      <c r="AF126" s="393">
        <f>AVERAGE(AA126,AC126,AD126,AE126)</f>
        <v>4.2286819458007816</v>
      </c>
      <c r="AG126" s="411"/>
      <c r="AH126" s="393">
        <f>AVERAGE(AC126:AF126)</f>
        <v>4.2673954010009769</v>
      </c>
      <c r="AI126" s="393">
        <f>AVERAGE(AD126,AE126,AF126,AH126)</f>
        <v>4.2674229621887214</v>
      </c>
      <c r="AJ126" s="393">
        <f>AVERAGE(AE126,AF126,AH126,AI126)</f>
        <v>4.2585645914077759</v>
      </c>
      <c r="AK126" s="393">
        <f>AVERAGE(AF126,AH126,AI126,AJ126)</f>
        <v>4.255516225099564</v>
      </c>
      <c r="AL126" s="411"/>
      <c r="AM126" s="393">
        <f>AVERAGE(AH126:AK126)</f>
        <v>4.2622247949242595</v>
      </c>
      <c r="AN126" s="393">
        <f>AVERAGE(AI126,AJ126,AK126,AM126)</f>
        <v>4.2609321434050802</v>
      </c>
      <c r="AO126" s="393">
        <f>AVERAGE(AJ126,AK126,AM126,AN126)</f>
        <v>4.2593094387091703</v>
      </c>
      <c r="AP126" s="393">
        <f>AVERAGE(AK126,AM126,AN126,AO126)</f>
        <v>4.2594956505345181</v>
      </c>
      <c r="AQ126" s="411"/>
      <c r="AR126" s="393">
        <f>AVERAGE(AM126:AP126)</f>
        <v>4.260490506893257</v>
      </c>
      <c r="AS126" s="393">
        <f>AVERAGE(AN126,AO126,AP126,AR126)</f>
        <v>4.2600569348855064</v>
      </c>
      <c r="AT126" s="393">
        <f>AVERAGE(AO126,AP126,AR126,AS126)</f>
        <v>4.259838132755613</v>
      </c>
      <c r="AU126" s="393">
        <f>AVERAGE(AP126,AR126,AS126,AT126)</f>
        <v>4.2599703062672241</v>
      </c>
      <c r="AV126" s="411"/>
    </row>
    <row r="127" spans="2:48" hidden="1" outlineLevel="1" x14ac:dyDescent="0.3">
      <c r="B127" s="170" t="s">
        <v>31</v>
      </c>
      <c r="C127" s="18"/>
      <c r="D127" s="327">
        <v>39.5</v>
      </c>
      <c r="E127" s="327">
        <v>40.5</v>
      </c>
      <c r="F127" s="327">
        <v>39.6</v>
      </c>
      <c r="G127" s="327">
        <v>37.299999999999997</v>
      </c>
      <c r="H127" s="120"/>
      <c r="I127" s="327">
        <v>34.9</v>
      </c>
      <c r="J127" s="327">
        <v>34.5</v>
      </c>
      <c r="K127" s="327">
        <v>40.9</v>
      </c>
      <c r="L127" s="327">
        <v>39.5</v>
      </c>
      <c r="M127" s="116">
        <f t="shared" si="417"/>
        <v>149.80000000000001</v>
      </c>
      <c r="N127" s="327">
        <v>37</v>
      </c>
      <c r="O127" s="327">
        <v>37</v>
      </c>
      <c r="P127" s="327">
        <v>35.5</v>
      </c>
      <c r="Q127" s="327">
        <v>32.9</v>
      </c>
      <c r="R127" s="116">
        <f t="shared" si="418"/>
        <v>142.4</v>
      </c>
      <c r="S127" s="327">
        <v>32.9</v>
      </c>
      <c r="T127" s="327">
        <v>32.299999999999997</v>
      </c>
      <c r="U127" s="327">
        <v>30.6</v>
      </c>
      <c r="V127" s="327">
        <v>30.7</v>
      </c>
      <c r="W127" s="116">
        <f t="shared" si="419"/>
        <v>126.49999999999999</v>
      </c>
      <c r="X127" s="327">
        <f>(V127/(V66+V99+V114+V127))*'Cash Flow Statement'!X7*0.95</f>
        <v>32.23967834498454</v>
      </c>
      <c r="Y127" s="327">
        <f>(X127/(X66+X99+X114+X127))*'Cash Flow Statement'!Y7*0.95</f>
        <v>33.613159406245806</v>
      </c>
      <c r="Z127" s="327">
        <f>(Y127/(Y66+Y99+Y114+Y127))*'Cash Flow Statement'!Z7*0.95</f>
        <v>34.21939567939183</v>
      </c>
      <c r="AA127" s="327">
        <f>(Z127/(Z66+Z99+Z114+Z127))*'Cash Flow Statement'!AA7*0.95</f>
        <v>34.410209081980362</v>
      </c>
      <c r="AB127" s="116"/>
      <c r="AC127" s="327">
        <f>(AA127/(AA66+AA99+AA114+AA127))*'Cash Flow Statement'!AC7*0.95</f>
        <v>37.077117741656068</v>
      </c>
      <c r="AD127" s="327">
        <f>(AC127/(AC66+AC99+AC114+AC127))*'Cash Flow Statement'!AD7*0.95</f>
        <v>38.509946569916139</v>
      </c>
      <c r="AE127" s="327">
        <f>(AD127/(AD66+AD99+AD114+AD127))*'Cash Flow Statement'!AE7*0.95</f>
        <v>39.007556593975323</v>
      </c>
      <c r="AF127" s="327">
        <f>(AE127/(AE66+AE99+AE114+AE127))*'Cash Flow Statement'!AF7*0.95</f>
        <v>38.649076488944047</v>
      </c>
      <c r="AG127" s="116"/>
      <c r="AH127" s="327">
        <f>(AF127/(AF66+AF99+AF114+AF127))*'Cash Flow Statement'!AH7*0.95</f>
        <v>41.611606783137951</v>
      </c>
      <c r="AI127" s="327">
        <f>(AH127/(AH66+AH99+AH114+AH127))*'Cash Flow Statement'!AI7*0.95</f>
        <v>42.884557708384627</v>
      </c>
      <c r="AJ127" s="327">
        <f>(AI127/(AI66+AI99+AI114+AI127))*'Cash Flow Statement'!AJ7*0.95</f>
        <v>43.30360810597341</v>
      </c>
      <c r="AK127" s="327">
        <f>(AJ127/(AJ66+AJ99+AJ114+AJ127))*'Cash Flow Statement'!AK7*0.95</f>
        <v>42.067128901851405</v>
      </c>
      <c r="AL127" s="116"/>
      <c r="AM127" s="327">
        <f>(AK127/(AK66+AK99+AK114+AK127))*'Cash Flow Statement'!AM7*0.95</f>
        <v>45.548943534778594</v>
      </c>
      <c r="AN127" s="327">
        <f>(AM127/(AM66+AM99+AM114+AM127))*'Cash Flow Statement'!AN7*0.95</f>
        <v>46.995867082662976</v>
      </c>
      <c r="AO127" s="327">
        <f>(AN127/(AN66+AN99+AN114+AN127))*'Cash Flow Statement'!AO7*0.95</f>
        <v>47.358056947911848</v>
      </c>
      <c r="AP127" s="327">
        <f>(AO127/(AO66+AO99+AO114+AO127))*'Cash Flow Statement'!AP7*0.95</f>
        <v>46.560531776595994</v>
      </c>
      <c r="AQ127" s="116"/>
      <c r="AR127" s="327">
        <f>(AP127/(AP66+AP99+AP114+AP127))*'Cash Flow Statement'!AR7*0.95</f>
        <v>49.871121396014694</v>
      </c>
      <c r="AS127" s="327">
        <f>(AR127/(AR66+AR99+AR114+AR127))*'Cash Flow Statement'!AS7*0.95</f>
        <v>51.257003351691424</v>
      </c>
      <c r="AT127" s="327">
        <f>(AS127/(AS66+AS99+AS114+AS127))*'Cash Flow Statement'!AT7*0.95</f>
        <v>51.504583398476065</v>
      </c>
      <c r="AU127" s="327">
        <f>(AT127/(AT66+AT99+AT114+AT127))*'Cash Flow Statement'!AU7*0.95</f>
        <v>50.289387439095023</v>
      </c>
      <c r="AV127" s="116"/>
    </row>
    <row r="128" spans="2:48" hidden="1" outlineLevel="1" x14ac:dyDescent="0.3">
      <c r="B128" s="170" t="s">
        <v>32</v>
      </c>
      <c r="C128" s="18"/>
      <c r="D128" s="45">
        <v>300.39999999999998</v>
      </c>
      <c r="E128" s="45">
        <v>303.89999999999998</v>
      </c>
      <c r="F128" s="45">
        <v>299</v>
      </c>
      <c r="G128" s="95">
        <v>267.39999999999998</v>
      </c>
      <c r="H128" s="160"/>
      <c r="I128" s="95">
        <v>292.2</v>
      </c>
      <c r="J128" s="95">
        <v>271.60000000000002</v>
      </c>
      <c r="K128" s="95">
        <v>269.10000000000002</v>
      </c>
      <c r="L128" s="95">
        <v>288.8</v>
      </c>
      <c r="M128" s="31">
        <f t="shared" si="417"/>
        <v>1121.7</v>
      </c>
      <c r="N128" s="95">
        <v>316.5</v>
      </c>
      <c r="O128" s="95">
        <v>304.60000000000002</v>
      </c>
      <c r="P128" s="95">
        <v>326.5</v>
      </c>
      <c r="Q128" s="95">
        <v>321</v>
      </c>
      <c r="R128" s="31">
        <f t="shared" si="418"/>
        <v>1268.5999999999999</v>
      </c>
      <c r="S128" s="95">
        <v>354.5</v>
      </c>
      <c r="T128" s="95">
        <v>328.1</v>
      </c>
      <c r="U128" s="95">
        <v>326.10000000000002</v>
      </c>
      <c r="V128" s="95">
        <v>362.5</v>
      </c>
      <c r="W128" s="31">
        <f t="shared" si="419"/>
        <v>1371.2</v>
      </c>
      <c r="X128" s="393">
        <f>AVERAGE(S128:V128)</f>
        <v>342.8</v>
      </c>
      <c r="Y128" s="393">
        <f>AVERAGE(T128,U128,V128,X128)</f>
        <v>339.875</v>
      </c>
      <c r="Z128" s="393">
        <f>AVERAGE(U128,V128,X128,Y128)</f>
        <v>342.81875000000002</v>
      </c>
      <c r="AA128" s="393">
        <f>AVERAGE(V128,X128,Y128,Z128)</f>
        <v>346.99843750000002</v>
      </c>
      <c r="AB128" s="411"/>
      <c r="AC128" s="393">
        <f>AVERAGE(X128:AA128)</f>
        <v>343.123046875</v>
      </c>
      <c r="AD128" s="393">
        <f>AVERAGE(Y128,Z128,AA128,AC128)</f>
        <v>343.20380859375001</v>
      </c>
      <c r="AE128" s="393">
        <f>AVERAGE(Z128,AA128,AC128,AD128)</f>
        <v>344.0360107421875</v>
      </c>
      <c r="AF128" s="393">
        <f>AVERAGE(AA128,AC128,AD128,AE128)</f>
        <v>344.3403259277344</v>
      </c>
      <c r="AG128" s="411"/>
      <c r="AH128" s="393">
        <f>AVERAGE(AC128:AF128)</f>
        <v>343.67579803466799</v>
      </c>
      <c r="AI128" s="393">
        <f>AVERAGE(AD128,AE128,AF128,AH128)</f>
        <v>343.81398582458496</v>
      </c>
      <c r="AJ128" s="393">
        <f>AVERAGE(AE128,AF128,AH128,AI128)</f>
        <v>343.96653013229371</v>
      </c>
      <c r="AK128" s="393">
        <f>AVERAGE(AF128,AH128,AI128,AJ128)</f>
        <v>343.94915997982025</v>
      </c>
      <c r="AL128" s="411"/>
      <c r="AM128" s="393">
        <f>AVERAGE(AH128:AK128)</f>
        <v>343.85136849284174</v>
      </c>
      <c r="AN128" s="393">
        <f>AVERAGE(AI128,AJ128,AK128,AM128)</f>
        <v>343.89526110738518</v>
      </c>
      <c r="AO128" s="393">
        <f>AVERAGE(AJ128,AK128,AM128,AN128)</f>
        <v>343.91557992808521</v>
      </c>
      <c r="AP128" s="393">
        <f>AVERAGE(AK128,AM128,AN128,AO128)</f>
        <v>343.9028423770331</v>
      </c>
      <c r="AQ128" s="411"/>
      <c r="AR128" s="393">
        <f>AVERAGE(AM128:AP128)</f>
        <v>343.89126297633629</v>
      </c>
      <c r="AS128" s="393">
        <f>AVERAGE(AN128,AO128,AP128,AR128)</f>
        <v>343.90123659720996</v>
      </c>
      <c r="AT128" s="393">
        <f>AVERAGE(AO128,AP128,AR128,AS128)</f>
        <v>343.90273046966615</v>
      </c>
      <c r="AU128" s="393">
        <f>AVERAGE(AP128,AR128,AS128,AT128)</f>
        <v>343.89951810506136</v>
      </c>
      <c r="AV128" s="411"/>
    </row>
    <row r="129" spans="2:48" ht="16.2" hidden="1" outlineLevel="1" x14ac:dyDescent="0.45">
      <c r="B129" s="170" t="s">
        <v>39</v>
      </c>
      <c r="C129" s="18"/>
      <c r="D129" s="109">
        <v>13.9</v>
      </c>
      <c r="E129" s="109">
        <v>0.6</v>
      </c>
      <c r="F129" s="109">
        <v>6</v>
      </c>
      <c r="G129" s="109">
        <v>-0.9</v>
      </c>
      <c r="H129" s="121"/>
      <c r="I129" s="109">
        <v>0.3</v>
      </c>
      <c r="J129" s="109">
        <v>0</v>
      </c>
      <c r="K129" s="109">
        <v>22.1</v>
      </c>
      <c r="L129" s="109">
        <v>0</v>
      </c>
      <c r="M129" s="182">
        <f t="shared" si="417"/>
        <v>22.400000000000002</v>
      </c>
      <c r="N129" s="109">
        <v>0</v>
      </c>
      <c r="O129" s="109">
        <v>0</v>
      </c>
      <c r="P129" s="109">
        <v>0</v>
      </c>
      <c r="Q129" s="109">
        <v>15</v>
      </c>
      <c r="R129" s="182">
        <f t="shared" si="418"/>
        <v>15</v>
      </c>
      <c r="S129" s="109">
        <v>0</v>
      </c>
      <c r="T129" s="109">
        <v>0</v>
      </c>
      <c r="U129" s="109">
        <v>2</v>
      </c>
      <c r="V129" s="109">
        <v>10.7</v>
      </c>
      <c r="W129" s="182">
        <f t="shared" si="419"/>
        <v>12.7</v>
      </c>
      <c r="X129" s="109">
        <f>IFERROR((X163*(V129/V163)),0)</f>
        <v>15.242165242165239</v>
      </c>
      <c r="Y129" s="109">
        <f t="shared" ref="Y129:AA129" si="420">IFERROR((Y163*(X129/X163)),0)</f>
        <v>0</v>
      </c>
      <c r="Z129" s="109">
        <f t="shared" si="420"/>
        <v>0</v>
      </c>
      <c r="AA129" s="109">
        <f t="shared" si="420"/>
        <v>0</v>
      </c>
      <c r="AB129" s="202"/>
      <c r="AC129" s="109">
        <f>IFERROR((AC163*(AA129/AA163)),0)</f>
        <v>0</v>
      </c>
      <c r="AD129" s="109">
        <f t="shared" ref="AD129:AF129" si="421">IFERROR((AD163*(AC129/AC163)),0)</f>
        <v>0</v>
      </c>
      <c r="AE129" s="109">
        <f t="shared" si="421"/>
        <v>0</v>
      </c>
      <c r="AF129" s="109">
        <f t="shared" si="421"/>
        <v>0</v>
      </c>
      <c r="AG129" s="202"/>
      <c r="AH129" s="109">
        <f>IFERROR((AH163*(AF129/AF163)),0)</f>
        <v>0</v>
      </c>
      <c r="AI129" s="109">
        <f t="shared" ref="AI129:AK129" si="422">IFERROR((AI163*(AH129/AH163)),0)</f>
        <v>0</v>
      </c>
      <c r="AJ129" s="109">
        <f t="shared" si="422"/>
        <v>0</v>
      </c>
      <c r="AK129" s="109">
        <f t="shared" si="422"/>
        <v>0</v>
      </c>
      <c r="AL129" s="202"/>
      <c r="AM129" s="109">
        <f>IFERROR((AM163*(AK129/AK163)),0)</f>
        <v>0</v>
      </c>
      <c r="AN129" s="109">
        <f t="shared" ref="AN129:AP129" si="423">IFERROR((AN163*(AM129/AM163)),0)</f>
        <v>0</v>
      </c>
      <c r="AO129" s="109">
        <f t="shared" si="423"/>
        <v>0</v>
      </c>
      <c r="AP129" s="109">
        <f t="shared" si="423"/>
        <v>0</v>
      </c>
      <c r="AQ129" s="202"/>
      <c r="AR129" s="109">
        <f>IFERROR((AR163*(AP129/AP163)),0)</f>
        <v>0</v>
      </c>
      <c r="AS129" s="109">
        <f t="shared" ref="AS129:AU129" si="424">IFERROR((AS163*(AR129/AR163)),0)</f>
        <v>0</v>
      </c>
      <c r="AT129" s="109">
        <f t="shared" si="424"/>
        <v>0</v>
      </c>
      <c r="AU129" s="109">
        <f t="shared" si="424"/>
        <v>0</v>
      </c>
      <c r="AV129" s="202"/>
    </row>
    <row r="130" spans="2:48" hidden="1" outlineLevel="1" x14ac:dyDescent="0.3">
      <c r="B130" s="43" t="s">
        <v>53</v>
      </c>
      <c r="C130" s="19"/>
      <c r="D130" s="93">
        <f>SUM(D125:D129)</f>
        <v>370.4</v>
      </c>
      <c r="E130" s="93">
        <f>SUM(E125:E129)</f>
        <v>365.2</v>
      </c>
      <c r="F130" s="93">
        <f>SUM(F125:F129)</f>
        <v>372.8</v>
      </c>
      <c r="G130" s="93">
        <f>SUM(G125:G129)</f>
        <v>324.60000000000002</v>
      </c>
      <c r="H130" s="120"/>
      <c r="I130" s="93">
        <f t="shared" ref="I130:AV130" si="425">SUM(I125:I129)</f>
        <v>350.9</v>
      </c>
      <c r="J130" s="93">
        <f t="shared" si="425"/>
        <v>320</v>
      </c>
      <c r="K130" s="93">
        <f t="shared" si="425"/>
        <v>356.90000000000003</v>
      </c>
      <c r="L130" s="47">
        <f t="shared" si="425"/>
        <v>343.3</v>
      </c>
      <c r="M130" s="48">
        <f t="shared" si="425"/>
        <v>1371.1000000000001</v>
      </c>
      <c r="N130" s="47">
        <f t="shared" si="425"/>
        <v>376.1</v>
      </c>
      <c r="O130" s="47">
        <f t="shared" si="425"/>
        <v>364.40000000000003</v>
      </c>
      <c r="P130" s="47">
        <f t="shared" si="425"/>
        <v>385.1</v>
      </c>
      <c r="Q130" s="47">
        <f t="shared" si="425"/>
        <v>401.6</v>
      </c>
      <c r="R130" s="48">
        <f t="shared" si="425"/>
        <v>1527.1999999999998</v>
      </c>
      <c r="S130" s="47">
        <f t="shared" si="425"/>
        <v>413.2</v>
      </c>
      <c r="T130" s="47">
        <f t="shared" si="425"/>
        <v>385.6</v>
      </c>
      <c r="U130" s="47">
        <f t="shared" si="425"/>
        <v>388.90000000000003</v>
      </c>
      <c r="V130" s="47">
        <f t="shared" si="425"/>
        <v>427.59999999999997</v>
      </c>
      <c r="W130" s="48">
        <f t="shared" si="425"/>
        <v>1615.3</v>
      </c>
      <c r="X130" s="47">
        <f t="shared" si="425"/>
        <v>416.50684358714977</v>
      </c>
      <c r="Y130" s="47">
        <f t="shared" si="425"/>
        <v>399.81940940624582</v>
      </c>
      <c r="Z130" s="47">
        <f t="shared" si="425"/>
        <v>403.65220817939183</v>
      </c>
      <c r="AA130" s="47">
        <f t="shared" si="425"/>
        <v>407.12622470698039</v>
      </c>
      <c r="AB130" s="161">
        <f t="shared" si="425"/>
        <v>0</v>
      </c>
      <c r="AC130" s="47">
        <f t="shared" si="425"/>
        <v>406.42213727290607</v>
      </c>
      <c r="AD130" s="47">
        <f t="shared" si="425"/>
        <v>407.93497098397864</v>
      </c>
      <c r="AE130" s="47">
        <f t="shared" si="425"/>
        <v>409.23727461155346</v>
      </c>
      <c r="AF130" s="47">
        <f t="shared" si="425"/>
        <v>409.07802088591671</v>
      </c>
      <c r="AG130" s="161">
        <f t="shared" si="425"/>
        <v>0</v>
      </c>
      <c r="AH130" s="47">
        <f t="shared" si="425"/>
        <v>411.4687833731038</v>
      </c>
      <c r="AI130" s="47">
        <f t="shared" si="425"/>
        <v>412.86977356302941</v>
      </c>
      <c r="AJ130" s="47">
        <f t="shared" si="425"/>
        <v>413.42887182076379</v>
      </c>
      <c r="AK130" s="47">
        <f t="shared" si="425"/>
        <v>412.1662790409448</v>
      </c>
      <c r="AL130" s="161">
        <f t="shared" si="425"/>
        <v>0</v>
      </c>
      <c r="AM130" s="93">
        <f t="shared" si="425"/>
        <v>415.56564510940223</v>
      </c>
      <c r="AN130" s="93">
        <f t="shared" si="425"/>
        <v>417.05244990345102</v>
      </c>
      <c r="AO130" s="93">
        <f t="shared" si="425"/>
        <v>417.43248151023568</v>
      </c>
      <c r="AP130" s="93">
        <f t="shared" si="425"/>
        <v>416.6222465508032</v>
      </c>
      <c r="AQ130" s="161">
        <f t="shared" si="425"/>
        <v>0</v>
      </c>
      <c r="AR130" s="93">
        <f t="shared" si="425"/>
        <v>419.92347732900038</v>
      </c>
      <c r="AS130" s="93">
        <f t="shared" si="425"/>
        <v>421.31827287426762</v>
      </c>
      <c r="AT130" s="93">
        <f t="shared" si="425"/>
        <v>421.56702459649932</v>
      </c>
      <c r="AU130" s="93">
        <f t="shared" si="425"/>
        <v>420.3488327960431</v>
      </c>
      <c r="AV130" s="161">
        <f t="shared" si="425"/>
        <v>0</v>
      </c>
    </row>
    <row r="131" spans="2:48" hidden="1" outlineLevel="1" x14ac:dyDescent="0.3">
      <c r="B131" s="43" t="s">
        <v>54</v>
      </c>
      <c r="C131" s="41"/>
      <c r="D131" s="146">
        <f>D123-D130</f>
        <v>-358.79999999999995</v>
      </c>
      <c r="E131" s="146">
        <f>E123-E130</f>
        <v>-349.4</v>
      </c>
      <c r="F131" s="146">
        <f>F123-F130</f>
        <v>-349.5</v>
      </c>
      <c r="G131" s="146">
        <f>G123-G130</f>
        <v>-309.20000000000005</v>
      </c>
      <c r="H131" s="148"/>
      <c r="I131" s="146">
        <f t="shared" ref="I131:AV131" si="426">I123-I130</f>
        <v>-330.4</v>
      </c>
      <c r="J131" s="146">
        <f t="shared" si="426"/>
        <v>-308</v>
      </c>
      <c r="K131" s="146">
        <f t="shared" si="426"/>
        <v>-337.20000000000005</v>
      </c>
      <c r="L131" s="68">
        <f t="shared" si="426"/>
        <v>-329.40000000000003</v>
      </c>
      <c r="M131" s="183">
        <f t="shared" si="426"/>
        <v>-1305.0000000000002</v>
      </c>
      <c r="N131" s="68">
        <f t="shared" si="426"/>
        <v>-355.6</v>
      </c>
      <c r="O131" s="68">
        <f t="shared" si="426"/>
        <v>-341.8</v>
      </c>
      <c r="P131" s="68">
        <f t="shared" si="426"/>
        <v>-361.3</v>
      </c>
      <c r="Q131" s="68">
        <f t="shared" si="426"/>
        <v>-370.8</v>
      </c>
      <c r="R131" s="183">
        <f t="shared" si="426"/>
        <v>-1429.4999999999998</v>
      </c>
      <c r="S131" s="68">
        <f t="shared" si="426"/>
        <v>-388.09999999999997</v>
      </c>
      <c r="T131" s="68">
        <f t="shared" si="426"/>
        <v>-361.20000000000005</v>
      </c>
      <c r="U131" s="68">
        <f t="shared" si="426"/>
        <v>-361.6</v>
      </c>
      <c r="V131" s="68">
        <f t="shared" si="426"/>
        <v>-408.49999999999994</v>
      </c>
      <c r="W131" s="183">
        <f t="shared" si="426"/>
        <v>-1519.3999999999999</v>
      </c>
      <c r="X131" s="146">
        <f t="shared" si="426"/>
        <v>-388.89684358714976</v>
      </c>
      <c r="Y131" s="146">
        <f t="shared" si="426"/>
        <v>-372.97940940624585</v>
      </c>
      <c r="Z131" s="146">
        <f t="shared" si="426"/>
        <v>-373.62220817939181</v>
      </c>
      <c r="AA131" s="146">
        <f t="shared" si="426"/>
        <v>-386.1162247069804</v>
      </c>
      <c r="AB131" s="376">
        <f t="shared" si="426"/>
        <v>0</v>
      </c>
      <c r="AC131" s="146">
        <f t="shared" si="426"/>
        <v>-376.05113727290609</v>
      </c>
      <c r="AD131" s="146">
        <f t="shared" si="426"/>
        <v>-378.41097098397864</v>
      </c>
      <c r="AE131" s="146">
        <f t="shared" si="426"/>
        <v>-376.20427461155344</v>
      </c>
      <c r="AF131" s="146">
        <f t="shared" si="426"/>
        <v>-385.96702088591672</v>
      </c>
      <c r="AG131" s="376">
        <f t="shared" si="426"/>
        <v>0</v>
      </c>
      <c r="AH131" s="146">
        <f t="shared" si="426"/>
        <v>-378.06068337310381</v>
      </c>
      <c r="AI131" s="146">
        <f t="shared" si="426"/>
        <v>-380.3933735630294</v>
      </c>
      <c r="AJ131" s="146">
        <f t="shared" si="426"/>
        <v>-377.09257182076379</v>
      </c>
      <c r="AK131" s="146">
        <f t="shared" si="426"/>
        <v>-386.7441790409448</v>
      </c>
      <c r="AL131" s="376">
        <f t="shared" si="426"/>
        <v>0</v>
      </c>
      <c r="AM131" s="146">
        <f t="shared" si="426"/>
        <v>-378.8167351094022</v>
      </c>
      <c r="AN131" s="146">
        <f t="shared" si="426"/>
        <v>-381.32840990345102</v>
      </c>
      <c r="AO131" s="146">
        <f t="shared" si="426"/>
        <v>-377.46255151023564</v>
      </c>
      <c r="AP131" s="146">
        <f t="shared" si="426"/>
        <v>-388.65793655080319</v>
      </c>
      <c r="AQ131" s="376">
        <f t="shared" si="426"/>
        <v>0</v>
      </c>
      <c r="AR131" s="146">
        <f t="shared" si="426"/>
        <v>-379.49967632900035</v>
      </c>
      <c r="AS131" s="146">
        <f t="shared" si="426"/>
        <v>-382.02182887426761</v>
      </c>
      <c r="AT131" s="146">
        <f t="shared" si="426"/>
        <v>-377.60010159649931</v>
      </c>
      <c r="AU131" s="146">
        <f t="shared" si="426"/>
        <v>-389.5880917960431</v>
      </c>
      <c r="AV131" s="376">
        <f t="shared" si="426"/>
        <v>0</v>
      </c>
    </row>
    <row r="132" spans="2:48" ht="17.399999999999999" collapsed="1" x14ac:dyDescent="0.45">
      <c r="B132" s="514" t="s">
        <v>14</v>
      </c>
      <c r="C132" s="515"/>
      <c r="D132" s="14" t="s">
        <v>19</v>
      </c>
      <c r="E132" s="14" t="s">
        <v>78</v>
      </c>
      <c r="F132" s="14" t="s">
        <v>82</v>
      </c>
      <c r="G132" s="14" t="s">
        <v>92</v>
      </c>
      <c r="H132" s="37" t="s">
        <v>93</v>
      </c>
      <c r="I132" s="14" t="s">
        <v>94</v>
      </c>
      <c r="J132" s="14" t="s">
        <v>95</v>
      </c>
      <c r="K132" s="14" t="s">
        <v>96</v>
      </c>
      <c r="L132" s="14" t="s">
        <v>139</v>
      </c>
      <c r="M132" s="37" t="s">
        <v>140</v>
      </c>
      <c r="N132" s="14" t="s">
        <v>146</v>
      </c>
      <c r="O132" s="14" t="s">
        <v>154</v>
      </c>
      <c r="P132" s="14" t="s">
        <v>156</v>
      </c>
      <c r="Q132" s="14" t="s">
        <v>169</v>
      </c>
      <c r="R132" s="37" t="s">
        <v>170</v>
      </c>
      <c r="S132" s="14" t="s">
        <v>185</v>
      </c>
      <c r="T132" s="14" t="s">
        <v>186</v>
      </c>
      <c r="U132" s="14" t="s">
        <v>201</v>
      </c>
      <c r="V132" s="14" t="s">
        <v>324</v>
      </c>
      <c r="W132" s="37" t="s">
        <v>325</v>
      </c>
      <c r="X132" s="12" t="s">
        <v>24</v>
      </c>
      <c r="Y132" s="12" t="s">
        <v>25</v>
      </c>
      <c r="Z132" s="12" t="s">
        <v>26</v>
      </c>
      <c r="AA132" s="12" t="s">
        <v>27</v>
      </c>
      <c r="AB132" s="39" t="s">
        <v>28</v>
      </c>
      <c r="AC132" s="12" t="s">
        <v>87</v>
      </c>
      <c r="AD132" s="12" t="s">
        <v>88</v>
      </c>
      <c r="AE132" s="12" t="s">
        <v>89</v>
      </c>
      <c r="AF132" s="12" t="s">
        <v>90</v>
      </c>
      <c r="AG132" s="39" t="s">
        <v>91</v>
      </c>
      <c r="AH132" s="12" t="s">
        <v>106</v>
      </c>
      <c r="AI132" s="12" t="s">
        <v>107</v>
      </c>
      <c r="AJ132" s="12" t="s">
        <v>108</v>
      </c>
      <c r="AK132" s="12" t="s">
        <v>109</v>
      </c>
      <c r="AL132" s="39" t="s">
        <v>110</v>
      </c>
      <c r="AM132" s="12" t="s">
        <v>161</v>
      </c>
      <c r="AN132" s="12" t="s">
        <v>162</v>
      </c>
      <c r="AO132" s="12" t="s">
        <v>163</v>
      </c>
      <c r="AP132" s="12" t="s">
        <v>164</v>
      </c>
      <c r="AQ132" s="39" t="s">
        <v>165</v>
      </c>
      <c r="AR132" s="12" t="s">
        <v>192</v>
      </c>
      <c r="AS132" s="12" t="s">
        <v>193</v>
      </c>
      <c r="AT132" s="12" t="s">
        <v>194</v>
      </c>
      <c r="AU132" s="12" t="s">
        <v>195</v>
      </c>
      <c r="AV132" s="39" t="s">
        <v>196</v>
      </c>
    </row>
    <row r="133" spans="2:48" s="71" customFormat="1" ht="15.6" customHeight="1" outlineLevel="1" x14ac:dyDescent="0.3">
      <c r="B133" s="59" t="s">
        <v>56</v>
      </c>
      <c r="C133" s="72"/>
      <c r="D133" s="60">
        <f>+D45+D78-D5</f>
        <v>0</v>
      </c>
      <c r="E133" s="60">
        <f>+E45+E78-E5</f>
        <v>0</v>
      </c>
      <c r="F133" s="111">
        <f>+F45+F78-F5</f>
        <v>0</v>
      </c>
      <c r="G133" s="60">
        <f>+G45+G78-G5</f>
        <v>0</v>
      </c>
      <c r="H133" s="61"/>
      <c r="I133" s="60">
        <f>+I45+I78-I5</f>
        <v>0</v>
      </c>
      <c r="J133" s="60">
        <f>+J45+J78-J5</f>
        <v>0</v>
      </c>
      <c r="K133" s="111">
        <f>+K45+K78-K5</f>
        <v>0</v>
      </c>
      <c r="L133" s="60">
        <f>+L45+L78-L5</f>
        <v>0</v>
      </c>
      <c r="M133" s="61"/>
      <c r="N133" s="60">
        <f>+N45+N78-N5</f>
        <v>0</v>
      </c>
      <c r="O133" s="60">
        <f>+O45+O78-O5</f>
        <v>0</v>
      </c>
      <c r="P133" s="111">
        <f>+P45+P78-P5</f>
        <v>0</v>
      </c>
      <c r="Q133" s="60">
        <f>+Q45+Q78-Q5</f>
        <v>0</v>
      </c>
      <c r="R133" s="61"/>
      <c r="S133" s="60">
        <f>+S45+S78-S5</f>
        <v>0</v>
      </c>
      <c r="T133" s="60">
        <f>+T45+T78-T5</f>
        <v>0</v>
      </c>
      <c r="U133" s="111">
        <f>+U45+U78-U5</f>
        <v>0</v>
      </c>
      <c r="V133" s="60">
        <f>+V45+V78-V5</f>
        <v>0</v>
      </c>
      <c r="W133" s="61"/>
      <c r="X133" s="60">
        <f>+X45+X78-X5</f>
        <v>0</v>
      </c>
      <c r="Y133" s="60">
        <f>+Y45+Y78-Y5</f>
        <v>0</v>
      </c>
      <c r="Z133" s="111">
        <f>+Z45+Z78-Z5</f>
        <v>0</v>
      </c>
      <c r="AA133" s="60">
        <f>+AA45+AA78-AA5</f>
        <v>0</v>
      </c>
      <c r="AB133" s="61"/>
      <c r="AC133" s="60">
        <f>+AC45+AC78-AC5</f>
        <v>0</v>
      </c>
      <c r="AD133" s="60">
        <f>+AD45+AD78-AD5</f>
        <v>0</v>
      </c>
      <c r="AE133" s="111">
        <f>+AE45+AE78-AE5</f>
        <v>0</v>
      </c>
      <c r="AF133" s="60">
        <f>+AF45+AF78-AF5</f>
        <v>0</v>
      </c>
      <c r="AG133" s="61"/>
      <c r="AH133" s="60">
        <f>+AH45+AH78-AH5</f>
        <v>0</v>
      </c>
      <c r="AI133" s="60">
        <f>+AI45+AI78-AI5</f>
        <v>0</v>
      </c>
      <c r="AJ133" s="111">
        <f>+AJ45+AJ78-AJ5</f>
        <v>0</v>
      </c>
      <c r="AK133" s="60">
        <f>+AK45+AK78-AK5</f>
        <v>0</v>
      </c>
      <c r="AL133" s="61"/>
      <c r="AM133" s="60">
        <f>+AM45+AM78-AM5</f>
        <v>0</v>
      </c>
      <c r="AN133" s="60">
        <f>+AN45+AN78-AN5</f>
        <v>0</v>
      </c>
      <c r="AO133" s="111">
        <f>+AO45+AO78-AO5</f>
        <v>0</v>
      </c>
      <c r="AP133" s="60">
        <f>+AP45+AP78-AP5</f>
        <v>0</v>
      </c>
      <c r="AQ133" s="61"/>
      <c r="AR133" s="60">
        <f>+AR45+AR78-AR5</f>
        <v>0</v>
      </c>
      <c r="AS133" s="60">
        <f>+AS45+AS78-AS5</f>
        <v>0</v>
      </c>
      <c r="AT133" s="111">
        <f>+AT45+AT78-AT5</f>
        <v>0</v>
      </c>
      <c r="AU133" s="60">
        <f>+AU45+AU78-AU5</f>
        <v>0</v>
      </c>
      <c r="AV133" s="61"/>
    </row>
    <row r="134" spans="2:48" s="71" customFormat="1" ht="15.6" customHeight="1" outlineLevel="1" x14ac:dyDescent="0.3">
      <c r="B134" s="59" t="s">
        <v>57</v>
      </c>
      <c r="C134" s="72"/>
      <c r="D134" s="60">
        <f>+D54+D87-D6</f>
        <v>0</v>
      </c>
      <c r="E134" s="60">
        <f>+E54+E87-E6</f>
        <v>0</v>
      </c>
      <c r="F134" s="111">
        <f>+F54+F87-F6</f>
        <v>0</v>
      </c>
      <c r="G134" s="60">
        <f>+G54+G87-G6</f>
        <v>0</v>
      </c>
      <c r="H134" s="61"/>
      <c r="I134" s="60">
        <f>+I54+I87-I6</f>
        <v>0</v>
      </c>
      <c r="J134" s="60">
        <f>+J54+J87-J6</f>
        <v>0</v>
      </c>
      <c r="K134" s="111">
        <f>+K54+K87-K6</f>
        <v>0</v>
      </c>
      <c r="L134" s="60">
        <f>+L54+L87-L6</f>
        <v>0</v>
      </c>
      <c r="M134" s="61"/>
      <c r="N134" s="60">
        <f>+N54+N87-N6</f>
        <v>0</v>
      </c>
      <c r="O134" s="60">
        <f>+O54+O87-O6</f>
        <v>0</v>
      </c>
      <c r="P134" s="111">
        <f>+P54+P87-P6</f>
        <v>0</v>
      </c>
      <c r="Q134" s="60">
        <f>+Q54+Q87-Q6</f>
        <v>0</v>
      </c>
      <c r="R134" s="61"/>
      <c r="S134" s="60">
        <f>+S54+S87-S6</f>
        <v>0</v>
      </c>
      <c r="T134" s="60">
        <f>+T54+T87-T6</f>
        <v>0</v>
      </c>
      <c r="U134" s="111">
        <f>+U54+U87-U6</f>
        <v>0</v>
      </c>
      <c r="V134" s="60">
        <f>+V54+V87-V6</f>
        <v>0</v>
      </c>
      <c r="W134" s="61"/>
      <c r="X134" s="60">
        <f>+X54+X87-X6</f>
        <v>0</v>
      </c>
      <c r="Y134" s="60">
        <f>+Y54+Y87-Y6</f>
        <v>0</v>
      </c>
      <c r="Z134" s="111">
        <f>+Z54+Z87-Z6</f>
        <v>0</v>
      </c>
      <c r="AA134" s="60">
        <f>+AA54+AA87-AA6</f>
        <v>0</v>
      </c>
      <c r="AB134" s="61"/>
      <c r="AC134" s="60">
        <f>+AC54+AC87-AC6</f>
        <v>0</v>
      </c>
      <c r="AD134" s="60">
        <f>+AD54+AD87-AD6</f>
        <v>0</v>
      </c>
      <c r="AE134" s="111">
        <f>+AE54+AE87-AE6</f>
        <v>0</v>
      </c>
      <c r="AF134" s="60">
        <f>+AF54+AF87-AF6</f>
        <v>0</v>
      </c>
      <c r="AG134" s="61"/>
      <c r="AH134" s="60">
        <f>+AH54+AH87-AH6</f>
        <v>0</v>
      </c>
      <c r="AI134" s="60">
        <f>+AI54+AI87-AI6</f>
        <v>0</v>
      </c>
      <c r="AJ134" s="111">
        <f>+AJ54+AJ87-AJ6</f>
        <v>0</v>
      </c>
      <c r="AK134" s="60">
        <f>+AK54+AK87-AK6</f>
        <v>0</v>
      </c>
      <c r="AL134" s="61"/>
      <c r="AM134" s="60">
        <f>+AM54+AM87-AM6</f>
        <v>0</v>
      </c>
      <c r="AN134" s="60">
        <f>+AN54+AN87-AN6</f>
        <v>0</v>
      </c>
      <c r="AO134" s="111">
        <f>+AO54+AO87-AO6</f>
        <v>0</v>
      </c>
      <c r="AP134" s="60">
        <f>+AP54+AP87-AP6</f>
        <v>0</v>
      </c>
      <c r="AQ134" s="61"/>
      <c r="AR134" s="60">
        <f>+AR54+AR87-AR6</f>
        <v>0</v>
      </c>
      <c r="AS134" s="60">
        <f>+AS54+AS87-AS6</f>
        <v>0</v>
      </c>
      <c r="AT134" s="111">
        <f>+AT54+AT87-AT6</f>
        <v>0</v>
      </c>
      <c r="AU134" s="60">
        <f>+AU54+AU87-AU6</f>
        <v>0</v>
      </c>
      <c r="AV134" s="61"/>
    </row>
    <row r="135" spans="2:48" s="71" customFormat="1" ht="15.6" customHeight="1" outlineLevel="1" x14ac:dyDescent="0.3">
      <c r="B135" s="59" t="s">
        <v>58</v>
      </c>
      <c r="C135" s="72"/>
      <c r="D135" s="60">
        <f>+D55+D88+D108+D123-D7</f>
        <v>0</v>
      </c>
      <c r="E135" s="60">
        <f>+E55+E88+E108+E123-E7</f>
        <v>0</v>
      </c>
      <c r="F135" s="111">
        <f>+F55+F88+F108+F123-F7</f>
        <v>0</v>
      </c>
      <c r="G135" s="60">
        <f>+G55+G88+G108+G123-G7</f>
        <v>0</v>
      </c>
      <c r="H135" s="61"/>
      <c r="I135" s="60">
        <f>+I55+I88+I108+I123-I7</f>
        <v>0</v>
      </c>
      <c r="J135" s="60">
        <f>+J55+J88+J108+J123-J7</f>
        <v>0</v>
      </c>
      <c r="K135" s="111">
        <f>+K55+K88+K108+K123-K7</f>
        <v>0</v>
      </c>
      <c r="L135" s="60">
        <f>+L55+L88+L108+L123-L7</f>
        <v>0</v>
      </c>
      <c r="M135" s="61"/>
      <c r="N135" s="60">
        <f>+N55+N88+N108+N123-N7</f>
        <v>0</v>
      </c>
      <c r="O135" s="60">
        <f>+O55+O88+O108+O123-O7</f>
        <v>0</v>
      </c>
      <c r="P135" s="111">
        <f>+P55+P88+P108+P123-P7</f>
        <v>0</v>
      </c>
      <c r="Q135" s="60">
        <f>+Q55+Q88+Q108+Q123-Q7</f>
        <v>0</v>
      </c>
      <c r="R135" s="61"/>
      <c r="S135" s="60">
        <f>+S55+S88+S108+S123-S7</f>
        <v>0</v>
      </c>
      <c r="T135" s="60">
        <f>+T55+T88+T108+T123-T7</f>
        <v>0</v>
      </c>
      <c r="U135" s="111">
        <f>+U55+U88+U108+U123-U7</f>
        <v>0</v>
      </c>
      <c r="V135" s="60">
        <f>+V55+V88+V108+V123-V7</f>
        <v>0</v>
      </c>
      <c r="W135" s="61"/>
      <c r="X135" s="60">
        <f>+X55+X88+X108+X123-X7</f>
        <v>0</v>
      </c>
      <c r="Y135" s="60">
        <f>+Y55+Y88+Y108+Y123-Y7</f>
        <v>0</v>
      </c>
      <c r="Z135" s="111">
        <f>+Z55+Z88+Z108+Z123-Z7</f>
        <v>0</v>
      </c>
      <c r="AA135" s="60">
        <f>+AA55+AA88+AA108+AA123-AA7</f>
        <v>0</v>
      </c>
      <c r="AB135" s="61"/>
      <c r="AC135" s="60">
        <f>+AC55+AC88+AC108+AC123-AC7</f>
        <v>0</v>
      </c>
      <c r="AD135" s="60">
        <f>+AD55+AD88+AD108+AD123-AD7</f>
        <v>0</v>
      </c>
      <c r="AE135" s="111">
        <f>+AE55+AE88+AE108+AE123-AE7</f>
        <v>0</v>
      </c>
      <c r="AF135" s="60">
        <f>+AF55+AF88+AF108+AF123-AF7</f>
        <v>0</v>
      </c>
      <c r="AG135" s="61"/>
      <c r="AH135" s="60">
        <f>+AH55+AH88+AH108+AH123-AH7</f>
        <v>0</v>
      </c>
      <c r="AI135" s="60">
        <f>+AI55+AI88+AI108+AI123-AI7</f>
        <v>0</v>
      </c>
      <c r="AJ135" s="111">
        <f>+AJ55+AJ88+AJ108+AJ123-AJ7</f>
        <v>0</v>
      </c>
      <c r="AK135" s="60">
        <f>+AK55+AK88+AK108+AK123-AK7</f>
        <v>0</v>
      </c>
      <c r="AL135" s="61"/>
      <c r="AM135" s="60">
        <f>+AM55+AM88+AM108+AM123-AM7</f>
        <v>0</v>
      </c>
      <c r="AN135" s="60">
        <f>+AN55+AN88+AN108+AN123-AN7</f>
        <v>0</v>
      </c>
      <c r="AO135" s="111">
        <f>+AO55+AO88+AO108+AO123-AO7</f>
        <v>0</v>
      </c>
      <c r="AP135" s="60">
        <f>+AP55+AP88+AP108+AP123-AP7</f>
        <v>0</v>
      </c>
      <c r="AQ135" s="61"/>
      <c r="AR135" s="60">
        <f>+AR55+AR88+AR108+AR123-AR7</f>
        <v>0</v>
      </c>
      <c r="AS135" s="60">
        <f>+AS55+AS88+AS108+AS123-AS7</f>
        <v>0</v>
      </c>
      <c r="AT135" s="111">
        <f>+AT55+AT88+AT108+AT123-AT7</f>
        <v>0</v>
      </c>
      <c r="AU135" s="60">
        <f>+AU55+AU88+AU108+AU123-AU7</f>
        <v>0</v>
      </c>
      <c r="AV135" s="61"/>
    </row>
    <row r="136" spans="2:48" s="71" customFormat="1" ht="15.6" customHeight="1" outlineLevel="1" x14ac:dyDescent="0.3">
      <c r="B136" s="59" t="s">
        <v>33</v>
      </c>
      <c r="C136" s="72"/>
      <c r="D136" s="60">
        <f>+D119+D104-D16</f>
        <v>0</v>
      </c>
      <c r="E136" s="60">
        <f>+E119+E104-E16</f>
        <v>0</v>
      </c>
      <c r="F136" s="111">
        <f>+F119+F104-F16</f>
        <v>0</v>
      </c>
      <c r="G136" s="60">
        <f>+G119+G104-G16</f>
        <v>0</v>
      </c>
      <c r="H136" s="61"/>
      <c r="I136" s="60">
        <f>+I119+I104-I16</f>
        <v>0</v>
      </c>
      <c r="J136" s="60">
        <f>+J119+J104-J16</f>
        <v>0</v>
      </c>
      <c r="K136" s="111">
        <f>+K119+K104-K16</f>
        <v>0</v>
      </c>
      <c r="L136" s="60">
        <f>+L119+L104-L16</f>
        <v>0</v>
      </c>
      <c r="M136" s="61"/>
      <c r="N136" s="60">
        <f>+N119+N104-N16</f>
        <v>0</v>
      </c>
      <c r="O136" s="60">
        <f>+O119+O104-O16</f>
        <v>0</v>
      </c>
      <c r="P136" s="111">
        <f>+P119+P104-P16</f>
        <v>0</v>
      </c>
      <c r="Q136" s="60">
        <f>+Q119+Q104-Q16</f>
        <v>0</v>
      </c>
      <c r="R136" s="61"/>
      <c r="S136" s="60">
        <f>+S119+S104-S16</f>
        <v>0</v>
      </c>
      <c r="T136" s="60">
        <f>+T119+T104-T16</f>
        <v>0</v>
      </c>
      <c r="U136" s="111">
        <f>+U119+U104-U16</f>
        <v>0</v>
      </c>
      <c r="V136" s="60">
        <f>+V119+V104-V16</f>
        <v>0</v>
      </c>
      <c r="W136" s="61"/>
      <c r="X136" s="60">
        <f>+X119+X104-X16</f>
        <v>0</v>
      </c>
      <c r="Y136" s="60">
        <f>+Y119+Y104-Y16</f>
        <v>0</v>
      </c>
      <c r="Z136" s="111">
        <f>+Z119+Z104-Z16</f>
        <v>0</v>
      </c>
      <c r="AA136" s="60">
        <f>+AA119+AA104-AA16</f>
        <v>0</v>
      </c>
      <c r="AB136" s="61"/>
      <c r="AC136" s="60">
        <f>+AC119+AC104-AC16</f>
        <v>0</v>
      </c>
      <c r="AD136" s="60">
        <f>+AD119+AD104-AD16</f>
        <v>0</v>
      </c>
      <c r="AE136" s="111">
        <f>+AE119+AE104-AE16</f>
        <v>0</v>
      </c>
      <c r="AF136" s="60">
        <f>+AF119+AF104-AF16</f>
        <v>0</v>
      </c>
      <c r="AG136" s="61"/>
      <c r="AH136" s="60">
        <f>+AH119+AH104-AH16</f>
        <v>0</v>
      </c>
      <c r="AI136" s="60">
        <f>+AI119+AI104-AI16</f>
        <v>0</v>
      </c>
      <c r="AJ136" s="111">
        <f>+AJ119+AJ104-AJ16</f>
        <v>0</v>
      </c>
      <c r="AK136" s="60">
        <f>+AK119+AK104-AK16</f>
        <v>0</v>
      </c>
      <c r="AL136" s="61"/>
      <c r="AM136" s="60">
        <f>+AM119+AM104-AM16</f>
        <v>0</v>
      </c>
      <c r="AN136" s="60">
        <f>+AN119+AN104-AN16</f>
        <v>0</v>
      </c>
      <c r="AO136" s="111">
        <f>+AO119+AO104-AO16</f>
        <v>0</v>
      </c>
      <c r="AP136" s="60">
        <f>+AP119+AP104-AP16</f>
        <v>0</v>
      </c>
      <c r="AQ136" s="61"/>
      <c r="AR136" s="60">
        <f>+AR119+AR104-AR16</f>
        <v>0</v>
      </c>
      <c r="AS136" s="60">
        <f>+AS119+AS104-AS16</f>
        <v>0</v>
      </c>
      <c r="AT136" s="111">
        <f>+AT119+AT104-AT16</f>
        <v>0</v>
      </c>
      <c r="AU136" s="60">
        <f>+AU119+AU104-AU16</f>
        <v>0</v>
      </c>
      <c r="AV136" s="61"/>
    </row>
    <row r="137" spans="2:48" s="71" customFormat="1" ht="15.6" customHeight="1" outlineLevel="1" x14ac:dyDescent="0.3">
      <c r="B137" s="59" t="s">
        <v>59</v>
      </c>
      <c r="C137" s="72"/>
      <c r="D137" s="60">
        <f>+D71+D105+D120+D131-D17</f>
        <v>0</v>
      </c>
      <c r="E137" s="60">
        <f>+E71+E105+E120+E131-E17</f>
        <v>0</v>
      </c>
      <c r="F137" s="111">
        <f>+F71+F105+F120+F131-F17</f>
        <v>0</v>
      </c>
      <c r="G137" s="60">
        <f>+G71+G105+G120+G131-G17</f>
        <v>9.9999999998544808E-2</v>
      </c>
      <c r="H137" s="61"/>
      <c r="I137" s="60">
        <f>+I71+I105+I120+I131-I17</f>
        <v>0</v>
      </c>
      <c r="J137" s="60">
        <f>+J71+J105+J120+J131-J17</f>
        <v>6.8212102632969618E-13</v>
      </c>
      <c r="K137" s="111">
        <f>+K71+K105+K120+K131-K17</f>
        <v>0</v>
      </c>
      <c r="L137" s="60">
        <f>+L71+L105+L120+L131-L17</f>
        <v>-2.0999999999996817</v>
      </c>
      <c r="M137" s="61"/>
      <c r="N137" s="60">
        <f>+N71+N105+N120+N131-N17</f>
        <v>0</v>
      </c>
      <c r="O137" s="60">
        <f>+O71+O105+O120+O131-O17</f>
        <v>0</v>
      </c>
      <c r="P137" s="111">
        <f>+P71+P105+P120+P131-P17</f>
        <v>0</v>
      </c>
      <c r="Q137" s="60">
        <f>+Q71+Q105+Q120+Q131-Q17</f>
        <v>0</v>
      </c>
      <c r="R137" s="61"/>
      <c r="S137" s="60">
        <f>+S71+S105+S120+S131-S17</f>
        <v>0</v>
      </c>
      <c r="T137" s="60">
        <f>+T71+T105+T120+T131-T17</f>
        <v>0</v>
      </c>
      <c r="U137" s="111">
        <f>+U71+U105+U120+U131-U17</f>
        <v>0</v>
      </c>
      <c r="V137" s="60">
        <f>+V71+V105+V120+V131-V17</f>
        <v>2.2737367544323206E-12</v>
      </c>
      <c r="W137" s="61"/>
      <c r="X137" s="60">
        <f>+X71+X105+X120+X131-X17</f>
        <v>0</v>
      </c>
      <c r="Y137" s="60">
        <f>+Y71+Y105+Y120+Y131-Y17</f>
        <v>0</v>
      </c>
      <c r="Z137" s="111">
        <f>+Z71+Z105+Z120+Z131-Z17</f>
        <v>0</v>
      </c>
      <c r="AA137" s="60">
        <f>+AA71+AA105+AA120+AA131-AA17</f>
        <v>0</v>
      </c>
      <c r="AB137" s="61"/>
      <c r="AC137" s="60">
        <f>+AC71+AC105+AC120+AC131-AC17</f>
        <v>-1.8189894035458565E-12</v>
      </c>
      <c r="AD137" s="60">
        <f>+AD71+AD105+AD120+AD131-AD17</f>
        <v>-2.9558577807620168E-12</v>
      </c>
      <c r="AE137" s="111">
        <f>+AE71+AE105+AE120+AE131-AE17</f>
        <v>1.8189894035458565E-12</v>
      </c>
      <c r="AF137" s="60">
        <f>+AF71+AF105+AF120+AF131-AF17</f>
        <v>0</v>
      </c>
      <c r="AG137" s="61"/>
      <c r="AH137" s="60">
        <f>+AH71+AH105+AH120+AH131-AH17</f>
        <v>-2.5011104298755527E-12</v>
      </c>
      <c r="AI137" s="60">
        <f>+AI71+AI105+AI120+AI131-AI17</f>
        <v>0</v>
      </c>
      <c r="AJ137" s="111">
        <f>+AJ71+AJ105+AJ120+AJ131-AJ17</f>
        <v>0</v>
      </c>
      <c r="AK137" s="60">
        <f>+AK71+AK105+AK120+AK131-AK17</f>
        <v>0</v>
      </c>
      <c r="AL137" s="61"/>
      <c r="AM137" s="60">
        <f>+AM71+AM105+AM120+AM131-AM17</f>
        <v>-1.8189894035458565E-12</v>
      </c>
      <c r="AN137" s="60">
        <f>+AN71+AN105+AN120+AN131-AN17</f>
        <v>0</v>
      </c>
      <c r="AO137" s="111">
        <f>+AO71+AO105+AO120+AO131-AO17</f>
        <v>0</v>
      </c>
      <c r="AP137" s="60">
        <f>+AP71+AP105+AP120+AP131-AP17</f>
        <v>0</v>
      </c>
      <c r="AQ137" s="61"/>
      <c r="AR137" s="60">
        <f>+AR71+AR105+AR120+AR131-AR17</f>
        <v>0</v>
      </c>
      <c r="AS137" s="60">
        <f>+AS71+AS105+AS120+AS131-AS17</f>
        <v>1.8189894035458565E-12</v>
      </c>
      <c r="AT137" s="111">
        <f>+AT71+AT105+AT120+AT131-AT17</f>
        <v>0</v>
      </c>
      <c r="AU137" s="60">
        <f>+AU71+AU105+AU120+AU131-AU17</f>
        <v>0</v>
      </c>
      <c r="AV137" s="61"/>
    </row>
    <row r="138" spans="2:48" ht="15" customHeight="1" x14ac:dyDescent="0.45">
      <c r="B138" s="514" t="s">
        <v>9</v>
      </c>
      <c r="C138" s="515"/>
      <c r="D138" s="14" t="s">
        <v>19</v>
      </c>
      <c r="E138" s="14" t="s">
        <v>78</v>
      </c>
      <c r="F138" s="14" t="s">
        <v>82</v>
      </c>
      <c r="G138" s="14" t="s">
        <v>92</v>
      </c>
      <c r="H138" s="37" t="s">
        <v>93</v>
      </c>
      <c r="I138" s="14" t="s">
        <v>94</v>
      </c>
      <c r="J138" s="14" t="s">
        <v>95</v>
      </c>
      <c r="K138" s="14" t="s">
        <v>96</v>
      </c>
      <c r="L138" s="14" t="s">
        <v>139</v>
      </c>
      <c r="M138" s="37" t="s">
        <v>140</v>
      </c>
      <c r="N138" s="14" t="s">
        <v>146</v>
      </c>
      <c r="O138" s="14" t="s">
        <v>154</v>
      </c>
      <c r="P138" s="14" t="s">
        <v>156</v>
      </c>
      <c r="Q138" s="14" t="s">
        <v>169</v>
      </c>
      <c r="R138" s="37" t="s">
        <v>170</v>
      </c>
      <c r="S138" s="14" t="s">
        <v>185</v>
      </c>
      <c r="T138" s="14" t="s">
        <v>186</v>
      </c>
      <c r="U138" s="14" t="s">
        <v>201</v>
      </c>
      <c r="V138" s="14" t="s">
        <v>324</v>
      </c>
      <c r="W138" s="37" t="s">
        <v>325</v>
      </c>
      <c r="X138" s="12" t="s">
        <v>24</v>
      </c>
      <c r="Y138" s="12" t="s">
        <v>25</v>
      </c>
      <c r="Z138" s="12" t="s">
        <v>26</v>
      </c>
      <c r="AA138" s="12" t="s">
        <v>27</v>
      </c>
      <c r="AB138" s="39" t="s">
        <v>28</v>
      </c>
      <c r="AC138" s="12" t="s">
        <v>87</v>
      </c>
      <c r="AD138" s="12" t="s">
        <v>88</v>
      </c>
      <c r="AE138" s="12" t="s">
        <v>89</v>
      </c>
      <c r="AF138" s="12" t="s">
        <v>90</v>
      </c>
      <c r="AG138" s="39" t="s">
        <v>91</v>
      </c>
      <c r="AH138" s="12" t="s">
        <v>106</v>
      </c>
      <c r="AI138" s="12" t="s">
        <v>107</v>
      </c>
      <c r="AJ138" s="12" t="s">
        <v>108</v>
      </c>
      <c r="AK138" s="12" t="s">
        <v>109</v>
      </c>
      <c r="AL138" s="39" t="s">
        <v>110</v>
      </c>
      <c r="AM138" s="12" t="s">
        <v>161</v>
      </c>
      <c r="AN138" s="12" t="s">
        <v>162</v>
      </c>
      <c r="AO138" s="12" t="s">
        <v>163</v>
      </c>
      <c r="AP138" s="12" t="s">
        <v>164</v>
      </c>
      <c r="AQ138" s="39" t="s">
        <v>165</v>
      </c>
      <c r="AR138" s="12" t="s">
        <v>192</v>
      </c>
      <c r="AS138" s="12" t="s">
        <v>193</v>
      </c>
      <c r="AT138" s="12" t="s">
        <v>194</v>
      </c>
      <c r="AU138" s="12" t="s">
        <v>195</v>
      </c>
      <c r="AV138" s="39" t="s">
        <v>196</v>
      </c>
    </row>
    <row r="139" spans="2:48" s="23" customFormat="1" outlineLevel="1" x14ac:dyDescent="0.3">
      <c r="B139" s="188" t="s">
        <v>166</v>
      </c>
      <c r="C139" s="189"/>
      <c r="D139" s="27"/>
      <c r="E139" s="27"/>
      <c r="F139" s="27"/>
      <c r="G139" s="27"/>
      <c r="H139" s="29"/>
      <c r="I139" s="27"/>
      <c r="J139" s="27"/>
      <c r="K139" s="27"/>
      <c r="L139" s="103"/>
      <c r="M139" s="127"/>
      <c r="N139" s="103"/>
      <c r="O139" s="103"/>
      <c r="P139" s="103"/>
      <c r="Q139" s="103"/>
      <c r="R139" s="29"/>
      <c r="S139" s="103"/>
      <c r="T139" s="103"/>
      <c r="U139" s="103"/>
      <c r="V139" s="103"/>
      <c r="W139" s="127"/>
      <c r="X139" s="103"/>
      <c r="Y139" s="103"/>
      <c r="Z139" s="103"/>
      <c r="AA139" s="103"/>
      <c r="AB139" s="127">
        <f>(AB91+AB58)/(W83+W74+W50+W41)</f>
        <v>7.0002240206098965E-2</v>
      </c>
      <c r="AC139" s="103"/>
      <c r="AD139" s="103"/>
      <c r="AE139" s="103"/>
      <c r="AF139" s="103"/>
      <c r="AG139" s="127">
        <f>(AG91+AG58)/(AB83+AB74+AB50+AB41)</f>
        <v>6.999280963391287E-2</v>
      </c>
      <c r="AH139" s="103"/>
      <c r="AI139" s="103"/>
      <c r="AJ139" s="103"/>
      <c r="AK139" s="103"/>
      <c r="AL139" s="127">
        <f>(AL91+AL58)/(AG83+AG74+AG50+AG41)</f>
        <v>6.9988258809596748E-2</v>
      </c>
      <c r="AM139" s="103"/>
      <c r="AN139" s="103"/>
      <c r="AO139" s="103"/>
      <c r="AP139" s="103"/>
      <c r="AQ139" s="127">
        <f>(AQ91+AQ58)/(AL83+AL74+AL50+AL41)</f>
        <v>2.7808432181798855E-2</v>
      </c>
      <c r="AR139" s="103"/>
      <c r="AS139" s="103"/>
      <c r="AT139" s="103"/>
      <c r="AU139" s="103"/>
      <c r="AV139" s="127">
        <f>(AV91+AV58)/(AQ83+AQ74+AQ50+AQ41)</f>
        <v>6.3631684051121004E-2</v>
      </c>
    </row>
    <row r="140" spans="2:48" s="23" customFormat="1" outlineLevel="1" x14ac:dyDescent="0.3">
      <c r="B140" s="511" t="s">
        <v>17</v>
      </c>
      <c r="C140" s="512"/>
      <c r="D140" s="30"/>
      <c r="E140" s="30"/>
      <c r="F140" s="30"/>
      <c r="G140" s="30"/>
      <c r="H140" s="127"/>
      <c r="I140" s="30">
        <f t="shared" ref="I140:AB140" si="427">I8/D8-1</f>
        <v>7.0016735266180907E-2</v>
      </c>
      <c r="J140" s="30">
        <f t="shared" si="427"/>
        <v>-4.9192026514851106E-2</v>
      </c>
      <c r="K140" s="30">
        <f t="shared" si="427"/>
        <v>-0.38119595485856661</v>
      </c>
      <c r="L140" s="103">
        <f t="shared" si="427"/>
        <v>-8.061360604713208E-2</v>
      </c>
      <c r="M140" s="118">
        <f t="shared" si="427"/>
        <v>-0.11281621813298315</v>
      </c>
      <c r="N140" s="30">
        <f t="shared" si="427"/>
        <v>-4.8991841738174613E-2</v>
      </c>
      <c r="O140" s="30">
        <f t="shared" si="427"/>
        <v>0.11213036009139876</v>
      </c>
      <c r="P140" s="30">
        <f t="shared" si="427"/>
        <v>0.77553823926482068</v>
      </c>
      <c r="Q140" s="30">
        <f t="shared" si="427"/>
        <v>0.31332720736405983</v>
      </c>
      <c r="R140" s="118">
        <f t="shared" si="427"/>
        <v>0.23567480227910509</v>
      </c>
      <c r="S140" s="30">
        <f t="shared" si="427"/>
        <v>0.19275787477405393</v>
      </c>
      <c r="T140" s="30">
        <f t="shared" si="427"/>
        <v>0.14511097780443905</v>
      </c>
      <c r="U140" s="30">
        <f t="shared" si="427"/>
        <v>8.7187354098579473E-2</v>
      </c>
      <c r="V140" s="30">
        <f t="shared" si="427"/>
        <v>3.2835381197294566E-2</v>
      </c>
      <c r="W140" s="28">
        <f t="shared" si="427"/>
        <v>0.10976029400631782</v>
      </c>
      <c r="X140" s="30">
        <f t="shared" si="427"/>
        <v>8.4201623619994503E-2</v>
      </c>
      <c r="Y140" s="30">
        <f t="shared" si="427"/>
        <v>0.10720157170173894</v>
      </c>
      <c r="Z140" s="30">
        <f t="shared" si="427"/>
        <v>0.13636133650219828</v>
      </c>
      <c r="AA140" s="30">
        <f t="shared" si="427"/>
        <v>0.13720358051394399</v>
      </c>
      <c r="AB140" s="127">
        <f t="shared" si="427"/>
        <v>0.11665696032170847</v>
      </c>
      <c r="AC140" s="30">
        <f t="shared" ref="AC140" si="428">AC8/X8-1</f>
        <v>0.1268166732608349</v>
      </c>
      <c r="AD140" s="30">
        <f t="shared" ref="AD140" si="429">AD8/Y8-1</f>
        <v>0.10020051098114502</v>
      </c>
      <c r="AE140" s="30">
        <f t="shared" ref="AE140" si="430">AE8/Z8-1</f>
        <v>0.10115928617125802</v>
      </c>
      <c r="AF140" s="30">
        <f t="shared" ref="AF140:AG140" si="431">AF8/AA8-1</f>
        <v>0.1035505854908334</v>
      </c>
      <c r="AG140" s="127">
        <f t="shared" si="431"/>
        <v>0.10778809602986672</v>
      </c>
      <c r="AH140" s="30">
        <f t="shared" ref="AH140" si="432">AH8/AC8-1</f>
        <v>0.1130803127876403</v>
      </c>
      <c r="AI140" s="30">
        <f t="shared" ref="AI140" si="433">AI8/AD8-1</f>
        <v>0.11204135452588582</v>
      </c>
      <c r="AJ140" s="30">
        <f t="shared" ref="AJ140" si="434">AJ8/AE8-1</f>
        <v>0.11276307851525846</v>
      </c>
      <c r="AK140" s="30">
        <f t="shared" ref="AK140:AL140" si="435">AK8/AF8-1</f>
        <v>0.11472726866636829</v>
      </c>
      <c r="AL140" s="127">
        <f t="shared" si="435"/>
        <v>0.11319291414021704</v>
      </c>
      <c r="AM140" s="30">
        <f t="shared" ref="AM140" si="436">AM8/AH8-1</f>
        <v>0.10364600337340524</v>
      </c>
      <c r="AN140" s="30">
        <f t="shared" ref="AN140" si="437">AN8/AI8-1</f>
        <v>9.5125335247051579E-2</v>
      </c>
      <c r="AO140" s="30">
        <f t="shared" ref="AO140" si="438">AO8/AJ8-1</f>
        <v>8.8245690094975071E-2</v>
      </c>
      <c r="AP140" s="30">
        <f t="shared" ref="AP140:AQ140" si="439">AP8/AK8-1</f>
        <v>7.86215178350258E-2</v>
      </c>
      <c r="AQ140" s="127">
        <f t="shared" si="439"/>
        <v>9.1093360369086218E-2</v>
      </c>
      <c r="AR140" s="30">
        <f t="shared" ref="AR140" si="440">AR8/AM8-1</f>
        <v>5.5572127286700912E-2</v>
      </c>
      <c r="AS140" s="30">
        <f t="shared" ref="AS140" si="441">AS8/AN8-1</f>
        <v>5.5307311328890441E-2</v>
      </c>
      <c r="AT140" s="30">
        <f t="shared" ref="AT140" si="442">AT8/AO8-1</f>
        <v>5.5332279114783667E-2</v>
      </c>
      <c r="AU140" s="30">
        <f t="shared" ref="AU140:AV140" si="443">AU8/AP8-1</f>
        <v>5.5608117720850059E-2</v>
      </c>
      <c r="AV140" s="127">
        <f t="shared" si="443"/>
        <v>5.5458522448431635E-2</v>
      </c>
    </row>
    <row r="141" spans="2:48" s="23" customFormat="1" outlineLevel="1" x14ac:dyDescent="0.3">
      <c r="B141" s="511" t="s">
        <v>4</v>
      </c>
      <c r="C141" s="512"/>
      <c r="D141" s="27">
        <f t="shared" ref="D141:AB141" si="444">D17/D8</f>
        <v>0.15313522396610738</v>
      </c>
      <c r="E141" s="27">
        <f t="shared" si="444"/>
        <v>0.13601547756862614</v>
      </c>
      <c r="F141" s="27">
        <f t="shared" si="444"/>
        <v>0.16434119888612064</v>
      </c>
      <c r="G141" s="27">
        <f t="shared" si="444"/>
        <v>0.16054542759745088</v>
      </c>
      <c r="H141" s="29">
        <f t="shared" si="444"/>
        <v>0.15383309567461143</v>
      </c>
      <c r="I141" s="27">
        <f t="shared" si="444"/>
        <v>0.1718730185568752</v>
      </c>
      <c r="J141" s="27">
        <f t="shared" si="444"/>
        <v>8.1291592307820446E-2</v>
      </c>
      <c r="K141" s="27">
        <f t="shared" si="444"/>
        <v>-0.16671798394164022</v>
      </c>
      <c r="L141" s="103">
        <f t="shared" si="444"/>
        <v>9.0003385404072211E-2</v>
      </c>
      <c r="M141" s="127">
        <f t="shared" si="444"/>
        <v>6.6400204098988183E-2</v>
      </c>
      <c r="N141" s="27">
        <f t="shared" si="444"/>
        <v>0.13534536403235845</v>
      </c>
      <c r="O141" s="27">
        <f t="shared" si="444"/>
        <v>0.14811037792441512</v>
      </c>
      <c r="P141" s="27">
        <f t="shared" si="444"/>
        <v>0.19858600680317468</v>
      </c>
      <c r="Q141" s="27">
        <f t="shared" si="444"/>
        <v>0.18193869910515911</v>
      </c>
      <c r="R141" s="127">
        <f t="shared" si="444"/>
        <v>0.16764966999993108</v>
      </c>
      <c r="S141" s="27">
        <f t="shared" si="444"/>
        <v>0.14630328927755143</v>
      </c>
      <c r="T141" s="27">
        <f t="shared" si="444"/>
        <v>0.12427314159987431</v>
      </c>
      <c r="U141" s="27">
        <f t="shared" si="444"/>
        <v>0.15895510484533926</v>
      </c>
      <c r="V141" s="27">
        <f t="shared" si="444"/>
        <v>0.14208124361198912</v>
      </c>
      <c r="W141" s="127">
        <f t="shared" si="444"/>
        <v>0.14318316418761981</v>
      </c>
      <c r="X141" s="27">
        <f t="shared" si="444"/>
        <v>0.13732249801164698</v>
      </c>
      <c r="Y141" s="27">
        <f t="shared" si="444"/>
        <v>0.13792984597436658</v>
      </c>
      <c r="Z141" s="27">
        <f t="shared" si="444"/>
        <v>0.15975417858522151</v>
      </c>
      <c r="AA141" s="27">
        <f t="shared" si="444"/>
        <v>0.17327103774875288</v>
      </c>
      <c r="AB141" s="127">
        <f t="shared" si="444"/>
        <v>0.15278556347439226</v>
      </c>
      <c r="AC141" s="27">
        <f t="shared" ref="AC141:AG141" si="445">AC17/AC8</f>
        <v>0.16078264647368967</v>
      </c>
      <c r="AD141" s="27">
        <f t="shared" si="445"/>
        <v>0.14274433751515067</v>
      </c>
      <c r="AE141" s="27">
        <f t="shared" si="445"/>
        <v>0.15995007332495034</v>
      </c>
      <c r="AF141" s="27">
        <f t="shared" si="445"/>
        <v>0.15924129099737827</v>
      </c>
      <c r="AG141" s="127">
        <f t="shared" si="445"/>
        <v>0.15595624141798245</v>
      </c>
      <c r="AH141" s="27">
        <f t="shared" ref="AH141:AL141" si="446">AH17/AH8</f>
        <v>0.16316139884826139</v>
      </c>
      <c r="AI141" s="27">
        <f t="shared" si="446"/>
        <v>0.14577935292548291</v>
      </c>
      <c r="AJ141" s="27">
        <f t="shared" si="446"/>
        <v>0.16882277560895134</v>
      </c>
      <c r="AK141" s="27">
        <f t="shared" si="446"/>
        <v>0.16257811382885082</v>
      </c>
      <c r="AL141" s="127">
        <f t="shared" si="446"/>
        <v>0.16040508684340321</v>
      </c>
      <c r="AM141" s="27">
        <f t="shared" ref="AM141:AQ141" si="447">AM17/AM8</f>
        <v>0.16188173336199249</v>
      </c>
      <c r="AN141" s="27">
        <f t="shared" si="447"/>
        <v>0.14447837201374358</v>
      </c>
      <c r="AO141" s="27">
        <f t="shared" si="447"/>
        <v>0.16655679048352046</v>
      </c>
      <c r="AP141" s="27">
        <f t="shared" si="447"/>
        <v>0.15953220363449341</v>
      </c>
      <c r="AQ141" s="127">
        <f t="shared" si="447"/>
        <v>0.15838929195316157</v>
      </c>
      <c r="AR141" s="27">
        <f t="shared" ref="AR141:AV141" si="448">AR17/AR8</f>
        <v>0.16153866619057386</v>
      </c>
      <c r="AS141" s="27">
        <f t="shared" si="448"/>
        <v>0.14433963114206358</v>
      </c>
      <c r="AT141" s="27">
        <f t="shared" si="448"/>
        <v>0.16635750726615681</v>
      </c>
      <c r="AU141" s="27">
        <f t="shared" si="448"/>
        <v>0.15964817882372431</v>
      </c>
      <c r="AV141" s="127">
        <f t="shared" si="448"/>
        <v>0.15825127392541141</v>
      </c>
    </row>
    <row r="142" spans="2:48" s="23" customFormat="1" outlineLevel="1" x14ac:dyDescent="0.3">
      <c r="B142" s="511" t="s">
        <v>74</v>
      </c>
      <c r="C142" s="512"/>
      <c r="D142" s="27">
        <f t="shared" ref="D142:AB142" si="449">+D19/D8</f>
        <v>0.17394123056975294</v>
      </c>
      <c r="E142" s="27">
        <f t="shared" si="449"/>
        <v>0.15843892227913536</v>
      </c>
      <c r="F142" s="27">
        <f t="shared" si="449"/>
        <v>0.18270555474131628</v>
      </c>
      <c r="G142" s="27">
        <f t="shared" si="449"/>
        <v>0.17201719282644154</v>
      </c>
      <c r="H142" s="29">
        <f t="shared" si="449"/>
        <v>0.17201964645435841</v>
      </c>
      <c r="I142" s="27">
        <f t="shared" si="449"/>
        <v>0.1819616463062376</v>
      </c>
      <c r="J142" s="27">
        <f t="shared" si="449"/>
        <v>9.2432910252347358E-2</v>
      </c>
      <c r="K142" s="27">
        <f t="shared" si="449"/>
        <v>-0.12558205632268285</v>
      </c>
      <c r="L142" s="103">
        <f t="shared" si="449"/>
        <v>0.13183730715287523</v>
      </c>
      <c r="M142" s="127">
        <f t="shared" si="449"/>
        <v>9.0704141508631861E-2</v>
      </c>
      <c r="N142" s="27">
        <f t="shared" si="449"/>
        <v>0.15533232583637069</v>
      </c>
      <c r="O142" s="27">
        <f t="shared" si="449"/>
        <v>0.1613377324535093</v>
      </c>
      <c r="P142" s="27">
        <f t="shared" si="449"/>
        <v>0.20548255852731262</v>
      </c>
      <c r="Q142" s="27">
        <f t="shared" si="449"/>
        <v>0.19607939411049871</v>
      </c>
      <c r="R142" s="127">
        <f t="shared" si="449"/>
        <v>0.18106990220435909</v>
      </c>
      <c r="S142" s="27">
        <f t="shared" si="449"/>
        <v>0.15067574282023255</v>
      </c>
      <c r="T142" s="27">
        <f t="shared" si="449"/>
        <v>0.13049400178113052</v>
      </c>
      <c r="U142" s="27">
        <f t="shared" si="449"/>
        <v>0.16846419062342788</v>
      </c>
      <c r="V142" s="27">
        <f t="shared" ref="V142" si="450">+V19/V8</f>
        <v>0.15124432506952518</v>
      </c>
      <c r="W142" s="127">
        <f t="shared" si="449"/>
        <v>0.15054123527533064</v>
      </c>
      <c r="X142" s="27">
        <f t="shared" si="449"/>
        <v>0.14419672292426386</v>
      </c>
      <c r="Y142" s="27">
        <f t="shared" si="449"/>
        <v>0.1391126972351252</v>
      </c>
      <c r="Z142" s="27">
        <f t="shared" si="449"/>
        <v>0.16083392212335762</v>
      </c>
      <c r="AA142" s="27">
        <f t="shared" si="449"/>
        <v>0.17431611633932309</v>
      </c>
      <c r="AB142" s="462">
        <f t="shared" si="449"/>
        <v>0.15528469419568175</v>
      </c>
      <c r="AC142" s="27">
        <f t="shared" ref="AC142:AG142" si="451">+AC19/AC8</f>
        <v>0.16179940827646572</v>
      </c>
      <c r="AD142" s="27">
        <f t="shared" si="451"/>
        <v>0.14725985559171995</v>
      </c>
      <c r="AE142" s="27">
        <f t="shared" si="451"/>
        <v>0.16406839019075056</v>
      </c>
      <c r="AF142" s="27">
        <f t="shared" si="451"/>
        <v>0.16321875260004931</v>
      </c>
      <c r="AG142" s="462">
        <f t="shared" si="451"/>
        <v>0.15936525458087336</v>
      </c>
      <c r="AH142" s="27">
        <f t="shared" ref="AH142:AL142" si="452">+AH19/AH8</f>
        <v>0.1669979589981436</v>
      </c>
      <c r="AI142" s="27">
        <f t="shared" si="452"/>
        <v>0.14983991961051818</v>
      </c>
      <c r="AJ142" s="27">
        <f t="shared" si="452"/>
        <v>0.17252375827571562</v>
      </c>
      <c r="AK142" s="27">
        <f t="shared" si="452"/>
        <v>0.16614621673121327</v>
      </c>
      <c r="AL142" s="462">
        <f t="shared" si="452"/>
        <v>0.16418801957106346</v>
      </c>
      <c r="AM142" s="27">
        <f t="shared" ref="AM142:AQ142" si="453">+AM19/AM8</f>
        <v>0.1653579930849067</v>
      </c>
      <c r="AN142" s="27">
        <f t="shared" si="453"/>
        <v>0.14818622768500264</v>
      </c>
      <c r="AO142" s="27">
        <f t="shared" si="453"/>
        <v>0.16995766098588033</v>
      </c>
      <c r="AP142" s="27">
        <f t="shared" si="453"/>
        <v>0.16284022488510247</v>
      </c>
      <c r="AQ142" s="462">
        <f t="shared" si="453"/>
        <v>0.16185639464580431</v>
      </c>
      <c r="AR142" s="27">
        <f t="shared" ref="AR142:AV142" si="454">+AR19/AR8</f>
        <v>0.16483191317299445</v>
      </c>
      <c r="AS142" s="27">
        <f t="shared" si="454"/>
        <v>0.14785316282279265</v>
      </c>
      <c r="AT142" s="27">
        <f t="shared" si="454"/>
        <v>0.16958006623612645</v>
      </c>
      <c r="AU142" s="27">
        <f t="shared" si="454"/>
        <v>0.16278193764489685</v>
      </c>
      <c r="AV142" s="462">
        <f t="shared" si="454"/>
        <v>0.16153619949936937</v>
      </c>
    </row>
    <row r="143" spans="2:48" s="23" customFormat="1" outlineLevel="1" x14ac:dyDescent="0.3">
      <c r="B143" s="511" t="s">
        <v>2</v>
      </c>
      <c r="C143" s="512"/>
      <c r="D143" s="27">
        <f t="shared" ref="D143:K143" si="455">D24/D23</f>
        <v>0.2124287933713101</v>
      </c>
      <c r="E143" s="27">
        <f t="shared" si="455"/>
        <v>0.1965853658536586</v>
      </c>
      <c r="F143" s="27">
        <f t="shared" si="455"/>
        <v>0.18110799689903978</v>
      </c>
      <c r="G143" s="108">
        <f t="shared" si="455"/>
        <v>0.20083682008368189</v>
      </c>
      <c r="H143" s="127">
        <f t="shared" si="455"/>
        <v>0.19515471765706843</v>
      </c>
      <c r="I143" s="108">
        <f t="shared" si="455"/>
        <v>0.22600104913446431</v>
      </c>
      <c r="J143" s="108">
        <f t="shared" si="455"/>
        <v>0.16760635571501836</v>
      </c>
      <c r="K143" s="108">
        <f t="shared" si="455"/>
        <v>0.16490147783251249</v>
      </c>
      <c r="L143" s="108">
        <v>0.25</v>
      </c>
      <c r="M143" s="127">
        <f t="shared" ref="M143:U143" si="456">M24/M23</f>
        <v>0.20585709378220463</v>
      </c>
      <c r="N143" s="108">
        <f t="shared" si="456"/>
        <v>0.23023629840405785</v>
      </c>
      <c r="O143" s="108">
        <f t="shared" si="456"/>
        <v>0.25901786717608721</v>
      </c>
      <c r="P143" s="108">
        <f t="shared" si="456"/>
        <v>0.18217246510309659</v>
      </c>
      <c r="Q143" s="108">
        <f t="shared" si="456"/>
        <v>0.21489588894821143</v>
      </c>
      <c r="R143" s="127">
        <f t="shared" si="456"/>
        <v>0.21591906068581893</v>
      </c>
      <c r="S143" s="108">
        <f t="shared" si="456"/>
        <v>0.23183358433734938</v>
      </c>
      <c r="T143" s="108">
        <f t="shared" si="456"/>
        <v>0.22954000684853323</v>
      </c>
      <c r="U143" s="108">
        <f t="shared" si="456"/>
        <v>0.23360174467371256</v>
      </c>
      <c r="V143" s="108">
        <f t="shared" ref="V143" si="457">V24/V23</f>
        <v>0.20223392662549969</v>
      </c>
      <c r="W143" s="127">
        <f>W24/W23</f>
        <v>0.22415463503390937</v>
      </c>
      <c r="X143" s="32">
        <v>0.245</v>
      </c>
      <c r="Y143" s="32">
        <v>0.245</v>
      </c>
      <c r="Z143" s="32">
        <v>0.245</v>
      </c>
      <c r="AA143" s="32">
        <v>0.245</v>
      </c>
      <c r="AB143" s="127">
        <f>AB24/AB23</f>
        <v>0.24499999999999994</v>
      </c>
      <c r="AC143" s="32">
        <v>0.245</v>
      </c>
      <c r="AD143" s="32">
        <v>0.245</v>
      </c>
      <c r="AE143" s="32">
        <v>0.245</v>
      </c>
      <c r="AF143" s="32">
        <v>0.245</v>
      </c>
      <c r="AG143" s="127">
        <f>AG24/AG23</f>
        <v>0.24500000000000005</v>
      </c>
      <c r="AH143" s="32">
        <v>0.245</v>
      </c>
      <c r="AI143" s="32">
        <v>0.245</v>
      </c>
      <c r="AJ143" s="32">
        <v>0.245</v>
      </c>
      <c r="AK143" s="32">
        <v>0.245</v>
      </c>
      <c r="AL143" s="127">
        <f>AL24/AL23</f>
        <v>0.24500000000000013</v>
      </c>
      <c r="AM143" s="32">
        <v>0.245</v>
      </c>
      <c r="AN143" s="32">
        <v>0.245</v>
      </c>
      <c r="AO143" s="32">
        <v>0.245</v>
      </c>
      <c r="AP143" s="32">
        <v>0.245</v>
      </c>
      <c r="AQ143" s="127">
        <f>AQ24/AQ23</f>
        <v>0.24500000000000013</v>
      </c>
      <c r="AR143" s="32">
        <v>0.245</v>
      </c>
      <c r="AS143" s="32">
        <v>0.245</v>
      </c>
      <c r="AT143" s="32">
        <v>0.245</v>
      </c>
      <c r="AU143" s="32">
        <v>0.245</v>
      </c>
      <c r="AV143" s="127">
        <f>AV24/AV23</f>
        <v>0.24499999999999975</v>
      </c>
    </row>
    <row r="144" spans="2:48" s="23" customFormat="1" outlineLevel="1" x14ac:dyDescent="0.3">
      <c r="B144" s="511" t="s">
        <v>75</v>
      </c>
      <c r="C144" s="512"/>
      <c r="D144" s="27"/>
      <c r="E144" s="27">
        <f>+E21/(('Balance Sheet'!E6+'Balance Sheet'!E7+'Balance Sheet'!E12)+('Balance Sheet'!D6+'Balance Sheet'!D7+'Balance Sheet'!D12)/2)</f>
        <v>3.0327214684756584E-3</v>
      </c>
      <c r="F144" s="27">
        <f>+F21/(('Balance Sheet'!F6+'Balance Sheet'!F7+'Balance Sheet'!F12)+('Balance Sheet'!E6+'Balance Sheet'!E7+'Balance Sheet'!E12)/2)</f>
        <v>6.4321029136466161E-3</v>
      </c>
      <c r="G144" s="27">
        <f>+G21/(('Balance Sheet'!G6+'Balance Sheet'!G7+'Balance Sheet'!G12)+('Balance Sheet'!F6+'Balance Sheet'!F7+'Balance Sheet'!F12)/2)</f>
        <v>2.9603261807251862E-3</v>
      </c>
      <c r="H144" s="29"/>
      <c r="I144" s="27">
        <f>+I21/(('Balance Sheet'!I6+'Balance Sheet'!I7+'Balance Sheet'!I12)+('Balance Sheet'!G6+'Balance Sheet'!G7+'Balance Sheet'!G12)/2)</f>
        <v>3.3143988743550958E-3</v>
      </c>
      <c r="J144" s="27">
        <f>+J21/(('Balance Sheet'!J6+'Balance Sheet'!J7+'Balance Sheet'!J12)+('Balance Sheet'!I6+'Balance Sheet'!I7+'Balance Sheet'!I12)/2)</f>
        <v>4.4659305324505627E-4</v>
      </c>
      <c r="K144" s="27">
        <f>+K21/(('Balance Sheet'!K6+'Balance Sheet'!K7+'Balance Sheet'!K12)+('Balance Sheet'!J6+'Balance Sheet'!J7+'Balance Sheet'!J12)/2)</f>
        <v>2.1779393606804753E-3</v>
      </c>
      <c r="L144" s="27">
        <f>+L21/(('Balance Sheet'!L6+'Balance Sheet'!L7+'Balance Sheet'!L12)+('Balance Sheet'!K6+'Balance Sheet'!K7+'Balance Sheet'!K12)/2)</f>
        <v>1.2911830642186198E-3</v>
      </c>
      <c r="M144" s="29"/>
      <c r="N144" s="27">
        <f>+N21/(('Balance Sheet'!N6+'Balance Sheet'!N7+'Balance Sheet'!N12)+('Balance Sheet'!L6+'Balance Sheet'!L7+'Balance Sheet'!L12)/2)</f>
        <v>1.9686289451959073E-3</v>
      </c>
      <c r="O144" s="27">
        <f>+O21/(('Balance Sheet'!O6+'Balance Sheet'!O7+'Balance Sheet'!O12)+('Balance Sheet'!N6+'Balance Sheet'!N7+'Balance Sheet'!N12)/2)</f>
        <v>2.465933063458573E-3</v>
      </c>
      <c r="P144" s="27">
        <f>+P21/(('Balance Sheet'!P6+'Balance Sheet'!P7+'Balance Sheet'!P12)+('Balance Sheet'!O6+'Balance Sheet'!O7+'Balance Sheet'!O12)/2)</f>
        <v>4.9067713444553383E-3</v>
      </c>
      <c r="Q144" s="27">
        <f>+Q21/(('Balance Sheet'!Q6+'Balance Sheet'!Q7+'Balance Sheet'!Q12)+('Balance Sheet'!P6+'Balance Sheet'!P7+'Balance Sheet'!P12)/2)</f>
        <v>2.2641350477574504E-3</v>
      </c>
      <c r="R144" s="127"/>
      <c r="S144" s="27">
        <f>+S21/(('Balance Sheet'!S6+'Balance Sheet'!S7+'Balance Sheet'!S12)+('Balance Sheet'!Q6+'Balance Sheet'!Q7+'Balance Sheet'!Q12)/2)</f>
        <v>-1.2810330250313835E-5</v>
      </c>
      <c r="T144" s="27">
        <f>+T21/(('Balance Sheet'!T6+'Balance Sheet'!T7+'Balance Sheet'!T12)+('Balance Sheet'!S6+'Balance Sheet'!S7+'Balance Sheet'!S12)/2)</f>
        <v>7.1679593764030023E-3</v>
      </c>
      <c r="U144" s="27">
        <f>+U21/(('Balance Sheet'!U6+'Balance Sheet'!U7+'Balance Sheet'!U12)+('Balance Sheet'!T6+'Balance Sheet'!T7+'Balance Sheet'!T12)/2)</f>
        <v>3.4813492865871276E-3</v>
      </c>
      <c r="V144" s="203">
        <f>+V21/(('Balance Sheet'!V6+'Balance Sheet'!V7+'Balance Sheet'!V12)+('Balance Sheet'!U6+'Balance Sheet'!U7+'Balance Sheet'!U12)/2)</f>
        <v>5.9212851098780295E-3</v>
      </c>
      <c r="W144" s="436"/>
      <c r="X144" s="443">
        <f>V144+0.25%</f>
        <v>8.4212851098780291E-3</v>
      </c>
      <c r="Y144" s="443">
        <f>X144+0.5%</f>
        <v>1.3421285109878028E-2</v>
      </c>
      <c r="Z144" s="443">
        <f>Y144</f>
        <v>1.3421285109878028E-2</v>
      </c>
      <c r="AA144" s="443">
        <f>Z144-0.5%</f>
        <v>8.4212851098780274E-3</v>
      </c>
      <c r="AB144" s="127"/>
      <c r="AC144" s="443">
        <f>AA144</f>
        <v>8.4212851098780274E-3</v>
      </c>
      <c r="AD144" s="443">
        <f>AC144</f>
        <v>8.4212851098780274E-3</v>
      </c>
      <c r="AE144" s="443">
        <f>AD144</f>
        <v>8.4212851098780274E-3</v>
      </c>
      <c r="AF144" s="443">
        <f>AE144</f>
        <v>8.4212851098780274E-3</v>
      </c>
      <c r="AG144" s="127"/>
      <c r="AH144" s="443">
        <f>AF144</f>
        <v>8.4212851098780274E-3</v>
      </c>
      <c r="AI144" s="443">
        <f>AH144</f>
        <v>8.4212851098780274E-3</v>
      </c>
      <c r="AJ144" s="443">
        <f>AI144</f>
        <v>8.4212851098780274E-3</v>
      </c>
      <c r="AK144" s="443">
        <f>AJ144</f>
        <v>8.4212851098780274E-3</v>
      </c>
      <c r="AL144" s="127"/>
      <c r="AM144" s="443">
        <f>AK144</f>
        <v>8.4212851098780274E-3</v>
      </c>
      <c r="AN144" s="443">
        <f t="shared" ref="AN144:AP145" si="458">AM144</f>
        <v>8.4212851098780274E-3</v>
      </c>
      <c r="AO144" s="443">
        <f t="shared" si="458"/>
        <v>8.4212851098780274E-3</v>
      </c>
      <c r="AP144" s="443">
        <f t="shared" si="458"/>
        <v>8.4212851098780274E-3</v>
      </c>
      <c r="AQ144" s="127"/>
      <c r="AR144" s="443">
        <f>AP144</f>
        <v>8.4212851098780274E-3</v>
      </c>
      <c r="AS144" s="443">
        <f t="shared" ref="AS144:AU145" si="459">AR144</f>
        <v>8.4212851098780274E-3</v>
      </c>
      <c r="AT144" s="443">
        <f t="shared" si="459"/>
        <v>8.4212851098780274E-3</v>
      </c>
      <c r="AU144" s="443">
        <f t="shared" si="459"/>
        <v>8.4212851098780274E-3</v>
      </c>
      <c r="AV144" s="127"/>
    </row>
    <row r="145" spans="2:48" s="23" customFormat="1" outlineLevel="1" x14ac:dyDescent="0.3">
      <c r="B145" s="511" t="s">
        <v>76</v>
      </c>
      <c r="C145" s="512"/>
      <c r="D145" s="27"/>
      <c r="E145" s="203">
        <f>-E22/(((('Balance Sheet'!E28+'Balance Sheet'!E31)+('Balance Sheet'!D28+'Balance Sheet'!D31))/2))</f>
        <v>8.0557251242696429E-3</v>
      </c>
      <c r="F145" s="203">
        <f>-F22/(((('Balance Sheet'!F28+'Balance Sheet'!F31)+('Balance Sheet'!E28+'Balance Sheet'!E31))/2))</f>
        <v>8.4807318557490342E-3</v>
      </c>
      <c r="G145" s="203">
        <f>-G22/(((('Balance Sheet'!G28+'Balance Sheet'!G31)+('Balance Sheet'!F28+'Balance Sheet'!F31))/2))</f>
        <v>8.572925858076421E-3</v>
      </c>
      <c r="H145" s="29"/>
      <c r="I145" s="203">
        <f>-I22/(((('Balance Sheet'!I28+'Balance Sheet'!I31)+('Balance Sheet'!G28+'Balance Sheet'!G31))/2))</f>
        <v>8.0554679008449908E-3</v>
      </c>
      <c r="J145" s="203">
        <f>-J22/(((('Balance Sheet'!J28+'Balance Sheet'!J31)+('Balance Sheet'!I28+'Balance Sheet'!I31))/2))</f>
        <v>7.730372102084551E-3</v>
      </c>
      <c r="K145" s="203">
        <f>-K22/(((('Balance Sheet'!K28+'Balance Sheet'!K31)+('Balance Sheet'!J28+'Balance Sheet'!J31))/2))</f>
        <v>7.8322294946980078E-3</v>
      </c>
      <c r="L145" s="203">
        <f>-L22/(((('Balance Sheet'!L28+'Balance Sheet'!L31)+('Balance Sheet'!K28+'Balance Sheet'!K31))/2))</f>
        <v>7.5346594333936109E-3</v>
      </c>
      <c r="M145" s="29"/>
      <c r="N145" s="203">
        <f>-N22/(((('Balance Sheet'!N28+'Balance Sheet'!N31)+('Balance Sheet'!L28+'Balance Sheet'!L31))/2))</f>
        <v>7.481930548840208E-3</v>
      </c>
      <c r="O145" s="203">
        <f>-O22/(((('Balance Sheet'!O28+'Balance Sheet'!O31)+('Balance Sheet'!N28+'Balance Sheet'!N31))/2))</f>
        <v>7.5250206938069089E-3</v>
      </c>
      <c r="P145" s="203">
        <f>-P22/(((('Balance Sheet'!P28+'Balance Sheet'!P31)+('Balance Sheet'!O28+'Balance Sheet'!O31))/2))</f>
        <v>7.7494216976973845E-3</v>
      </c>
      <c r="Q145" s="203">
        <f>-Q22/(((('Balance Sheet'!Q28+'Balance Sheet'!Q31)+('Balance Sheet'!P28+'Balance Sheet'!P31))/2))</f>
        <v>8.2506952544819535E-3</v>
      </c>
      <c r="R145" s="29"/>
      <c r="S145" s="203">
        <f>-S22/(((('Balance Sheet'!S28+'Balance Sheet'!S31)+('Balance Sheet'!Q28+'Balance Sheet'!Q31))/2))</f>
        <v>7.8431639309692741E-3</v>
      </c>
      <c r="T145" s="203">
        <f>-T22/(((('Balance Sheet'!T28+'Balance Sheet'!T31)+('Balance Sheet'!S28+'Balance Sheet'!S31))/2))</f>
        <v>7.7341177845746236E-3</v>
      </c>
      <c r="U145" s="203">
        <f>-U22/(((('Balance Sheet'!U28+'Balance Sheet'!U31)+('Balance Sheet'!T28+'Balance Sheet'!T31))/2))</f>
        <v>7.9054937080361813E-3</v>
      </c>
      <c r="V145" s="203">
        <f>-V22/(((('Balance Sheet'!V28+'Balance Sheet'!V31)+('Balance Sheet'!U28+'Balance Sheet'!U31))/2))</f>
        <v>8.3052184345359225E-3</v>
      </c>
      <c r="W145" s="436"/>
      <c r="X145" s="443">
        <v>9.1399171757323584E-3</v>
      </c>
      <c r="Y145" s="443">
        <f>X145</f>
        <v>9.1399171757323584E-3</v>
      </c>
      <c r="Z145" s="443">
        <f>X145</f>
        <v>9.1399171757323584E-3</v>
      </c>
      <c r="AA145" s="443">
        <f>X145</f>
        <v>9.1399171757323584E-3</v>
      </c>
      <c r="AB145" s="127"/>
      <c r="AC145" s="443">
        <f>AA145+0.01%</f>
        <v>9.2399171757323578E-3</v>
      </c>
      <c r="AD145" s="443">
        <f>AC145+0.01%</f>
        <v>9.3399171757323571E-3</v>
      </c>
      <c r="AE145" s="443">
        <f>AD145+0.01%</f>
        <v>9.4399171757323565E-3</v>
      </c>
      <c r="AF145" s="443">
        <f>AE145+0.01%</f>
        <v>9.5399171757323559E-3</v>
      </c>
      <c r="AG145" s="127"/>
      <c r="AH145" s="443">
        <f>AF145+0.01%</f>
        <v>9.6399171757323553E-3</v>
      </c>
      <c r="AI145" s="443">
        <f>AH145+0.01%</f>
        <v>9.7399171757323547E-3</v>
      </c>
      <c r="AJ145" s="443">
        <f>AI145+0.01%</f>
        <v>9.8399171757323541E-3</v>
      </c>
      <c r="AK145" s="443">
        <f>AJ145+0.01%</f>
        <v>9.9399171757323535E-3</v>
      </c>
      <c r="AL145" s="127"/>
      <c r="AM145" s="443">
        <f>AK145</f>
        <v>9.9399171757323535E-3</v>
      </c>
      <c r="AN145" s="443">
        <f t="shared" si="458"/>
        <v>9.9399171757323535E-3</v>
      </c>
      <c r="AO145" s="443">
        <f t="shared" si="458"/>
        <v>9.9399171757323535E-3</v>
      </c>
      <c r="AP145" s="443">
        <f t="shared" si="458"/>
        <v>9.9399171757323535E-3</v>
      </c>
      <c r="AQ145" s="127"/>
      <c r="AR145" s="443">
        <f>AP145</f>
        <v>9.9399171757323535E-3</v>
      </c>
      <c r="AS145" s="443">
        <f t="shared" si="459"/>
        <v>9.9399171757323535E-3</v>
      </c>
      <c r="AT145" s="443">
        <f t="shared" si="459"/>
        <v>9.9399171757323535E-3</v>
      </c>
      <c r="AU145" s="443">
        <f t="shared" si="459"/>
        <v>9.9399171757323535E-3</v>
      </c>
      <c r="AV145" s="127"/>
    </row>
    <row r="146" spans="2:48" s="23" customFormat="1" outlineLevel="1" x14ac:dyDescent="0.3">
      <c r="B146" s="188" t="s">
        <v>183</v>
      </c>
      <c r="C146" s="189"/>
      <c r="D146" s="103"/>
      <c r="E146" s="103"/>
      <c r="F146" s="103"/>
      <c r="G146" s="103"/>
      <c r="H146" s="127"/>
      <c r="I146" s="103">
        <f>I33/D33-1</f>
        <v>0.2254857129231771</v>
      </c>
      <c r="J146" s="103">
        <f t="shared" ref="J146:W146" si="460">J33/E33-1</f>
        <v>-0.47546772308917484</v>
      </c>
      <c r="K146" s="103">
        <f t="shared" si="460"/>
        <v>-1.5172211898784418</v>
      </c>
      <c r="L146" s="103">
        <f t="shared" si="460"/>
        <v>-0.49266142278343572</v>
      </c>
      <c r="M146" s="127">
        <f t="shared" si="460"/>
        <v>-0.73466371126240593</v>
      </c>
      <c r="N146" s="103">
        <f t="shared" si="460"/>
        <v>-0.292754196932551</v>
      </c>
      <c r="O146" s="103">
        <f t="shared" si="460"/>
        <v>1.0009687774744878</v>
      </c>
      <c r="P146" s="103">
        <f t="shared" si="460"/>
        <v>-2.6748075301104208</v>
      </c>
      <c r="Q146" s="103">
        <f t="shared" si="460"/>
        <v>3.4604705530296798</v>
      </c>
      <c r="R146" s="127">
        <f t="shared" si="460"/>
        <v>3.5714373754781779</v>
      </c>
      <c r="S146" s="103">
        <f t="shared" si="460"/>
        <v>0.31844745711851452</v>
      </c>
      <c r="T146" s="103">
        <f t="shared" si="460"/>
        <v>5.0603007043171555E-2</v>
      </c>
      <c r="U146" s="103">
        <f t="shared" si="460"/>
        <v>-0.18430865147381992</v>
      </c>
      <c r="V146" s="103">
        <f t="shared" si="460"/>
        <v>-0.48692035932649225</v>
      </c>
      <c r="W146" s="127">
        <f t="shared" si="460"/>
        <v>-0.19971281729872037</v>
      </c>
      <c r="X146" s="103">
        <f t="shared" ref="X146:AA147" si="461">X33/S33-1</f>
        <v>2.8198246228196666E-2</v>
      </c>
      <c r="Y146" s="103">
        <f t="shared" ref="Y146" si="462">Y33/T33-1</f>
        <v>0.21501285775998769</v>
      </c>
      <c r="Z146" s="103">
        <f t="shared" ref="Z146" si="463">Z33/U33-1</f>
        <v>0.14761133856692821</v>
      </c>
      <c r="AA146" s="103">
        <f t="shared" ref="AA146:AB147" si="464">AA33/V33-1</f>
        <v>0.32609490942890029</v>
      </c>
      <c r="AB146" s="127">
        <f t="shared" si="464"/>
        <v>0.18039698350788802</v>
      </c>
      <c r="AC146" s="103">
        <f t="shared" ref="AC146:AC147" si="465">AC33/X33-1</f>
        <v>0.34833964325797284</v>
      </c>
      <c r="AD146" s="103">
        <f t="shared" ref="AD146:AD147" si="466">AD33/Y33-1</f>
        <v>0.12742169958971283</v>
      </c>
      <c r="AE146" s="103">
        <f t="shared" ref="AE146:AE147" si="467">AE33/Z33-1</f>
        <v>9.4736141181027467E-2</v>
      </c>
      <c r="AF146" s="103">
        <f t="shared" ref="AF146:AG147" si="468">AF33/AA33-1</f>
        <v>1.6857071215004238E-2</v>
      </c>
      <c r="AG146" s="127">
        <f t="shared" si="468"/>
        <v>0.13221492021661319</v>
      </c>
      <c r="AH146" s="103">
        <f t="shared" ref="AH146:AH147" si="469">AH33/AC33-1</f>
        <v>0.13945107005254909</v>
      </c>
      <c r="AI146" s="103">
        <f t="shared" ref="AI146:AI147" si="470">AI33/AD33-1</f>
        <v>0.14596697066207565</v>
      </c>
      <c r="AJ146" s="103">
        <f t="shared" ref="AJ146:AJ147" si="471">AJ33/AE33-1</f>
        <v>0.23278577356598218</v>
      </c>
      <c r="AK146" s="103">
        <f t="shared" ref="AK146:AL147" si="472">AK33/AF33-1</f>
        <v>0.20706079508023634</v>
      </c>
      <c r="AL146" s="127">
        <f t="shared" si="472"/>
        <v>0.18236527588313556</v>
      </c>
      <c r="AM146" s="103">
        <f t="shared" ref="AM146:AM147" si="473">AM33/AH33-1</f>
        <v>0.13210166034206905</v>
      </c>
      <c r="AN146" s="103">
        <f t="shared" ref="AN146:AN147" si="474">AN33/AI33-1</f>
        <v>0.11417774940323366</v>
      </c>
      <c r="AO146" s="103">
        <f t="shared" ref="AO146:AO147" si="475">AO33/AJ33-1</f>
        <v>7.1047936082577756E-2</v>
      </c>
      <c r="AP146" s="103">
        <f t="shared" ref="AP146:AQ147" si="476">AP33/AK33-1</f>
        <v>4.2519013928179694E-2</v>
      </c>
      <c r="AQ146" s="127">
        <f t="shared" si="476"/>
        <v>8.817018611554106E-2</v>
      </c>
      <c r="AR146" s="103">
        <f t="shared" ref="AR146:AR147" si="477">AR33/AM33-1</f>
        <v>6.4238840999523816E-2</v>
      </c>
      <c r="AS146" s="103">
        <f t="shared" ref="AS146:AS147" si="478">AS33/AN33-1</f>
        <v>6.8765944640101218E-2</v>
      </c>
      <c r="AT146" s="103">
        <f t="shared" ref="AT146:AT147" si="479">AT33/AO33-1</f>
        <v>6.5035995685676529E-2</v>
      </c>
      <c r="AU146" s="103">
        <f t="shared" ref="AU146:AV147" si="480">AU33/AP33-1</f>
        <v>6.7623230575414084E-2</v>
      </c>
      <c r="AV146" s="127">
        <f t="shared" si="480"/>
        <v>6.6302849101733896E-2</v>
      </c>
    </row>
    <row r="147" spans="2:48" s="23" customFormat="1" outlineLevel="1" x14ac:dyDescent="0.3">
      <c r="B147" s="188" t="s">
        <v>136</v>
      </c>
      <c r="C147" s="189"/>
      <c r="D147" s="27"/>
      <c r="E147" s="27"/>
      <c r="F147" s="27"/>
      <c r="G147" s="27"/>
      <c r="H147" s="29"/>
      <c r="I147" s="27">
        <f t="shared" ref="I147:V147" si="481">I34/D34-1</f>
        <v>5.9389868457878192E-2</v>
      </c>
      <c r="J147" s="27">
        <f t="shared" si="481"/>
        <v>-0.47460546003783222</v>
      </c>
      <c r="K147" s="27">
        <f t="shared" si="481"/>
        <v>-1.5922286955663072</v>
      </c>
      <c r="L147" s="103">
        <f t="shared" si="481"/>
        <v>-0.26631134736842188</v>
      </c>
      <c r="M147" s="127">
        <f t="shared" si="481"/>
        <v>-0.59372113780519853</v>
      </c>
      <c r="N147" s="103">
        <f t="shared" si="481"/>
        <v>-0.23228377390823718</v>
      </c>
      <c r="O147" s="103">
        <f t="shared" si="481"/>
        <v>0.96992458477270005</v>
      </c>
      <c r="P147" s="103">
        <f t="shared" si="481"/>
        <v>-3.1776350920116565</v>
      </c>
      <c r="Q147" s="103">
        <f t="shared" si="481"/>
        <v>0.95350602232643134</v>
      </c>
      <c r="R147" s="29">
        <f t="shared" si="481"/>
        <v>1.8162682861720394</v>
      </c>
      <c r="S147" s="103">
        <f t="shared" si="481"/>
        <v>0.18036058258616094</v>
      </c>
      <c r="T147" s="103">
        <f t="shared" si="481"/>
        <v>-5.6546752866856842E-2</v>
      </c>
      <c r="U147" s="103">
        <f t="shared" si="481"/>
        <v>-0.16448812865885809</v>
      </c>
      <c r="V147" s="103">
        <f t="shared" si="481"/>
        <v>-0.18800545699838422</v>
      </c>
      <c r="W147" s="127">
        <f>W34/(R34-0.1-0.04)-1</f>
        <v>-4.74569408076152E-2</v>
      </c>
      <c r="X147" s="103">
        <f t="shared" si="461"/>
        <v>4.081844163317272E-2</v>
      </c>
      <c r="Y147" s="103">
        <f t="shared" si="461"/>
        <v>0.22294095317062745</v>
      </c>
      <c r="Z147" s="103">
        <f t="shared" si="461"/>
        <v>9.0184381735707086E-2</v>
      </c>
      <c r="AA147" s="103">
        <f t="shared" si="461"/>
        <v>0.25669485270460646</v>
      </c>
      <c r="AB147" s="127">
        <f t="shared" si="464"/>
        <v>0.15017463534302622</v>
      </c>
      <c r="AC147" s="103">
        <f t="shared" si="465"/>
        <v>0.29091512339432213</v>
      </c>
      <c r="AD147" s="103">
        <f t="shared" si="466"/>
        <v>0.15326770322499228</v>
      </c>
      <c r="AE147" s="103">
        <f t="shared" si="467"/>
        <v>0.11516387721217169</v>
      </c>
      <c r="AF147" s="103">
        <f t="shared" si="468"/>
        <v>3.5731887382861371E-2</v>
      </c>
      <c r="AG147" s="127">
        <f t="shared" si="468"/>
        <v>0.1382120685709185</v>
      </c>
      <c r="AH147" s="103">
        <f t="shared" si="469"/>
        <v>0.15852024650158447</v>
      </c>
      <c r="AI147" s="103">
        <f t="shared" si="470"/>
        <v>0.14145770773529587</v>
      </c>
      <c r="AJ147" s="103">
        <f t="shared" si="471"/>
        <v>0.22801449032667165</v>
      </c>
      <c r="AK147" s="103">
        <f t="shared" si="472"/>
        <v>0.20413513010007778</v>
      </c>
      <c r="AL147" s="127">
        <f t="shared" si="472"/>
        <v>0.18431832570497031</v>
      </c>
      <c r="AM147" s="103">
        <f t="shared" si="473"/>
        <v>0.13103010844390206</v>
      </c>
      <c r="AN147" s="103">
        <f t="shared" si="474"/>
        <v>0.11336490265436727</v>
      </c>
      <c r="AO147" s="103">
        <f t="shared" si="475"/>
        <v>7.039409054162582E-2</v>
      </c>
      <c r="AP147" s="103">
        <f t="shared" si="476"/>
        <v>4.1510093620735322E-2</v>
      </c>
      <c r="AQ147" s="127">
        <f t="shared" si="476"/>
        <v>8.7274335141436898E-2</v>
      </c>
      <c r="AR147" s="103">
        <f t="shared" si="477"/>
        <v>6.2759865149623284E-2</v>
      </c>
      <c r="AS147" s="103">
        <f t="shared" si="478"/>
        <v>6.6864119056878835E-2</v>
      </c>
      <c r="AT147" s="103">
        <f t="shared" si="479"/>
        <v>6.362666487698343E-2</v>
      </c>
      <c r="AU147" s="103">
        <f t="shared" si="480"/>
        <v>6.6137592097421205E-2</v>
      </c>
      <c r="AV147" s="127">
        <f t="shared" si="480"/>
        <v>6.4754273282787933E-2</v>
      </c>
    </row>
    <row r="148" spans="2:48" s="23" customFormat="1" outlineLevel="1" x14ac:dyDescent="0.3">
      <c r="B148" s="188" t="s">
        <v>137</v>
      </c>
      <c r="C148" s="189"/>
      <c r="D148" s="27"/>
      <c r="E148" s="27"/>
      <c r="F148" s="27"/>
      <c r="G148" s="27"/>
      <c r="H148" s="29"/>
      <c r="I148" s="27"/>
      <c r="J148" s="27"/>
      <c r="K148" s="27"/>
      <c r="L148" s="103"/>
      <c r="M148" s="127"/>
      <c r="N148" s="103"/>
      <c r="O148" s="103"/>
      <c r="P148" s="103"/>
      <c r="Q148" s="103"/>
      <c r="R148" s="29"/>
      <c r="S148" s="103"/>
      <c r="T148" s="103"/>
      <c r="U148" s="103"/>
      <c r="V148" s="103"/>
      <c r="W148" s="127"/>
      <c r="X148" s="103"/>
      <c r="Y148" s="103"/>
      <c r="Z148" s="103"/>
      <c r="AA148" s="103"/>
      <c r="AB148" s="127"/>
      <c r="AC148" s="103"/>
      <c r="AD148" s="103"/>
      <c r="AE148" s="103"/>
      <c r="AF148" s="103"/>
      <c r="AG148" s="436"/>
      <c r="AH148" s="103"/>
      <c r="AI148" s="103"/>
      <c r="AJ148" s="103"/>
      <c r="AK148" s="103"/>
      <c r="AL148" s="436"/>
      <c r="AM148" s="103"/>
      <c r="AN148" s="103"/>
      <c r="AO148" s="103"/>
      <c r="AP148" s="103"/>
      <c r="AQ148" s="436"/>
      <c r="AR148" s="103"/>
      <c r="AS148" s="103"/>
      <c r="AT148" s="103"/>
      <c r="AU148" s="103"/>
      <c r="AV148" s="436"/>
    </row>
    <row r="149" spans="2:48" s="23" customFormat="1" outlineLevel="1" x14ac:dyDescent="0.3">
      <c r="B149" s="188" t="s">
        <v>320</v>
      </c>
      <c r="C149" s="189"/>
      <c r="D149" s="27"/>
      <c r="E149" s="27"/>
      <c r="F149" s="27"/>
      <c r="G149" s="27"/>
      <c r="H149" s="29"/>
      <c r="I149" s="27"/>
      <c r="J149" s="27"/>
      <c r="K149" s="27"/>
      <c r="L149" s="103"/>
      <c r="M149" s="127"/>
      <c r="N149" s="103"/>
      <c r="O149" s="103"/>
      <c r="P149" s="103"/>
      <c r="Q149" s="103"/>
      <c r="R149" s="29"/>
      <c r="S149" s="103"/>
      <c r="T149" s="103"/>
      <c r="U149" s="103"/>
      <c r="V149" s="103"/>
      <c r="W149" s="127"/>
      <c r="X149" s="103"/>
      <c r="Y149" s="103"/>
      <c r="Z149" s="103"/>
      <c r="AA149" s="103"/>
      <c r="AB149" s="127"/>
      <c r="AC149" s="103"/>
      <c r="AD149" s="103"/>
      <c r="AE149" s="103"/>
      <c r="AF149" s="103"/>
      <c r="AG149" s="127"/>
      <c r="AH149" s="103"/>
      <c r="AI149" s="103"/>
      <c r="AJ149" s="103"/>
      <c r="AK149" s="103"/>
      <c r="AL149" s="454">
        <f>(AL34/W34)^(1/3)-1</f>
        <v>0.15740443054640707</v>
      </c>
      <c r="AM149" s="103"/>
      <c r="AN149" s="103"/>
      <c r="AO149" s="103"/>
      <c r="AP149" s="103"/>
      <c r="AQ149" s="127"/>
      <c r="AR149" s="103"/>
      <c r="AS149" s="103"/>
      <c r="AT149" s="103"/>
      <c r="AU149" s="103"/>
      <c r="AV149" s="127"/>
    </row>
    <row r="150" spans="2:48" ht="17.399999999999999" x14ac:dyDescent="0.45">
      <c r="B150" s="514" t="s">
        <v>127</v>
      </c>
      <c r="C150" s="515"/>
      <c r="D150" s="14" t="s">
        <v>19</v>
      </c>
      <c r="E150" s="14" t="s">
        <v>78</v>
      </c>
      <c r="F150" s="14" t="s">
        <v>82</v>
      </c>
      <c r="G150" s="14" t="s">
        <v>92</v>
      </c>
      <c r="H150" s="37" t="s">
        <v>93</v>
      </c>
      <c r="I150" s="14" t="s">
        <v>94</v>
      </c>
      <c r="J150" s="14" t="s">
        <v>95</v>
      </c>
      <c r="K150" s="14" t="s">
        <v>96</v>
      </c>
      <c r="L150" s="14" t="s">
        <v>139</v>
      </c>
      <c r="M150" s="37" t="s">
        <v>140</v>
      </c>
      <c r="N150" s="14" t="s">
        <v>146</v>
      </c>
      <c r="O150" s="14" t="s">
        <v>154</v>
      </c>
      <c r="P150" s="14" t="s">
        <v>156</v>
      </c>
      <c r="Q150" s="14" t="s">
        <v>169</v>
      </c>
      <c r="R150" s="37" t="s">
        <v>170</v>
      </c>
      <c r="S150" s="14" t="s">
        <v>185</v>
      </c>
      <c r="T150" s="14" t="s">
        <v>186</v>
      </c>
      <c r="U150" s="14" t="s">
        <v>201</v>
      </c>
      <c r="V150" s="14" t="s">
        <v>324</v>
      </c>
      <c r="W150" s="37" t="s">
        <v>325</v>
      </c>
      <c r="X150" s="12" t="s">
        <v>24</v>
      </c>
      <c r="Y150" s="12" t="s">
        <v>25</v>
      </c>
      <c r="Z150" s="12" t="s">
        <v>26</v>
      </c>
      <c r="AA150" s="12" t="s">
        <v>27</v>
      </c>
      <c r="AB150" s="39" t="s">
        <v>28</v>
      </c>
      <c r="AC150" s="12" t="s">
        <v>87</v>
      </c>
      <c r="AD150" s="12" t="s">
        <v>88</v>
      </c>
      <c r="AE150" s="12" t="s">
        <v>89</v>
      </c>
      <c r="AF150" s="12" t="s">
        <v>90</v>
      </c>
      <c r="AG150" s="39" t="s">
        <v>91</v>
      </c>
      <c r="AH150" s="12" t="s">
        <v>106</v>
      </c>
      <c r="AI150" s="12" t="s">
        <v>107</v>
      </c>
      <c r="AJ150" s="12" t="s">
        <v>108</v>
      </c>
      <c r="AK150" s="12" t="s">
        <v>109</v>
      </c>
      <c r="AL150" s="39" t="s">
        <v>110</v>
      </c>
      <c r="AM150" s="12" t="s">
        <v>161</v>
      </c>
      <c r="AN150" s="12" t="s">
        <v>162</v>
      </c>
      <c r="AO150" s="12" t="s">
        <v>163</v>
      </c>
      <c r="AP150" s="12" t="s">
        <v>164</v>
      </c>
      <c r="AQ150" s="39" t="s">
        <v>165</v>
      </c>
      <c r="AR150" s="12" t="s">
        <v>192</v>
      </c>
      <c r="AS150" s="12" t="s">
        <v>193</v>
      </c>
      <c r="AT150" s="12" t="s">
        <v>194</v>
      </c>
      <c r="AU150" s="12" t="s">
        <v>195</v>
      </c>
      <c r="AV150" s="39" t="s">
        <v>196</v>
      </c>
    </row>
    <row r="151" spans="2:48" outlineLevel="1" x14ac:dyDescent="0.3">
      <c r="B151" s="511" t="s">
        <v>205</v>
      </c>
      <c r="C151" s="512"/>
      <c r="D151" s="27"/>
      <c r="E151" s="27">
        <f t="shared" ref="E151:G151" si="482">(E30+E155+E158+E161)/D30-1</f>
        <v>2.777764747303535E-2</v>
      </c>
      <c r="F151" s="27">
        <f t="shared" si="482"/>
        <v>-1.7269004124131682E-2</v>
      </c>
      <c r="G151" s="27">
        <f t="shared" si="482"/>
        <v>1.9258933156590885E-2</v>
      </c>
      <c r="H151" s="9"/>
      <c r="I151" s="27">
        <f>(I30+I155+I158+I161)/G30-1</f>
        <v>-1.436336111538794E-2</v>
      </c>
      <c r="J151" s="27">
        <f t="shared" ref="J151:L151" si="483">(J30+J155+J158+J161)/I30-1</f>
        <v>-1.1333810572689007E-3</v>
      </c>
      <c r="K151" s="27">
        <f t="shared" si="483"/>
        <v>-2.8161802355349819E-3</v>
      </c>
      <c r="L151" s="27">
        <f t="shared" si="483"/>
        <v>-9.5210569021197955E-4</v>
      </c>
      <c r="M151" s="9"/>
      <c r="N151" s="27">
        <f>(N30+N155+N158+N161)/L30-1</f>
        <v>6.5210015787404707E-3</v>
      </c>
      <c r="O151" s="27">
        <f t="shared" ref="O151:Q151" si="484">(O30+O155+O158+O161)/N30-1</f>
        <v>2.1276595744681437E-3</v>
      </c>
      <c r="P151" s="27">
        <f t="shared" si="484"/>
        <v>8.4925690021231404E-4</v>
      </c>
      <c r="Q151" s="27">
        <f t="shared" si="484"/>
        <v>8.4925690021231404E-4</v>
      </c>
      <c r="R151" s="9"/>
      <c r="S151" s="27">
        <f>(S30+S155+S158+S161)/Q30-1</f>
        <v>1.7994180128374726E-2</v>
      </c>
      <c r="T151" s="27">
        <f>(T30+T155+T158+T161)/S30-1</f>
        <v>-1.2989686217510177E-2</v>
      </c>
      <c r="U151" s="27">
        <f>(U30+U155+U158+U161)/T30-1</f>
        <v>-1.9143752175426743E-3</v>
      </c>
      <c r="V151" s="103">
        <v>1E-3</v>
      </c>
      <c r="W151" s="240"/>
      <c r="X151" s="32">
        <f>AVERAGE(E151,F151,G151,I151,J151,K151,L151,N151,O151,P151,Q151,S151,T151,U151,V151)</f>
        <v>1.6626561369363912E-3</v>
      </c>
      <c r="Y151" s="32">
        <v>2E-3</v>
      </c>
      <c r="Z151" s="32">
        <v>2E-3</v>
      </c>
      <c r="AA151" s="32">
        <v>2E-3</v>
      </c>
      <c r="AB151" s="414"/>
      <c r="AC151" s="32">
        <v>2E-3</v>
      </c>
      <c r="AD151" s="32">
        <v>2E-3</v>
      </c>
      <c r="AE151" s="32">
        <v>2E-3</v>
      </c>
      <c r="AF151" s="32">
        <v>2E-3</v>
      </c>
      <c r="AG151" s="414"/>
      <c r="AH151" s="32">
        <v>2E-3</v>
      </c>
      <c r="AI151" s="32">
        <v>2E-3</v>
      </c>
      <c r="AJ151" s="32">
        <v>2E-3</v>
      </c>
      <c r="AK151" s="32">
        <v>2E-3</v>
      </c>
      <c r="AL151" s="414"/>
      <c r="AM151" s="32">
        <v>2E-3</v>
      </c>
      <c r="AN151" s="32">
        <v>2E-3</v>
      </c>
      <c r="AO151" s="32">
        <v>2E-3</v>
      </c>
      <c r="AP151" s="32">
        <v>2E-3</v>
      </c>
      <c r="AQ151" s="414"/>
      <c r="AR151" s="32">
        <v>2E-3</v>
      </c>
      <c r="AS151" s="32">
        <v>2E-3</v>
      </c>
      <c r="AT151" s="32">
        <v>2E-3</v>
      </c>
      <c r="AU151" s="32">
        <v>2E-3</v>
      </c>
      <c r="AV151" s="414"/>
    </row>
    <row r="152" spans="2:48" outlineLevel="1" x14ac:dyDescent="0.3">
      <c r="B152" s="511" t="s">
        <v>206</v>
      </c>
      <c r="C152" s="512"/>
      <c r="D152" s="27"/>
      <c r="E152" s="27">
        <f t="shared" ref="E152:G152" si="485">(E31+E155+E158+E161)/D31-1</f>
        <v>2.7604785512613583E-2</v>
      </c>
      <c r="F152" s="27">
        <f t="shared" si="485"/>
        <v>-1.6710442080933863E-2</v>
      </c>
      <c r="G152" s="27">
        <f t="shared" si="485"/>
        <v>1.9089589576967603E-2</v>
      </c>
      <c r="H152" s="9"/>
      <c r="I152" s="27">
        <f>(I31+I155+I158+I161)/G31-1</f>
        <v>-1.5386652077945762E-2</v>
      </c>
      <c r="J152" s="27">
        <f t="shared" ref="J152:L152" si="486">(J31+J155+J158+J161)/I31-1</f>
        <v>-2.5506658270361138E-3</v>
      </c>
      <c r="K152" s="27">
        <f t="shared" si="486"/>
        <v>-1.0332853392055585E-2</v>
      </c>
      <c r="L152" s="27">
        <f t="shared" si="486"/>
        <v>8.9858793324775199E-3</v>
      </c>
      <c r="M152" s="9"/>
      <c r="N152" s="27">
        <f>(N31+N155+N158+N161)/L31-1</f>
        <v>3.392705682782049E-3</v>
      </c>
      <c r="O152" s="27">
        <f t="shared" ref="O152:Q152" si="487">(O31+O155+O158+O161)/N31-1</f>
        <v>1.5215553677092597E-3</v>
      </c>
      <c r="P152" s="27">
        <f t="shared" si="487"/>
        <v>1.1816340310601969E-3</v>
      </c>
      <c r="Q152" s="27">
        <f t="shared" si="487"/>
        <v>1.4331478671387732E-3</v>
      </c>
      <c r="R152" s="9"/>
      <c r="S152" s="27">
        <f>(S31+S155+S158+S161)/Q31-1</f>
        <v>1.6689115245390962E-2</v>
      </c>
      <c r="T152" s="27">
        <f>(T31+T155+T158+T161)/S31-1</f>
        <v>-1.4867191058983376E-2</v>
      </c>
      <c r="U152" s="27">
        <f>(U31+U155+U158+U161)/T31-1</f>
        <v>-2.5132160499177214E-3</v>
      </c>
      <c r="V152" s="27">
        <f t="shared" ref="V152" si="488">(V31+V155+V158+V161)/U31-1</f>
        <v>1.3032145960034658E-3</v>
      </c>
      <c r="W152" s="240"/>
      <c r="X152" s="32">
        <f>AVERAGE(E152,F152,G152,I152,J152,K152,L152,N152,O152,P152,Q152,S152,T152,U152,V152)</f>
        <v>1.2560404483513996E-3</v>
      </c>
      <c r="Y152" s="32">
        <v>1E-3</v>
      </c>
      <c r="Z152" s="32">
        <v>1E-3</v>
      </c>
      <c r="AA152" s="32">
        <v>1E-3</v>
      </c>
      <c r="AB152" s="414"/>
      <c r="AC152" s="32">
        <v>1E-3</v>
      </c>
      <c r="AD152" s="32">
        <v>1E-3</v>
      </c>
      <c r="AE152" s="32">
        <v>1E-3</v>
      </c>
      <c r="AF152" s="32">
        <v>1E-3</v>
      </c>
      <c r="AG152" s="414"/>
      <c r="AH152" s="32">
        <v>1E-3</v>
      </c>
      <c r="AI152" s="32">
        <v>1E-3</v>
      </c>
      <c r="AJ152" s="32">
        <v>1E-3</v>
      </c>
      <c r="AK152" s="32">
        <v>1E-3</v>
      </c>
      <c r="AL152" s="414"/>
      <c r="AM152" s="32">
        <v>1E-3</v>
      </c>
      <c r="AN152" s="32">
        <v>1E-3</v>
      </c>
      <c r="AO152" s="32">
        <v>1E-3</v>
      </c>
      <c r="AP152" s="32">
        <v>1E-3</v>
      </c>
      <c r="AQ152" s="414"/>
      <c r="AR152" s="32">
        <v>1E-3</v>
      </c>
      <c r="AS152" s="32">
        <v>1E-3</v>
      </c>
      <c r="AT152" s="32">
        <v>1E-3</v>
      </c>
      <c r="AU152" s="32">
        <v>1E-3</v>
      </c>
      <c r="AV152" s="414"/>
    </row>
    <row r="153" spans="2:48" outlineLevel="1" x14ac:dyDescent="0.3">
      <c r="B153" s="542" t="s">
        <v>134</v>
      </c>
      <c r="C153" s="543"/>
      <c r="D153" s="231"/>
      <c r="E153" s="134">
        <v>69.922678056926543</v>
      </c>
      <c r="F153" s="134">
        <v>83.13076202744692</v>
      </c>
      <c r="G153" s="134">
        <v>92.52</v>
      </c>
      <c r="H153" s="232"/>
      <c r="I153" s="134">
        <v>85.23</v>
      </c>
      <c r="J153" s="134">
        <v>78.08</v>
      </c>
      <c r="K153" s="134">
        <v>0</v>
      </c>
      <c r="L153" s="134">
        <v>0</v>
      </c>
      <c r="M153" s="232"/>
      <c r="N153" s="134">
        <v>0</v>
      </c>
      <c r="O153" s="134">
        <v>0</v>
      </c>
      <c r="P153" s="134">
        <v>0</v>
      </c>
      <c r="Q153" s="134">
        <v>0</v>
      </c>
      <c r="R153" s="232"/>
      <c r="S153" s="134">
        <v>113.12</v>
      </c>
      <c r="T153" s="134">
        <v>94.51</v>
      </c>
      <c r="U153" s="134">
        <v>0</v>
      </c>
      <c r="V153" s="134">
        <f>+U153</f>
        <v>0</v>
      </c>
      <c r="W153" s="241"/>
      <c r="X153" s="415">
        <v>0</v>
      </c>
      <c r="Y153" s="415">
        <v>0</v>
      </c>
      <c r="Z153" s="415">
        <v>0</v>
      </c>
      <c r="AA153" s="415">
        <v>0</v>
      </c>
      <c r="AB153" s="416"/>
      <c r="AC153" s="440">
        <f>AG35/2%</f>
        <v>112.69125000000003</v>
      </c>
      <c r="AD153" s="415">
        <v>112.69125000000003</v>
      </c>
      <c r="AE153" s="415">
        <v>112.69125000000003</v>
      </c>
      <c r="AF153" s="415">
        <v>112.69125000000003</v>
      </c>
      <c r="AG153" s="417"/>
      <c r="AH153" s="440">
        <f>AL35/2%</f>
        <v>118.3258125</v>
      </c>
      <c r="AI153" s="415">
        <v>118.3258125</v>
      </c>
      <c r="AJ153" s="415">
        <v>118.3258125</v>
      </c>
      <c r="AK153" s="415">
        <v>118.3258125</v>
      </c>
      <c r="AL153" s="417"/>
      <c r="AM153" s="440">
        <f>AQ35/2%</f>
        <v>124.24210312500003</v>
      </c>
      <c r="AN153" s="415">
        <v>124.24210312500003</v>
      </c>
      <c r="AO153" s="415">
        <v>124.24210312500003</v>
      </c>
      <c r="AP153" s="415">
        <v>124.24210312500003</v>
      </c>
      <c r="AQ153" s="416"/>
      <c r="AR153" s="415"/>
      <c r="AS153" s="415"/>
      <c r="AT153" s="415"/>
      <c r="AU153" s="415"/>
      <c r="AV153" s="416"/>
    </row>
    <row r="154" spans="2:48" outlineLevel="1" x14ac:dyDescent="0.3">
      <c r="B154" s="511" t="s">
        <v>135</v>
      </c>
      <c r="C154" s="512"/>
      <c r="D154" s="16"/>
      <c r="E154" s="95">
        <v>713.2</v>
      </c>
      <c r="F154" s="95">
        <f>954.3-713.2</f>
        <v>241.09999999999991</v>
      </c>
      <c r="G154" s="91">
        <v>2177.1942404399997</v>
      </c>
      <c r="H154" s="17">
        <f>+SUM(D154:G154)</f>
        <v>3131.4942404399999</v>
      </c>
      <c r="I154" s="91">
        <v>1107.9389472300002</v>
      </c>
      <c r="J154" s="91">
        <v>567.02921856000012</v>
      </c>
      <c r="K154" s="91">
        <v>0</v>
      </c>
      <c r="L154" s="91">
        <v>0</v>
      </c>
      <c r="M154" s="17">
        <f>+SUM(I154:L154)</f>
        <v>1674.9681657900003</v>
      </c>
      <c r="N154" s="91">
        <v>0</v>
      </c>
      <c r="O154" s="91">
        <v>0</v>
      </c>
      <c r="P154" s="91">
        <v>0</v>
      </c>
      <c r="Q154" s="91">
        <v>0</v>
      </c>
      <c r="R154" s="17">
        <f>+SUM(N154:Q154)</f>
        <v>0</v>
      </c>
      <c r="S154" s="91">
        <f>S155*S153</f>
        <v>3520.86</v>
      </c>
      <c r="T154" s="91">
        <f>T155*T153</f>
        <v>492.13842613000003</v>
      </c>
      <c r="U154" s="91">
        <v>0</v>
      </c>
      <c r="V154" s="91">
        <f>U154</f>
        <v>0</v>
      </c>
      <c r="W154" s="159">
        <f>+SUM(S154:V154)</f>
        <v>4012.9984261300001</v>
      </c>
      <c r="X154" s="391">
        <v>0</v>
      </c>
      <c r="Y154" s="391">
        <v>0</v>
      </c>
      <c r="Z154" s="391">
        <v>0</v>
      </c>
      <c r="AA154" s="391">
        <v>0</v>
      </c>
      <c r="AB154" s="418">
        <f>+SUM(X154:AA154)</f>
        <v>0</v>
      </c>
      <c r="AC154" s="391">
        <v>0</v>
      </c>
      <c r="AD154" s="391">
        <v>0</v>
      </c>
      <c r="AE154" s="391">
        <v>100</v>
      </c>
      <c r="AF154" s="391">
        <v>100</v>
      </c>
      <c r="AG154" s="418"/>
      <c r="AH154" s="391">
        <v>100</v>
      </c>
      <c r="AI154" s="391">
        <v>100</v>
      </c>
      <c r="AJ154" s="391">
        <v>5577.8585757341261</v>
      </c>
      <c r="AK154" s="391">
        <f>AJ154</f>
        <v>5577.8585757341261</v>
      </c>
      <c r="AL154" s="418">
        <f>+SUM(AH154:AK154)</f>
        <v>11355.717151468252</v>
      </c>
      <c r="AM154" s="391"/>
      <c r="AN154" s="391"/>
      <c r="AO154" s="391"/>
      <c r="AP154" s="391"/>
      <c r="AQ154" s="418">
        <f>+SUM(AM154:AP154)</f>
        <v>0</v>
      </c>
      <c r="AR154" s="391"/>
      <c r="AS154" s="391"/>
      <c r="AT154" s="391"/>
      <c r="AU154" s="391"/>
      <c r="AV154" s="418">
        <f>+SUM(AR154:AU154)</f>
        <v>0</v>
      </c>
    </row>
    <row r="155" spans="2:48" outlineLevel="1" x14ac:dyDescent="0.3">
      <c r="B155" s="511" t="s">
        <v>204</v>
      </c>
      <c r="C155" s="512"/>
      <c r="D155" s="129"/>
      <c r="E155" s="129">
        <f>IF((E154)&gt;0,(E154/E153),0)</f>
        <v>10.199838161509755</v>
      </c>
      <c r="F155" s="132">
        <f>IF((F154)&gt;0,(F154/F153),0)</f>
        <v>2.9002500893760241</v>
      </c>
      <c r="G155" s="132">
        <f>IF((G154)&gt;0,(G154/G153),0)</f>
        <v>23.532146999999998</v>
      </c>
      <c r="H155" s="46">
        <f>+SUM(D155:G155)</f>
        <v>36.632235250885778</v>
      </c>
      <c r="I155" s="129">
        <f>IF((I154)&gt;0,(I154/I153),0)</f>
        <v>12.999401000000001</v>
      </c>
      <c r="J155" s="132">
        <f>IF((J154)&gt;0,(J154/J153),0)</f>
        <v>7.262157000000002</v>
      </c>
      <c r="K155" s="129">
        <f>IF((K154)&gt;0,(K154/K153),0)</f>
        <v>0</v>
      </c>
      <c r="L155" s="129">
        <f>IF((L154)&gt;0,(L154/L153),0)</f>
        <v>0</v>
      </c>
      <c r="M155" s="46">
        <f>+SUM(I155:L155)</f>
        <v>20.261558000000001</v>
      </c>
      <c r="N155" s="129">
        <f>IF((N154)&gt;0,(N154/N153),0)</f>
        <v>0</v>
      </c>
      <c r="O155" s="129">
        <f>IF((O154)&gt;0,(O154/O153),0)</f>
        <v>0</v>
      </c>
      <c r="P155" s="129">
        <f>IF((P154)&gt;0,(P154/P153),0)</f>
        <v>0</v>
      </c>
      <c r="Q155" s="129">
        <f>IF((Q154)&gt;0,(Q154/Q153),0)</f>
        <v>0</v>
      </c>
      <c r="R155" s="46">
        <f>+SUM(N155:Q155)</f>
        <v>0</v>
      </c>
      <c r="S155" s="129">
        <v>31.125</v>
      </c>
      <c r="T155" s="132">
        <v>5.2072630000000002</v>
      </c>
      <c r="U155" s="132">
        <f>IF((U154)&gt;0,(U154/U153),0)</f>
        <v>0</v>
      </c>
      <c r="V155" s="129">
        <f>IF((V154)&gt;0,(V154/V153),0)</f>
        <v>0</v>
      </c>
      <c r="W155" s="46">
        <f>+SUM(S155:V155)</f>
        <v>36.332262999999998</v>
      </c>
      <c r="X155" s="129">
        <f>IF((X154)&gt;0,(X154/X153),0)</f>
        <v>0</v>
      </c>
      <c r="Y155" s="129">
        <f>IF((Y154)&gt;0,(Y154/Y153),0)</f>
        <v>0</v>
      </c>
      <c r="Z155" s="129">
        <f>IF((Z154)&gt;0,(Z154/Z153),0)</f>
        <v>0</v>
      </c>
      <c r="AA155" s="129">
        <f>IF((AA154)&gt;0,(AA154/AA153),0)</f>
        <v>0</v>
      </c>
      <c r="AB155" s="160"/>
      <c r="AC155" s="129">
        <f>IF((AC154)&gt;0,(AC154/AC153),0)</f>
        <v>0</v>
      </c>
      <c r="AD155" s="129">
        <f>IF((AD154)&gt;0,(AD154/AD153),0)</f>
        <v>0</v>
      </c>
      <c r="AE155" s="129">
        <f>IF((AE154)&gt;0,(AE154/AE153),0)</f>
        <v>0.88738034230696683</v>
      </c>
      <c r="AF155" s="129">
        <f>IF((AF154)&gt;0,(AF154/AF153),0)</f>
        <v>0.88738034230696683</v>
      </c>
      <c r="AG155" s="160"/>
      <c r="AH155" s="129">
        <f>IF((AH154)&gt;0,(AH154/AH153),0)</f>
        <v>0.84512413553044485</v>
      </c>
      <c r="AI155" s="129">
        <f>IF((AI154)&gt;0,(AI154/AI153),0)</f>
        <v>0.84512413553044485</v>
      </c>
      <c r="AJ155" s="129">
        <f>IF((AJ154)&gt;0,(AJ154/AJ153),0)</f>
        <v>47.139829069283813</v>
      </c>
      <c r="AK155" s="129">
        <f>IF((AK154)&gt;0,(AK154/AK153),0)</f>
        <v>47.139829069283813</v>
      </c>
      <c r="AL155" s="160"/>
      <c r="AM155" s="129">
        <f>IF((AM154)&gt;0,(AM154/AM153),0)</f>
        <v>0</v>
      </c>
      <c r="AN155" s="129">
        <f>IF((AN154)&gt;0,(AN154/AN153),0)</f>
        <v>0</v>
      </c>
      <c r="AO155" s="129">
        <f>IF((AO154)&gt;0,(AO154/AO153),0)</f>
        <v>0</v>
      </c>
      <c r="AP155" s="129">
        <f>IF((AP154)&gt;0,(AP154/AP153),0)</f>
        <v>0</v>
      </c>
      <c r="AQ155" s="160"/>
      <c r="AR155" s="129">
        <f>IF((AR154)&gt;0,(AR154/AR153),0)</f>
        <v>0</v>
      </c>
      <c r="AS155" s="129">
        <f>IF((AS154)&gt;0,(AS154/AS153),0)</f>
        <v>0</v>
      </c>
      <c r="AT155" s="129">
        <f>IF((AT154)&gt;0,(AT154/AT153),0)</f>
        <v>0</v>
      </c>
      <c r="AU155" s="129">
        <f>IF((AU154)&gt;0,(AU154/AU153),0)</f>
        <v>0</v>
      </c>
      <c r="AV155" s="160"/>
    </row>
    <row r="156" spans="2:48" outlineLevel="1" x14ac:dyDescent="0.3">
      <c r="B156" s="544" t="s">
        <v>128</v>
      </c>
      <c r="C156" s="545"/>
      <c r="D156" s="133">
        <v>55.58</v>
      </c>
      <c r="E156" s="134">
        <v>65.03</v>
      </c>
      <c r="F156" s="86"/>
      <c r="G156" s="86"/>
      <c r="H156" s="70"/>
      <c r="I156" s="86"/>
      <c r="J156" s="86"/>
      <c r="K156" s="86"/>
      <c r="L156" s="86"/>
      <c r="M156" s="70"/>
      <c r="N156" s="86"/>
      <c r="O156" s="86"/>
      <c r="P156" s="86"/>
      <c r="Q156" s="86"/>
      <c r="R156" s="70"/>
      <c r="S156" s="86"/>
      <c r="T156" s="86"/>
      <c r="U156" s="86"/>
      <c r="V156" s="86"/>
      <c r="W156" s="70"/>
      <c r="X156" s="377"/>
      <c r="Y156" s="377"/>
      <c r="Z156" s="377"/>
      <c r="AA156" s="377"/>
      <c r="AB156" s="119"/>
      <c r="AC156" s="377"/>
      <c r="AD156" s="377"/>
      <c r="AE156" s="377"/>
      <c r="AF156" s="377"/>
      <c r="AG156" s="119"/>
      <c r="AH156" s="377"/>
      <c r="AI156" s="377"/>
      <c r="AJ156" s="377"/>
      <c r="AK156" s="377"/>
      <c r="AL156" s="119"/>
      <c r="AM156" s="377"/>
      <c r="AN156" s="377"/>
      <c r="AO156" s="377"/>
      <c r="AP156" s="377"/>
      <c r="AQ156" s="119"/>
      <c r="AR156" s="377"/>
      <c r="AS156" s="377"/>
      <c r="AT156" s="377"/>
      <c r="AU156" s="377"/>
      <c r="AV156" s="119"/>
    </row>
    <row r="157" spans="2:48" outlineLevel="1" x14ac:dyDescent="0.3">
      <c r="B157" s="546" t="s">
        <v>129</v>
      </c>
      <c r="C157" s="547"/>
      <c r="D157" s="135">
        <f>71.968334*55.58</f>
        <v>4000.0000037199998</v>
      </c>
      <c r="E157" s="136">
        <v>318.64700000000005</v>
      </c>
      <c r="F157" s="129"/>
      <c r="G157" s="129"/>
      <c r="H157" s="46"/>
      <c r="I157" s="129"/>
      <c r="J157" s="129"/>
      <c r="K157" s="129"/>
      <c r="L157" s="129"/>
      <c r="M157" s="46"/>
      <c r="N157" s="129"/>
      <c r="O157" s="129"/>
      <c r="P157" s="129"/>
      <c r="Q157" s="129"/>
      <c r="R157" s="46"/>
      <c r="S157" s="129"/>
      <c r="T157" s="129"/>
      <c r="U157" s="132"/>
      <c r="V157" s="129"/>
      <c r="W157" s="127"/>
      <c r="X157" s="132"/>
      <c r="Y157" s="132"/>
      <c r="Z157" s="132"/>
      <c r="AA157" s="132"/>
      <c r="AB157" s="160"/>
      <c r="AC157" s="132"/>
      <c r="AD157" s="132"/>
      <c r="AE157" s="132"/>
      <c r="AF157" s="132"/>
      <c r="AG157" s="160"/>
      <c r="AH157" s="132"/>
      <c r="AI157" s="132"/>
      <c r="AJ157" s="132"/>
      <c r="AK157" s="132"/>
      <c r="AL157" s="160"/>
      <c r="AM157" s="132"/>
      <c r="AN157" s="132"/>
      <c r="AO157" s="132"/>
      <c r="AP157" s="132"/>
      <c r="AQ157" s="160"/>
      <c r="AR157" s="132"/>
      <c r="AS157" s="132"/>
      <c r="AT157" s="132"/>
      <c r="AU157" s="132"/>
      <c r="AV157" s="160"/>
    </row>
    <row r="158" spans="2:48" outlineLevel="1" x14ac:dyDescent="0.3">
      <c r="B158" s="548" t="s">
        <v>130</v>
      </c>
      <c r="C158" s="549"/>
      <c r="D158" s="137">
        <f>IF((D157)&gt;0,(D157/D156),0)</f>
        <v>71.968333999999999</v>
      </c>
      <c r="E158" s="130">
        <f>IF((E157)&gt;0,(E157/E156),0)</f>
        <v>4.9000000000000004</v>
      </c>
      <c r="F158" s="130"/>
      <c r="G158" s="130"/>
      <c r="H158" s="131"/>
      <c r="I158" s="130"/>
      <c r="J158" s="130"/>
      <c r="K158" s="130"/>
      <c r="L158" s="130"/>
      <c r="M158" s="131"/>
      <c r="N158" s="130"/>
      <c r="O158" s="130"/>
      <c r="P158" s="130"/>
      <c r="Q158" s="130"/>
      <c r="R158" s="131"/>
      <c r="S158" s="130"/>
      <c r="T158" s="130"/>
      <c r="U158" s="130"/>
      <c r="V158" s="130"/>
      <c r="W158" s="187"/>
      <c r="X158" s="378"/>
      <c r="Y158" s="378"/>
      <c r="Z158" s="378"/>
      <c r="AA158" s="378"/>
      <c r="AB158" s="379"/>
      <c r="AC158" s="378"/>
      <c r="AD158" s="378"/>
      <c r="AE158" s="378"/>
      <c r="AF158" s="378"/>
      <c r="AG158" s="379"/>
      <c r="AH158" s="378"/>
      <c r="AI158" s="378"/>
      <c r="AJ158" s="378"/>
      <c r="AK158" s="378"/>
      <c r="AL158" s="379"/>
      <c r="AM158" s="378"/>
      <c r="AN158" s="378"/>
      <c r="AO158" s="378"/>
      <c r="AP158" s="378"/>
      <c r="AQ158" s="379"/>
      <c r="AR158" s="378"/>
      <c r="AS158" s="378"/>
      <c r="AT158" s="378"/>
      <c r="AU158" s="378"/>
      <c r="AV158" s="379"/>
    </row>
    <row r="159" spans="2:48" outlineLevel="1" x14ac:dyDescent="0.3">
      <c r="B159" s="188" t="s">
        <v>131</v>
      </c>
      <c r="C159" s="189"/>
      <c r="D159" s="129"/>
      <c r="E159" s="33">
        <v>71.959999999999994</v>
      </c>
      <c r="F159" s="33">
        <v>76.5</v>
      </c>
      <c r="G159" s="129"/>
      <c r="H159" s="46"/>
      <c r="I159" s="129"/>
      <c r="J159" s="129"/>
      <c r="K159" s="129"/>
      <c r="L159" s="129"/>
      <c r="M159" s="46"/>
      <c r="N159" s="129"/>
      <c r="O159" s="129"/>
      <c r="P159" s="129"/>
      <c r="Q159" s="129"/>
      <c r="R159" s="46"/>
      <c r="S159" s="129"/>
      <c r="T159" s="129"/>
      <c r="U159" s="129"/>
      <c r="V159" s="129"/>
      <c r="W159" s="46"/>
      <c r="X159" s="132"/>
      <c r="Y159" s="132"/>
      <c r="Z159" s="132"/>
      <c r="AA159" s="132"/>
      <c r="AB159" s="160"/>
      <c r="AC159" s="132"/>
      <c r="AD159" s="132"/>
      <c r="AE159" s="132"/>
      <c r="AF159" s="132"/>
      <c r="AG159" s="160"/>
      <c r="AH159" s="132"/>
      <c r="AI159" s="132"/>
      <c r="AJ159" s="132"/>
      <c r="AK159" s="132"/>
      <c r="AL159" s="160"/>
      <c r="AM159" s="132"/>
      <c r="AN159" s="132"/>
      <c r="AO159" s="132"/>
      <c r="AP159" s="132"/>
      <c r="AQ159" s="160"/>
      <c r="AR159" s="132"/>
      <c r="AS159" s="132"/>
      <c r="AT159" s="132"/>
      <c r="AU159" s="132"/>
      <c r="AV159" s="160"/>
    </row>
    <row r="160" spans="2:48" outlineLevel="1" x14ac:dyDescent="0.3">
      <c r="B160" s="188" t="s">
        <v>132</v>
      </c>
      <c r="C160" s="189"/>
      <c r="D160" s="129"/>
      <c r="E160" s="16">
        <v>1597.5119999999997</v>
      </c>
      <c r="F160" s="16">
        <v>298.35000000000002</v>
      </c>
      <c r="G160" s="129"/>
      <c r="H160" s="46"/>
      <c r="I160" s="129"/>
      <c r="J160" s="129"/>
      <c r="K160" s="129"/>
      <c r="L160" s="129"/>
      <c r="M160" s="46"/>
      <c r="N160" s="169"/>
      <c r="O160" s="129"/>
      <c r="P160" s="129"/>
      <c r="Q160" s="129"/>
      <c r="R160" s="46"/>
      <c r="S160" s="129"/>
      <c r="T160" s="129"/>
      <c r="U160" s="129"/>
      <c r="V160" s="129"/>
      <c r="W160" s="46"/>
      <c r="X160" s="132"/>
      <c r="Y160" s="132"/>
      <c r="Z160" s="132"/>
      <c r="AA160" s="132"/>
      <c r="AB160" s="160"/>
      <c r="AC160" s="132"/>
      <c r="AD160" s="132"/>
      <c r="AE160" s="132"/>
      <c r="AF160" s="132"/>
      <c r="AG160" s="160"/>
      <c r="AH160" s="132"/>
      <c r="AI160" s="132"/>
      <c r="AJ160" s="132"/>
      <c r="AK160" s="132"/>
      <c r="AL160" s="160"/>
      <c r="AM160" s="132"/>
      <c r="AN160" s="132"/>
      <c r="AO160" s="132"/>
      <c r="AP160" s="132"/>
      <c r="AQ160" s="160"/>
      <c r="AR160" s="132"/>
      <c r="AS160" s="132"/>
      <c r="AT160" s="132"/>
      <c r="AU160" s="132"/>
      <c r="AV160" s="160"/>
    </row>
    <row r="161" spans="2:48 16384:16384" outlineLevel="1" x14ac:dyDescent="0.3">
      <c r="B161" s="188" t="s">
        <v>133</v>
      </c>
      <c r="C161" s="189"/>
      <c r="D161" s="129"/>
      <c r="E161" s="129">
        <f>IF((E160)&gt;0,(E160/E159),0)</f>
        <v>22.2</v>
      </c>
      <c r="F161" s="129">
        <f>IF((F160)&gt;0,(F160/F159),0)</f>
        <v>3.9000000000000004</v>
      </c>
      <c r="G161" s="129"/>
      <c r="H161" s="46"/>
      <c r="I161" s="129"/>
      <c r="J161" s="129"/>
      <c r="K161" s="129"/>
      <c r="L161" s="129"/>
      <c r="M161" s="46"/>
      <c r="N161" s="129"/>
      <c r="O161" s="129"/>
      <c r="P161" s="129"/>
      <c r="Q161" s="129"/>
      <c r="R161" s="46"/>
      <c r="S161" s="129"/>
      <c r="T161" s="129"/>
      <c r="U161" s="129"/>
      <c r="V161" s="129"/>
      <c r="W161" s="46"/>
      <c r="X161" s="132"/>
      <c r="Y161" s="132"/>
      <c r="Z161" s="132"/>
      <c r="AA161" s="132"/>
      <c r="AB161" s="160"/>
      <c r="AC161" s="132"/>
      <c r="AD161" s="132"/>
      <c r="AE161" s="132"/>
      <c r="AF161" s="132"/>
      <c r="AG161" s="160"/>
      <c r="AH161" s="132"/>
      <c r="AI161" s="132"/>
      <c r="AJ161" s="132"/>
      <c r="AK161" s="132"/>
      <c r="AL161" s="160"/>
      <c r="AM161" s="132"/>
      <c r="AN161" s="132"/>
      <c r="AO161" s="132"/>
      <c r="AP161" s="132"/>
      <c r="AQ161" s="160"/>
      <c r="AR161" s="132"/>
      <c r="AS161" s="132"/>
      <c r="AT161" s="132"/>
      <c r="AU161" s="132"/>
      <c r="AV161" s="160"/>
    </row>
    <row r="162" spans="2:48 16384:16384" ht="17.399999999999999" x14ac:dyDescent="0.45">
      <c r="B162" s="514" t="s">
        <v>12</v>
      </c>
      <c r="C162" s="515"/>
      <c r="D162" s="14" t="s">
        <v>19</v>
      </c>
      <c r="E162" s="14" t="s">
        <v>78</v>
      </c>
      <c r="F162" s="14" t="s">
        <v>82</v>
      </c>
      <c r="G162" s="14" t="s">
        <v>92</v>
      </c>
      <c r="H162" s="37" t="s">
        <v>93</v>
      </c>
      <c r="I162" s="14" t="s">
        <v>94</v>
      </c>
      <c r="J162" s="14" t="s">
        <v>95</v>
      </c>
      <c r="K162" s="14" t="s">
        <v>96</v>
      </c>
      <c r="L162" s="14" t="s">
        <v>139</v>
      </c>
      <c r="M162" s="37" t="s">
        <v>140</v>
      </c>
      <c r="N162" s="14" t="s">
        <v>146</v>
      </c>
      <c r="O162" s="14" t="s">
        <v>154</v>
      </c>
      <c r="P162" s="14" t="s">
        <v>156</v>
      </c>
      <c r="Q162" s="14" t="s">
        <v>169</v>
      </c>
      <c r="R162" s="37" t="s">
        <v>170</v>
      </c>
      <c r="S162" s="14" t="s">
        <v>185</v>
      </c>
      <c r="T162" s="14" t="s">
        <v>186</v>
      </c>
      <c r="U162" s="14" t="s">
        <v>201</v>
      </c>
      <c r="V162" s="14" t="s">
        <v>324</v>
      </c>
      <c r="W162" s="37" t="s">
        <v>325</v>
      </c>
      <c r="X162" s="12" t="s">
        <v>24</v>
      </c>
      <c r="Y162" s="12" t="s">
        <v>25</v>
      </c>
      <c r="Z162" s="12" t="s">
        <v>26</v>
      </c>
      <c r="AA162" s="12" t="s">
        <v>27</v>
      </c>
      <c r="AB162" s="39" t="s">
        <v>28</v>
      </c>
      <c r="AC162" s="12" t="s">
        <v>87</v>
      </c>
      <c r="AD162" s="12" t="s">
        <v>88</v>
      </c>
      <c r="AE162" s="12" t="s">
        <v>89</v>
      </c>
      <c r="AF162" s="12" t="s">
        <v>90</v>
      </c>
      <c r="AG162" s="39" t="s">
        <v>91</v>
      </c>
      <c r="AH162" s="12" t="s">
        <v>106</v>
      </c>
      <c r="AI162" s="12" t="s">
        <v>107</v>
      </c>
      <c r="AJ162" s="12" t="s">
        <v>108</v>
      </c>
      <c r="AK162" s="12" t="s">
        <v>109</v>
      </c>
      <c r="AL162" s="39" t="s">
        <v>110</v>
      </c>
      <c r="AM162" s="12" t="s">
        <v>161</v>
      </c>
      <c r="AN162" s="12" t="s">
        <v>162</v>
      </c>
      <c r="AO162" s="12" t="s">
        <v>163</v>
      </c>
      <c r="AP162" s="12" t="s">
        <v>164</v>
      </c>
      <c r="AQ162" s="39" t="s">
        <v>165</v>
      </c>
      <c r="AR162" s="12" t="s">
        <v>192</v>
      </c>
      <c r="AS162" s="12" t="s">
        <v>193</v>
      </c>
      <c r="AT162" s="12" t="s">
        <v>194</v>
      </c>
      <c r="AU162" s="12" t="s">
        <v>195</v>
      </c>
      <c r="AV162" s="39" t="s">
        <v>196</v>
      </c>
    </row>
    <row r="163" spans="2:48 16384:16384" outlineLevel="1" x14ac:dyDescent="0.3">
      <c r="B163" s="511" t="s">
        <v>62</v>
      </c>
      <c r="C163" s="512"/>
      <c r="D163" s="92">
        <f>-(22+5.3+0.6+20.9)</f>
        <v>-48.8</v>
      </c>
      <c r="E163" s="92">
        <v>-45.1</v>
      </c>
      <c r="F163" s="92">
        <v>-39.6</v>
      </c>
      <c r="G163" s="92">
        <f>-146.2+133.5</f>
        <v>-12.699999999999989</v>
      </c>
      <c r="H163" s="149">
        <f>SUM(D163:G163)</f>
        <v>-146.19999999999999</v>
      </c>
      <c r="I163" s="92">
        <v>-7.1</v>
      </c>
      <c r="J163" s="92">
        <v>0.1</v>
      </c>
      <c r="K163" s="95">
        <f>-K14</f>
        <v>-78.099999999999994</v>
      </c>
      <c r="L163" s="91">
        <v>-195.5</v>
      </c>
      <c r="M163" s="159"/>
      <c r="N163" s="91">
        <v>-72.2</v>
      </c>
      <c r="O163" s="91">
        <v>-23</v>
      </c>
      <c r="P163" s="91">
        <v>-19.8</v>
      </c>
      <c r="Q163" s="91">
        <v>-55.5</v>
      </c>
      <c r="R163" s="17"/>
      <c r="S163" s="16">
        <v>7.5</v>
      </c>
      <c r="T163" s="16">
        <v>-4.4000000000000004</v>
      </c>
      <c r="U163" s="16">
        <v>-14</v>
      </c>
      <c r="V163" s="91">
        <v>-35.1</v>
      </c>
      <c r="W163" s="17"/>
      <c r="X163" s="391">
        <v>-50</v>
      </c>
      <c r="Y163" s="391">
        <v>0</v>
      </c>
      <c r="Z163" s="391">
        <v>0</v>
      </c>
      <c r="AA163" s="391">
        <v>0</v>
      </c>
      <c r="AB163" s="418"/>
      <c r="AC163" s="391"/>
      <c r="AD163" s="391"/>
      <c r="AE163" s="391"/>
      <c r="AF163" s="391"/>
      <c r="AG163" s="418"/>
      <c r="AH163" s="391"/>
      <c r="AI163" s="391"/>
      <c r="AJ163" s="391"/>
      <c r="AK163" s="391"/>
      <c r="AL163" s="418"/>
      <c r="AM163" s="391"/>
      <c r="AN163" s="391"/>
      <c r="AO163" s="391"/>
      <c r="AP163" s="391"/>
      <c r="AQ163" s="418"/>
      <c r="AR163" s="391"/>
      <c r="AS163" s="391"/>
      <c r="AT163" s="391"/>
      <c r="AU163" s="391"/>
      <c r="AV163" s="418"/>
    </row>
    <row r="164" spans="2:48 16384:16384" outlineLevel="1" x14ac:dyDescent="0.3">
      <c r="B164" s="188" t="s">
        <v>61</v>
      </c>
      <c r="C164" s="189"/>
      <c r="D164" s="92">
        <f>-(5.3+0.5)</f>
        <v>-5.8</v>
      </c>
      <c r="E164" s="92">
        <v>-4.3</v>
      </c>
      <c r="F164" s="92">
        <v>-2.2999999999999998</v>
      </c>
      <c r="G164" s="92">
        <v>-0.2</v>
      </c>
      <c r="H164" s="149">
        <f t="shared" ref="H164:H167" si="489">SUM(D164:G164)</f>
        <v>-12.599999999999998</v>
      </c>
      <c r="I164" s="92">
        <v>-5.6</v>
      </c>
      <c r="J164" s="92">
        <v>-6.8</v>
      </c>
      <c r="K164" s="95">
        <v>-35.04</v>
      </c>
      <c r="L164" s="91">
        <v>0</v>
      </c>
      <c r="M164" s="159"/>
      <c r="N164" s="91">
        <v>0</v>
      </c>
      <c r="O164" s="91">
        <v>0</v>
      </c>
      <c r="P164" s="91">
        <v>22.8</v>
      </c>
      <c r="Q164" s="91">
        <v>-0.1</v>
      </c>
      <c r="R164" s="17"/>
      <c r="S164" s="16"/>
      <c r="T164" s="16"/>
      <c r="U164" s="16"/>
      <c r="V164" s="91"/>
      <c r="W164" s="17"/>
      <c r="X164" s="391">
        <v>0</v>
      </c>
      <c r="Y164" s="391">
        <v>0</v>
      </c>
      <c r="Z164" s="391">
        <v>0</v>
      </c>
      <c r="AA164" s="391">
        <v>0</v>
      </c>
      <c r="AB164" s="418"/>
      <c r="AC164" s="391"/>
      <c r="AD164" s="391"/>
      <c r="AE164" s="391"/>
      <c r="AF164" s="391"/>
      <c r="AG164" s="418"/>
      <c r="AH164" s="391"/>
      <c r="AI164" s="391"/>
      <c r="AJ164" s="391"/>
      <c r="AK164" s="391"/>
      <c r="AL164" s="418"/>
      <c r="AM164" s="391"/>
      <c r="AN164" s="391"/>
      <c r="AO164" s="391"/>
      <c r="AP164" s="391"/>
      <c r="AQ164" s="418"/>
      <c r="AR164" s="391"/>
      <c r="AS164" s="391"/>
      <c r="AT164" s="391"/>
      <c r="AU164" s="391"/>
      <c r="AV164" s="418"/>
    </row>
    <row r="165" spans="2:48 16384:16384" outlineLevel="1" x14ac:dyDescent="0.3">
      <c r="B165" s="511" t="s">
        <v>126</v>
      </c>
      <c r="C165" s="512"/>
      <c r="D165" s="92">
        <f>-(60.6-0.3)</f>
        <v>-60.300000000000004</v>
      </c>
      <c r="E165" s="92">
        <v>-68.2</v>
      </c>
      <c r="F165" s="92">
        <v>-69</v>
      </c>
      <c r="G165" s="92">
        <f>-262+197.5</f>
        <v>-64.5</v>
      </c>
      <c r="H165" s="149">
        <f>SUM(D165:G165)</f>
        <v>-262</v>
      </c>
      <c r="I165" s="92">
        <v>-58.9</v>
      </c>
      <c r="J165" s="92">
        <v>-60.1</v>
      </c>
      <c r="K165" s="95">
        <v>-60.54</v>
      </c>
      <c r="L165" s="91">
        <v>-64</v>
      </c>
      <c r="M165" s="159"/>
      <c r="N165" s="91">
        <v>-62.7</v>
      </c>
      <c r="O165" s="91">
        <v>-65.2</v>
      </c>
      <c r="P165" s="91">
        <v>-54.7</v>
      </c>
      <c r="Q165" s="91">
        <v>-59.6</v>
      </c>
      <c r="R165" s="17"/>
      <c r="S165" s="16">
        <f>0.1-42.8</f>
        <v>-42.699999999999996</v>
      </c>
      <c r="T165" s="16">
        <v>-43.1</v>
      </c>
      <c r="U165" s="16">
        <v>-63.5</v>
      </c>
      <c r="V165" s="91">
        <v>-42</v>
      </c>
      <c r="W165" s="17"/>
      <c r="X165" s="391">
        <f>V165</f>
        <v>-42</v>
      </c>
      <c r="Y165" s="391">
        <f>X165</f>
        <v>-42</v>
      </c>
      <c r="Z165" s="391">
        <f>Y165</f>
        <v>-42</v>
      </c>
      <c r="AA165" s="391">
        <f>Z165</f>
        <v>-42</v>
      </c>
      <c r="AB165" s="418"/>
      <c r="AC165" s="391">
        <f>AA165</f>
        <v>-42</v>
      </c>
      <c r="AD165" s="391">
        <f>AC165</f>
        <v>-42</v>
      </c>
      <c r="AE165" s="391">
        <f>AD165</f>
        <v>-42</v>
      </c>
      <c r="AF165" s="391">
        <f>AE165</f>
        <v>-42</v>
      </c>
      <c r="AG165" s="418"/>
      <c r="AH165" s="391">
        <f>AF165</f>
        <v>-42</v>
      </c>
      <c r="AI165" s="391">
        <f>AH165</f>
        <v>-42</v>
      </c>
      <c r="AJ165" s="391">
        <f>AI165</f>
        <v>-42</v>
      </c>
      <c r="AK165" s="391">
        <f>AJ165</f>
        <v>-42</v>
      </c>
      <c r="AL165" s="418"/>
      <c r="AM165" s="391">
        <f>AK165</f>
        <v>-42</v>
      </c>
      <c r="AN165" s="391">
        <f>AM165</f>
        <v>-42</v>
      </c>
      <c r="AO165" s="391">
        <f>AN165</f>
        <v>-42</v>
      </c>
      <c r="AP165" s="391">
        <f>AO165</f>
        <v>-42</v>
      </c>
      <c r="AQ165" s="418"/>
      <c r="AR165" s="391">
        <f>AP165</f>
        <v>-42</v>
      </c>
      <c r="AS165" s="391">
        <f>AR165</f>
        <v>-42</v>
      </c>
      <c r="AT165" s="391">
        <f>AS165</f>
        <v>-42</v>
      </c>
      <c r="AU165" s="391">
        <f>AT165</f>
        <v>-42</v>
      </c>
      <c r="AV165" s="418"/>
    </row>
    <row r="166" spans="2:48 16384:16384" outlineLevel="1" x14ac:dyDescent="0.3">
      <c r="B166" s="188" t="s">
        <v>63</v>
      </c>
      <c r="C166" s="189"/>
      <c r="D166" s="92">
        <v>-23.1</v>
      </c>
      <c r="E166" s="92">
        <v>-23.8</v>
      </c>
      <c r="F166" s="92">
        <v>-14.4</v>
      </c>
      <c r="G166" s="92">
        <v>0</v>
      </c>
      <c r="H166" s="149">
        <f t="shared" si="489"/>
        <v>-61.300000000000004</v>
      </c>
      <c r="I166" s="92"/>
      <c r="J166" s="92"/>
      <c r="K166" s="91"/>
      <c r="L166" s="91"/>
      <c r="M166" s="159"/>
      <c r="N166" s="91"/>
      <c r="O166" s="91"/>
      <c r="P166" s="91"/>
      <c r="Q166" s="91"/>
      <c r="R166" s="17"/>
      <c r="S166" s="16"/>
      <c r="T166" s="16"/>
      <c r="U166" s="16"/>
      <c r="V166" s="91"/>
      <c r="W166" s="17"/>
      <c r="X166" s="391">
        <v>0</v>
      </c>
      <c r="Y166" s="391">
        <v>0</v>
      </c>
      <c r="Z166" s="391">
        <v>0</v>
      </c>
      <c r="AA166" s="391">
        <v>0</v>
      </c>
      <c r="AB166" s="418"/>
      <c r="AC166" s="391"/>
      <c r="AD166" s="391"/>
      <c r="AE166" s="391"/>
      <c r="AF166" s="391"/>
      <c r="AG166" s="418"/>
      <c r="AH166" s="391"/>
      <c r="AI166" s="391"/>
      <c r="AJ166" s="391"/>
      <c r="AK166" s="391"/>
      <c r="AL166" s="418"/>
      <c r="AM166" s="391"/>
      <c r="AN166" s="391"/>
      <c r="AO166" s="391"/>
      <c r="AP166" s="391"/>
      <c r="AQ166" s="418"/>
      <c r="AR166" s="391"/>
      <c r="AS166" s="391"/>
      <c r="AT166" s="391"/>
      <c r="AU166" s="391"/>
      <c r="AV166" s="418"/>
    </row>
    <row r="167" spans="2:48 16384:16384" ht="16.2" outlineLevel="1" x14ac:dyDescent="0.45">
      <c r="B167" s="188" t="s">
        <v>77</v>
      </c>
      <c r="C167" s="189"/>
      <c r="D167" s="128">
        <v>0</v>
      </c>
      <c r="E167" s="128">
        <v>0</v>
      </c>
      <c r="F167" s="128">
        <v>0</v>
      </c>
      <c r="G167" s="128">
        <v>0</v>
      </c>
      <c r="H167" s="150">
        <f t="shared" si="489"/>
        <v>0</v>
      </c>
      <c r="I167" s="128">
        <v>0</v>
      </c>
      <c r="J167" s="128">
        <v>0</v>
      </c>
      <c r="K167" s="102">
        <v>0</v>
      </c>
      <c r="L167" s="102">
        <v>0</v>
      </c>
      <c r="M167" s="159"/>
      <c r="N167" s="102">
        <v>0</v>
      </c>
      <c r="O167" s="102">
        <v>0</v>
      </c>
      <c r="P167" s="102">
        <v>0</v>
      </c>
      <c r="Q167" s="102">
        <v>0</v>
      </c>
      <c r="R167" s="17"/>
      <c r="S167" s="102">
        <v>0</v>
      </c>
      <c r="T167" s="102">
        <v>0</v>
      </c>
      <c r="U167" s="102">
        <v>0</v>
      </c>
      <c r="V167" s="102">
        <v>0</v>
      </c>
      <c r="W167" s="17"/>
      <c r="X167" s="419">
        <v>32</v>
      </c>
      <c r="Y167" s="419">
        <f>X167</f>
        <v>32</v>
      </c>
      <c r="Z167" s="419">
        <f>Y167</f>
        <v>32</v>
      </c>
      <c r="AA167" s="419">
        <f>Z167</f>
        <v>32</v>
      </c>
      <c r="AB167" s="418"/>
      <c r="AC167" s="419">
        <f>AA167</f>
        <v>32</v>
      </c>
      <c r="AD167" s="419"/>
      <c r="AE167" s="419"/>
      <c r="AF167" s="419"/>
      <c r="AG167" s="418"/>
      <c r="AH167" s="419"/>
      <c r="AI167" s="419"/>
      <c r="AJ167" s="419"/>
      <c r="AK167" s="419"/>
      <c r="AL167" s="418"/>
      <c r="AM167" s="419"/>
      <c r="AN167" s="419"/>
      <c r="AO167" s="419"/>
      <c r="AP167" s="419"/>
      <c r="AQ167" s="418"/>
      <c r="AR167" s="419"/>
      <c r="AS167" s="419"/>
      <c r="AT167" s="419"/>
      <c r="AU167" s="419"/>
      <c r="AV167" s="418"/>
    </row>
    <row r="168" spans="2:48 16384:16384" s="8" customFormat="1" outlineLevel="1" x14ac:dyDescent="0.3">
      <c r="B168" s="193" t="s">
        <v>64</v>
      </c>
      <c r="C168" s="190"/>
      <c r="D168" s="93">
        <f t="shared" ref="D168:L168" si="490">SUM(D163:D167)</f>
        <v>-138</v>
      </c>
      <c r="E168" s="93">
        <f t="shared" si="490"/>
        <v>-141.4</v>
      </c>
      <c r="F168" s="93">
        <f t="shared" si="490"/>
        <v>-125.30000000000001</v>
      </c>
      <c r="G168" s="93">
        <f t="shared" si="490"/>
        <v>-77.399999999999991</v>
      </c>
      <c r="H168" s="161">
        <f t="shared" si="490"/>
        <v>-482.09999999999997</v>
      </c>
      <c r="I168" s="93">
        <f t="shared" si="490"/>
        <v>-71.599999999999994</v>
      </c>
      <c r="J168" s="93">
        <f t="shared" si="490"/>
        <v>-66.8</v>
      </c>
      <c r="K168" s="93">
        <f t="shared" si="490"/>
        <v>-173.67999999999998</v>
      </c>
      <c r="L168" s="93">
        <f t="shared" si="490"/>
        <v>-259.5</v>
      </c>
      <c r="M168" s="140"/>
      <c r="N168" s="93">
        <f>SUM(N163:N167)</f>
        <v>-134.9</v>
      </c>
      <c r="O168" s="93">
        <f>SUM(O163:O167)</f>
        <v>-88.2</v>
      </c>
      <c r="P168" s="93">
        <f>SUM(P163:P167)</f>
        <v>-51.7</v>
      </c>
      <c r="Q168" s="93">
        <f>SUM(Q163:Q167)</f>
        <v>-115.2</v>
      </c>
      <c r="R168" s="22"/>
      <c r="S168" s="93">
        <f>SUM(S163:S167)</f>
        <v>-35.199999999999996</v>
      </c>
      <c r="T168" s="47">
        <f>SUM(T163:T167)</f>
        <v>-47.5</v>
      </c>
      <c r="U168" s="47">
        <f>SUM(U163:U167)</f>
        <v>-77.5</v>
      </c>
      <c r="V168" s="47">
        <f>SUM(V163:V167)</f>
        <v>-77.099999999999994</v>
      </c>
      <c r="W168" s="22"/>
      <c r="X168" s="93">
        <f t="shared" ref="X168:AV168" si="491">SUM(X163:X167)</f>
        <v>-60</v>
      </c>
      <c r="Y168" s="93">
        <f t="shared" si="491"/>
        <v>-10</v>
      </c>
      <c r="Z168" s="93">
        <f t="shared" si="491"/>
        <v>-10</v>
      </c>
      <c r="AA168" s="93">
        <f t="shared" si="491"/>
        <v>-10</v>
      </c>
      <c r="AB168" s="140">
        <f t="shared" si="491"/>
        <v>0</v>
      </c>
      <c r="AC168" s="93">
        <f t="shared" si="491"/>
        <v>-10</v>
      </c>
      <c r="AD168" s="93">
        <f t="shared" si="491"/>
        <v>-42</v>
      </c>
      <c r="AE168" s="93">
        <f t="shared" si="491"/>
        <v>-42</v>
      </c>
      <c r="AF168" s="93">
        <f t="shared" si="491"/>
        <v>-42</v>
      </c>
      <c r="AG168" s="140">
        <f t="shared" si="491"/>
        <v>0</v>
      </c>
      <c r="AH168" s="93">
        <f t="shared" si="491"/>
        <v>-42</v>
      </c>
      <c r="AI168" s="93">
        <f t="shared" si="491"/>
        <v>-42</v>
      </c>
      <c r="AJ168" s="93">
        <f t="shared" si="491"/>
        <v>-42</v>
      </c>
      <c r="AK168" s="93">
        <f t="shared" si="491"/>
        <v>-42</v>
      </c>
      <c r="AL168" s="140">
        <f t="shared" si="491"/>
        <v>0</v>
      </c>
      <c r="AM168" s="93">
        <f t="shared" si="491"/>
        <v>-42</v>
      </c>
      <c r="AN168" s="93">
        <f t="shared" si="491"/>
        <v>-42</v>
      </c>
      <c r="AO168" s="93">
        <f t="shared" si="491"/>
        <v>-42</v>
      </c>
      <c r="AP168" s="93">
        <f t="shared" si="491"/>
        <v>-42</v>
      </c>
      <c r="AQ168" s="140">
        <f t="shared" si="491"/>
        <v>0</v>
      </c>
      <c r="AR168" s="93">
        <f t="shared" si="491"/>
        <v>-42</v>
      </c>
      <c r="AS168" s="93">
        <f t="shared" si="491"/>
        <v>-42</v>
      </c>
      <c r="AT168" s="93">
        <f t="shared" si="491"/>
        <v>-42</v>
      </c>
      <c r="AU168" s="93">
        <f t="shared" si="491"/>
        <v>-42</v>
      </c>
      <c r="AV168" s="140">
        <f t="shared" si="491"/>
        <v>0</v>
      </c>
    </row>
    <row r="169" spans="2:48 16384:16384" ht="16.2" outlineLevel="1" x14ac:dyDescent="0.45">
      <c r="B169" s="188" t="s">
        <v>152</v>
      </c>
      <c r="C169" s="189"/>
      <c r="D169" s="94">
        <v>0</v>
      </c>
      <c r="E169" s="94">
        <v>0</v>
      </c>
      <c r="F169" s="94">
        <v>0</v>
      </c>
      <c r="G169" s="94">
        <v>0</v>
      </c>
      <c r="H169" s="159"/>
      <c r="I169" s="94">
        <v>0</v>
      </c>
      <c r="J169" s="94">
        <v>0</v>
      </c>
      <c r="K169" s="94">
        <v>0</v>
      </c>
      <c r="L169" s="94">
        <v>0</v>
      </c>
      <c r="M169" s="159"/>
      <c r="N169" s="94">
        <v>0</v>
      </c>
      <c r="O169" s="94">
        <v>0</v>
      </c>
      <c r="P169" s="94">
        <v>0</v>
      </c>
      <c r="Q169" s="94">
        <v>0</v>
      </c>
      <c r="R169" s="17"/>
      <c r="S169" s="94">
        <v>0</v>
      </c>
      <c r="T169" s="49">
        <v>0</v>
      </c>
      <c r="U169" s="49">
        <v>0</v>
      </c>
      <c r="V169" s="49">
        <v>0</v>
      </c>
      <c r="W169" s="17"/>
      <c r="X169" s="94">
        <v>0</v>
      </c>
      <c r="Y169" s="94">
        <v>0</v>
      </c>
      <c r="Z169" s="94">
        <v>0</v>
      </c>
      <c r="AA169" s="94">
        <v>0</v>
      </c>
      <c r="AB169" s="159"/>
      <c r="AC169" s="94"/>
      <c r="AD169" s="94"/>
      <c r="AE169" s="94"/>
      <c r="AF169" s="94"/>
      <c r="AG169" s="159"/>
      <c r="AH169" s="94"/>
      <c r="AI169" s="94"/>
      <c r="AJ169" s="94"/>
      <c r="AK169" s="94"/>
      <c r="AL169" s="159"/>
      <c r="AM169" s="94"/>
      <c r="AN169" s="94"/>
      <c r="AO169" s="94"/>
      <c r="AP169" s="94"/>
      <c r="AQ169" s="159"/>
      <c r="AR169" s="94"/>
      <c r="AS169" s="94"/>
      <c r="AT169" s="94"/>
      <c r="AU169" s="94"/>
      <c r="AV169" s="159"/>
    </row>
    <row r="170" spans="2:48 16384:16384" s="8" customFormat="1" outlineLevel="1" x14ac:dyDescent="0.3">
      <c r="B170" s="193" t="s">
        <v>65</v>
      </c>
      <c r="C170" s="190"/>
      <c r="D170" s="93">
        <f t="shared" ref="D170:G170" si="492">-D168+D169</f>
        <v>138</v>
      </c>
      <c r="E170" s="93">
        <f t="shared" si="492"/>
        <v>141.4</v>
      </c>
      <c r="F170" s="93">
        <f t="shared" si="492"/>
        <v>125.30000000000001</v>
      </c>
      <c r="G170" s="93">
        <f t="shared" si="492"/>
        <v>77.399999999999991</v>
      </c>
      <c r="H170" s="140"/>
      <c r="I170" s="93">
        <f t="shared" ref="I170:L170" si="493">-I168+I169</f>
        <v>71.599999999999994</v>
      </c>
      <c r="J170" s="93">
        <f t="shared" si="493"/>
        <v>66.8</v>
      </c>
      <c r="K170" s="93">
        <f t="shared" si="493"/>
        <v>173.67999999999998</v>
      </c>
      <c r="L170" s="93">
        <f t="shared" si="493"/>
        <v>259.5</v>
      </c>
      <c r="M170" s="140"/>
      <c r="N170" s="93">
        <f t="shared" ref="N170:P170" si="494">-N168+N169</f>
        <v>134.9</v>
      </c>
      <c r="O170" s="93">
        <f t="shared" si="494"/>
        <v>88.2</v>
      </c>
      <c r="P170" s="93">
        <f t="shared" si="494"/>
        <v>51.7</v>
      </c>
      <c r="Q170" s="93">
        <f>-Q168+Q169</f>
        <v>115.2</v>
      </c>
      <c r="R170" s="22"/>
      <c r="S170" s="93">
        <f t="shared" ref="S170:AV170" si="495">-S168+S169</f>
        <v>35.199999999999996</v>
      </c>
      <c r="T170" s="47">
        <f t="shared" si="495"/>
        <v>47.5</v>
      </c>
      <c r="U170" s="47">
        <f t="shared" si="495"/>
        <v>77.5</v>
      </c>
      <c r="V170" s="47">
        <f t="shared" si="495"/>
        <v>77.099999999999994</v>
      </c>
      <c r="W170" s="22"/>
      <c r="X170" s="93">
        <f t="shared" si="495"/>
        <v>60</v>
      </c>
      <c r="Y170" s="93">
        <f t="shared" si="495"/>
        <v>10</v>
      </c>
      <c r="Z170" s="93">
        <f t="shared" si="495"/>
        <v>10</v>
      </c>
      <c r="AA170" s="93">
        <f t="shared" si="495"/>
        <v>10</v>
      </c>
      <c r="AB170" s="140">
        <f t="shared" si="495"/>
        <v>0</v>
      </c>
      <c r="AC170" s="93">
        <f t="shared" si="495"/>
        <v>10</v>
      </c>
      <c r="AD170" s="93">
        <f t="shared" si="495"/>
        <v>42</v>
      </c>
      <c r="AE170" s="93">
        <f t="shared" si="495"/>
        <v>42</v>
      </c>
      <c r="AF170" s="93">
        <f t="shared" si="495"/>
        <v>42</v>
      </c>
      <c r="AG170" s="140">
        <f t="shared" si="495"/>
        <v>0</v>
      </c>
      <c r="AH170" s="93">
        <f t="shared" si="495"/>
        <v>42</v>
      </c>
      <c r="AI170" s="93">
        <f t="shared" si="495"/>
        <v>42</v>
      </c>
      <c r="AJ170" s="93">
        <f t="shared" si="495"/>
        <v>42</v>
      </c>
      <c r="AK170" s="93">
        <f t="shared" si="495"/>
        <v>42</v>
      </c>
      <c r="AL170" s="140">
        <f t="shared" si="495"/>
        <v>0</v>
      </c>
      <c r="AM170" s="93">
        <f t="shared" si="495"/>
        <v>42</v>
      </c>
      <c r="AN170" s="93">
        <f t="shared" si="495"/>
        <v>42</v>
      </c>
      <c r="AO170" s="93">
        <f t="shared" si="495"/>
        <v>42</v>
      </c>
      <c r="AP170" s="93">
        <f t="shared" si="495"/>
        <v>42</v>
      </c>
      <c r="AQ170" s="140">
        <f t="shared" si="495"/>
        <v>0</v>
      </c>
      <c r="AR170" s="93">
        <f t="shared" si="495"/>
        <v>42</v>
      </c>
      <c r="AS170" s="93">
        <f t="shared" si="495"/>
        <v>42</v>
      </c>
      <c r="AT170" s="93">
        <f t="shared" si="495"/>
        <v>42</v>
      </c>
      <c r="AU170" s="93">
        <f t="shared" si="495"/>
        <v>42</v>
      </c>
      <c r="AV170" s="140">
        <f t="shared" si="495"/>
        <v>0</v>
      </c>
    </row>
    <row r="171" spans="2:48 16384:16384" outlineLevel="1" x14ac:dyDescent="0.3">
      <c r="B171" s="188" t="s">
        <v>66</v>
      </c>
      <c r="C171" s="189"/>
      <c r="D171" s="95">
        <v>0</v>
      </c>
      <c r="E171" s="91">
        <f>-0.02*E31</f>
        <v>-25.014000000000003</v>
      </c>
      <c r="F171" s="91">
        <f>0.49*F31</f>
        <v>599.27</v>
      </c>
      <c r="G171" s="91">
        <v>0</v>
      </c>
      <c r="H171" s="159"/>
      <c r="I171" s="91">
        <v>0</v>
      </c>
      <c r="J171" s="91">
        <v>0</v>
      </c>
      <c r="K171" s="91">
        <v>0</v>
      </c>
      <c r="L171" s="91">
        <v>0</v>
      </c>
      <c r="M171" s="159"/>
      <c r="N171" s="91">
        <v>0</v>
      </c>
      <c r="O171" s="91">
        <v>0</v>
      </c>
      <c r="P171" s="91">
        <v>0</v>
      </c>
      <c r="Q171" s="91">
        <f>0.73*Q31</f>
        <v>867.16700000000003</v>
      </c>
      <c r="R171" s="17"/>
      <c r="S171" s="91">
        <v>0</v>
      </c>
      <c r="T171" s="91">
        <f>0.03*T31</f>
        <v>34.617000000000004</v>
      </c>
      <c r="U171" s="91">
        <v>0</v>
      </c>
      <c r="V171" s="91">
        <v>0</v>
      </c>
      <c r="W171" s="17"/>
      <c r="X171" s="391">
        <v>0</v>
      </c>
      <c r="Y171" s="391">
        <v>0</v>
      </c>
      <c r="Z171" s="391">
        <v>0</v>
      </c>
      <c r="AA171" s="391">
        <v>0</v>
      </c>
      <c r="AB171" s="418"/>
      <c r="AC171" s="391"/>
      <c r="AD171" s="391"/>
      <c r="AE171" s="391"/>
      <c r="AF171" s="391"/>
      <c r="AG171" s="418"/>
      <c r="AH171" s="391"/>
      <c r="AI171" s="391"/>
      <c r="AJ171" s="391"/>
      <c r="AK171" s="391"/>
      <c r="AL171" s="418"/>
      <c r="AM171" s="391"/>
      <c r="AN171" s="391"/>
      <c r="AO171" s="391"/>
      <c r="AP171" s="391"/>
      <c r="AQ171" s="418"/>
      <c r="AR171" s="391"/>
      <c r="AS171" s="391"/>
      <c r="AT171" s="391"/>
      <c r="AU171" s="391"/>
      <c r="AV171" s="418"/>
    </row>
    <row r="172" spans="2:48 16384:16384" outlineLevel="1" x14ac:dyDescent="0.3">
      <c r="B172" s="511" t="s">
        <v>72</v>
      </c>
      <c r="C172" s="512"/>
      <c r="D172" s="95">
        <v>-41.449999999998646</v>
      </c>
      <c r="E172" s="91">
        <v>79.193999999999548</v>
      </c>
      <c r="F172" s="91">
        <v>-55.109999999999197</v>
      </c>
      <c r="G172" s="91">
        <v>30</v>
      </c>
      <c r="H172" s="159"/>
      <c r="I172" s="91">
        <v>11</v>
      </c>
      <c r="J172" s="91">
        <v>23</v>
      </c>
      <c r="K172" s="91">
        <f>0.03*K31</f>
        <v>35.055</v>
      </c>
      <c r="L172" s="91">
        <v>50.810000000000372</v>
      </c>
      <c r="M172" s="159"/>
      <c r="N172" s="91">
        <f>0.03*N31</f>
        <v>35.49</v>
      </c>
      <c r="O172" s="91">
        <f>0.01*O31</f>
        <v>11.847999999999999</v>
      </c>
      <c r="P172" s="91">
        <f>0.01*P31</f>
        <v>11.862</v>
      </c>
      <c r="Q172" s="91">
        <f>-0.144*Q31</f>
        <v>-171.05760000000001</v>
      </c>
      <c r="R172" s="17"/>
      <c r="S172" s="91">
        <v>3.9480000000003299</v>
      </c>
      <c r="T172" s="16">
        <f>0.01*T31</f>
        <v>11.539000000000001</v>
      </c>
      <c r="U172" s="16">
        <f>0.02*U31</f>
        <v>23.02</v>
      </c>
      <c r="V172" s="16">
        <f>0.02*V31</f>
        <v>23.05</v>
      </c>
      <c r="W172" s="17"/>
      <c r="X172" s="91">
        <f>X170*X173</f>
        <v>18</v>
      </c>
      <c r="Y172" s="91">
        <f t="shared" ref="Y172:AV172" si="496">Y170*Y173</f>
        <v>3</v>
      </c>
      <c r="Z172" s="91">
        <f t="shared" si="496"/>
        <v>3</v>
      </c>
      <c r="AA172" s="91">
        <f t="shared" si="496"/>
        <v>3</v>
      </c>
      <c r="AB172" s="159">
        <f t="shared" si="496"/>
        <v>0</v>
      </c>
      <c r="AC172" s="91">
        <f t="shared" si="496"/>
        <v>3</v>
      </c>
      <c r="AD172" s="91">
        <f t="shared" si="496"/>
        <v>12.6</v>
      </c>
      <c r="AE172" s="91">
        <f t="shared" si="496"/>
        <v>12.6</v>
      </c>
      <c r="AF172" s="91">
        <f t="shared" si="496"/>
        <v>12.6</v>
      </c>
      <c r="AG172" s="159">
        <f t="shared" si="496"/>
        <v>0</v>
      </c>
      <c r="AH172" s="91">
        <f t="shared" si="496"/>
        <v>12.6</v>
      </c>
      <c r="AI172" s="91">
        <f t="shared" si="496"/>
        <v>12.6</v>
      </c>
      <c r="AJ172" s="91">
        <f t="shared" si="496"/>
        <v>12.6</v>
      </c>
      <c r="AK172" s="91">
        <f t="shared" si="496"/>
        <v>12.6</v>
      </c>
      <c r="AL172" s="159">
        <f t="shared" si="496"/>
        <v>0</v>
      </c>
      <c r="AM172" s="91">
        <f t="shared" si="496"/>
        <v>12.6</v>
      </c>
      <c r="AN172" s="91">
        <f t="shared" si="496"/>
        <v>12.6</v>
      </c>
      <c r="AO172" s="91">
        <f t="shared" si="496"/>
        <v>12.6</v>
      </c>
      <c r="AP172" s="91">
        <f t="shared" si="496"/>
        <v>12.6</v>
      </c>
      <c r="AQ172" s="159">
        <f t="shared" si="496"/>
        <v>0</v>
      </c>
      <c r="AR172" s="91">
        <f t="shared" si="496"/>
        <v>12.6</v>
      </c>
      <c r="AS172" s="91">
        <f t="shared" si="496"/>
        <v>12.6</v>
      </c>
      <c r="AT172" s="91">
        <f t="shared" si="496"/>
        <v>12.6</v>
      </c>
      <c r="AU172" s="91">
        <f t="shared" si="496"/>
        <v>12.6</v>
      </c>
      <c r="AV172" s="159">
        <f t="shared" si="496"/>
        <v>0</v>
      </c>
    </row>
    <row r="173" spans="2:48 16384:16384" outlineLevel="1" x14ac:dyDescent="0.3">
      <c r="B173" s="191" t="s">
        <v>73</v>
      </c>
      <c r="C173" s="192"/>
      <c r="D173" s="199">
        <f t="shared" ref="D173:G173" si="497">D172/D170</f>
        <v>-0.30036231884056991</v>
      </c>
      <c r="E173" s="199">
        <f t="shared" si="497"/>
        <v>0.56007072135784686</v>
      </c>
      <c r="F173" s="199">
        <f t="shared" si="497"/>
        <v>-0.43982442138866074</v>
      </c>
      <c r="G173" s="199">
        <f t="shared" si="497"/>
        <v>0.38759689922480622</v>
      </c>
      <c r="H173" s="200"/>
      <c r="I173" s="199">
        <f t="shared" ref="I173:V173" si="498">I172/I170</f>
        <v>0.15363128491620112</v>
      </c>
      <c r="J173" s="199">
        <f t="shared" si="498"/>
        <v>0.34431137724550898</v>
      </c>
      <c r="K173" s="199">
        <f t="shared" si="498"/>
        <v>0.20183671119299865</v>
      </c>
      <c r="L173" s="199">
        <f t="shared" si="498"/>
        <v>0.1957996146435467</v>
      </c>
      <c r="M173" s="200"/>
      <c r="N173" s="199">
        <f t="shared" si="498"/>
        <v>0.26308376575240922</v>
      </c>
      <c r="O173" s="199">
        <f t="shared" si="498"/>
        <v>0.13433106575963719</v>
      </c>
      <c r="P173" s="199">
        <f t="shared" si="498"/>
        <v>0.22943907156673113</v>
      </c>
      <c r="Q173" s="199">
        <f t="shared" si="498"/>
        <v>-1.4848749999999999</v>
      </c>
      <c r="R173" s="34"/>
      <c r="S173" s="199">
        <f t="shared" si="498"/>
        <v>0.1121590909091003</v>
      </c>
      <c r="T173" s="199">
        <f t="shared" si="498"/>
        <v>0.24292631578947371</v>
      </c>
      <c r="U173" s="199">
        <f t="shared" si="498"/>
        <v>0.29703225806451611</v>
      </c>
      <c r="V173" s="199">
        <f t="shared" si="498"/>
        <v>0.29896238651102469</v>
      </c>
      <c r="W173" s="34"/>
      <c r="X173" s="420">
        <v>0.3</v>
      </c>
      <c r="Y173" s="420">
        <v>0.3</v>
      </c>
      <c r="Z173" s="420">
        <v>0.3</v>
      </c>
      <c r="AA173" s="420">
        <v>0.3</v>
      </c>
      <c r="AB173" s="421"/>
      <c r="AC173" s="420">
        <f>AA173</f>
        <v>0.3</v>
      </c>
      <c r="AD173" s="420">
        <f>AC173</f>
        <v>0.3</v>
      </c>
      <c r="AE173" s="420">
        <f>AD173</f>
        <v>0.3</v>
      </c>
      <c r="AF173" s="420">
        <f>AE173</f>
        <v>0.3</v>
      </c>
      <c r="AG173" s="421"/>
      <c r="AH173" s="420">
        <f>AF173</f>
        <v>0.3</v>
      </c>
      <c r="AI173" s="420">
        <f>AH173</f>
        <v>0.3</v>
      </c>
      <c r="AJ173" s="420">
        <f>AI173</f>
        <v>0.3</v>
      </c>
      <c r="AK173" s="420">
        <f>AJ173</f>
        <v>0.3</v>
      </c>
      <c r="AL173" s="421"/>
      <c r="AM173" s="420">
        <f>AK173</f>
        <v>0.3</v>
      </c>
      <c r="AN173" s="420">
        <f>AM173</f>
        <v>0.3</v>
      </c>
      <c r="AO173" s="420">
        <f>AN173</f>
        <v>0.3</v>
      </c>
      <c r="AP173" s="420">
        <f>AO173</f>
        <v>0.3</v>
      </c>
      <c r="AQ173" s="421"/>
      <c r="AR173" s="420">
        <f>AP173</f>
        <v>0.3</v>
      </c>
      <c r="AS173" s="420">
        <f>AR173</f>
        <v>0.3</v>
      </c>
      <c r="AT173" s="420">
        <f>AS173</f>
        <v>0.3</v>
      </c>
      <c r="AU173" s="420">
        <f>AT173</f>
        <v>0.3</v>
      </c>
      <c r="AV173" s="421"/>
    </row>
    <row r="174" spans="2:48 16384:16384" x14ac:dyDescent="0.3">
      <c r="X174" s="154"/>
      <c r="Y174" s="154"/>
      <c r="AC174" s="154"/>
      <c r="AD174" s="154"/>
      <c r="AH174" s="154"/>
      <c r="AI174" s="154"/>
      <c r="AM174" s="154"/>
      <c r="AN174" s="154"/>
      <c r="AR174" s="154"/>
      <c r="AS174" s="154"/>
    </row>
    <row r="175" spans="2:48 16384:16384" x14ac:dyDescent="0.3">
      <c r="B175" s="345" t="s">
        <v>326</v>
      </c>
      <c r="E175" s="430"/>
      <c r="F175" s="430"/>
      <c r="G175" s="430"/>
      <c r="H175" s="430"/>
      <c r="I175" s="433">
        <f>(I61-D61)</f>
        <v>-1.5888795271835787E-2</v>
      </c>
      <c r="J175" s="433">
        <f>(J61-E61)</f>
        <v>5.3583691652267507E-3</v>
      </c>
      <c r="K175" s="433">
        <f>(K61-F61)</f>
        <v>4.3107370633299613E-3</v>
      </c>
      <c r="L175" s="433">
        <f>(L61-G61)</f>
        <v>-7.3471976131056493E-5</v>
      </c>
      <c r="M175" s="433"/>
      <c r="N175" s="433">
        <f>(N61-I61)</f>
        <v>-5.7288064901658275E-3</v>
      </c>
      <c r="O175" s="433">
        <f>(O61-J61)</f>
        <v>-2.5094207177266292E-2</v>
      </c>
      <c r="P175" s="433">
        <f>(P61-K61)</f>
        <v>-2.4905550489015049E-2</v>
      </c>
      <c r="Q175" s="433">
        <f>(Q61-L61)</f>
        <v>-6.6118692968142323E-4</v>
      </c>
      <c r="R175" s="433"/>
      <c r="S175" s="433">
        <f>(S61-N61)</f>
        <v>1.2901737440265071E-2</v>
      </c>
      <c r="T175" s="433">
        <f>(T61-O61)</f>
        <v>2.4025383293040548E-2</v>
      </c>
      <c r="U175" s="433">
        <f>(U61-P61)</f>
        <v>2.0536242149533701E-2</v>
      </c>
      <c r="V175" s="433">
        <f>(V61-Q61)</f>
        <v>1.4419766618683716E-2</v>
      </c>
      <c r="W175" s="431"/>
      <c r="X175" s="433">
        <f>(X61-S61)</f>
        <v>5.0000000000000044E-3</v>
      </c>
      <c r="Y175" s="433">
        <f>(Y61-T61)</f>
        <v>5.0000000000000044E-4</v>
      </c>
      <c r="Z175" s="433">
        <f>(Z61-U61)</f>
        <v>5.0000000000000044E-4</v>
      </c>
      <c r="AA175" s="433">
        <f>(AA61-V61)</f>
        <v>-1.2500000000000011E-2</v>
      </c>
      <c r="AB175" s="431"/>
      <c r="AC175" s="433">
        <f>(AC61-X61)</f>
        <v>-5.0000000000000044E-3</v>
      </c>
      <c r="AD175" s="433">
        <f>(AD61-Y61)</f>
        <v>4.0000000000000036E-3</v>
      </c>
      <c r="AE175" s="433">
        <f>(AE61-Z61)</f>
        <v>4.0000000000000036E-3</v>
      </c>
      <c r="AF175" s="433">
        <f>(AF61-AA61)</f>
        <v>1.5000000000000013E-2</v>
      </c>
      <c r="AG175" s="431"/>
      <c r="AH175" s="433">
        <f>(AH61-AC61)</f>
        <v>4.0000000000000036E-3</v>
      </c>
      <c r="AI175" s="433">
        <f>(AI61-AD61)</f>
        <v>4.0000000000000036E-3</v>
      </c>
      <c r="AJ175" s="433">
        <f>(AJ61-AE61)</f>
        <v>4.0000000000000036E-3</v>
      </c>
      <c r="AK175" s="433">
        <f>(AK61-AF61)</f>
        <v>4.0000000000000036E-3</v>
      </c>
      <c r="AL175" s="431"/>
      <c r="AM175" s="433">
        <f>(AM61-AH61)</f>
        <v>5.0000000000000044E-3</v>
      </c>
      <c r="AN175" s="433">
        <f>(AN61-AI61)</f>
        <v>5.0000000000000044E-3</v>
      </c>
      <c r="AO175" s="433">
        <f>(AO61-AJ61)</f>
        <v>5.0000000000000044E-3</v>
      </c>
      <c r="AP175" s="433">
        <f>(AP61-AK61)</f>
        <v>5.0000000000000044E-3</v>
      </c>
      <c r="AQ175" s="431"/>
      <c r="AR175" s="433">
        <f>(AR61-AM61)</f>
        <v>0</v>
      </c>
      <c r="AS175" s="433">
        <f>(AS61-AN61)</f>
        <v>0</v>
      </c>
      <c r="AT175" s="433">
        <f>(AT61-AO61)</f>
        <v>0</v>
      </c>
      <c r="AU175" s="433">
        <f>(AU61-AP61)</f>
        <v>0</v>
      </c>
      <c r="AV175" s="432"/>
      <c r="XFD175" s="430"/>
    </row>
    <row r="176" spans="2:48 16384:16384" ht="14.7" customHeight="1" x14ac:dyDescent="0.3">
      <c r="B176" s="345" t="s">
        <v>327</v>
      </c>
      <c r="I176" s="433">
        <f>I63-D63</f>
        <v>1.0675839807883503E-2</v>
      </c>
      <c r="J176" s="433">
        <f>J63-E63</f>
        <v>5.5870265948305131E-2</v>
      </c>
      <c r="K176" s="433">
        <f>K63-F63</f>
        <v>0.31337282563423829</v>
      </c>
      <c r="L176" s="433">
        <f>L63-G63</f>
        <v>2.4548115536031978E-2</v>
      </c>
      <c r="M176" s="431"/>
      <c r="N176" s="433">
        <f>N63-I63</f>
        <v>2.7217435104563092E-2</v>
      </c>
      <c r="O176" s="433">
        <f>O63-J63</f>
        <v>-4.2559849096142632E-2</v>
      </c>
      <c r="P176" s="433">
        <f>P63-K63</f>
        <v>-0.32367607150912892</v>
      </c>
      <c r="Q176" s="433">
        <f>Q63-L63</f>
        <v>-4.2476929877535707E-2</v>
      </c>
      <c r="R176" s="431"/>
      <c r="S176" s="433">
        <f>S63-N63</f>
        <v>-4.2111802490401029E-3</v>
      </c>
      <c r="T176" s="433">
        <f>T63-O63</f>
        <v>1.5713963584189306E-2</v>
      </c>
      <c r="U176" s="433">
        <f>U63-P63</f>
        <v>8.2485911822535729E-3</v>
      </c>
      <c r="V176" s="433">
        <f>V63-Q63</f>
        <v>2.6389804799066163E-2</v>
      </c>
      <c r="W176" s="431"/>
      <c r="X176" s="433">
        <f>X63-S63</f>
        <v>5.0000000000000044E-3</v>
      </c>
      <c r="Y176" s="433">
        <f>Y63-T63</f>
        <v>2.0000000000000018E-3</v>
      </c>
      <c r="Z176" s="433">
        <f>Z63-U63</f>
        <v>1.0000000000000009E-2</v>
      </c>
      <c r="AA176" s="433">
        <f>AA63-V63</f>
        <v>0</v>
      </c>
      <c r="AB176" s="431"/>
      <c r="AC176" s="433">
        <f>AC63-X63</f>
        <v>-1.0000000000000009E-2</v>
      </c>
      <c r="AD176" s="433">
        <f>AD63-Y63</f>
        <v>-1.0000000000000009E-3</v>
      </c>
      <c r="AE176" s="433">
        <f>AE63-Z63</f>
        <v>-1.0000000000000009E-3</v>
      </c>
      <c r="AF176" s="433">
        <f>AF63-AA63</f>
        <v>1.0000000000000009E-2</v>
      </c>
      <c r="AG176" s="431"/>
      <c r="AH176" s="433">
        <f>AH63-AC63</f>
        <v>-1.0000000000000009E-3</v>
      </c>
      <c r="AI176" s="433">
        <f>AI63-AD63</f>
        <v>-1.0000000000000009E-3</v>
      </c>
      <c r="AJ176" s="433">
        <f>AJ63-AE63</f>
        <v>-1.0000000000000009E-3</v>
      </c>
      <c r="AK176" s="433">
        <f>AK63-AF63</f>
        <v>-1.0000000000000009E-3</v>
      </c>
      <c r="AL176" s="431"/>
      <c r="AM176" s="433">
        <f>AM63-AH63</f>
        <v>0</v>
      </c>
      <c r="AN176" s="433">
        <f>AN63-AI63</f>
        <v>0</v>
      </c>
      <c r="AO176" s="433">
        <f>AO63-AJ63</f>
        <v>0</v>
      </c>
      <c r="AP176" s="433">
        <f>AP63-AK63</f>
        <v>0</v>
      </c>
      <c r="AQ176" s="431"/>
      <c r="AR176" s="433">
        <f>AR63-AM63</f>
        <v>0</v>
      </c>
      <c r="AS176" s="433">
        <f>AS63-AN63</f>
        <v>0</v>
      </c>
      <c r="AT176" s="433">
        <f>AT63-AO63</f>
        <v>0</v>
      </c>
      <c r="AU176" s="433">
        <f>AU63-AP63</f>
        <v>0</v>
      </c>
      <c r="AV176" s="432"/>
    </row>
    <row r="177" spans="1:48" ht="14.7" customHeight="1" x14ac:dyDescent="0.3">
      <c r="B177" s="345" t="s">
        <v>328</v>
      </c>
      <c r="I177" s="433">
        <f>I65-D65</f>
        <v>-1.1661861694351842E-3</v>
      </c>
      <c r="J177" s="433">
        <f>J65-E65</f>
        <v>5.2073620990261693E-4</v>
      </c>
      <c r="K177" s="433">
        <f>K65-F65</f>
        <v>5.5990553533601401E-3</v>
      </c>
      <c r="L177" s="433">
        <f>L65-G65</f>
        <v>1.6651494920511449E-3</v>
      </c>
      <c r="M177" s="431"/>
      <c r="N177" s="433">
        <f>N65-I65</f>
        <v>6.1867679912120527E-4</v>
      </c>
      <c r="O177" s="433">
        <f>O65-J65</f>
        <v>-6.7103026193355078E-4</v>
      </c>
      <c r="P177" s="433">
        <f>P65-K65</f>
        <v>-7.1557745263846739E-3</v>
      </c>
      <c r="Q177" s="433">
        <f>Q65-L65</f>
        <v>-8.1024370824473238E-4</v>
      </c>
      <c r="R177" s="431"/>
      <c r="S177" s="433">
        <f>S65-N65</f>
        <v>-6.9169487840035036E-4</v>
      </c>
      <c r="T177" s="433">
        <f>T65-O65</f>
        <v>-3.3352357784197616E-4</v>
      </c>
      <c r="U177" s="433">
        <f>U65-P65</f>
        <v>1.7928850972594532E-3</v>
      </c>
      <c r="V177" s="433">
        <f>V65-Q65</f>
        <v>1.7144676918782326E-4</v>
      </c>
      <c r="W177" s="431"/>
      <c r="X177" s="433">
        <f>X65-S65</f>
        <v>0</v>
      </c>
      <c r="Y177" s="433">
        <f>Y65-T65</f>
        <v>0</v>
      </c>
      <c r="Z177" s="433">
        <f>Z65-U65</f>
        <v>0</v>
      </c>
      <c r="AA177" s="433">
        <f>AA65-V65</f>
        <v>0</v>
      </c>
      <c r="AB177" s="431"/>
      <c r="AC177" s="433">
        <f>AC65-X65</f>
        <v>0</v>
      </c>
      <c r="AD177" s="433">
        <f>AD65-Y65</f>
        <v>0</v>
      </c>
      <c r="AE177" s="433">
        <f>AE65-Z65</f>
        <v>0</v>
      </c>
      <c r="AF177" s="433">
        <f>AF65-AA65</f>
        <v>0</v>
      </c>
      <c r="AG177" s="431"/>
      <c r="AH177" s="433">
        <f>AH65-AC65</f>
        <v>0</v>
      </c>
      <c r="AI177" s="433">
        <f>AI65-AD65</f>
        <v>0</v>
      </c>
      <c r="AJ177" s="433">
        <f>AJ65-AE65</f>
        <v>0</v>
      </c>
      <c r="AK177" s="433">
        <f>AK65-AF65</f>
        <v>0</v>
      </c>
      <c r="AL177" s="431"/>
      <c r="AM177" s="433">
        <f>AM65-AH65</f>
        <v>0</v>
      </c>
      <c r="AN177" s="433">
        <f>AN65-AI65</f>
        <v>0</v>
      </c>
      <c r="AO177" s="433">
        <f>AO65-AJ65</f>
        <v>0</v>
      </c>
      <c r="AP177" s="433">
        <f>AP65-AK65</f>
        <v>0</v>
      </c>
      <c r="AQ177" s="431"/>
      <c r="AR177" s="433">
        <f>AR65-AM65</f>
        <v>0</v>
      </c>
      <c r="AS177" s="433">
        <f>AS65-AN65</f>
        <v>0</v>
      </c>
      <c r="AT177" s="433">
        <f>AT65-AO65</f>
        <v>0</v>
      </c>
      <c r="AU177" s="433">
        <f>AU65-AP65</f>
        <v>0</v>
      </c>
      <c r="AV177" s="432"/>
    </row>
    <row r="178" spans="1:48" ht="14.7" customHeight="1" x14ac:dyDescent="0.3">
      <c r="A178" s="151"/>
      <c r="B178" s="345" t="s">
        <v>329</v>
      </c>
      <c r="I178" s="433">
        <f>I68-D68</f>
        <v>-1.8333405533660172E-3</v>
      </c>
      <c r="J178" s="433">
        <f>J68-E68</f>
        <v>-6.839049118329589E-4</v>
      </c>
      <c r="K178" s="433">
        <f>K68-F68</f>
        <v>6.7897358619167895E-3</v>
      </c>
      <c r="L178" s="433">
        <f>L68-G68</f>
        <v>-7.3162351920887398E-3</v>
      </c>
      <c r="M178" s="431"/>
      <c r="N178" s="433">
        <f>N68-I68</f>
        <v>6.0507827584615169E-4</v>
      </c>
      <c r="O178" s="433">
        <f>O68-J68</f>
        <v>9.0679947110857209E-4</v>
      </c>
      <c r="P178" s="433">
        <f>P68-K68</f>
        <v>-8.6159335432076795E-3</v>
      </c>
      <c r="Q178" s="433">
        <f>Q68-L68</f>
        <v>-1.8685768961161399E-3</v>
      </c>
      <c r="R178" s="431"/>
      <c r="S178" s="433">
        <f>S68-N68</f>
        <v>-1.673261995123904E-3</v>
      </c>
      <c r="T178" s="433">
        <f>T68-O68</f>
        <v>-3.5644778537942175E-3</v>
      </c>
      <c r="U178" s="433">
        <f>U68-P68</f>
        <v>-9.2770624793186637E-4</v>
      </c>
      <c r="V178" s="433">
        <f>V68-Q68</f>
        <v>-7.584336101247053E-4</v>
      </c>
      <c r="W178" s="431"/>
      <c r="X178" s="433">
        <f>X68-S68</f>
        <v>4.9999999999999992E-3</v>
      </c>
      <c r="Y178" s="433">
        <f>Y68-T68</f>
        <v>2.5000000000000005E-3</v>
      </c>
      <c r="Z178" s="433">
        <f>Z68-U68</f>
        <v>2.5000000000000005E-3</v>
      </c>
      <c r="AA178" s="433">
        <f>AA68-V68</f>
        <v>-0.01</v>
      </c>
      <c r="AB178" s="431"/>
      <c r="AC178" s="433">
        <f>AC68-X68</f>
        <v>-2.9999999999999992E-3</v>
      </c>
      <c r="AD178" s="433">
        <f>AD68-Y68</f>
        <v>2.0000000000000018E-3</v>
      </c>
      <c r="AE178" s="433">
        <f>AE68-Z68</f>
        <v>-9.9999999999999915E-4</v>
      </c>
      <c r="AF178" s="433">
        <f>AF68-AA68</f>
        <v>-1E-3</v>
      </c>
      <c r="AG178" s="431"/>
      <c r="AH178" s="433">
        <f>AH68-AC68</f>
        <v>-1.0000000000000009E-3</v>
      </c>
      <c r="AI178" s="433">
        <f>AI68-AD68</f>
        <v>-1.0000000000000009E-3</v>
      </c>
      <c r="AJ178" s="433">
        <f>AJ68-AE68</f>
        <v>-1.0000000000000009E-3</v>
      </c>
      <c r="AK178" s="433">
        <f>AK68-AF68</f>
        <v>-1E-3</v>
      </c>
      <c r="AL178" s="431"/>
      <c r="AM178" s="433">
        <f>AM68-AH68</f>
        <v>0</v>
      </c>
      <c r="AN178" s="433">
        <f>AN68-AI68</f>
        <v>0</v>
      </c>
      <c r="AO178" s="433">
        <f>AO68-AJ68</f>
        <v>0</v>
      </c>
      <c r="AP178" s="433">
        <f>AP68-AK68</f>
        <v>0</v>
      </c>
      <c r="AQ178" s="431"/>
      <c r="AR178" s="433">
        <f>AR68-AM68</f>
        <v>0</v>
      </c>
      <c r="AS178" s="433">
        <f>AS68-AN68</f>
        <v>0</v>
      </c>
      <c r="AT178" s="433">
        <f>AT68-AO68</f>
        <v>0</v>
      </c>
      <c r="AU178" s="433">
        <f>AU68-AP68</f>
        <v>0</v>
      </c>
      <c r="AV178" s="432"/>
    </row>
    <row r="179" spans="1:48" s="23" customFormat="1" ht="14.7" customHeight="1" x14ac:dyDescent="0.3">
      <c r="A179" s="151"/>
    </row>
    <row r="180" spans="1:48" s="23" customFormat="1" ht="14.7" customHeight="1" x14ac:dyDescent="0.3">
      <c r="A180" s="151"/>
      <c r="B180" s="345" t="s">
        <v>330</v>
      </c>
      <c r="I180" s="433">
        <f>I94-D94</f>
        <v>3.2823721217144497E-3</v>
      </c>
      <c r="J180" s="433">
        <f>J94-E94</f>
        <v>3.4265501753503735E-2</v>
      </c>
      <c r="K180" s="433">
        <f>K94-F94</f>
        <v>5.5301714716680606E-2</v>
      </c>
      <c r="L180" s="433">
        <f>L94-G94</f>
        <v>7.8737632137160229E-3</v>
      </c>
      <c r="N180" s="433">
        <f>N94-I94</f>
        <v>3.6454914022289731E-3</v>
      </c>
      <c r="O180" s="433">
        <f>O94-J94</f>
        <v>-2.2940420964586705E-2</v>
      </c>
      <c r="P180" s="433">
        <f>P94-K94</f>
        <v>-5.3102918699157231E-2</v>
      </c>
      <c r="Q180" s="433">
        <f>Q94-L94</f>
        <v>-1.0328853878240896E-3</v>
      </c>
      <c r="R180" s="346"/>
      <c r="S180" s="433">
        <f>S94-N94</f>
        <v>1.3694957380178618E-2</v>
      </c>
      <c r="T180" s="433">
        <f>T94-O94</f>
        <v>2.2223284472510374E-2</v>
      </c>
      <c r="U180" s="433">
        <f>U94-P94</f>
        <v>4.4737654429502782E-2</v>
      </c>
      <c r="V180" s="433">
        <f>V94-Q94</f>
        <v>2.7792802174517572E-2</v>
      </c>
      <c r="W180" s="346"/>
      <c r="X180" s="433">
        <f>X94-S94</f>
        <v>2.0000000000000018E-2</v>
      </c>
      <c r="Y180" s="433">
        <f>Y94-T94</f>
        <v>-1.0000000000000009E-2</v>
      </c>
      <c r="Z180" s="433">
        <f>Z94-U94</f>
        <v>-5.0000000000000044E-3</v>
      </c>
      <c r="AA180" s="433">
        <f>AA94-V94</f>
        <v>-5.0000000000000044E-3</v>
      </c>
      <c r="AB180" s="352"/>
      <c r="AC180" s="433">
        <f>AC94-X94</f>
        <v>-2.0000000000000018E-2</v>
      </c>
      <c r="AD180" s="433">
        <f>AD94-Y94</f>
        <v>-2.0000000000000018E-2</v>
      </c>
      <c r="AE180" s="433">
        <f>AE94-Z94</f>
        <v>0</v>
      </c>
      <c r="AF180" s="433">
        <f>AF94-AA94</f>
        <v>0</v>
      </c>
      <c r="AG180" s="352"/>
      <c r="AH180" s="433">
        <f>AH94-AC94</f>
        <v>-2.0000000000000018E-3</v>
      </c>
      <c r="AI180" s="433">
        <f>AI94-AD94</f>
        <v>-2.0000000000000018E-3</v>
      </c>
      <c r="AJ180" s="433">
        <f>AJ94-AE94</f>
        <v>-1.0000000000000009E-2</v>
      </c>
      <c r="AK180" s="433">
        <f>AK94-AF94</f>
        <v>-2.0000000000000018E-3</v>
      </c>
      <c r="AL180" s="352"/>
      <c r="AM180" s="433">
        <f>AM94-AH94</f>
        <v>0</v>
      </c>
      <c r="AN180" s="433">
        <f>AN94-AI94</f>
        <v>0</v>
      </c>
      <c r="AO180" s="433">
        <f>AO94-AJ94</f>
        <v>0</v>
      </c>
      <c r="AP180" s="433">
        <f>AP94-AK94</f>
        <v>0</v>
      </c>
      <c r="AQ180" s="352"/>
      <c r="AR180" s="433">
        <f>AR94-AM94</f>
        <v>0</v>
      </c>
      <c r="AS180" s="433">
        <f>AS94-AN94</f>
        <v>0</v>
      </c>
      <c r="AT180" s="433">
        <f>AT94-AO94</f>
        <v>0</v>
      </c>
      <c r="AU180" s="433">
        <f>AU94-AP94</f>
        <v>0</v>
      </c>
    </row>
    <row r="181" spans="1:48" ht="16.2" customHeight="1" x14ac:dyDescent="0.3">
      <c r="A181" s="151"/>
      <c r="B181" s="345" t="s">
        <v>331</v>
      </c>
      <c r="I181" s="433">
        <f>I96-D96</f>
        <v>-8.8004883030871617E-3</v>
      </c>
      <c r="J181" s="433">
        <f>J96-E96</f>
        <v>0.15139283381376567</v>
      </c>
      <c r="K181" s="433">
        <f>K96-F96</f>
        <v>0.10181638202179644</v>
      </c>
      <c r="L181" s="433">
        <f>L96-G96</f>
        <v>2.5717333235497186E-2</v>
      </c>
      <c r="N181" s="433">
        <f>N96-I96</f>
        <v>-2.7597591390069176E-2</v>
      </c>
      <c r="O181" s="433">
        <f>O96-J96</f>
        <v>-0.17577536189573284</v>
      </c>
      <c r="P181" s="433">
        <f>P96-K96</f>
        <v>-0.1195036650275253</v>
      </c>
      <c r="Q181" s="433">
        <f>Q96-L96</f>
        <v>-4.3229689278334871E-2</v>
      </c>
      <c r="R181" s="346"/>
      <c r="S181" s="433">
        <f>S96-N96</f>
        <v>2.6563781125539754E-2</v>
      </c>
      <c r="T181" s="433">
        <f>T96-O96</f>
        <v>6.6354626897605851E-2</v>
      </c>
      <c r="U181" s="433">
        <f>U96-P96</f>
        <v>0.11154167548484295</v>
      </c>
      <c r="V181" s="433">
        <f>V96-Q96</f>
        <v>6.8821227532231799E-2</v>
      </c>
      <c r="W181" s="346"/>
      <c r="X181" s="433">
        <f>X96-S96</f>
        <v>2.0000000000000018E-2</v>
      </c>
      <c r="Y181" s="433">
        <f>Y96-T96</f>
        <v>-1.0000000000000009E-2</v>
      </c>
      <c r="Z181" s="433">
        <f>Z96-U96</f>
        <v>-5.0000000000000044E-3</v>
      </c>
      <c r="AA181" s="433">
        <f>AA96-V96</f>
        <v>-5.0000000000000044E-3</v>
      </c>
      <c r="AB181" s="352"/>
      <c r="AC181" s="433">
        <f>AC96-X96</f>
        <v>0</v>
      </c>
      <c r="AD181" s="433">
        <f>AD96-Y96</f>
        <v>-2.0000000000000018E-2</v>
      </c>
      <c r="AE181" s="433">
        <f>AE96-Z96</f>
        <v>0</v>
      </c>
      <c r="AF181" s="433">
        <f>AF96-AA96</f>
        <v>0</v>
      </c>
      <c r="AG181" s="352"/>
      <c r="AH181" s="433">
        <f>AH96-AC96</f>
        <v>-2.0000000000000018E-3</v>
      </c>
      <c r="AI181" s="433">
        <f>AI96-AD96</f>
        <v>-2.0000000000000018E-3</v>
      </c>
      <c r="AJ181" s="433">
        <f>AJ96-AE96</f>
        <v>-2.0000000000000018E-2</v>
      </c>
      <c r="AK181" s="433">
        <f>AK96-AF96</f>
        <v>-2.0000000000000018E-3</v>
      </c>
      <c r="AL181" s="352"/>
      <c r="AM181" s="433">
        <f>AM96-AH96</f>
        <v>0</v>
      </c>
      <c r="AN181" s="433">
        <f>AN96-AI96</f>
        <v>0</v>
      </c>
      <c r="AO181" s="433">
        <f>AO96-AJ96</f>
        <v>0</v>
      </c>
      <c r="AP181" s="433">
        <f>AP96-AK96</f>
        <v>0</v>
      </c>
      <c r="AQ181" s="352"/>
      <c r="AR181" s="433">
        <f>AR96-AM96</f>
        <v>0</v>
      </c>
      <c r="AS181" s="433">
        <f>AS96-AN96</f>
        <v>0</v>
      </c>
      <c r="AT181" s="433">
        <f>AT96-AO96</f>
        <v>0</v>
      </c>
      <c r="AU181" s="433">
        <f>AU96-AP96</f>
        <v>0</v>
      </c>
    </row>
    <row r="182" spans="1:48" ht="14.7" customHeight="1" x14ac:dyDescent="0.3">
      <c r="A182" s="151"/>
      <c r="B182" s="345" t="s">
        <v>332</v>
      </c>
      <c r="I182" s="433">
        <f>I98-D98</f>
        <v>2.0390621085375864E-3</v>
      </c>
      <c r="J182" s="433">
        <f>J98-E98</f>
        <v>1.0831212552670291E-2</v>
      </c>
      <c r="K182" s="433">
        <f>K98-F98</f>
        <v>2.2648073647997334E-2</v>
      </c>
      <c r="L182" s="433">
        <f>L98-G98</f>
        <v>6.1097815576908361E-3</v>
      </c>
      <c r="N182" s="433">
        <f>N98-I98</f>
        <v>-2.1163871904324831E-3</v>
      </c>
      <c r="O182" s="433">
        <f>O98-J98</f>
        <v>-9.8389084488836806E-3</v>
      </c>
      <c r="P182" s="433">
        <f>P98-K98</f>
        <v>-1.6395762747338002E-2</v>
      </c>
      <c r="Q182" s="433">
        <f>Q98-L98</f>
        <v>-5.6134797444197491E-3</v>
      </c>
      <c r="R182" s="346"/>
      <c r="S182" s="433">
        <f>S98-N98</f>
        <v>1.6279115038060621E-4</v>
      </c>
      <c r="T182" s="433">
        <f>T98-O98</f>
        <v>5.0139473649204631E-3</v>
      </c>
      <c r="U182" s="433">
        <f>U98-P98</f>
        <v>1.4893713799812251E-2</v>
      </c>
      <c r="V182" s="433">
        <f>V98-Q98</f>
        <v>8.7002690753356267E-3</v>
      </c>
      <c r="W182" s="346"/>
      <c r="X182" s="433">
        <f>X98-S98</f>
        <v>0</v>
      </c>
      <c r="Y182" s="433">
        <f>Y98-T98</f>
        <v>0</v>
      </c>
      <c r="Z182" s="433">
        <f>Z98-U98</f>
        <v>-4.9999999999999975E-3</v>
      </c>
      <c r="AA182" s="433">
        <f>AA98-V98</f>
        <v>-5.000000000000001E-3</v>
      </c>
      <c r="AB182" s="352"/>
      <c r="AC182" s="433">
        <f>AC98-X98</f>
        <v>0</v>
      </c>
      <c r="AD182" s="433">
        <f>AD98-Y98</f>
        <v>0</v>
      </c>
      <c r="AE182" s="433">
        <f>AE98-Z98</f>
        <v>-5.000000000000001E-3</v>
      </c>
      <c r="AF182" s="433">
        <f>AF98-AA98</f>
        <v>0</v>
      </c>
      <c r="AG182" s="352"/>
      <c r="AH182" s="433">
        <f>AH98-AC98</f>
        <v>-1.9999999999999983E-3</v>
      </c>
      <c r="AI182" s="433">
        <f>AI98-AD98</f>
        <v>-2.0000000000000018E-3</v>
      </c>
      <c r="AJ182" s="433">
        <f>AJ98-AE98</f>
        <v>-6.0000000000000019E-3</v>
      </c>
      <c r="AK182" s="433">
        <f>AK98-AF98</f>
        <v>-1.9999999999999983E-3</v>
      </c>
      <c r="AL182" s="352"/>
      <c r="AM182" s="433">
        <f>AM98-AH98</f>
        <v>0</v>
      </c>
      <c r="AN182" s="433">
        <f>AN98-AI98</f>
        <v>0</v>
      </c>
      <c r="AO182" s="433">
        <f>AO98-AJ98</f>
        <v>0</v>
      </c>
      <c r="AP182" s="433">
        <f>AP98-AK98</f>
        <v>0</v>
      </c>
      <c r="AQ182" s="352"/>
      <c r="AR182" s="433">
        <f>AR98-AM98</f>
        <v>0</v>
      </c>
      <c r="AS182" s="433">
        <f>AS98-AN98</f>
        <v>0</v>
      </c>
      <c r="AT182" s="433">
        <f>AT98-AO98</f>
        <v>0</v>
      </c>
      <c r="AU182" s="433">
        <f>AU98-AP98</f>
        <v>0</v>
      </c>
    </row>
    <row r="183" spans="1:48" ht="14.7" customHeight="1" x14ac:dyDescent="0.3">
      <c r="A183" s="151"/>
      <c r="B183" s="345" t="s">
        <v>333</v>
      </c>
      <c r="I183" s="433">
        <f>I101-D101</f>
        <v>-3.3045479383600265E-3</v>
      </c>
      <c r="J183" s="433">
        <f>J101-E101</f>
        <v>3.7042692298462979E-3</v>
      </c>
      <c r="K183" s="433">
        <f>K101-F101</f>
        <v>1.5359848866303302E-2</v>
      </c>
      <c r="L183" s="433">
        <f>L101-G101</f>
        <v>3.4981600539174262E-3</v>
      </c>
      <c r="N183" s="433">
        <f>N101-I101</f>
        <v>7.1579044714954673E-3</v>
      </c>
      <c r="O183" s="433">
        <f>O101-J101</f>
        <v>-6.6056085373881468E-3</v>
      </c>
      <c r="P183" s="433">
        <f>P101-K101</f>
        <v>-1.3952202079856098E-2</v>
      </c>
      <c r="Q183" s="433">
        <f>Q101-L101</f>
        <v>-4.5175814670814843E-3</v>
      </c>
      <c r="R183" s="346"/>
      <c r="S183" s="433">
        <f>S101-N101</f>
        <v>-1.2605124458150846E-3</v>
      </c>
      <c r="T183" s="433">
        <f>T101-O101</f>
        <v>-2.780006809811171E-3</v>
      </c>
      <c r="U183" s="433">
        <f>U101-P101</f>
        <v>-4.0374511378418465E-3</v>
      </c>
      <c r="V183" s="433">
        <f>V101-Q101</f>
        <v>7.1575109158830003E-4</v>
      </c>
      <c r="W183" s="346"/>
      <c r="X183" s="433">
        <f>X101-S101</f>
        <v>0</v>
      </c>
      <c r="Y183" s="433">
        <f>Y101-T101</f>
        <v>0</v>
      </c>
      <c r="Z183" s="433">
        <f>Z101-U101</f>
        <v>-4.9999999999999975E-3</v>
      </c>
      <c r="AA183" s="433">
        <f>AA101-V101</f>
        <v>-4.9999999999999975E-3</v>
      </c>
      <c r="AB183" s="352"/>
      <c r="AC183" s="433">
        <f>AC101-X101</f>
        <v>-3.0000000000000027E-3</v>
      </c>
      <c r="AD183" s="433">
        <f>AD101-Y101</f>
        <v>0</v>
      </c>
      <c r="AE183" s="433">
        <f>AE101-Z101</f>
        <v>0</v>
      </c>
      <c r="AF183" s="433">
        <f>AF101-AA101</f>
        <v>0</v>
      </c>
      <c r="AG183" s="352"/>
      <c r="AH183" s="433">
        <f>AH101-AC101</f>
        <v>-2.0000000000000018E-3</v>
      </c>
      <c r="AI183" s="433">
        <f>AI101-AD101</f>
        <v>-2.0000000000000018E-3</v>
      </c>
      <c r="AJ183" s="433">
        <f>AJ101-AE101</f>
        <v>-2.0000000000000018E-3</v>
      </c>
      <c r="AK183" s="433">
        <f>AK101-AF101</f>
        <v>-2.0000000000000018E-3</v>
      </c>
      <c r="AL183" s="352"/>
      <c r="AM183" s="433">
        <f>AM101-AH101</f>
        <v>0</v>
      </c>
      <c r="AN183" s="433">
        <f>AN101-AI101</f>
        <v>0</v>
      </c>
      <c r="AO183" s="433">
        <f>AO101-AJ101</f>
        <v>0</v>
      </c>
      <c r="AP183" s="433">
        <f>AP101-AK101</f>
        <v>0</v>
      </c>
      <c r="AQ183" s="352"/>
      <c r="AR183" s="433">
        <f>AR101-AM101</f>
        <v>0</v>
      </c>
      <c r="AS183" s="433">
        <f>AS101-AN101</f>
        <v>0</v>
      </c>
      <c r="AT183" s="433">
        <f>AT101-AO101</f>
        <v>0</v>
      </c>
      <c r="AU183" s="433">
        <f>AU101-AP101</f>
        <v>0</v>
      </c>
    </row>
    <row r="184" spans="1:48" ht="14.7" customHeight="1" x14ac:dyDescent="0.3">
      <c r="A184" s="151"/>
      <c r="X184" s="154"/>
      <c r="Y184" s="154"/>
      <c r="AC184" s="154"/>
      <c r="AD184" s="154"/>
      <c r="AH184" s="154"/>
      <c r="AI184" s="154"/>
      <c r="AM184" s="154"/>
      <c r="AN184" s="154"/>
      <c r="AR184" s="154"/>
      <c r="AS184" s="154"/>
    </row>
    <row r="185" spans="1:48" s="8" customFormat="1" x14ac:dyDescent="0.3">
      <c r="A185" s="151"/>
      <c r="B185" s="345" t="s">
        <v>334</v>
      </c>
      <c r="I185" s="433">
        <f>I111-D111</f>
        <v>-5.4499013443484179E-3</v>
      </c>
      <c r="J185" s="433">
        <f>J111-E111</f>
        <v>-6.5072665727644585E-3</v>
      </c>
      <c r="K185" s="433">
        <f>K111-F111</f>
        <v>8.0732745327096733E-3</v>
      </c>
      <c r="L185" s="433">
        <f>L111-G111</f>
        <v>-2.8512239648725846E-4</v>
      </c>
      <c r="N185" s="433">
        <f>N111-I111</f>
        <v>-5.6295770302029813E-2</v>
      </c>
      <c r="O185" s="433">
        <f>O111-J111</f>
        <v>-5.0399945129312451E-2</v>
      </c>
      <c r="P185" s="433">
        <f>P111-K111</f>
        <v>-6.7112335850853744E-2</v>
      </c>
      <c r="Q185" s="433">
        <f>Q111-L111</f>
        <v>-7.3337522717080939E-2</v>
      </c>
      <c r="R185" s="346"/>
      <c r="S185" s="433">
        <f>S111-N111</f>
        <v>-8.2275015567009335E-3</v>
      </c>
      <c r="T185" s="433">
        <f>T111-O111</f>
        <v>2.1961732903702735E-2</v>
      </c>
      <c r="U185" s="433">
        <f>U111-P111</f>
        <v>3.1106851202291286E-2</v>
      </c>
      <c r="V185" s="433">
        <f>V111-Q111</f>
        <v>5.6977238962102605E-3</v>
      </c>
      <c r="W185" s="346"/>
      <c r="X185" s="433">
        <f>X111-S111</f>
        <v>1.5000000000000013E-2</v>
      </c>
      <c r="Y185" s="433">
        <f>Y111-T111</f>
        <v>0</v>
      </c>
      <c r="Z185" s="433">
        <f>Z111-U111</f>
        <v>-5.0000000000000044E-3</v>
      </c>
      <c r="AA185" s="433">
        <f>AA111-V111</f>
        <v>-3.0000000000000027E-2</v>
      </c>
      <c r="AB185" s="352"/>
      <c r="AC185" s="433">
        <f>AC111-X111</f>
        <v>0</v>
      </c>
      <c r="AD185" s="433">
        <f>AD111-Y111</f>
        <v>0</v>
      </c>
      <c r="AE185" s="433">
        <f>AE111-Z111</f>
        <v>-2.0000000000000018E-2</v>
      </c>
      <c r="AF185" s="433">
        <f>AF111-AA111</f>
        <v>0</v>
      </c>
      <c r="AG185" s="352"/>
      <c r="AH185" s="433">
        <f>AH111-AC111</f>
        <v>0</v>
      </c>
      <c r="AI185" s="433">
        <f>AI111-AD111</f>
        <v>0</v>
      </c>
      <c r="AJ185" s="433">
        <f>AJ111-AE111</f>
        <v>-1.0000000000000009E-2</v>
      </c>
      <c r="AK185" s="433">
        <f>AK111-AF111</f>
        <v>0</v>
      </c>
      <c r="AL185" s="352"/>
      <c r="AM185" s="433">
        <f>AM111-AH111</f>
        <v>0</v>
      </c>
      <c r="AN185" s="433">
        <f>AN111-AI111</f>
        <v>0</v>
      </c>
      <c r="AO185" s="433">
        <f>AO111-AJ111</f>
        <v>0</v>
      </c>
      <c r="AP185" s="433">
        <f>AP111-AK111</f>
        <v>0</v>
      </c>
      <c r="AQ185" s="352"/>
      <c r="AR185" s="433">
        <f>AR111-AM111</f>
        <v>0</v>
      </c>
      <c r="AS185" s="433">
        <f>AS111-AN111</f>
        <v>0</v>
      </c>
      <c r="AT185" s="433">
        <f>AT111-AO111</f>
        <v>0</v>
      </c>
      <c r="AU185" s="433">
        <f>AU111-AP111</f>
        <v>0</v>
      </c>
    </row>
    <row r="186" spans="1:48" s="8" customFormat="1" x14ac:dyDescent="0.3">
      <c r="A186" s="151"/>
      <c r="B186" s="345" t="s">
        <v>335</v>
      </c>
      <c r="I186" s="433">
        <f>I113-D113</f>
        <v>4.7889381299004233E-3</v>
      </c>
      <c r="J186" s="433">
        <f>J113-E113</f>
        <v>-4.1918205085224938E-3</v>
      </c>
      <c r="K186" s="433">
        <f>K113-F113</f>
        <v>7.7034325041022644E-2</v>
      </c>
      <c r="L186" s="433">
        <f>L113-G113</f>
        <v>-8.2075548527640874E-5</v>
      </c>
      <c r="N186" s="433">
        <f>N113-I113</f>
        <v>-1.1762903656746496E-2</v>
      </c>
      <c r="O186" s="433">
        <f>O113-J113</f>
        <v>1.3175006193523672E-3</v>
      </c>
      <c r="P186" s="433">
        <f>P113-K113</f>
        <v>-0.13882473585474198</v>
      </c>
      <c r="Q186" s="433">
        <f>Q113-L113</f>
        <v>-1.0844701708009816E-3</v>
      </c>
      <c r="R186" s="346"/>
      <c r="S186" s="433">
        <f>S113-N113</f>
        <v>-2.5553392161973866E-3</v>
      </c>
      <c r="T186" s="433">
        <f>T113-O113</f>
        <v>-1.2309816148434665E-2</v>
      </c>
      <c r="U186" s="433">
        <f>U113-P113</f>
        <v>5.2264096219557514E-2</v>
      </c>
      <c r="V186" s="433">
        <f>V113-Q113</f>
        <v>-5.7078651325004406E-3</v>
      </c>
      <c r="W186" s="346"/>
      <c r="X186" s="433">
        <f>X113-S113</f>
        <v>0.02</v>
      </c>
      <c r="Y186" s="433">
        <f>Y113-T113</f>
        <v>0</v>
      </c>
      <c r="Z186" s="433">
        <f>Z113-U113</f>
        <v>-5.000000000000001E-3</v>
      </c>
      <c r="AA186" s="433">
        <f>AA113-V113</f>
        <v>-0.03</v>
      </c>
      <c r="AB186" s="352"/>
      <c r="AC186" s="433">
        <f>AC113-X113</f>
        <v>-0.02</v>
      </c>
      <c r="AD186" s="433">
        <f>AD113-Y113</f>
        <v>0</v>
      </c>
      <c r="AE186" s="433">
        <f>AE113-Z113</f>
        <v>0</v>
      </c>
      <c r="AF186" s="433">
        <f>AF113-AA113</f>
        <v>-0.02</v>
      </c>
      <c r="AG186" s="352"/>
      <c r="AH186" s="433">
        <f>AH113-AC113</f>
        <v>-2.9999999999999992E-3</v>
      </c>
      <c r="AI186" s="433">
        <f>AI113-AD113</f>
        <v>0</v>
      </c>
      <c r="AJ186" s="433">
        <f>AJ113-AE113</f>
        <v>0</v>
      </c>
      <c r="AK186" s="433">
        <f>AK113-AF113</f>
        <v>-4.0000000000000001E-3</v>
      </c>
      <c r="AL186" s="352"/>
      <c r="AM186" s="433">
        <f>AM113-AH113</f>
        <v>0</v>
      </c>
      <c r="AN186" s="433">
        <f>AN113-AI113</f>
        <v>0</v>
      </c>
      <c r="AO186" s="433">
        <f>AO113-AJ113</f>
        <v>0</v>
      </c>
      <c r="AP186" s="433">
        <f>AP113-AK113</f>
        <v>0</v>
      </c>
      <c r="AQ186" s="352"/>
      <c r="AR186" s="433">
        <f>AR113-AM113</f>
        <v>0</v>
      </c>
      <c r="AS186" s="433">
        <f>AS113-AN113</f>
        <v>0</v>
      </c>
      <c r="AT186" s="433">
        <f>AT113-AO113</f>
        <v>0</v>
      </c>
      <c r="AU186" s="433">
        <f>AU113-AP113</f>
        <v>0</v>
      </c>
    </row>
    <row r="187" spans="1:48" s="8" customFormat="1" x14ac:dyDescent="0.3">
      <c r="A187" s="151"/>
      <c r="B187" s="345" t="s">
        <v>336</v>
      </c>
      <c r="I187" s="433">
        <f>I116-D116</f>
        <v>-1.4892507731939352E-3</v>
      </c>
      <c r="J187" s="433">
        <f>J116-E116</f>
        <v>-1.1621012391576837E-3</v>
      </c>
      <c r="K187" s="433">
        <f>K116-F116</f>
        <v>5.2627367010572162E-4</v>
      </c>
      <c r="L187" s="433">
        <f>L116-G116</f>
        <v>2.708281019891557E-4</v>
      </c>
      <c r="N187" s="433">
        <f>N116-I116</f>
        <v>1.0711265947951397E-3</v>
      </c>
      <c r="O187" s="433">
        <f>O116-J116</f>
        <v>4.3866344046189325E-4</v>
      </c>
      <c r="P187" s="433">
        <f>P116-K116</f>
        <v>1.4157408217420463E-3</v>
      </c>
      <c r="Q187" s="433">
        <f>Q116-L116</f>
        <v>2.3693128623915273E-3</v>
      </c>
      <c r="S187" s="433">
        <f>S116-N116</f>
        <v>1.9882391779431439E-3</v>
      </c>
      <c r="T187" s="433">
        <f>T116-O116</f>
        <v>-8.1949465585923805E-4</v>
      </c>
      <c r="U187" s="433">
        <f>U116-P116</f>
        <v>-2.2101675866256984E-3</v>
      </c>
      <c r="V187" s="433">
        <f>V116-Q116</f>
        <v>7.190844057926556E-4</v>
      </c>
      <c r="X187" s="433">
        <f>X116-S116</f>
        <v>0</v>
      </c>
      <c r="Y187" s="433">
        <f>Y116-T116</f>
        <v>0</v>
      </c>
      <c r="Z187" s="433">
        <f>Z116-U116</f>
        <v>0</v>
      </c>
      <c r="AA187" s="433">
        <f>AA116-V116</f>
        <v>0</v>
      </c>
      <c r="AC187" s="433">
        <f>AC116-X116</f>
        <v>0</v>
      </c>
      <c r="AD187" s="433">
        <f>AD116-Y116</f>
        <v>0</v>
      </c>
      <c r="AE187" s="433">
        <f>AE116-Z116</f>
        <v>0</v>
      </c>
      <c r="AF187" s="433">
        <f>AF116-AA116</f>
        <v>0</v>
      </c>
      <c r="AH187" s="433">
        <f>AH116-AC116</f>
        <v>0</v>
      </c>
      <c r="AI187" s="433">
        <f>AI116-AD116</f>
        <v>0</v>
      </c>
      <c r="AJ187" s="433">
        <f>AJ116-AE116</f>
        <v>0</v>
      </c>
      <c r="AK187" s="433">
        <f>AK116-AF116</f>
        <v>0</v>
      </c>
      <c r="AM187" s="433">
        <f>AM116-AH116</f>
        <v>0</v>
      </c>
      <c r="AN187" s="433">
        <f>AN116-AI116</f>
        <v>0</v>
      </c>
      <c r="AO187" s="433">
        <f>AO116-AJ116</f>
        <v>0</v>
      </c>
      <c r="AP187" s="433">
        <f>AP116-AK116</f>
        <v>0</v>
      </c>
      <c r="AR187" s="433">
        <f>AR116-AM116</f>
        <v>0</v>
      </c>
      <c r="AS187" s="433">
        <f>AS116-AN116</f>
        <v>0</v>
      </c>
      <c r="AT187" s="433">
        <f>AT116-AO116</f>
        <v>0</v>
      </c>
      <c r="AU187" s="433">
        <f>AU116-AP116</f>
        <v>0</v>
      </c>
    </row>
    <row r="188" spans="1:48" s="8" customFormat="1" x14ac:dyDescent="0.3">
      <c r="A188" s="151"/>
    </row>
    <row r="189" spans="1:48" x14ac:dyDescent="0.3">
      <c r="A189" s="151"/>
    </row>
    <row r="190" spans="1:48" x14ac:dyDescent="0.3">
      <c r="A190" s="151"/>
    </row>
    <row r="191" spans="1:48" x14ac:dyDescent="0.3">
      <c r="A191" s="151"/>
      <c r="AC191" s="47"/>
      <c r="AD191" s="47"/>
      <c r="AE191" s="47"/>
      <c r="AF191" s="47"/>
      <c r="AG191" s="48"/>
      <c r="AH191" s="47"/>
      <c r="AI191" s="47"/>
      <c r="AJ191" s="47"/>
      <c r="AK191" s="47"/>
      <c r="AL191" s="48"/>
      <c r="AM191" s="47"/>
      <c r="AN191" s="47"/>
      <c r="AO191" s="47"/>
      <c r="AP191" s="47"/>
      <c r="AQ191" s="48"/>
      <c r="AR191" s="47"/>
      <c r="AS191" s="47"/>
      <c r="AT191" s="47"/>
      <c r="AU191" s="47"/>
      <c r="AV191" s="48"/>
    </row>
    <row r="192" spans="1:48" s="23" customFormat="1" x14ac:dyDescent="0.3">
      <c r="A192" s="151"/>
      <c r="AC192" s="369"/>
      <c r="AD192" s="369"/>
      <c r="AE192" s="369"/>
      <c r="AF192" s="369"/>
      <c r="AG192" s="369"/>
      <c r="AH192" s="369"/>
      <c r="AI192" s="369"/>
      <c r="AJ192" s="369"/>
      <c r="AK192" s="369"/>
      <c r="AL192" s="369"/>
      <c r="AM192" s="369"/>
      <c r="AN192" s="369"/>
      <c r="AO192" s="369"/>
      <c r="AP192" s="369"/>
      <c r="AQ192" s="369"/>
      <c r="AR192" s="369"/>
      <c r="AS192" s="369"/>
      <c r="AT192" s="369"/>
      <c r="AU192" s="369"/>
      <c r="AV192" s="369"/>
    </row>
    <row r="193" spans="1:48" x14ac:dyDescent="0.3">
      <c r="A193" s="151"/>
      <c r="AC193" s="370"/>
      <c r="AD193" s="370"/>
      <c r="AE193" s="370"/>
      <c r="AF193" s="370"/>
      <c r="AG193" s="370"/>
      <c r="AH193" s="370"/>
      <c r="AI193" s="370"/>
      <c r="AJ193" s="370"/>
      <c r="AK193" s="370"/>
      <c r="AL193" s="370"/>
      <c r="AM193" s="370"/>
      <c r="AN193" s="370"/>
      <c r="AO193" s="370"/>
      <c r="AP193" s="370"/>
      <c r="AQ193" s="370"/>
      <c r="AR193" s="370"/>
      <c r="AS193" s="370"/>
      <c r="AT193" s="370"/>
      <c r="AU193" s="370"/>
      <c r="AV193" s="370"/>
    </row>
    <row r="194" spans="1:48" x14ac:dyDescent="0.3">
      <c r="A194" s="151"/>
      <c r="AE194" s="1"/>
      <c r="AF194" s="1"/>
      <c r="AG194" s="1"/>
      <c r="AJ194" s="1"/>
      <c r="AK194" s="1"/>
      <c r="AL194" s="1"/>
      <c r="AO194" s="1"/>
      <c r="AP194" s="1"/>
      <c r="AQ194" s="1"/>
      <c r="AT194" s="1"/>
      <c r="AU194" s="1"/>
      <c r="AV194" s="1"/>
    </row>
    <row r="195" spans="1:48" x14ac:dyDescent="0.3">
      <c r="A195" s="151"/>
    </row>
    <row r="196" spans="1:48" x14ac:dyDescent="0.3">
      <c r="A196" s="151"/>
    </row>
    <row r="197" spans="1:48" x14ac:dyDescent="0.3">
      <c r="A197" s="151"/>
    </row>
    <row r="198" spans="1:48" x14ac:dyDescent="0.3">
      <c r="A198" s="151"/>
    </row>
    <row r="199" spans="1:48" x14ac:dyDescent="0.3">
      <c r="A199" s="151"/>
    </row>
    <row r="200" spans="1:48" x14ac:dyDescent="0.3">
      <c r="A200" s="151"/>
    </row>
    <row r="201" spans="1:48" x14ac:dyDescent="0.3">
      <c r="A201" s="151"/>
    </row>
    <row r="202" spans="1:48" x14ac:dyDescent="0.3">
      <c r="A202" s="151"/>
    </row>
    <row r="203" spans="1:48" x14ac:dyDescent="0.3">
      <c r="A203" s="151"/>
    </row>
    <row r="204" spans="1:48" ht="15.75" customHeight="1" x14ac:dyDescent="0.3">
      <c r="A204" s="151"/>
    </row>
    <row r="205" spans="1:48" x14ac:dyDescent="0.3">
      <c r="A205" s="151"/>
    </row>
    <row r="218" s="23" customFormat="1" x14ac:dyDescent="0.3"/>
    <row r="220" s="23" customFormat="1" x14ac:dyDescent="0.3"/>
    <row r="221" s="23" customFormat="1" x14ac:dyDescent="0.3"/>
    <row r="222" s="23" customFormat="1" x14ac:dyDescent="0.3"/>
    <row r="223" s="23" customFormat="1" x14ac:dyDescent="0.3"/>
    <row r="224" s="23" customFormat="1" x14ac:dyDescent="0.3"/>
    <row r="225" spans="2:7" s="23" customFormat="1" x14ac:dyDescent="0.3"/>
    <row r="226" spans="2:7" s="23" customFormat="1" x14ac:dyDescent="0.3"/>
    <row r="227" spans="2:7" s="23" customFormat="1" x14ac:dyDescent="0.3"/>
    <row r="229" spans="2:7" x14ac:dyDescent="0.3">
      <c r="B229" s="7"/>
      <c r="C229" s="7"/>
      <c r="D229" s="4"/>
      <c r="E229" s="4"/>
      <c r="F229" s="4"/>
      <c r="G229" s="4"/>
    </row>
    <row r="269" s="23" customFormat="1" x14ac:dyDescent="0.3"/>
    <row r="270" s="23" customFormat="1" x14ac:dyDescent="0.3"/>
    <row r="271" s="23" customFormat="1" x14ac:dyDescent="0.3"/>
    <row r="280" spans="4:48" s="23" customFormat="1" x14ac:dyDescent="0.3"/>
    <row r="281" spans="4:48" s="23" customFormat="1" x14ac:dyDescent="0.3"/>
    <row r="282" spans="4:48" s="23" customFormat="1" x14ac:dyDescent="0.3"/>
    <row r="284" spans="4:48" s="58" customFormat="1" x14ac:dyDescent="0.3"/>
    <row r="285" spans="4:48" x14ac:dyDescent="0.3">
      <c r="D285" s="10"/>
      <c r="E285" s="10"/>
      <c r="F285" s="10"/>
      <c r="G285" s="10"/>
      <c r="H285" s="10"/>
      <c r="I285" s="10"/>
      <c r="J285" s="10"/>
      <c r="K285" s="10"/>
      <c r="L285" s="10"/>
      <c r="M285" s="10"/>
      <c r="N285" s="10"/>
      <c r="O285" s="10"/>
      <c r="P285" s="10"/>
      <c r="Q285" s="10"/>
      <c r="R285" s="10"/>
      <c r="S285" s="10"/>
      <c r="T285" s="10"/>
      <c r="U285" s="10"/>
      <c r="V285" s="10"/>
      <c r="W285" s="10"/>
      <c r="X285" s="10"/>
      <c r="AC285" s="10"/>
      <c r="AD285" s="10"/>
      <c r="AE285" s="10"/>
      <c r="AF285" s="10"/>
      <c r="AG285" s="10"/>
      <c r="AH285" s="10"/>
      <c r="AI285" s="10"/>
      <c r="AJ285" s="10"/>
      <c r="AK285" s="10"/>
      <c r="AL285" s="10"/>
      <c r="AM285" s="10"/>
      <c r="AN285" s="10"/>
      <c r="AO285" s="10"/>
      <c r="AP285" s="10"/>
      <c r="AQ285" s="10"/>
      <c r="AR285" s="10"/>
      <c r="AS285" s="10"/>
      <c r="AT285" s="10"/>
      <c r="AU285" s="10"/>
      <c r="AV285" s="10"/>
    </row>
    <row r="286" spans="4:48" x14ac:dyDescent="0.3">
      <c r="D286" s="153"/>
      <c r="E286" s="5"/>
      <c r="F286" s="5"/>
      <c r="G286" s="5"/>
      <c r="H286" s="5"/>
      <c r="I286" s="5"/>
      <c r="J286" s="5"/>
      <c r="K286" s="5"/>
      <c r="L286" s="5"/>
      <c r="M286" s="5"/>
      <c r="N286" s="5"/>
      <c r="O286" s="5"/>
      <c r="P286" s="5"/>
      <c r="Q286" s="5"/>
      <c r="R286" s="5"/>
      <c r="S286" s="5"/>
      <c r="T286" s="5"/>
      <c r="U286" s="5"/>
      <c r="V286" s="5"/>
      <c r="W286" s="5"/>
      <c r="X286" s="5"/>
      <c r="AC286" s="5"/>
      <c r="AD286" s="5"/>
      <c r="AE286" s="5"/>
      <c r="AF286" s="5"/>
      <c r="AG286" s="5"/>
      <c r="AH286" s="5"/>
      <c r="AI286" s="5"/>
      <c r="AJ286" s="5"/>
      <c r="AK286" s="5"/>
      <c r="AL286" s="5"/>
      <c r="AM286" s="5"/>
      <c r="AN286" s="5"/>
      <c r="AO286" s="5"/>
      <c r="AP286" s="5"/>
      <c r="AQ286" s="5"/>
      <c r="AR286" s="5"/>
      <c r="AS286" s="5"/>
      <c r="AT286" s="5"/>
      <c r="AU286" s="5"/>
      <c r="AV286" s="5"/>
    </row>
    <row r="287" spans="4:48" x14ac:dyDescent="0.3">
      <c r="D287" s="154"/>
    </row>
    <row r="288" spans="4:48" x14ac:dyDescent="0.3">
      <c r="D288" s="154"/>
    </row>
    <row r="289" spans="4:48" x14ac:dyDescent="0.3">
      <c r="D289" s="154"/>
    </row>
    <row r="290" spans="4:48" x14ac:dyDescent="0.3">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row>
    <row r="292" spans="4:48" ht="15" customHeight="1" x14ac:dyDescent="0.3"/>
    <row r="294" spans="4:48" x14ac:dyDescent="0.3">
      <c r="D294" s="153"/>
    </row>
    <row r="295" spans="4:48" x14ac:dyDescent="0.3">
      <c r="D295" s="154"/>
    </row>
    <row r="296" spans="4:48" x14ac:dyDescent="0.3">
      <c r="D296" s="154"/>
    </row>
    <row r="297" spans="4:48" x14ac:dyDescent="0.3">
      <c r="D297" s="154"/>
    </row>
    <row r="298" spans="4:48" x14ac:dyDescent="0.3">
      <c r="D298" s="154"/>
    </row>
    <row r="299" spans="4:48" x14ac:dyDescent="0.3">
      <c r="D299" s="154"/>
    </row>
    <row r="300" spans="4:48" x14ac:dyDescent="0.3">
      <c r="D300" s="154"/>
    </row>
    <row r="301" spans="4:48" x14ac:dyDescent="0.3">
      <c r="D301" s="154"/>
    </row>
    <row r="302" spans="4:48" x14ac:dyDescent="0.3">
      <c r="D302" s="154"/>
    </row>
    <row r="303" spans="4:48" x14ac:dyDescent="0.3">
      <c r="D303" s="154"/>
    </row>
    <row r="304" spans="4:48" x14ac:dyDescent="0.3">
      <c r="D304" s="154"/>
    </row>
    <row r="305" spans="4:4" x14ac:dyDescent="0.3">
      <c r="D305" s="154"/>
    </row>
    <row r="306" spans="4:4" x14ac:dyDescent="0.3">
      <c r="D306" s="154"/>
    </row>
    <row r="307" spans="4:4" x14ac:dyDescent="0.3">
      <c r="D307" s="154"/>
    </row>
    <row r="308" spans="4:4" x14ac:dyDescent="0.3">
      <c r="D308" s="154"/>
    </row>
    <row r="309" spans="4:4" x14ac:dyDescent="0.3">
      <c r="D309" s="154"/>
    </row>
    <row r="310" spans="4:4" x14ac:dyDescent="0.3">
      <c r="D310" s="154"/>
    </row>
    <row r="311" spans="4:4" x14ac:dyDescent="0.3">
      <c r="D311" s="154"/>
    </row>
    <row r="312" spans="4:4" x14ac:dyDescent="0.3">
      <c r="D312" s="154"/>
    </row>
    <row r="313" spans="4:4" x14ac:dyDescent="0.3">
      <c r="D313" s="154"/>
    </row>
    <row r="314" spans="4:4" x14ac:dyDescent="0.3">
      <c r="D314" s="154"/>
    </row>
    <row r="315" spans="4:4" x14ac:dyDescent="0.3">
      <c r="D315" s="154"/>
    </row>
  </sheetData>
  <autoFilter ref="B1:B315" xr:uid="{DC23D3D9-0588-4256-9EDC-ABBB26AECC8D}"/>
  <dataConsolidate/>
  <mergeCells count="61">
    <mergeCell ref="B172:C172"/>
    <mergeCell ref="B156:C156"/>
    <mergeCell ref="B157:C157"/>
    <mergeCell ref="B158:C158"/>
    <mergeCell ref="B162:C162"/>
    <mergeCell ref="B163:C163"/>
    <mergeCell ref="B165:C165"/>
    <mergeCell ref="B155:C155"/>
    <mergeCell ref="B140:C140"/>
    <mergeCell ref="B141:C141"/>
    <mergeCell ref="B142:C142"/>
    <mergeCell ref="B143:C143"/>
    <mergeCell ref="B144:C144"/>
    <mergeCell ref="B145:C145"/>
    <mergeCell ref="B150:C150"/>
    <mergeCell ref="B151:C151"/>
    <mergeCell ref="B152:C152"/>
    <mergeCell ref="B153:C153"/>
    <mergeCell ref="B154:C154"/>
    <mergeCell ref="B138:C138"/>
    <mergeCell ref="B87:C87"/>
    <mergeCell ref="B88:C88"/>
    <mergeCell ref="B92:C92"/>
    <mergeCell ref="B93:C93"/>
    <mergeCell ref="B107:C107"/>
    <mergeCell ref="B108:C108"/>
    <mergeCell ref="B110:C110"/>
    <mergeCell ref="B122:C122"/>
    <mergeCell ref="B123:C123"/>
    <mergeCell ref="B125:C125"/>
    <mergeCell ref="B132:C132"/>
    <mergeCell ref="B83:C83"/>
    <mergeCell ref="B40:C40"/>
    <mergeCell ref="B41:C41"/>
    <mergeCell ref="B45:C45"/>
    <mergeCell ref="B50:C50"/>
    <mergeCell ref="B54:C54"/>
    <mergeCell ref="B55:C55"/>
    <mergeCell ref="B59:C59"/>
    <mergeCell ref="B60:C60"/>
    <mergeCell ref="B73:C73"/>
    <mergeCell ref="B74:C74"/>
    <mergeCell ref="B78:C78"/>
    <mergeCell ref="B39:C39"/>
    <mergeCell ref="B8:C8"/>
    <mergeCell ref="B9:C9"/>
    <mergeCell ref="B16:C16"/>
    <mergeCell ref="B23:C23"/>
    <mergeCell ref="B24:C24"/>
    <mergeCell ref="B25:C25"/>
    <mergeCell ref="B30:C30"/>
    <mergeCell ref="B31:C31"/>
    <mergeCell ref="B32:C32"/>
    <mergeCell ref="B33:C33"/>
    <mergeCell ref="B38:C38"/>
    <mergeCell ref="B7:C7"/>
    <mergeCell ref="A3:A4"/>
    <mergeCell ref="B3:C3"/>
    <mergeCell ref="B4:C4"/>
    <mergeCell ref="B5:C5"/>
    <mergeCell ref="B6:C6"/>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F78F-C1BB-4315-AD80-B453B99F8FC9}">
  <sheetPr>
    <pageSetUpPr fitToPage="1"/>
  </sheetPr>
  <dimension ref="A1:AV67"/>
  <sheetViews>
    <sheetView showGridLines="0" zoomScale="70" zoomScaleNormal="70" workbookViewId="0">
      <pane xSplit="3" ySplit="5" topLeftCell="W6" activePane="bottomRight" state="frozen"/>
      <selection activeCell="X5" sqref="X5"/>
      <selection pane="topRight" activeCell="X5" sqref="X5"/>
      <selection pane="bottomLeft" activeCell="X5" sqref="X5"/>
      <selection pane="bottomRight" activeCell="X11" sqref="X11"/>
    </sheetView>
  </sheetViews>
  <sheetFormatPr defaultColWidth="8.88671875" defaultRowHeight="14.4" outlineLevelRow="1" outlineLevelCol="1" x14ac:dyDescent="0.3"/>
  <cols>
    <col min="1" max="1" width="2" style="2" customWidth="1"/>
    <col min="2" max="2" width="39" style="2" customWidth="1"/>
    <col min="3" max="3" width="10"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24" t="s">
        <v>207</v>
      </c>
      <c r="D1" s="42"/>
      <c r="E1" s="139"/>
      <c r="F1" s="139"/>
      <c r="G1" s="139"/>
      <c r="H1" s="139"/>
      <c r="I1" s="204"/>
      <c r="J1" s="204"/>
      <c r="K1" s="204"/>
      <c r="L1" s="204"/>
      <c r="M1" s="152"/>
      <c r="N1" s="204"/>
      <c r="O1" s="204"/>
      <c r="P1" s="204"/>
      <c r="Q1" s="204"/>
      <c r="R1" s="184"/>
      <c r="S1" s="204"/>
      <c r="T1" s="204"/>
      <c r="U1" s="204"/>
      <c r="V1" s="204"/>
      <c r="W1" s="184"/>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row>
    <row r="2" spans="1:48" ht="5.4" customHeight="1" x14ac:dyDescent="0.3">
      <c r="B2" s="89"/>
      <c r="D2" s="42"/>
      <c r="E2" s="139"/>
      <c r="F2" s="139"/>
      <c r="G2" s="139"/>
      <c r="H2" s="139"/>
      <c r="I2" s="204"/>
      <c r="J2" s="204"/>
      <c r="K2" s="204"/>
      <c r="L2" s="204"/>
      <c r="M2" s="152"/>
      <c r="N2" s="204"/>
      <c r="O2" s="204"/>
      <c r="P2" s="204"/>
      <c r="Q2" s="204"/>
      <c r="R2" s="184"/>
      <c r="S2" s="204"/>
      <c r="T2" s="204"/>
      <c r="U2" s="204"/>
      <c r="V2" s="204"/>
      <c r="W2" s="184"/>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row>
    <row r="3" spans="1:48" ht="15.6" x14ac:dyDescent="0.3">
      <c r="B3" s="514" t="s">
        <v>246</v>
      </c>
      <c r="C3" s="515"/>
      <c r="D3" s="13" t="s">
        <v>15</v>
      </c>
      <c r="E3" s="13" t="s">
        <v>79</v>
      </c>
      <c r="F3" s="13" t="s">
        <v>81</v>
      </c>
      <c r="G3" s="13" t="s">
        <v>144</v>
      </c>
      <c r="H3" s="36" t="s">
        <v>144</v>
      </c>
      <c r="I3" s="13" t="s">
        <v>143</v>
      </c>
      <c r="J3" s="13" t="s">
        <v>142</v>
      </c>
      <c r="K3" s="13" t="s">
        <v>141</v>
      </c>
      <c r="L3" s="13" t="s">
        <v>138</v>
      </c>
      <c r="M3" s="36" t="s">
        <v>138</v>
      </c>
      <c r="N3" s="13" t="s">
        <v>145</v>
      </c>
      <c r="O3" s="13" t="s">
        <v>153</v>
      </c>
      <c r="P3" s="13" t="s">
        <v>155</v>
      </c>
      <c r="Q3" s="13" t="s">
        <v>168</v>
      </c>
      <c r="R3" s="36" t="s">
        <v>168</v>
      </c>
      <c r="S3" s="13" t="s">
        <v>184</v>
      </c>
      <c r="T3" s="13" t="s">
        <v>187</v>
      </c>
      <c r="U3" s="13" t="s">
        <v>200</v>
      </c>
      <c r="V3" s="13" t="s">
        <v>323</v>
      </c>
      <c r="W3" s="36" t="s">
        <v>323</v>
      </c>
      <c r="X3" s="15" t="s">
        <v>20</v>
      </c>
      <c r="Y3" s="15" t="s">
        <v>21</v>
      </c>
      <c r="Z3" s="15" t="s">
        <v>22</v>
      </c>
      <c r="AA3" s="15" t="s">
        <v>23</v>
      </c>
      <c r="AB3" s="38" t="s">
        <v>23</v>
      </c>
      <c r="AC3" s="15" t="s">
        <v>83</v>
      </c>
      <c r="AD3" s="15" t="s">
        <v>84</v>
      </c>
      <c r="AE3" s="15" t="s">
        <v>85</v>
      </c>
      <c r="AF3" s="15" t="s">
        <v>86</v>
      </c>
      <c r="AG3" s="38" t="s">
        <v>86</v>
      </c>
      <c r="AH3" s="15" t="s">
        <v>102</v>
      </c>
      <c r="AI3" s="15" t="s">
        <v>103</v>
      </c>
      <c r="AJ3" s="15" t="s">
        <v>104</v>
      </c>
      <c r="AK3" s="15" t="s">
        <v>105</v>
      </c>
      <c r="AL3" s="38" t="s">
        <v>105</v>
      </c>
      <c r="AM3" s="15" t="s">
        <v>157</v>
      </c>
      <c r="AN3" s="15" t="s">
        <v>158</v>
      </c>
      <c r="AO3" s="15" t="s">
        <v>159</v>
      </c>
      <c r="AP3" s="15" t="s">
        <v>160</v>
      </c>
      <c r="AQ3" s="38" t="s">
        <v>160</v>
      </c>
      <c r="AR3" s="15" t="s">
        <v>188</v>
      </c>
      <c r="AS3" s="15" t="s">
        <v>189</v>
      </c>
      <c r="AT3" s="15" t="s">
        <v>190</v>
      </c>
      <c r="AU3" s="15" t="s">
        <v>191</v>
      </c>
      <c r="AV3" s="38" t="s">
        <v>191</v>
      </c>
    </row>
    <row r="4" spans="1:48" ht="16.2" x14ac:dyDescent="0.45">
      <c r="B4" s="236" t="s">
        <v>3</v>
      </c>
      <c r="C4" s="237"/>
      <c r="D4" s="14" t="s">
        <v>19</v>
      </c>
      <c r="E4" s="14" t="s">
        <v>78</v>
      </c>
      <c r="F4" s="14" t="s">
        <v>82</v>
      </c>
      <c r="G4" s="14" t="s">
        <v>92</v>
      </c>
      <c r="H4" s="37" t="s">
        <v>93</v>
      </c>
      <c r="I4" s="14" t="s">
        <v>94</v>
      </c>
      <c r="J4" s="14" t="s">
        <v>95</v>
      </c>
      <c r="K4" s="14" t="s">
        <v>96</v>
      </c>
      <c r="L4" s="14" t="s">
        <v>139</v>
      </c>
      <c r="M4" s="37" t="s">
        <v>140</v>
      </c>
      <c r="N4" s="14" t="s">
        <v>146</v>
      </c>
      <c r="O4" s="14" t="s">
        <v>154</v>
      </c>
      <c r="P4" s="14" t="s">
        <v>156</v>
      </c>
      <c r="Q4" s="14" t="s">
        <v>169</v>
      </c>
      <c r="R4" s="37" t="s">
        <v>170</v>
      </c>
      <c r="S4" s="14" t="s">
        <v>185</v>
      </c>
      <c r="T4" s="14" t="s">
        <v>186</v>
      </c>
      <c r="U4" s="14" t="s">
        <v>201</v>
      </c>
      <c r="V4" s="14" t="s">
        <v>324</v>
      </c>
      <c r="W4" s="37" t="s">
        <v>325</v>
      </c>
      <c r="X4" s="12" t="s">
        <v>24</v>
      </c>
      <c r="Y4" s="12" t="s">
        <v>25</v>
      </c>
      <c r="Z4" s="12" t="s">
        <v>26</v>
      </c>
      <c r="AA4" s="12" t="s">
        <v>27</v>
      </c>
      <c r="AB4" s="39" t="s">
        <v>28</v>
      </c>
      <c r="AC4" s="12" t="s">
        <v>87</v>
      </c>
      <c r="AD4" s="12" t="s">
        <v>88</v>
      </c>
      <c r="AE4" s="12" t="s">
        <v>89</v>
      </c>
      <c r="AF4" s="12" t="s">
        <v>90</v>
      </c>
      <c r="AG4" s="39" t="s">
        <v>91</v>
      </c>
      <c r="AH4" s="12" t="s">
        <v>106</v>
      </c>
      <c r="AI4" s="12" t="s">
        <v>107</v>
      </c>
      <c r="AJ4" s="12" t="s">
        <v>108</v>
      </c>
      <c r="AK4" s="12" t="s">
        <v>109</v>
      </c>
      <c r="AL4" s="39" t="s">
        <v>110</v>
      </c>
      <c r="AM4" s="12" t="s">
        <v>161</v>
      </c>
      <c r="AN4" s="12" t="s">
        <v>162</v>
      </c>
      <c r="AO4" s="12" t="s">
        <v>163</v>
      </c>
      <c r="AP4" s="12" t="s">
        <v>164</v>
      </c>
      <c r="AQ4" s="39" t="s">
        <v>165</v>
      </c>
      <c r="AR4" s="12" t="s">
        <v>192</v>
      </c>
      <c r="AS4" s="12" t="s">
        <v>193</v>
      </c>
      <c r="AT4" s="12" t="s">
        <v>194</v>
      </c>
      <c r="AU4" s="12" t="s">
        <v>195</v>
      </c>
      <c r="AV4" s="39" t="s">
        <v>196</v>
      </c>
    </row>
    <row r="5" spans="1:48" ht="14.7" customHeight="1" x14ac:dyDescent="0.3">
      <c r="B5" s="514" t="s">
        <v>208</v>
      </c>
      <c r="C5" s="515"/>
      <c r="D5" s="13"/>
      <c r="E5" s="13"/>
      <c r="F5" s="13"/>
      <c r="G5" s="242"/>
      <c r="H5" s="243"/>
      <c r="I5" s="242"/>
      <c r="J5" s="13"/>
      <c r="K5" s="13"/>
      <c r="L5" s="242"/>
      <c r="M5" s="243"/>
      <c r="N5" s="242"/>
      <c r="O5" s="13"/>
      <c r="P5" s="13"/>
      <c r="Q5" s="242"/>
      <c r="R5" s="243"/>
      <c r="S5" s="242"/>
      <c r="T5" s="13"/>
      <c r="U5" s="13"/>
      <c r="V5" s="242"/>
      <c r="W5" s="243"/>
      <c r="X5" s="15"/>
      <c r="Y5" s="15"/>
      <c r="Z5" s="15"/>
      <c r="AA5" s="15"/>
      <c r="AB5" s="38"/>
      <c r="AC5" s="15"/>
      <c r="AD5" s="15"/>
      <c r="AE5" s="15"/>
      <c r="AF5" s="15"/>
      <c r="AG5" s="38"/>
      <c r="AH5" s="15"/>
      <c r="AI5" s="15"/>
      <c r="AJ5" s="15"/>
      <c r="AK5" s="15"/>
      <c r="AL5" s="38"/>
      <c r="AM5" s="15"/>
      <c r="AN5" s="15"/>
      <c r="AO5" s="15"/>
      <c r="AP5" s="15"/>
      <c r="AQ5" s="38"/>
      <c r="AR5" s="15"/>
      <c r="AS5" s="15"/>
      <c r="AT5" s="15"/>
      <c r="AU5" s="15"/>
      <c r="AV5" s="38"/>
    </row>
    <row r="6" spans="1:48" ht="14.7" customHeight="1" outlineLevel="1" x14ac:dyDescent="0.3">
      <c r="B6" s="511" t="s">
        <v>209</v>
      </c>
      <c r="C6" s="512"/>
      <c r="D6" s="16">
        <f>'Cash Flow Statement'!D41</f>
        <v>4761.6000000000004</v>
      </c>
      <c r="E6" s="16">
        <f>'Cash Flow Statement'!E41</f>
        <v>2055.1000000000004</v>
      </c>
      <c r="F6" s="16">
        <f>'Cash Flow Statement'!F41</f>
        <v>4763.4000000000015</v>
      </c>
      <c r="G6" s="91">
        <f>'Cash Flow Statement'!G41</f>
        <v>2686.6000000000022</v>
      </c>
      <c r="H6" s="17">
        <f>G6</f>
        <v>2686.6000000000022</v>
      </c>
      <c r="I6" s="16">
        <f>'Cash Flow Statement'!I41</f>
        <v>3040.5000000000036</v>
      </c>
      <c r="J6" s="16">
        <f>'Cash Flow Statement'!J41</f>
        <v>2572.3000000000029</v>
      </c>
      <c r="K6" s="16">
        <f>'Cash Flow Statement'!K41</f>
        <v>3965.9000000000042</v>
      </c>
      <c r="L6" s="91">
        <f>'Cash Flow Statement'!L41</f>
        <v>4350.900000000006</v>
      </c>
      <c r="M6" s="17">
        <f>L6</f>
        <v>4350.900000000006</v>
      </c>
      <c r="N6" s="16">
        <f>'Cash Flow Statement'!N41</f>
        <v>5028.00000000001</v>
      </c>
      <c r="O6" s="16">
        <f>'Cash Flow Statement'!O41</f>
        <v>3880.6000000000104</v>
      </c>
      <c r="P6" s="16">
        <f>'Cash Flow Statement'!P41</f>
        <v>4753.1000000000095</v>
      </c>
      <c r="Q6" s="16">
        <f>'Cash Flow Statement'!Q41</f>
        <v>6455.7000000000089</v>
      </c>
      <c r="R6" s="17">
        <f>Q6</f>
        <v>6455.7000000000089</v>
      </c>
      <c r="S6" s="16">
        <f>'Cash Flow Statement'!S41</f>
        <v>3969.4000000000078</v>
      </c>
      <c r="T6" s="16">
        <f>'Cash Flow Statement'!T41</f>
        <v>3913.4000000000083</v>
      </c>
      <c r="U6" s="16">
        <f>'Cash Flow Statement'!U41</f>
        <v>3177.5000000000073</v>
      </c>
      <c r="V6" s="16">
        <f>'Cash Flow Statement'!V41</f>
        <v>2818.3000000000061</v>
      </c>
      <c r="W6" s="17">
        <f>V6</f>
        <v>2818.3000000000061</v>
      </c>
      <c r="X6" s="91">
        <f>'Cash Flow Statement'!X41</f>
        <v>4101.4482397020165</v>
      </c>
      <c r="Y6" s="91">
        <f>'Cash Flow Statement'!Y41</f>
        <v>3626.1050437460658</v>
      </c>
      <c r="Z6" s="91">
        <f>'Cash Flow Statement'!Z41</f>
        <v>3180.691558713932</v>
      </c>
      <c r="AA6" s="91">
        <f>'Cash Flow Statement'!AA41</f>
        <v>3675.637279985131</v>
      </c>
      <c r="AB6" s="159">
        <f>AA6</f>
        <v>3675.637279985131</v>
      </c>
      <c r="AC6" s="91">
        <f>'Cash Flow Statement'!AC41</f>
        <v>4879.1560677755597</v>
      </c>
      <c r="AD6" s="91">
        <f>'Cash Flow Statement'!AD41</f>
        <v>4714.9214504743259</v>
      </c>
      <c r="AE6" s="91">
        <f>'Cash Flow Statement'!AE41</f>
        <v>4648.6174001260715</v>
      </c>
      <c r="AF6" s="91">
        <f>'Cash Flow Statement'!AF41</f>
        <v>4934.2943152242442</v>
      </c>
      <c r="AG6" s="159">
        <f t="shared" ref="AG6" si="0">AF6</f>
        <v>4934.2943152242442</v>
      </c>
      <c r="AH6" s="91">
        <f>'Cash Flow Statement'!AH41</f>
        <v>5789.8713497448462</v>
      </c>
      <c r="AI6" s="91">
        <f>'Cash Flow Statement'!AI41</f>
        <v>5336.3708730545768</v>
      </c>
      <c r="AJ6" s="91">
        <f>'Cash Flow Statement'!AJ41</f>
        <v>5590.1677436553045</v>
      </c>
      <c r="AK6" s="91">
        <f>'Cash Flow Statement'!AK41</f>
        <v>795.65748676550629</v>
      </c>
      <c r="AL6" s="159">
        <f t="shared" ref="AL6" si="1">AK6</f>
        <v>795.65748676550629</v>
      </c>
      <c r="AM6" s="91">
        <f>'Cash Flow Statement'!AM41</f>
        <v>2276.0885512403479</v>
      </c>
      <c r="AN6" s="91">
        <f>'Cash Flow Statement'!AN41</f>
        <v>1935.1786954246281</v>
      </c>
      <c r="AO6" s="91">
        <f>'Cash Flow Statement'!AO41</f>
        <v>2079.8938686619372</v>
      </c>
      <c r="AP6" s="91">
        <f>'Cash Flow Statement'!AP41</f>
        <v>2674.9485890347755</v>
      </c>
      <c r="AQ6" s="159">
        <f t="shared" ref="AQ6" si="2">AP6</f>
        <v>2674.9485890347755</v>
      </c>
      <c r="AR6" s="91">
        <f>'Cash Flow Statement'!AR41</f>
        <v>4278.6289141955194</v>
      </c>
      <c r="AS6" s="91">
        <f>'Cash Flow Statement'!AS41</f>
        <v>4072.9002426394923</v>
      </c>
      <c r="AT6" s="91">
        <f>'Cash Flow Statement'!AT41</f>
        <v>4183.141694163156</v>
      </c>
      <c r="AU6" s="91">
        <f>'Cash Flow Statement'!AU41</f>
        <v>4790.5262161387982</v>
      </c>
      <c r="AV6" s="159">
        <f t="shared" ref="AV6:AV10" si="3">AU6</f>
        <v>4790.5262161387982</v>
      </c>
    </row>
    <row r="7" spans="1:48" ht="14.7" customHeight="1" outlineLevel="1" x14ac:dyDescent="0.3">
      <c r="A7" s="151"/>
      <c r="B7" s="188" t="s">
        <v>210</v>
      </c>
      <c r="C7" s="189"/>
      <c r="D7" s="16">
        <v>230.2</v>
      </c>
      <c r="E7" s="16">
        <v>76.599999999999994</v>
      </c>
      <c r="F7" s="16">
        <v>72.099999999999994</v>
      </c>
      <c r="G7" s="16">
        <v>70.5</v>
      </c>
      <c r="H7" s="17">
        <f>+G7</f>
        <v>70.5</v>
      </c>
      <c r="I7" s="16">
        <v>68.400000000000006</v>
      </c>
      <c r="J7" s="16">
        <v>52.9</v>
      </c>
      <c r="K7" s="16">
        <v>229.9</v>
      </c>
      <c r="L7" s="16">
        <v>281.2</v>
      </c>
      <c r="M7" s="17">
        <f>+L7</f>
        <v>281.2</v>
      </c>
      <c r="N7" s="16">
        <v>235.5</v>
      </c>
      <c r="O7" s="16">
        <v>123</v>
      </c>
      <c r="P7" s="16">
        <v>153.6</v>
      </c>
      <c r="Q7" s="91">
        <v>162.19999999999999</v>
      </c>
      <c r="R7" s="17">
        <f>+Q7</f>
        <v>162.19999999999999</v>
      </c>
      <c r="S7" s="16">
        <v>87.4</v>
      </c>
      <c r="T7" s="16">
        <v>82.1</v>
      </c>
      <c r="U7" s="16">
        <v>76.900000000000006</v>
      </c>
      <c r="V7" s="16">
        <v>364.5</v>
      </c>
      <c r="W7" s="17">
        <f>+V7</f>
        <v>364.5</v>
      </c>
      <c r="X7" s="91">
        <f>X53*X42*X54</f>
        <v>98.692321701070028</v>
      </c>
      <c r="Y7" s="91">
        <f>Y53*Y42*Y54</f>
        <v>69.908283060625891</v>
      </c>
      <c r="Z7" s="91">
        <f>Z53*Z42*Z54</f>
        <v>103.59607996545716</v>
      </c>
      <c r="AA7" s="91">
        <f>AA53*AA42*AA54</f>
        <v>148.74784408117208</v>
      </c>
      <c r="AB7" s="159">
        <f t="shared" ref="AB7:AB10" si="4">AA7</f>
        <v>148.74784408117208</v>
      </c>
      <c r="AC7" s="91">
        <f>AC53*AC42*AC54</f>
        <v>114.66935654524646</v>
      </c>
      <c r="AD7" s="91">
        <f>AD53*AD42*AD54</f>
        <v>78.442183437138581</v>
      </c>
      <c r="AE7" s="91">
        <f>AE53*AE42*AE54</f>
        <v>94.886041152113066</v>
      </c>
      <c r="AF7" s="91">
        <f>AF53*AF42*AF54</f>
        <v>151.32339610993407</v>
      </c>
      <c r="AG7" s="159">
        <f t="shared" ref="AG7:AG10" si="5">AF7</f>
        <v>151.32339610993407</v>
      </c>
      <c r="AH7" s="91">
        <f>AH53*AH42*AH54</f>
        <v>103.11424966624804</v>
      </c>
      <c r="AI7" s="91">
        <f>AI53*AI42*AI54</f>
        <v>78.926964136251982</v>
      </c>
      <c r="AJ7" s="91">
        <f>AJ53*AJ42*AJ54</f>
        <v>97.576988135245784</v>
      </c>
      <c r="AK7" s="91">
        <f>AK53*AK42*AK54</f>
        <v>148.47690268513975</v>
      </c>
      <c r="AL7" s="159">
        <f t="shared" ref="AL7:AL10" si="6">AK7</f>
        <v>148.47690268513975</v>
      </c>
      <c r="AM7" s="91">
        <f>AM53*AM42*AM54</f>
        <v>103.6382956555935</v>
      </c>
      <c r="AN7" s="91">
        <f>AN53*AN42*AN54</f>
        <v>74.558732223403524</v>
      </c>
      <c r="AO7" s="91">
        <f>AO53*AO42*AO54</f>
        <v>98.397661583482517</v>
      </c>
      <c r="AP7" s="91">
        <f>AP53*AP42*AP54</f>
        <v>158.40069570774185</v>
      </c>
      <c r="AQ7" s="159">
        <f t="shared" ref="AQ7:AQ10" si="7">AP7</f>
        <v>158.40069570774185</v>
      </c>
      <c r="AR7" s="91">
        <f>AR53*AR42*AR54</f>
        <v>114.08421084808131</v>
      </c>
      <c r="AS7" s="91">
        <f>AS53*AS42*AS54</f>
        <v>82.400150214667249</v>
      </c>
      <c r="AT7" s="91">
        <f>AT53*AT42*AT54</f>
        <v>103.79897339430975</v>
      </c>
      <c r="AU7" s="91">
        <f>AU53*AU42*AU54</f>
        <v>173.80512961427081</v>
      </c>
      <c r="AV7" s="159">
        <f t="shared" si="3"/>
        <v>173.80512961427081</v>
      </c>
    </row>
    <row r="8" spans="1:48" s="23" customFormat="1" ht="14.7" customHeight="1" outlineLevel="1" x14ac:dyDescent="0.3">
      <c r="A8" s="151"/>
      <c r="B8" s="511" t="s">
        <v>211</v>
      </c>
      <c r="C8" s="512"/>
      <c r="D8" s="16">
        <v>721.4</v>
      </c>
      <c r="E8" s="16">
        <v>703.6</v>
      </c>
      <c r="F8" s="16">
        <v>790.6</v>
      </c>
      <c r="G8" s="16">
        <v>879</v>
      </c>
      <c r="H8" s="17">
        <f>G8</f>
        <v>879</v>
      </c>
      <c r="I8" s="16">
        <v>908.1</v>
      </c>
      <c r="J8" s="16">
        <v>941</v>
      </c>
      <c r="K8" s="16">
        <v>881.1</v>
      </c>
      <c r="L8" s="16">
        <v>883.4</v>
      </c>
      <c r="M8" s="17">
        <f>L8</f>
        <v>883.4</v>
      </c>
      <c r="N8" s="16">
        <v>888</v>
      </c>
      <c r="O8" s="16">
        <v>880.2</v>
      </c>
      <c r="P8" s="16">
        <v>911.2</v>
      </c>
      <c r="Q8" s="91">
        <v>940</v>
      </c>
      <c r="R8" s="17">
        <f>Q8</f>
        <v>940</v>
      </c>
      <c r="S8" s="16">
        <v>1031.0999999999999</v>
      </c>
      <c r="T8" s="16">
        <v>1001.9</v>
      </c>
      <c r="U8" s="16">
        <v>1146.0999999999999</v>
      </c>
      <c r="V8" s="16">
        <v>1175.5</v>
      </c>
      <c r="W8" s="17">
        <f>V8</f>
        <v>1175.5</v>
      </c>
      <c r="X8" s="91">
        <f>'Income Statement &amp; Segments'!X8/'Balance Sheet'!X47</f>
        <v>1127.5075009502918</v>
      </c>
      <c r="Y8" s="91">
        <f>'Income Statement &amp; Segments'!Y8/'Balance Sheet'!Y47</f>
        <v>1175.9132017828204</v>
      </c>
      <c r="Z8" s="91">
        <f>'Income Statement &amp; Segments'!Z8/'Balance Sheet'!Z47</f>
        <v>1380.2421060760582</v>
      </c>
      <c r="AA8" s="91">
        <f>'Income Statement &amp; Segments'!AA8/'Balance Sheet'!AA47</f>
        <v>1256.4700877285597</v>
      </c>
      <c r="AB8" s="159">
        <f t="shared" si="4"/>
        <v>1256.4700877285597</v>
      </c>
      <c r="AC8" s="91">
        <f>'Income Statement &amp; Segments'!AC8/'Balance Sheet'!AC47</f>
        <v>1274.5628117278818</v>
      </c>
      <c r="AD8" s="91">
        <f>'Income Statement &amp; Segments'!AD8/'Balance Sheet'!AD47</f>
        <v>1246.4775452485339</v>
      </c>
      <c r="AE8" s="91">
        <f>'Income Statement &amp; Segments'!AE8/'Balance Sheet'!AE47</f>
        <v>1387.6396881537955</v>
      </c>
      <c r="AF8" s="91">
        <f>'Income Statement &amp; Segments'!AF8/'Balance Sheet'!AF47</f>
        <v>1351.4609471981369</v>
      </c>
      <c r="AG8" s="159">
        <f t="shared" si="5"/>
        <v>1351.4609471981369</v>
      </c>
      <c r="AH8" s="91">
        <f>'Income Statement &amp; Segments'!AH8/'Balance Sheet'!AH47</f>
        <v>1411.6288256634843</v>
      </c>
      <c r="AI8" s="91">
        <f>'Income Statement &amp; Segments'!AI8/'Balance Sheet'!AI47</f>
        <v>1393.1992858341412</v>
      </c>
      <c r="AJ8" s="91">
        <f>'Income Statement &amp; Segments'!AJ8/'Balance Sheet'!AJ47</f>
        <v>1608.1269377207745</v>
      </c>
      <c r="AK8" s="91">
        <f>'Income Statement &amp; Segments'!AK8/'Balance Sheet'!AK47</f>
        <v>1563.4246377329264</v>
      </c>
      <c r="AL8" s="159">
        <f t="shared" si="6"/>
        <v>1563.4246377329264</v>
      </c>
      <c r="AM8" s="91">
        <f>'Income Statement &amp; Segments'!AM8/'Balance Sheet'!AM47</f>
        <v>1561.4617835685651</v>
      </c>
      <c r="AN8" s="91">
        <f>'Income Statement &amp; Segments'!AN8/'Balance Sheet'!AN47</f>
        <v>1539.3379808149409</v>
      </c>
      <c r="AO8" s="91">
        <f>'Income Statement &amp; Segments'!AO8/'Balance Sheet'!AO47</f>
        <v>1754.5367937736839</v>
      </c>
      <c r="AP8" s="91">
        <f>'Income Statement &amp; Segments'!AP8/'Balance Sheet'!AP47</f>
        <v>1659.0932308894198</v>
      </c>
      <c r="AQ8" s="159">
        <f t="shared" si="7"/>
        <v>1659.0932308894198</v>
      </c>
      <c r="AR8" s="91">
        <f>'Income Statement &amp; Segments'!AR8/'Balance Sheet'!AR47</f>
        <v>1648.4916335659891</v>
      </c>
      <c r="AS8" s="91">
        <f>'Income Statement &amp; Segments'!AS8/'Balance Sheet'!AS47</f>
        <v>1612.1241328348492</v>
      </c>
      <c r="AT8" s="91">
        <f>'Income Statement &amp; Segments'!AT8/'Balance Sheet'!AT47</f>
        <v>1823.2347000866441</v>
      </c>
      <c r="AU8" s="91">
        <f>'Income Statement &amp; Segments'!AU8/'Balance Sheet'!AU47</f>
        <v>1748.5256857925667</v>
      </c>
      <c r="AV8" s="159">
        <f t="shared" si="3"/>
        <v>1748.5256857925667</v>
      </c>
    </row>
    <row r="9" spans="1:48" s="23" customFormat="1" ht="14.7" customHeight="1" outlineLevel="1" x14ac:dyDescent="0.3">
      <c r="A9" s="151"/>
      <c r="B9" s="188" t="s">
        <v>212</v>
      </c>
      <c r="C9" s="189"/>
      <c r="D9" s="16">
        <v>1354.6</v>
      </c>
      <c r="E9" s="16">
        <v>1443</v>
      </c>
      <c r="F9" s="16">
        <v>1517.2</v>
      </c>
      <c r="G9" s="16">
        <v>1529.4</v>
      </c>
      <c r="H9" s="17">
        <f>G9</f>
        <v>1529.4</v>
      </c>
      <c r="I9" s="16">
        <v>1408.7</v>
      </c>
      <c r="J9" s="16">
        <v>1492.2</v>
      </c>
      <c r="K9" s="16">
        <v>1583.8</v>
      </c>
      <c r="L9" s="16">
        <v>1551.4</v>
      </c>
      <c r="M9" s="17">
        <f>L9</f>
        <v>1551.4</v>
      </c>
      <c r="N9" s="16">
        <v>1471.5</v>
      </c>
      <c r="O9" s="16">
        <v>1503.6</v>
      </c>
      <c r="P9" s="16">
        <v>1548.2</v>
      </c>
      <c r="Q9" s="91">
        <v>1603.9</v>
      </c>
      <c r="R9" s="17">
        <f>Q9</f>
        <v>1603.9</v>
      </c>
      <c r="S9" s="16">
        <v>1637.1</v>
      </c>
      <c r="T9" s="16">
        <v>1920</v>
      </c>
      <c r="U9" s="16">
        <v>2132.9</v>
      </c>
      <c r="V9" s="16">
        <v>2176.6</v>
      </c>
      <c r="W9" s="17">
        <f>V9</f>
        <v>2176.6</v>
      </c>
      <c r="X9" s="91">
        <f>'Income Statement &amp; Segments'!X9/'Balance Sheet'!X49</f>
        <v>1862.3885233254714</v>
      </c>
      <c r="Y9" s="91">
        <f>'Income Statement &amp; Segments'!Y9/'Balance Sheet'!Y49</f>
        <v>2053.0524133464628</v>
      </c>
      <c r="Z9" s="91">
        <f>'Income Statement &amp; Segments'!Z9/'Balance Sheet'!Z49</f>
        <v>2473.7643949345247</v>
      </c>
      <c r="AA9" s="91">
        <f>'Income Statement &amp; Segments'!AA9/'Balance Sheet'!AA49</f>
        <v>2192.0331613999151</v>
      </c>
      <c r="AB9" s="159">
        <f t="shared" si="4"/>
        <v>2192.0331613999151</v>
      </c>
      <c r="AC9" s="91">
        <f>'Income Statement &amp; Segments'!AC9/'Balance Sheet'!AC49</f>
        <v>2082.1168049129387</v>
      </c>
      <c r="AD9" s="91">
        <f>'Income Statement &amp; Segments'!AD9/'Balance Sheet'!AD49</f>
        <v>2253.0586420232303</v>
      </c>
      <c r="AE9" s="91">
        <f>'Income Statement &amp; Segments'!AE9/'Balance Sheet'!AE49</f>
        <v>2550.619335193976</v>
      </c>
      <c r="AF9" s="91">
        <f>'Income Statement &amp; Segments'!AF9/'Balance Sheet'!AF49</f>
        <v>2446.5932156082945</v>
      </c>
      <c r="AG9" s="159">
        <f t="shared" si="5"/>
        <v>2446.5932156082945</v>
      </c>
      <c r="AH9" s="91">
        <f>'Income Statement &amp; Segments'!AH9/'Balance Sheet'!AH49</f>
        <v>2282.722762784083</v>
      </c>
      <c r="AI9" s="91">
        <f>'Income Statement &amp; Segments'!AI9/'Balance Sheet'!AI49</f>
        <v>2524.3925059784501</v>
      </c>
      <c r="AJ9" s="91">
        <f>'Income Statement &amp; Segments'!AJ9/'Balance Sheet'!AJ49</f>
        <v>2937.7981000913569</v>
      </c>
      <c r="AK9" s="91">
        <f>'Income Statement &amp; Segments'!AK9/'Balance Sheet'!AK49</f>
        <v>2854.5813497185368</v>
      </c>
      <c r="AL9" s="159">
        <f t="shared" si="6"/>
        <v>2854.5813497185368</v>
      </c>
      <c r="AM9" s="91">
        <f>'Income Statement &amp; Segments'!AM9/'Balance Sheet'!AM49</f>
        <v>2559.6196305281328</v>
      </c>
      <c r="AN9" s="91">
        <f>'Income Statement &amp; Segments'!AN9/'Balance Sheet'!AN49</f>
        <v>2772.8558838653976</v>
      </c>
      <c r="AO9" s="91">
        <f>'Income Statement &amp; Segments'!AO9/'Balance Sheet'!AO49</f>
        <v>3216.8289082469055</v>
      </c>
      <c r="AP9" s="91">
        <f>'Income Statement &amp; Segments'!AP9/'Balance Sheet'!AP49</f>
        <v>3042.181467250578</v>
      </c>
      <c r="AQ9" s="159">
        <f t="shared" si="7"/>
        <v>3042.181467250578</v>
      </c>
      <c r="AR9" s="91">
        <f>'Income Statement &amp; Segments'!AR9/'Balance Sheet'!AR49</f>
        <v>2704.2319288834883</v>
      </c>
      <c r="AS9" s="91">
        <f>'Income Statement &amp; Segments'!AS9/'Balance Sheet'!AS49</f>
        <v>2928.0166036448081</v>
      </c>
      <c r="AT9" s="91">
        <f>'Income Statement &amp; Segments'!AT9/'Balance Sheet'!AT49</f>
        <v>3354.1744883856391</v>
      </c>
      <c r="AU9" s="91">
        <f>'Income Statement &amp; Segments'!AU9/'Balance Sheet'!AU49</f>
        <v>3209.0524123393593</v>
      </c>
      <c r="AV9" s="159">
        <f t="shared" si="3"/>
        <v>3209.0524123393593</v>
      </c>
    </row>
    <row r="10" spans="1:48" ht="16.2" customHeight="1" outlineLevel="1" x14ac:dyDescent="0.45">
      <c r="A10" s="151"/>
      <c r="B10" s="511" t="s">
        <v>213</v>
      </c>
      <c r="C10" s="512"/>
      <c r="D10" s="244">
        <v>608.5</v>
      </c>
      <c r="E10" s="102">
        <v>674</v>
      </c>
      <c r="F10" s="102">
        <v>591.6</v>
      </c>
      <c r="G10" s="102">
        <v>488.2</v>
      </c>
      <c r="H10" s="245">
        <f>G10</f>
        <v>488.2</v>
      </c>
      <c r="I10" s="102">
        <v>474</v>
      </c>
      <c r="J10" s="102">
        <v>691.5</v>
      </c>
      <c r="K10" s="102">
        <v>920.3</v>
      </c>
      <c r="L10" s="102">
        <v>739.5</v>
      </c>
      <c r="M10" s="245">
        <f>L10</f>
        <v>739.5</v>
      </c>
      <c r="N10" s="102">
        <v>734.4</v>
      </c>
      <c r="O10" s="102">
        <v>592</v>
      </c>
      <c r="P10" s="102">
        <v>565.6</v>
      </c>
      <c r="Q10" s="102">
        <v>594.6</v>
      </c>
      <c r="R10" s="245">
        <f>Q10</f>
        <v>594.6</v>
      </c>
      <c r="S10" s="102">
        <v>530.1</v>
      </c>
      <c r="T10" s="102">
        <v>623.70000000000005</v>
      </c>
      <c r="U10" s="102">
        <v>534.1</v>
      </c>
      <c r="V10" s="102">
        <v>483.7</v>
      </c>
      <c r="W10" s="245">
        <f>V10</f>
        <v>483.7</v>
      </c>
      <c r="X10" s="419">
        <f>V10*1.01</f>
        <v>488.53699999999998</v>
      </c>
      <c r="Y10" s="419">
        <f>X10*1.01</f>
        <v>493.42237</v>
      </c>
      <c r="Z10" s="419">
        <f>Y10*1.01</f>
        <v>498.35659370000002</v>
      </c>
      <c r="AA10" s="419">
        <f>Z10*1.01</f>
        <v>503.340159637</v>
      </c>
      <c r="AB10" s="418">
        <f t="shared" si="4"/>
        <v>503.340159637</v>
      </c>
      <c r="AC10" s="419">
        <f>AA10*1.01</f>
        <v>508.37356123337003</v>
      </c>
      <c r="AD10" s="419">
        <f>AC10*1.01</f>
        <v>513.45729684570369</v>
      </c>
      <c r="AE10" s="419">
        <f>AD10*1.01</f>
        <v>518.59186981416076</v>
      </c>
      <c r="AF10" s="419">
        <f>AE10*1.01</f>
        <v>523.77778851230232</v>
      </c>
      <c r="AG10" s="418">
        <f t="shared" si="5"/>
        <v>523.77778851230232</v>
      </c>
      <c r="AH10" s="419">
        <f>AF10*1.01</f>
        <v>529.01556639742535</v>
      </c>
      <c r="AI10" s="419">
        <f>AH10*1.01</f>
        <v>534.30572206139959</v>
      </c>
      <c r="AJ10" s="419">
        <f>AI10*1.01</f>
        <v>539.64877928201361</v>
      </c>
      <c r="AK10" s="419">
        <f>AJ10*1.01</f>
        <v>545.04526707483376</v>
      </c>
      <c r="AL10" s="418">
        <f t="shared" si="6"/>
        <v>545.04526707483376</v>
      </c>
      <c r="AM10" s="419">
        <f>AK10*1.01</f>
        <v>550.49571974558205</v>
      </c>
      <c r="AN10" s="419">
        <f>AM10*1.01</f>
        <v>556.00067694303789</v>
      </c>
      <c r="AO10" s="419">
        <f>AN10*1.01</f>
        <v>561.56068371246829</v>
      </c>
      <c r="AP10" s="419">
        <f>AO10*1.01</f>
        <v>567.17629054959298</v>
      </c>
      <c r="AQ10" s="418">
        <f t="shared" si="7"/>
        <v>567.17629054959298</v>
      </c>
      <c r="AR10" s="419">
        <f>AP10*1.01</f>
        <v>572.84805345508892</v>
      </c>
      <c r="AS10" s="419">
        <f>AR10*1.01</f>
        <v>578.57653398963976</v>
      </c>
      <c r="AT10" s="419">
        <f>AS10*1.01</f>
        <v>584.3622993295362</v>
      </c>
      <c r="AU10" s="419">
        <f>AT10*1.01</f>
        <v>590.20592232283161</v>
      </c>
      <c r="AV10" s="418">
        <f t="shared" si="3"/>
        <v>590.20592232283161</v>
      </c>
    </row>
    <row r="11" spans="1:48" ht="14.7" customHeight="1" outlineLevel="1" x14ac:dyDescent="0.3">
      <c r="A11" s="151"/>
      <c r="B11" s="193" t="s">
        <v>214</v>
      </c>
      <c r="C11" s="194"/>
      <c r="D11" s="21">
        <f t="shared" ref="D11:AU11" si="8">SUM(D6:D10)</f>
        <v>7676.2999999999993</v>
      </c>
      <c r="E11" s="21">
        <f t="shared" si="8"/>
        <v>4952.3</v>
      </c>
      <c r="F11" s="21">
        <f t="shared" si="8"/>
        <v>7734.9000000000024</v>
      </c>
      <c r="G11" s="21">
        <f t="shared" si="8"/>
        <v>5653.7000000000016</v>
      </c>
      <c r="H11" s="22">
        <f t="shared" si="8"/>
        <v>5653.7000000000016</v>
      </c>
      <c r="I11" s="21">
        <f t="shared" si="8"/>
        <v>5899.7000000000035</v>
      </c>
      <c r="J11" s="21">
        <f t="shared" si="8"/>
        <v>5749.9000000000033</v>
      </c>
      <c r="K11" s="21">
        <f t="shared" si="8"/>
        <v>7581.0000000000045</v>
      </c>
      <c r="L11" s="106">
        <f t="shared" si="8"/>
        <v>7806.4000000000051</v>
      </c>
      <c r="M11" s="22">
        <f t="shared" si="8"/>
        <v>7806.4000000000051</v>
      </c>
      <c r="N11" s="21">
        <f t="shared" si="8"/>
        <v>8357.4000000000106</v>
      </c>
      <c r="O11" s="21">
        <f t="shared" si="8"/>
        <v>6979.4000000000106</v>
      </c>
      <c r="P11" s="21">
        <f t="shared" si="8"/>
        <v>7931.7000000000098</v>
      </c>
      <c r="Q11" s="106">
        <f t="shared" si="8"/>
        <v>9756.4000000000087</v>
      </c>
      <c r="R11" s="22">
        <f t="shared" si="8"/>
        <v>9756.4000000000087</v>
      </c>
      <c r="S11" s="21">
        <f t="shared" si="8"/>
        <v>7255.1000000000076</v>
      </c>
      <c r="T11" s="21">
        <f t="shared" si="8"/>
        <v>7541.1000000000076</v>
      </c>
      <c r="U11" s="21">
        <f t="shared" si="8"/>
        <v>7067.5000000000073</v>
      </c>
      <c r="V11" s="106">
        <f t="shared" si="8"/>
        <v>7018.6000000000067</v>
      </c>
      <c r="W11" s="22">
        <f t="shared" si="8"/>
        <v>7018.6000000000067</v>
      </c>
      <c r="X11" s="21">
        <f t="shared" si="8"/>
        <v>7678.5735856788497</v>
      </c>
      <c r="Y11" s="21">
        <f t="shared" si="8"/>
        <v>7418.4013119359752</v>
      </c>
      <c r="Z11" s="21">
        <f t="shared" si="8"/>
        <v>7636.6507333899726</v>
      </c>
      <c r="AA11" s="21">
        <f t="shared" si="8"/>
        <v>7776.2285328317785</v>
      </c>
      <c r="AB11" s="22">
        <f t="shared" si="8"/>
        <v>7776.2285328317785</v>
      </c>
      <c r="AC11" s="21">
        <f t="shared" si="8"/>
        <v>8858.8786021949963</v>
      </c>
      <c r="AD11" s="21">
        <f t="shared" si="8"/>
        <v>8806.3571180289327</v>
      </c>
      <c r="AE11" s="21">
        <f t="shared" si="8"/>
        <v>9200.3543344401169</v>
      </c>
      <c r="AF11" s="21">
        <f t="shared" si="8"/>
        <v>9407.4496626529108</v>
      </c>
      <c r="AG11" s="22">
        <f t="shared" ref="AG11" si="9">SUM(AG6:AG10)</f>
        <v>9407.4496626529108</v>
      </c>
      <c r="AH11" s="21">
        <f t="shared" si="8"/>
        <v>10116.352754256088</v>
      </c>
      <c r="AI11" s="21">
        <f t="shared" si="8"/>
        <v>9867.1953510648182</v>
      </c>
      <c r="AJ11" s="21">
        <f t="shared" si="8"/>
        <v>10773.318548884696</v>
      </c>
      <c r="AK11" s="21">
        <f t="shared" si="8"/>
        <v>5907.1856439769426</v>
      </c>
      <c r="AL11" s="22">
        <f t="shared" ref="AL11" si="10">SUM(AL6:AL10)</f>
        <v>5907.1856439769426</v>
      </c>
      <c r="AM11" s="21">
        <f t="shared" si="8"/>
        <v>7051.303980738222</v>
      </c>
      <c r="AN11" s="21">
        <f t="shared" si="8"/>
        <v>6877.9319692714089</v>
      </c>
      <c r="AO11" s="21">
        <f t="shared" si="8"/>
        <v>7711.2179159784773</v>
      </c>
      <c r="AP11" s="21">
        <f t="shared" si="8"/>
        <v>8101.800273432109</v>
      </c>
      <c r="AQ11" s="22">
        <f t="shared" ref="AQ11" si="11">SUM(AQ6:AQ10)</f>
        <v>8101.800273432109</v>
      </c>
      <c r="AR11" s="21">
        <f t="shared" si="8"/>
        <v>9318.2847409481674</v>
      </c>
      <c r="AS11" s="21">
        <f t="shared" si="8"/>
        <v>9274.0176633234551</v>
      </c>
      <c r="AT11" s="21">
        <f t="shared" si="8"/>
        <v>10048.712155359284</v>
      </c>
      <c r="AU11" s="21">
        <f t="shared" si="8"/>
        <v>10512.115366207827</v>
      </c>
      <c r="AV11" s="22">
        <f t="shared" ref="AV11" si="12">SUM(AV6:AV10)</f>
        <v>10512.115366207827</v>
      </c>
    </row>
    <row r="12" spans="1:48" ht="14.7" customHeight="1" outlineLevel="1" x14ac:dyDescent="0.3">
      <c r="A12" s="151"/>
      <c r="B12" s="188" t="s">
        <v>215</v>
      </c>
      <c r="C12" s="195"/>
      <c r="D12" s="16">
        <v>265</v>
      </c>
      <c r="E12" s="16">
        <v>251.9</v>
      </c>
      <c r="F12" s="16">
        <v>222.6</v>
      </c>
      <c r="G12" s="16">
        <v>220</v>
      </c>
      <c r="H12" s="17">
        <f t="shared" ref="H12:H18" si="13">+G12</f>
        <v>220</v>
      </c>
      <c r="I12" s="16">
        <v>199.8</v>
      </c>
      <c r="J12" s="16">
        <v>198.8</v>
      </c>
      <c r="K12" s="16">
        <v>223.4</v>
      </c>
      <c r="L12" s="91">
        <v>206.1</v>
      </c>
      <c r="M12" s="17">
        <f>+L12</f>
        <v>206.1</v>
      </c>
      <c r="N12" s="16">
        <v>190.9</v>
      </c>
      <c r="O12" s="16">
        <v>284.8</v>
      </c>
      <c r="P12" s="16">
        <v>285.89999999999998</v>
      </c>
      <c r="Q12" s="91">
        <v>281.7</v>
      </c>
      <c r="R12" s="17">
        <f>+Q12</f>
        <v>281.7</v>
      </c>
      <c r="S12" s="16">
        <v>299.60000000000002</v>
      </c>
      <c r="T12" s="16">
        <v>285.60000000000002</v>
      </c>
      <c r="U12" s="16">
        <v>292.5</v>
      </c>
      <c r="V12" s="91">
        <v>279.10000000000002</v>
      </c>
      <c r="W12" s="17">
        <f>+V12</f>
        <v>279.10000000000002</v>
      </c>
      <c r="X12" s="91">
        <f>X53*X42*(1-X54)</f>
        <v>187.87860940154826</v>
      </c>
      <c r="Y12" s="91">
        <f>Y53*Y42*(1-Y54)</f>
        <v>215.40481423290947</v>
      </c>
      <c r="Z12" s="91">
        <f>Z53*Z42*(1-Z54)</f>
        <v>188.2695977084359</v>
      </c>
      <c r="AA12" s="91">
        <f>AA53*AA42*(1-AA54)</f>
        <v>147.01263262967805</v>
      </c>
      <c r="AB12" s="159">
        <f>AA12</f>
        <v>147.01263262967805</v>
      </c>
      <c r="AC12" s="91">
        <f>AC53*AC42*(1-AC54)</f>
        <v>191.78880555569492</v>
      </c>
      <c r="AD12" s="91">
        <f>AD53*AD42*(1-AD54)</f>
        <v>227.20794088722357</v>
      </c>
      <c r="AE12" s="91">
        <f>AE53*AE42*(1-AE54)</f>
        <v>217.03120164178344</v>
      </c>
      <c r="AF12" s="91">
        <f>AF53*AF42*(1-AF54)</f>
        <v>165.10343825625992</v>
      </c>
      <c r="AG12" s="159">
        <f>AF12</f>
        <v>165.10343825625992</v>
      </c>
      <c r="AH12" s="91">
        <f>AH53*AH42*(1-AH54)</f>
        <v>224.43826837819663</v>
      </c>
      <c r="AI12" s="91">
        <f>AI53*AI42*(1-AI54)</f>
        <v>247.69289916390181</v>
      </c>
      <c r="AJ12" s="91">
        <f>AJ53*AJ42*(1-AJ54)</f>
        <v>239.9341398922783</v>
      </c>
      <c r="AK12" s="91">
        <f>AK53*AK42*(1-AK54)</f>
        <v>139.36115246767775</v>
      </c>
      <c r="AL12" s="159">
        <f>AK12</f>
        <v>139.36115246767775</v>
      </c>
      <c r="AM12" s="91">
        <f>AM53*AM42*(1-AM54)</f>
        <v>197.2367047379264</v>
      </c>
      <c r="AN12" s="91">
        <f>AN53*AN42*(1-AN54)</f>
        <v>226.35988385535131</v>
      </c>
      <c r="AO12" s="91">
        <f>AO53*AO42*(1-AO54)</f>
        <v>212.90378519338</v>
      </c>
      <c r="AP12" s="91">
        <f>AP53*AP42*(1-AP54)</f>
        <v>159.03686576171248</v>
      </c>
      <c r="AQ12" s="159">
        <f>AP12</f>
        <v>159.03686576171248</v>
      </c>
      <c r="AR12" s="91">
        <f>AR53*AR42*(1-AR54)</f>
        <v>217.09551715182093</v>
      </c>
      <c r="AS12" s="91">
        <f>AS53*AS42*(1-AS54)</f>
        <v>248.94169965812873</v>
      </c>
      <c r="AT12" s="91">
        <f>AT53*AT42*(1-AT54)</f>
        <v>238.62313454952385</v>
      </c>
      <c r="AU12" s="91">
        <f>AU53*AU42*(1-AU54)</f>
        <v>175.42126388284572</v>
      </c>
      <c r="AV12" s="159">
        <f>AU12</f>
        <v>175.42126388284572</v>
      </c>
    </row>
    <row r="13" spans="1:48" ht="14.7" customHeight="1" outlineLevel="1" x14ac:dyDescent="0.3">
      <c r="A13" s="151"/>
      <c r="B13" s="188" t="s">
        <v>216</v>
      </c>
      <c r="C13" s="195"/>
      <c r="D13" s="16">
        <v>336.1</v>
      </c>
      <c r="E13" s="16">
        <v>309.3</v>
      </c>
      <c r="F13" s="16">
        <v>340.3</v>
      </c>
      <c r="G13" s="16">
        <v>396</v>
      </c>
      <c r="H13" s="17">
        <f t="shared" si="13"/>
        <v>396</v>
      </c>
      <c r="I13" s="16">
        <v>411.3</v>
      </c>
      <c r="J13" s="16">
        <v>420.9</v>
      </c>
      <c r="K13" s="16">
        <v>426.1</v>
      </c>
      <c r="L13" s="91">
        <v>478.7</v>
      </c>
      <c r="M13" s="17">
        <f>+L13</f>
        <v>478.7</v>
      </c>
      <c r="N13" s="16">
        <v>496</v>
      </c>
      <c r="O13" s="16">
        <v>499.4</v>
      </c>
      <c r="P13" s="16">
        <v>535.29999999999995</v>
      </c>
      <c r="Q13" s="91">
        <v>268.5</v>
      </c>
      <c r="R13" s="17">
        <f>+Q13</f>
        <v>268.5</v>
      </c>
      <c r="S13" s="16">
        <v>251.9</v>
      </c>
      <c r="T13" s="16">
        <v>270.8</v>
      </c>
      <c r="U13" s="16">
        <v>302.7</v>
      </c>
      <c r="V13" s="91">
        <v>311.2</v>
      </c>
      <c r="W13" s="17">
        <f>+V13</f>
        <v>311.2</v>
      </c>
      <c r="X13" s="391">
        <f>V13</f>
        <v>311.2</v>
      </c>
      <c r="Y13" s="391">
        <f>X13</f>
        <v>311.2</v>
      </c>
      <c r="Z13" s="391">
        <f>Y13</f>
        <v>311.2</v>
      </c>
      <c r="AA13" s="391">
        <f>Z13</f>
        <v>311.2</v>
      </c>
      <c r="AB13" s="418">
        <f t="shared" ref="AB13:AB19" si="14">AA13</f>
        <v>311.2</v>
      </c>
      <c r="AC13" s="391">
        <f>AA13</f>
        <v>311.2</v>
      </c>
      <c r="AD13" s="391">
        <f>AC13</f>
        <v>311.2</v>
      </c>
      <c r="AE13" s="391">
        <f>AD13</f>
        <v>311.2</v>
      </c>
      <c r="AF13" s="391">
        <f>AE13</f>
        <v>311.2</v>
      </c>
      <c r="AG13" s="418">
        <f t="shared" ref="AG13:AG19" si="15">AF13</f>
        <v>311.2</v>
      </c>
      <c r="AH13" s="391">
        <f>AF13</f>
        <v>311.2</v>
      </c>
      <c r="AI13" s="391">
        <f>AH13</f>
        <v>311.2</v>
      </c>
      <c r="AJ13" s="391">
        <f>AI13</f>
        <v>311.2</v>
      </c>
      <c r="AK13" s="391">
        <f>AJ13</f>
        <v>311.2</v>
      </c>
      <c r="AL13" s="418">
        <f t="shared" ref="AL13:AL19" si="16">AK13</f>
        <v>311.2</v>
      </c>
      <c r="AM13" s="391">
        <f>AK13</f>
        <v>311.2</v>
      </c>
      <c r="AN13" s="391">
        <f>AM13</f>
        <v>311.2</v>
      </c>
      <c r="AO13" s="391">
        <f>AN13</f>
        <v>311.2</v>
      </c>
      <c r="AP13" s="391">
        <f>AO13</f>
        <v>311.2</v>
      </c>
      <c r="AQ13" s="418">
        <f t="shared" ref="AQ13:AQ19" si="17">AP13</f>
        <v>311.2</v>
      </c>
      <c r="AR13" s="391">
        <f>AP13</f>
        <v>311.2</v>
      </c>
      <c r="AS13" s="391">
        <f>AR13</f>
        <v>311.2</v>
      </c>
      <c r="AT13" s="391">
        <f>AS13</f>
        <v>311.2</v>
      </c>
      <c r="AU13" s="391">
        <f>AT13</f>
        <v>311.2</v>
      </c>
      <c r="AV13" s="418">
        <f t="shared" ref="AV13:AV19" si="18">AU13</f>
        <v>311.2</v>
      </c>
    </row>
    <row r="14" spans="1:48" s="8" customFormat="1" outlineLevel="1" x14ac:dyDescent="0.3">
      <c r="A14" s="151"/>
      <c r="B14" s="188" t="s">
        <v>217</v>
      </c>
      <c r="C14" s="194"/>
      <c r="D14" s="16">
        <v>6039.3</v>
      </c>
      <c r="E14" s="16">
        <v>6135.5</v>
      </c>
      <c r="F14" s="16">
        <v>6187.8</v>
      </c>
      <c r="G14" s="16">
        <v>6431.7</v>
      </c>
      <c r="H14" s="17">
        <f t="shared" si="13"/>
        <v>6431.7</v>
      </c>
      <c r="I14" s="16">
        <v>6390.9</v>
      </c>
      <c r="J14" s="16">
        <v>6387</v>
      </c>
      <c r="K14" s="16">
        <v>6295.6</v>
      </c>
      <c r="L14" s="91">
        <v>6241.4</v>
      </c>
      <c r="M14" s="17">
        <f>+L14</f>
        <v>6241.4</v>
      </c>
      <c r="N14" s="16">
        <v>6177.9</v>
      </c>
      <c r="O14" s="16">
        <v>6123.1</v>
      </c>
      <c r="P14" s="16">
        <v>6151.4</v>
      </c>
      <c r="Q14" s="91">
        <v>6369.5</v>
      </c>
      <c r="R14" s="17">
        <f>+Q14</f>
        <v>6369.5</v>
      </c>
      <c r="S14" s="16">
        <v>6398</v>
      </c>
      <c r="T14" s="16">
        <v>6460.8</v>
      </c>
      <c r="U14" s="91">
        <v>6408.2</v>
      </c>
      <c r="V14" s="91">
        <v>6560.5</v>
      </c>
      <c r="W14" s="17">
        <f>+V14</f>
        <v>6560.5</v>
      </c>
      <c r="X14" s="91">
        <f>V14-'Cash Flow Statement'!X25-'Cash Flow Statement'!X7</f>
        <v>6771.3398000230372</v>
      </c>
      <c r="Y14" s="91">
        <f>X14-'Cash Flow Statement'!Y7-'Cash Flow Statement'!Y25</f>
        <v>6946.319704924128</v>
      </c>
      <c r="Z14" s="91">
        <f>Y14-'Cash Flow Statement'!Z7-'Cash Flow Statement'!Z25</f>
        <v>7169.9142542754516</v>
      </c>
      <c r="AA14" s="91">
        <f>Z14-'Cash Flow Statement'!AA7-'Cash Flow Statement'!AA25</f>
        <v>7436.4180472892649</v>
      </c>
      <c r="AB14" s="159">
        <f t="shared" si="14"/>
        <v>7436.4180472892649</v>
      </c>
      <c r="AC14" s="91">
        <f>AA14-'Cash Flow Statement'!AC25-'Cash Flow Statement'!AC7</f>
        <v>7685.6244458850906</v>
      </c>
      <c r="AD14" s="91">
        <f>AC14-'Cash Flow Statement'!AD7-'Cash Flow Statement'!AD25</f>
        <v>7879.0803487899693</v>
      </c>
      <c r="AE14" s="91">
        <f>AD14-'Cash Flow Statement'!AE7-'Cash Flow Statement'!AE25</f>
        <v>8130.611845615138</v>
      </c>
      <c r="AF14" s="91">
        <f>AE14-'Cash Flow Statement'!AF7-'Cash Flow Statement'!AF25</f>
        <v>8412.3719877606654</v>
      </c>
      <c r="AG14" s="159">
        <f t="shared" si="15"/>
        <v>8412.3719877606654</v>
      </c>
      <c r="AH14" s="91">
        <f>AF14-'Cash Flow Statement'!AH25-'Cash Flow Statement'!AH7</f>
        <v>8610.7005323521571</v>
      </c>
      <c r="AI14" s="91">
        <f>AH14-'Cash Flow Statement'!AI7-'Cash Flow Statement'!AI25</f>
        <v>8754.3580159934627</v>
      </c>
      <c r="AJ14" s="91">
        <f>AI14-'Cash Flow Statement'!AJ7-'Cash Flow Statement'!AJ25</f>
        <v>8957.8974416040619</v>
      </c>
      <c r="AK14" s="91">
        <f>AJ14-'Cash Flow Statement'!AK7-'Cash Flow Statement'!AK25</f>
        <v>9203.9315394392743</v>
      </c>
      <c r="AL14" s="159">
        <f t="shared" si="16"/>
        <v>9203.9315394392743</v>
      </c>
      <c r="AM14" s="91">
        <f>AK14-'Cash Flow Statement'!AM25-'Cash Flow Statement'!AM7</f>
        <v>9427.4180676889337</v>
      </c>
      <c r="AN14" s="91">
        <f>AM14-'Cash Flow Statement'!AN7-'Cash Flow Statement'!AN25</f>
        <v>9584.3500840867273</v>
      </c>
      <c r="AO14" s="91">
        <f>AN14-'Cash Flow Statement'!AO7-'Cash Flow Statement'!AO25</f>
        <v>9802.9945800305632</v>
      </c>
      <c r="AP14" s="91">
        <f>AO14-'Cash Flow Statement'!AP7-'Cash Flow Statement'!AP25</f>
        <v>10053.838254808856</v>
      </c>
      <c r="AQ14" s="159">
        <f t="shared" si="17"/>
        <v>10053.838254808856</v>
      </c>
      <c r="AR14" s="91">
        <f>AP14-'Cash Flow Statement'!AR25-'Cash Flow Statement'!AR7</f>
        <v>10267.797653118172</v>
      </c>
      <c r="AS14" s="91">
        <f>AR14-'Cash Flow Statement'!AS7-'Cash Flow Statement'!AS25</f>
        <v>10413.043285880351</v>
      </c>
      <c r="AT14" s="91">
        <f>AS14-'Cash Flow Statement'!AT7-'Cash Flow Statement'!AT25</f>
        <v>10625.08445207795</v>
      </c>
      <c r="AU14" s="91">
        <f>AT14-'Cash Flow Statement'!AU7-'Cash Flow Statement'!AU25</f>
        <v>10875.910566553935</v>
      </c>
      <c r="AV14" s="159">
        <f t="shared" si="18"/>
        <v>10875.910566553935</v>
      </c>
    </row>
    <row r="15" spans="1:48" s="8" customFormat="1" outlineLevel="1" x14ac:dyDescent="0.3">
      <c r="A15" s="151"/>
      <c r="B15" s="188" t="s">
        <v>218</v>
      </c>
      <c r="C15" s="194"/>
      <c r="D15" s="16">
        <v>0</v>
      </c>
      <c r="E15" s="16">
        <v>0</v>
      </c>
      <c r="F15" s="16">
        <v>0</v>
      </c>
      <c r="G15" s="16">
        <v>0</v>
      </c>
      <c r="H15" s="17">
        <f t="shared" si="13"/>
        <v>0</v>
      </c>
      <c r="I15" s="16">
        <v>8358.5</v>
      </c>
      <c r="J15" s="16">
        <v>8260.7999999999993</v>
      </c>
      <c r="K15" s="16">
        <v>8214</v>
      </c>
      <c r="L15" s="91">
        <v>8134.1</v>
      </c>
      <c r="M15" s="17">
        <f>L15</f>
        <v>8134.1</v>
      </c>
      <c r="N15" s="16">
        <v>8199.4</v>
      </c>
      <c r="O15" s="16">
        <v>8036.8</v>
      </c>
      <c r="P15" s="16">
        <v>8065.2</v>
      </c>
      <c r="Q15" s="91">
        <v>8236</v>
      </c>
      <c r="R15" s="17">
        <f>Q15</f>
        <v>8236</v>
      </c>
      <c r="S15" s="16">
        <v>8203.4</v>
      </c>
      <c r="T15" s="16">
        <v>8170.2</v>
      </c>
      <c r="U15" s="91">
        <v>8037.1</v>
      </c>
      <c r="V15" s="91">
        <v>8015.6</v>
      </c>
      <c r="W15" s="17">
        <f>V15</f>
        <v>8015.6</v>
      </c>
      <c r="X15" s="391">
        <f>V15*0.996</f>
        <v>7983.5376000000006</v>
      </c>
      <c r="Y15" s="391">
        <f>X15*0.996</f>
        <v>7951.6034496000002</v>
      </c>
      <c r="Z15" s="391">
        <f>Y15*0.996</f>
        <v>7919.7970358016</v>
      </c>
      <c r="AA15" s="391">
        <f>Z15*0.996</f>
        <v>7888.1178476583937</v>
      </c>
      <c r="AB15" s="418">
        <f t="shared" si="14"/>
        <v>7888.1178476583937</v>
      </c>
      <c r="AC15" s="391">
        <f>AA15*0.996</f>
        <v>7856.5653762677603</v>
      </c>
      <c r="AD15" s="391">
        <f>AC15*0.996</f>
        <v>7825.1391147626891</v>
      </c>
      <c r="AE15" s="391">
        <f>AD15*0.996</f>
        <v>7793.8385583036379</v>
      </c>
      <c r="AF15" s="391">
        <f>AE15*0.996</f>
        <v>7762.6632040704235</v>
      </c>
      <c r="AG15" s="418">
        <f t="shared" si="15"/>
        <v>7762.6632040704235</v>
      </c>
      <c r="AH15" s="391">
        <f>AF15*0.996</f>
        <v>7731.6125512541421</v>
      </c>
      <c r="AI15" s="391">
        <f>AH15*0.996</f>
        <v>7700.6861010491257</v>
      </c>
      <c r="AJ15" s="391">
        <f>AI15*0.996</f>
        <v>7669.8833566449293</v>
      </c>
      <c r="AK15" s="391">
        <f>AJ15*0.996</f>
        <v>7639.2038232183495</v>
      </c>
      <c r="AL15" s="418">
        <f t="shared" si="16"/>
        <v>7639.2038232183495</v>
      </c>
      <c r="AM15" s="391">
        <f>AK15*0.996</f>
        <v>7608.6470079254759</v>
      </c>
      <c r="AN15" s="391">
        <f>AM15*0.996</f>
        <v>7578.2124198937736</v>
      </c>
      <c r="AO15" s="391">
        <f>AN15*0.996</f>
        <v>7547.8995702141983</v>
      </c>
      <c r="AP15" s="391">
        <f>AO15*0.996</f>
        <v>7517.7079719333415</v>
      </c>
      <c r="AQ15" s="418">
        <f t="shared" si="17"/>
        <v>7517.7079719333415</v>
      </c>
      <c r="AR15" s="391">
        <f>AP15*0.996</f>
        <v>7487.6371400456082</v>
      </c>
      <c r="AS15" s="391">
        <f>AR15*0.996</f>
        <v>7457.6865914854261</v>
      </c>
      <c r="AT15" s="391">
        <f>AS15*0.996</f>
        <v>7427.855845119484</v>
      </c>
      <c r="AU15" s="391">
        <f>AT15*0.996</f>
        <v>7398.1444217390062</v>
      </c>
      <c r="AV15" s="418">
        <f t="shared" si="18"/>
        <v>7398.1444217390062</v>
      </c>
    </row>
    <row r="16" spans="1:48" s="8" customFormat="1" outlineLevel="1" x14ac:dyDescent="0.3">
      <c r="A16" s="151"/>
      <c r="B16" s="188" t="s">
        <v>219</v>
      </c>
      <c r="C16" s="194"/>
      <c r="D16" s="16">
        <v>650</v>
      </c>
      <c r="E16" s="16">
        <v>1006.6</v>
      </c>
      <c r="F16" s="16">
        <v>1533</v>
      </c>
      <c r="G16" s="16">
        <v>1765.8</v>
      </c>
      <c r="H16" s="17">
        <f t="shared" si="13"/>
        <v>1765.8</v>
      </c>
      <c r="I16" s="16">
        <v>1731.4</v>
      </c>
      <c r="J16" s="16">
        <v>1709.7</v>
      </c>
      <c r="K16" s="16">
        <v>1740</v>
      </c>
      <c r="L16" s="91">
        <v>1789.9</v>
      </c>
      <c r="M16" s="17">
        <f>+L16</f>
        <v>1789.9</v>
      </c>
      <c r="N16" s="16">
        <v>1792.4</v>
      </c>
      <c r="O16" s="16">
        <v>1770</v>
      </c>
      <c r="P16" s="16">
        <v>1851</v>
      </c>
      <c r="Q16" s="91">
        <v>1874.8</v>
      </c>
      <c r="R16" s="17">
        <f>+Q16</f>
        <v>1874.8</v>
      </c>
      <c r="S16" s="16">
        <v>1859.7</v>
      </c>
      <c r="T16" s="16">
        <v>1809.4</v>
      </c>
      <c r="U16" s="91">
        <v>1752.9</v>
      </c>
      <c r="V16" s="91">
        <v>1799.7</v>
      </c>
      <c r="W16" s="159">
        <f>+V16</f>
        <v>1799.7</v>
      </c>
      <c r="X16" s="91">
        <f>X55*(X28+X33)</f>
        <v>1729.8918685700628</v>
      </c>
      <c r="Y16" s="91">
        <f>Y55*(Y28+Y33)</f>
        <v>1707.6745766023832</v>
      </c>
      <c r="Z16" s="91">
        <f>Z55*(Z28+Z33)</f>
        <v>1977.6071335051779</v>
      </c>
      <c r="AA16" s="91">
        <f>AA55*(AA28+AA33)</f>
        <v>2035.9385231370179</v>
      </c>
      <c r="AB16" s="159">
        <f t="shared" si="14"/>
        <v>2035.9385231370179</v>
      </c>
      <c r="AC16" s="91">
        <f>AC55*(AC28+AC33)</f>
        <v>1748.371623114348</v>
      </c>
      <c r="AD16" s="91">
        <f>AD55*(AD28+AD33)</f>
        <v>1532.4611900035407</v>
      </c>
      <c r="AE16" s="91">
        <f>AE55*(AE28+AE33)</f>
        <v>1550.2700844352912</v>
      </c>
      <c r="AF16" s="91">
        <f>AF55*(AF28+AF33)</f>
        <v>1593.501690649789</v>
      </c>
      <c r="AG16" s="159">
        <f t="shared" si="15"/>
        <v>1593.501690649789</v>
      </c>
      <c r="AH16" s="91">
        <f>AH55*(AH28+AH33)</f>
        <v>1754.9172033228385</v>
      </c>
      <c r="AI16" s="91">
        <f>AI55*(AI28+AI33)</f>
        <v>1782.5596797466501</v>
      </c>
      <c r="AJ16" s="91">
        <f>AJ55*(AJ28+AJ33)</f>
        <v>1784.4291583786287</v>
      </c>
      <c r="AK16" s="91">
        <f>AK55*(AK28+AK33)</f>
        <v>1671.8505829880635</v>
      </c>
      <c r="AL16" s="159">
        <f t="shared" si="16"/>
        <v>1671.8505829880635</v>
      </c>
      <c r="AM16" s="91">
        <f>AM55*(AM28+AM33)</f>
        <v>1559.3832795971741</v>
      </c>
      <c r="AN16" s="91">
        <f>AN55*(AN28+AN33)</f>
        <v>1585.6285499259377</v>
      </c>
      <c r="AO16" s="91">
        <f>AO55*(AO28+AO33)</f>
        <v>1599.0648683846089</v>
      </c>
      <c r="AP16" s="91">
        <f>AP55*(AP28+AP33)</f>
        <v>1646.7250238667477</v>
      </c>
      <c r="AQ16" s="159">
        <f t="shared" si="17"/>
        <v>1646.7250238667477</v>
      </c>
      <c r="AR16" s="91">
        <f>AR55*(AR28+AR33)</f>
        <v>1538.5743640077599</v>
      </c>
      <c r="AS16" s="91">
        <f>AS55*(AS28+AS33)</f>
        <v>1454.6134704908275</v>
      </c>
      <c r="AT16" s="91">
        <f>AT55*(AT28+AT33)</f>
        <v>1596.8854652609036</v>
      </c>
      <c r="AU16" s="91">
        <f>AU55*(AU28+AU33)</f>
        <v>1645.0779920074488</v>
      </c>
      <c r="AV16" s="159">
        <f t="shared" si="18"/>
        <v>1645.0779920074488</v>
      </c>
    </row>
    <row r="17" spans="1:48" s="8" customFormat="1" outlineLevel="1" x14ac:dyDescent="0.3">
      <c r="A17" s="151"/>
      <c r="B17" s="188" t="s">
        <v>220</v>
      </c>
      <c r="C17" s="194"/>
      <c r="D17" s="16">
        <v>472.7</v>
      </c>
      <c r="E17" s="16">
        <v>464.5</v>
      </c>
      <c r="F17" s="16">
        <v>458</v>
      </c>
      <c r="G17" s="16">
        <v>479.6</v>
      </c>
      <c r="H17" s="17">
        <f t="shared" si="13"/>
        <v>479.6</v>
      </c>
      <c r="I17" s="16">
        <v>484.7</v>
      </c>
      <c r="J17" s="16">
        <v>580.1</v>
      </c>
      <c r="K17" s="16">
        <v>550.79999999999995</v>
      </c>
      <c r="L17" s="91">
        <v>568.6</v>
      </c>
      <c r="M17" s="17">
        <f>+L17</f>
        <v>568.6</v>
      </c>
      <c r="N17" s="16">
        <v>541.1</v>
      </c>
      <c r="O17" s="16">
        <v>574.9</v>
      </c>
      <c r="P17" s="16">
        <v>586.29999999999995</v>
      </c>
      <c r="Q17" s="91">
        <v>578.5</v>
      </c>
      <c r="R17" s="17">
        <f>+Q17</f>
        <v>578.5</v>
      </c>
      <c r="S17" s="16">
        <v>588</v>
      </c>
      <c r="T17" s="16">
        <v>582.79999999999995</v>
      </c>
      <c r="U17" s="91">
        <v>640.70000000000005</v>
      </c>
      <c r="V17" s="91">
        <v>554.20000000000005</v>
      </c>
      <c r="W17" s="17">
        <f>+V17</f>
        <v>554.20000000000005</v>
      </c>
      <c r="X17" s="391">
        <f>V17*(X42/V42)</f>
        <v>567.64364658833631</v>
      </c>
      <c r="Y17" s="447">
        <f>X17*(Y42/X42)</f>
        <v>565.15211205814956</v>
      </c>
      <c r="Z17" s="447">
        <f>Y17*(Z42/Y42)</f>
        <v>578.13155350867657</v>
      </c>
      <c r="AA17" s="447">
        <f>Z17*(AA42/Z42)</f>
        <v>585.84642507489048</v>
      </c>
      <c r="AB17" s="418">
        <f t="shared" si="14"/>
        <v>585.84642507489048</v>
      </c>
      <c r="AC17" s="391">
        <f>AA17*(AC42/AA42)</f>
        <v>607.03654760937616</v>
      </c>
      <c r="AD17" s="447">
        <f>AC17*(AD42/AC42)</f>
        <v>605.43597525434438</v>
      </c>
      <c r="AE17" s="447">
        <f>AD17*(AE42/AD42)</f>
        <v>617.84996982092412</v>
      </c>
      <c r="AF17" s="447">
        <f>AE17*(AF42/AE42)</f>
        <v>626.78263090721669</v>
      </c>
      <c r="AG17" s="418">
        <f t="shared" si="15"/>
        <v>626.78263090721669</v>
      </c>
      <c r="AH17" s="391">
        <f>AF17*(AH42/AF42)</f>
        <v>648.82053834469184</v>
      </c>
      <c r="AI17" s="447">
        <f>AH17*(AI42/AH42)</f>
        <v>646.97312298396344</v>
      </c>
      <c r="AJ17" s="447">
        <f>AI17*(AJ42/AI42)</f>
        <v>668.54669013543969</v>
      </c>
      <c r="AK17" s="447">
        <f>AJ17*(AK42/AJ42)</f>
        <v>570.15358335605845</v>
      </c>
      <c r="AL17" s="418">
        <f t="shared" si="16"/>
        <v>570.15358335605845</v>
      </c>
      <c r="AM17" s="391">
        <f>AK17*(AM42/AK42)</f>
        <v>595.9773440157004</v>
      </c>
      <c r="AN17" s="447">
        <f>AM17*(AN42/AM42)</f>
        <v>596.06373856562902</v>
      </c>
      <c r="AO17" s="447">
        <f>AN17*(AO42/AN42)</f>
        <v>616.63019259048849</v>
      </c>
      <c r="AP17" s="447">
        <f>AO17*(AP42/AO42)</f>
        <v>628.78469307169678</v>
      </c>
      <c r="AQ17" s="418">
        <f t="shared" si="17"/>
        <v>628.78469307169678</v>
      </c>
      <c r="AR17" s="391">
        <f>AP17*(AR42/AP42)</f>
        <v>656.00536577340324</v>
      </c>
      <c r="AS17" s="447">
        <f>AR17*(AS42/AR42)</f>
        <v>656.32649901175034</v>
      </c>
      <c r="AT17" s="447">
        <f>AS17*(AT42/AS42)</f>
        <v>678.27442678091882</v>
      </c>
      <c r="AU17" s="447">
        <f>AT17*(AU42/AT42)</f>
        <v>691.75244930411304</v>
      </c>
      <c r="AV17" s="418">
        <f t="shared" si="18"/>
        <v>691.75244930411304</v>
      </c>
    </row>
    <row r="18" spans="1:48" s="8" customFormat="1" outlineLevel="1" x14ac:dyDescent="0.3">
      <c r="A18" s="151"/>
      <c r="B18" s="188" t="s">
        <v>221</v>
      </c>
      <c r="C18" s="194"/>
      <c r="D18" s="16">
        <v>981.6</v>
      </c>
      <c r="E18" s="16">
        <v>918.3</v>
      </c>
      <c r="F18" s="16">
        <v>853.2</v>
      </c>
      <c r="G18" s="16">
        <v>781.8</v>
      </c>
      <c r="H18" s="17">
        <f t="shared" si="13"/>
        <v>781.8</v>
      </c>
      <c r="I18" s="16">
        <v>739.1</v>
      </c>
      <c r="J18" s="16">
        <v>678.7</v>
      </c>
      <c r="K18" s="16">
        <v>599.6</v>
      </c>
      <c r="L18" s="91">
        <v>552.1</v>
      </c>
      <c r="M18" s="17">
        <f>+L18</f>
        <v>552.1</v>
      </c>
      <c r="N18" s="16">
        <v>506.4</v>
      </c>
      <c r="O18" s="16">
        <v>444.3</v>
      </c>
      <c r="P18" s="16">
        <v>398</v>
      </c>
      <c r="Q18" s="91">
        <v>349.9</v>
      </c>
      <c r="R18" s="17">
        <f>+Q18</f>
        <v>349.9</v>
      </c>
      <c r="S18" s="16">
        <v>302.5</v>
      </c>
      <c r="T18" s="16">
        <v>254.7</v>
      </c>
      <c r="U18" s="91">
        <v>203.4</v>
      </c>
      <c r="V18" s="91">
        <v>155.9</v>
      </c>
      <c r="W18" s="17">
        <f>+V18</f>
        <v>155.9</v>
      </c>
      <c r="X18" s="391">
        <f>V18*0.92</f>
        <v>143.428</v>
      </c>
      <c r="Y18" s="391">
        <f>X18*0.92</f>
        <v>131.95376000000002</v>
      </c>
      <c r="Z18" s="391">
        <f>Y18*0.92</f>
        <v>121.39745920000001</v>
      </c>
      <c r="AA18" s="391">
        <f>Z18*0.92</f>
        <v>111.68566246400002</v>
      </c>
      <c r="AB18" s="418">
        <f t="shared" si="14"/>
        <v>111.68566246400002</v>
      </c>
      <c r="AC18" s="391">
        <f>AA18*0.92</f>
        <v>102.75080946688001</v>
      </c>
      <c r="AD18" s="391">
        <f>AC18*0.92</f>
        <v>94.530744709529614</v>
      </c>
      <c r="AE18" s="391">
        <f>AD18*0.92</f>
        <v>86.968285132767249</v>
      </c>
      <c r="AF18" s="391">
        <f>AE18*0.92</f>
        <v>80.01082232214587</v>
      </c>
      <c r="AG18" s="418">
        <f t="shared" si="15"/>
        <v>80.01082232214587</v>
      </c>
      <c r="AH18" s="391">
        <f>AF18*0.92</f>
        <v>73.609956536374199</v>
      </c>
      <c r="AI18" s="391">
        <f>AH18*0.92</f>
        <v>67.721160013464271</v>
      </c>
      <c r="AJ18" s="391">
        <f>AI18*0.92</f>
        <v>62.303467212387133</v>
      </c>
      <c r="AK18" s="391">
        <f>AJ18*0.92</f>
        <v>57.319189835396166</v>
      </c>
      <c r="AL18" s="418">
        <f t="shared" si="16"/>
        <v>57.319189835396166</v>
      </c>
      <c r="AM18" s="391">
        <f>AK18*0.92</f>
        <v>52.733654648564475</v>
      </c>
      <c r="AN18" s="391">
        <f>AM18*0.92</f>
        <v>48.51496227667932</v>
      </c>
      <c r="AO18" s="391">
        <f>AN18*0.92</f>
        <v>44.633765294544979</v>
      </c>
      <c r="AP18" s="391">
        <f>AO18*0.92</f>
        <v>41.063064070981383</v>
      </c>
      <c r="AQ18" s="418">
        <f t="shared" si="17"/>
        <v>41.063064070981383</v>
      </c>
      <c r="AR18" s="391">
        <f>AP18*0.92</f>
        <v>37.778018945302875</v>
      </c>
      <c r="AS18" s="391">
        <f>AR18*0.92</f>
        <v>34.755777429678645</v>
      </c>
      <c r="AT18" s="391">
        <f>AS18*0.92</f>
        <v>31.975315235304354</v>
      </c>
      <c r="AU18" s="391">
        <f>AT18*0.92</f>
        <v>29.417290016480006</v>
      </c>
      <c r="AV18" s="418">
        <f t="shared" si="18"/>
        <v>29.417290016480006</v>
      </c>
    </row>
    <row r="19" spans="1:48" ht="16.2" outlineLevel="1" x14ac:dyDescent="0.45">
      <c r="A19" s="151"/>
      <c r="B19" s="511" t="s">
        <v>222</v>
      </c>
      <c r="C19" s="512"/>
      <c r="D19" s="244">
        <v>3560.3</v>
      </c>
      <c r="E19" s="244">
        <v>3603.5</v>
      </c>
      <c r="F19" s="244">
        <v>3564.7</v>
      </c>
      <c r="G19" s="244">
        <v>3490.8</v>
      </c>
      <c r="H19" s="245">
        <f>G19</f>
        <v>3490.8</v>
      </c>
      <c r="I19" s="244">
        <v>3515.9</v>
      </c>
      <c r="J19" s="244">
        <v>3493</v>
      </c>
      <c r="K19" s="244">
        <v>3510.1</v>
      </c>
      <c r="L19" s="102">
        <v>3597.2</v>
      </c>
      <c r="M19" s="245">
        <f>L19</f>
        <v>3597.2</v>
      </c>
      <c r="N19" s="244">
        <v>3706.8</v>
      </c>
      <c r="O19" s="244">
        <v>3658.9</v>
      </c>
      <c r="P19" s="244">
        <v>3672</v>
      </c>
      <c r="Q19" s="102">
        <v>3677.3</v>
      </c>
      <c r="R19" s="245">
        <f>Q19</f>
        <v>3677.3</v>
      </c>
      <c r="S19" s="244">
        <v>3675.7</v>
      </c>
      <c r="T19" s="244">
        <v>3646.1</v>
      </c>
      <c r="U19" s="102">
        <v>3451.2</v>
      </c>
      <c r="V19" s="102">
        <v>3283.5</v>
      </c>
      <c r="W19" s="245">
        <f>V19</f>
        <v>3283.5</v>
      </c>
      <c r="X19" s="419">
        <f>V19</f>
        <v>3283.5</v>
      </c>
      <c r="Y19" s="419">
        <f>X19</f>
        <v>3283.5</v>
      </c>
      <c r="Z19" s="419">
        <f>Y19</f>
        <v>3283.5</v>
      </c>
      <c r="AA19" s="419">
        <f>Z19</f>
        <v>3283.5</v>
      </c>
      <c r="AB19" s="418">
        <f t="shared" si="14"/>
        <v>3283.5</v>
      </c>
      <c r="AC19" s="419">
        <f>AA19</f>
        <v>3283.5</v>
      </c>
      <c r="AD19" s="419">
        <f>AC19</f>
        <v>3283.5</v>
      </c>
      <c r="AE19" s="419">
        <f>AD19</f>
        <v>3283.5</v>
      </c>
      <c r="AF19" s="419">
        <f>AE19</f>
        <v>3283.5</v>
      </c>
      <c r="AG19" s="418">
        <f t="shared" si="15"/>
        <v>3283.5</v>
      </c>
      <c r="AH19" s="419">
        <f>AF19</f>
        <v>3283.5</v>
      </c>
      <c r="AI19" s="419">
        <f>AH19</f>
        <v>3283.5</v>
      </c>
      <c r="AJ19" s="419">
        <f>AI19</f>
        <v>3283.5</v>
      </c>
      <c r="AK19" s="419">
        <f>AJ19</f>
        <v>3283.5</v>
      </c>
      <c r="AL19" s="418">
        <f t="shared" si="16"/>
        <v>3283.5</v>
      </c>
      <c r="AM19" s="419">
        <f>AK19</f>
        <v>3283.5</v>
      </c>
      <c r="AN19" s="419">
        <f>AM19</f>
        <v>3283.5</v>
      </c>
      <c r="AO19" s="419">
        <f>AN19</f>
        <v>3283.5</v>
      </c>
      <c r="AP19" s="419">
        <f>AO19</f>
        <v>3283.5</v>
      </c>
      <c r="AQ19" s="418">
        <f t="shared" si="17"/>
        <v>3283.5</v>
      </c>
      <c r="AR19" s="419">
        <f>AP19</f>
        <v>3283.5</v>
      </c>
      <c r="AS19" s="419">
        <f>AR19</f>
        <v>3283.5</v>
      </c>
      <c r="AT19" s="419">
        <f>AS19</f>
        <v>3283.5</v>
      </c>
      <c r="AU19" s="419">
        <f>AT19</f>
        <v>3283.5</v>
      </c>
      <c r="AV19" s="418">
        <f t="shared" si="18"/>
        <v>3283.5</v>
      </c>
    </row>
    <row r="20" spans="1:48" outlineLevel="1" x14ac:dyDescent="0.3">
      <c r="A20" s="151"/>
      <c r="B20" s="552" t="s">
        <v>223</v>
      </c>
      <c r="C20" s="553"/>
      <c r="D20" s="21">
        <f t="shared" ref="D20:AU20" si="19">+SUM(D11:D19)</f>
        <v>19981.3</v>
      </c>
      <c r="E20" s="21">
        <f t="shared" si="19"/>
        <v>17641.900000000001</v>
      </c>
      <c r="F20" s="21">
        <f t="shared" si="19"/>
        <v>20894.500000000004</v>
      </c>
      <c r="G20" s="21">
        <f t="shared" si="19"/>
        <v>19219.400000000001</v>
      </c>
      <c r="H20" s="22">
        <f t="shared" si="19"/>
        <v>19219.400000000001</v>
      </c>
      <c r="I20" s="21">
        <f t="shared" si="19"/>
        <v>27731.300000000007</v>
      </c>
      <c r="J20" s="21">
        <f t="shared" si="19"/>
        <v>27478.9</v>
      </c>
      <c r="K20" s="21">
        <f t="shared" si="19"/>
        <v>29140.600000000002</v>
      </c>
      <c r="L20" s="21">
        <f t="shared" si="19"/>
        <v>29374.500000000004</v>
      </c>
      <c r="M20" s="22">
        <f t="shared" si="19"/>
        <v>29374.500000000004</v>
      </c>
      <c r="N20" s="21">
        <f t="shared" si="19"/>
        <v>29968.30000000001</v>
      </c>
      <c r="O20" s="21">
        <f t="shared" si="19"/>
        <v>28371.600000000013</v>
      </c>
      <c r="P20" s="21">
        <f t="shared" si="19"/>
        <v>29476.800000000007</v>
      </c>
      <c r="Q20" s="21">
        <f t="shared" si="19"/>
        <v>31392.600000000009</v>
      </c>
      <c r="R20" s="22">
        <f t="shared" si="19"/>
        <v>31392.600000000009</v>
      </c>
      <c r="S20" s="21">
        <f t="shared" si="19"/>
        <v>28833.900000000009</v>
      </c>
      <c r="T20" s="21">
        <f t="shared" si="19"/>
        <v>29021.500000000007</v>
      </c>
      <c r="U20" s="21">
        <f t="shared" si="19"/>
        <v>28156.200000000012</v>
      </c>
      <c r="V20" s="21">
        <f t="shared" si="19"/>
        <v>27978.30000000001</v>
      </c>
      <c r="W20" s="22">
        <f t="shared" si="19"/>
        <v>27978.30000000001</v>
      </c>
      <c r="X20" s="21">
        <f t="shared" si="19"/>
        <v>28656.993110261836</v>
      </c>
      <c r="Y20" s="21">
        <f t="shared" si="19"/>
        <v>28531.209729353548</v>
      </c>
      <c r="Z20" s="21">
        <f t="shared" si="19"/>
        <v>29186.467767389317</v>
      </c>
      <c r="AA20" s="21">
        <f t="shared" si="19"/>
        <v>29575.947671085025</v>
      </c>
      <c r="AB20" s="22">
        <f t="shared" si="19"/>
        <v>29575.947671085025</v>
      </c>
      <c r="AC20" s="21">
        <f t="shared" si="19"/>
        <v>30645.716210094146</v>
      </c>
      <c r="AD20" s="21">
        <f t="shared" si="19"/>
        <v>30564.912432436231</v>
      </c>
      <c r="AE20" s="21">
        <f t="shared" si="19"/>
        <v>31191.62427938966</v>
      </c>
      <c r="AF20" s="21">
        <f t="shared" si="19"/>
        <v>31642.58343661941</v>
      </c>
      <c r="AG20" s="22">
        <f t="shared" ref="AG20" si="20">+SUM(AG11:AG19)</f>
        <v>31642.58343661941</v>
      </c>
      <c r="AH20" s="21">
        <f t="shared" si="19"/>
        <v>32755.151804444486</v>
      </c>
      <c r="AI20" s="21">
        <f t="shared" si="19"/>
        <v>32661.88633001539</v>
      </c>
      <c r="AJ20" s="21">
        <f t="shared" si="19"/>
        <v>33751.012802752419</v>
      </c>
      <c r="AK20" s="21">
        <f t="shared" si="19"/>
        <v>28783.705515281759</v>
      </c>
      <c r="AL20" s="22">
        <f t="shared" ref="AL20" si="21">+SUM(AL11:AL19)</f>
        <v>28783.705515281759</v>
      </c>
      <c r="AM20" s="21">
        <f t="shared" si="19"/>
        <v>30087.400039351996</v>
      </c>
      <c r="AN20" s="21">
        <f t="shared" si="19"/>
        <v>30091.761607875513</v>
      </c>
      <c r="AO20" s="21">
        <f t="shared" si="19"/>
        <v>31130.044677686259</v>
      </c>
      <c r="AP20" s="21">
        <f t="shared" si="19"/>
        <v>31743.656146945446</v>
      </c>
      <c r="AQ20" s="22">
        <f t="shared" ref="AQ20" si="22">+SUM(AQ11:AQ19)</f>
        <v>31743.656146945446</v>
      </c>
      <c r="AR20" s="21">
        <f t="shared" si="19"/>
        <v>33117.872799990233</v>
      </c>
      <c r="AS20" s="21">
        <f t="shared" si="19"/>
        <v>33134.084987279624</v>
      </c>
      <c r="AT20" s="21">
        <f t="shared" si="19"/>
        <v>34242.11079438337</v>
      </c>
      <c r="AU20" s="21">
        <f t="shared" si="19"/>
        <v>34922.53934971166</v>
      </c>
      <c r="AV20" s="22">
        <f t="shared" ref="AV20" si="23">+SUM(AV11:AV19)</f>
        <v>34922.53934971166</v>
      </c>
    </row>
    <row r="21" spans="1:48" ht="17.399999999999999" x14ac:dyDescent="0.45">
      <c r="A21" s="151"/>
      <c r="B21" s="514" t="s">
        <v>224</v>
      </c>
      <c r="C21" s="515"/>
      <c r="D21" s="14" t="s">
        <v>19</v>
      </c>
      <c r="E21" s="14" t="s">
        <v>78</v>
      </c>
      <c r="F21" s="14" t="s">
        <v>82</v>
      </c>
      <c r="G21" s="14" t="s">
        <v>92</v>
      </c>
      <c r="H21" s="37" t="s">
        <v>93</v>
      </c>
      <c r="I21" s="14" t="s">
        <v>94</v>
      </c>
      <c r="J21" s="14" t="s">
        <v>95</v>
      </c>
      <c r="K21" s="14" t="s">
        <v>96</v>
      </c>
      <c r="L21" s="14" t="s">
        <v>139</v>
      </c>
      <c r="M21" s="37" t="s">
        <v>140</v>
      </c>
      <c r="N21" s="14" t="s">
        <v>146</v>
      </c>
      <c r="O21" s="14" t="s">
        <v>154</v>
      </c>
      <c r="P21" s="14" t="s">
        <v>156</v>
      </c>
      <c r="Q21" s="14" t="s">
        <v>169</v>
      </c>
      <c r="R21" s="37" t="s">
        <v>170</v>
      </c>
      <c r="S21" s="14" t="s">
        <v>185</v>
      </c>
      <c r="T21" s="14" t="s">
        <v>186</v>
      </c>
      <c r="U21" s="14" t="s">
        <v>201</v>
      </c>
      <c r="V21" s="14" t="s">
        <v>324</v>
      </c>
      <c r="W21" s="37" t="s">
        <v>325</v>
      </c>
      <c r="X21" s="12" t="s">
        <v>24</v>
      </c>
      <c r="Y21" s="12" t="s">
        <v>25</v>
      </c>
      <c r="Z21" s="12" t="s">
        <v>26</v>
      </c>
      <c r="AA21" s="12" t="s">
        <v>27</v>
      </c>
      <c r="AB21" s="39" t="s">
        <v>28</v>
      </c>
      <c r="AC21" s="12" t="s">
        <v>87</v>
      </c>
      <c r="AD21" s="12" t="s">
        <v>88</v>
      </c>
      <c r="AE21" s="12" t="s">
        <v>89</v>
      </c>
      <c r="AF21" s="12" t="s">
        <v>90</v>
      </c>
      <c r="AG21" s="39" t="s">
        <v>91</v>
      </c>
      <c r="AH21" s="12" t="s">
        <v>106</v>
      </c>
      <c r="AI21" s="12" t="s">
        <v>107</v>
      </c>
      <c r="AJ21" s="12" t="s">
        <v>108</v>
      </c>
      <c r="AK21" s="12" t="s">
        <v>109</v>
      </c>
      <c r="AL21" s="39" t="s">
        <v>110</v>
      </c>
      <c r="AM21" s="12" t="s">
        <v>161</v>
      </c>
      <c r="AN21" s="12" t="s">
        <v>162</v>
      </c>
      <c r="AO21" s="12" t="s">
        <v>163</v>
      </c>
      <c r="AP21" s="12" t="s">
        <v>164</v>
      </c>
      <c r="AQ21" s="39" t="s">
        <v>165</v>
      </c>
      <c r="AR21" s="12" t="s">
        <v>192</v>
      </c>
      <c r="AS21" s="12" t="s">
        <v>193</v>
      </c>
      <c r="AT21" s="12" t="s">
        <v>194</v>
      </c>
      <c r="AU21" s="12" t="s">
        <v>195</v>
      </c>
      <c r="AV21" s="39" t="s">
        <v>196</v>
      </c>
    </row>
    <row r="22" spans="1:48" s="23" customFormat="1" outlineLevel="1" x14ac:dyDescent="0.3">
      <c r="A22" s="151"/>
      <c r="B22" s="511" t="s">
        <v>225</v>
      </c>
      <c r="C22" s="512"/>
      <c r="D22" s="91">
        <v>1100.5</v>
      </c>
      <c r="E22" s="91">
        <v>1096.7</v>
      </c>
      <c r="F22" s="91">
        <v>1145.4000000000001</v>
      </c>
      <c r="G22" s="91">
        <v>1189.7</v>
      </c>
      <c r="H22" s="159">
        <f t="shared" ref="H22:H29" si="24">G22</f>
        <v>1189.7</v>
      </c>
      <c r="I22" s="91">
        <v>1085.5999999999999</v>
      </c>
      <c r="J22" s="91">
        <v>997.7</v>
      </c>
      <c r="K22" s="91">
        <v>860.8</v>
      </c>
      <c r="L22" s="91">
        <v>997.9</v>
      </c>
      <c r="M22" s="159">
        <f t="shared" ref="M22:M29" si="25">L22</f>
        <v>997.9</v>
      </c>
      <c r="N22" s="91">
        <v>1050.5999999999999</v>
      </c>
      <c r="O22" s="91">
        <v>1033.5999999999999</v>
      </c>
      <c r="P22" s="91">
        <v>1127</v>
      </c>
      <c r="Q22" s="91">
        <v>1211.5999999999999</v>
      </c>
      <c r="R22" s="159">
        <f t="shared" ref="R22:R29" si="26">Q22</f>
        <v>1211.5999999999999</v>
      </c>
      <c r="S22" s="91">
        <v>1289.4000000000001</v>
      </c>
      <c r="T22" s="91">
        <v>1329.5</v>
      </c>
      <c r="U22" s="91">
        <v>1489.8</v>
      </c>
      <c r="V22" s="91">
        <v>1441.4</v>
      </c>
      <c r="W22" s="159">
        <f t="shared" ref="W22:W29" si="27">V22</f>
        <v>1441.4</v>
      </c>
      <c r="X22" s="91">
        <f>'Income Statement &amp; Segments'!X9/'Balance Sheet'!X51</f>
        <v>1411.1243985724423</v>
      </c>
      <c r="Y22" s="91">
        <f>'Income Statement &amp; Segments'!Y9/'Balance Sheet'!Y51</f>
        <v>1401.249556611275</v>
      </c>
      <c r="Z22" s="91">
        <f>'Income Statement &amp; Segments'!Z9/'Balance Sheet'!Z51</f>
        <v>1632.5337374408573</v>
      </c>
      <c r="AA22" s="91">
        <f>'Income Statement &amp; Segments'!AA9/'Balance Sheet'!AA51</f>
        <v>1508.6453795449863</v>
      </c>
      <c r="AB22" s="159">
        <f>AA22</f>
        <v>1508.6453795449863</v>
      </c>
      <c r="AC22" s="91">
        <f>'Income Statement &amp; Segments'!AC9/'Balance Sheet'!AC51</f>
        <v>1568.2020801197302</v>
      </c>
      <c r="AD22" s="91">
        <f>'Income Statement &amp; Segments'!AD9/'Balance Sheet'!AD51</f>
        <v>1548.7467327472432</v>
      </c>
      <c r="AE22" s="91">
        <f>'Income Statement &amp; Segments'!AE9/'Balance Sheet'!AE51</f>
        <v>1775.9446673842697</v>
      </c>
      <c r="AF22" s="91">
        <f>'Income Statement &amp; Segments'!AF9/'Balance Sheet'!AF51</f>
        <v>1720.7624073418599</v>
      </c>
      <c r="AG22" s="159">
        <f>AF22</f>
        <v>1720.7624073418599</v>
      </c>
      <c r="AH22" s="91">
        <f>'Income Statement &amp; Segments'!AH9/'Balance Sheet'!AH51</f>
        <v>1748.8006511985855</v>
      </c>
      <c r="AI22" s="91">
        <f>'Income Statement &amp; Segments'!AI9/'Balance Sheet'!AI51</f>
        <v>1735.2443073943816</v>
      </c>
      <c r="AJ22" s="91">
        <f>'Income Statement &amp; Segments'!AJ9/'Balance Sheet'!AJ51</f>
        <v>2011.8585549161999</v>
      </c>
      <c r="AK22" s="91">
        <f>'Income Statement &amp; Segments'!AK9/'Balance Sheet'!AK51</f>
        <v>1955.2234700128922</v>
      </c>
      <c r="AL22" s="159">
        <f>AK22</f>
        <v>1955.2234700128922</v>
      </c>
      <c r="AM22" s="91">
        <f>'Income Statement &amp; Segments'!AM9/'Balance Sheet'!AM51</f>
        <v>1942.7343084100901</v>
      </c>
      <c r="AN22" s="91">
        <f>'Income Statement &amp; Segments'!AN9/'Balance Sheet'!AN51</f>
        <v>1901.4947241718978</v>
      </c>
      <c r="AO22" s="91">
        <f>'Income Statement &amp; Segments'!AO9/'Balance Sheet'!AO51</f>
        <v>2188.806510225078</v>
      </c>
      <c r="AP22" s="91">
        <f>'Income Statement &amp; Segments'!AP9/'Balance Sheet'!AP51</f>
        <v>2105.8110466151534</v>
      </c>
      <c r="AQ22" s="159">
        <f>AP22</f>
        <v>2105.8110466151534</v>
      </c>
      <c r="AR22" s="91">
        <f>'Income Statement &amp; Segments'!AR9/'Balance Sheet'!AR51</f>
        <v>2053.6743712359685</v>
      </c>
      <c r="AS22" s="91">
        <f>'Income Statement &amp; Segments'!AS9/'Balance Sheet'!AS51</f>
        <v>2011.094509034056</v>
      </c>
      <c r="AT22" s="91">
        <f>'Income Statement &amp; Segments'!AT9/'Balance Sheet'!AT51</f>
        <v>2305.0514956758998</v>
      </c>
      <c r="AU22" s="91">
        <f>'Income Statement &amp; Segments'!AU9/'Balance Sheet'!AU51</f>
        <v>2225.5931657048204</v>
      </c>
      <c r="AV22" s="159">
        <f>AU22</f>
        <v>2225.5931657048204</v>
      </c>
    </row>
    <row r="23" spans="1:48" outlineLevel="1" x14ac:dyDescent="0.3">
      <c r="A23" s="151"/>
      <c r="B23" s="511" t="s">
        <v>226</v>
      </c>
      <c r="C23" s="512"/>
      <c r="D23" s="91">
        <v>2564</v>
      </c>
      <c r="E23" s="91">
        <v>2569.3000000000002</v>
      </c>
      <c r="F23" s="91">
        <v>3238.7</v>
      </c>
      <c r="G23" s="91">
        <v>1753.7</v>
      </c>
      <c r="H23" s="159">
        <f t="shared" si="24"/>
        <v>1753.7</v>
      </c>
      <c r="I23" s="91">
        <v>1637.8</v>
      </c>
      <c r="J23" s="91">
        <v>1539</v>
      </c>
      <c r="K23" s="91">
        <v>1511.7</v>
      </c>
      <c r="L23" s="91">
        <v>1160.7</v>
      </c>
      <c r="M23" s="159">
        <f t="shared" si="25"/>
        <v>1160.7</v>
      </c>
      <c r="N23" s="91">
        <v>1616.9</v>
      </c>
      <c r="O23" s="91">
        <v>1771.6</v>
      </c>
      <c r="P23" s="91">
        <v>1791.4</v>
      </c>
      <c r="Q23" s="91">
        <v>1973.2</v>
      </c>
      <c r="R23" s="159">
        <f t="shared" si="26"/>
        <v>1973.2</v>
      </c>
      <c r="S23" s="91">
        <v>2444.3000000000002</v>
      </c>
      <c r="T23" s="91">
        <v>2092.4</v>
      </c>
      <c r="U23" s="91">
        <v>2068.9</v>
      </c>
      <c r="V23" s="91">
        <v>2137.1</v>
      </c>
      <c r="W23" s="159">
        <f t="shared" si="27"/>
        <v>2137.1</v>
      </c>
      <c r="X23" s="391">
        <f>V23</f>
        <v>2137.1</v>
      </c>
      <c r="Y23" s="391">
        <f t="shared" ref="Y23:AA24" si="28">X23</f>
        <v>2137.1</v>
      </c>
      <c r="Z23" s="391">
        <f t="shared" si="28"/>
        <v>2137.1</v>
      </c>
      <c r="AA23" s="391">
        <f t="shared" si="28"/>
        <v>2137.1</v>
      </c>
      <c r="AB23" s="418">
        <f t="shared" ref="AB23:AB29" si="29">AA23</f>
        <v>2137.1</v>
      </c>
      <c r="AC23" s="391">
        <f>AA23</f>
        <v>2137.1</v>
      </c>
      <c r="AD23" s="391">
        <f t="shared" ref="AD23:AF24" si="30">AC23</f>
        <v>2137.1</v>
      </c>
      <c r="AE23" s="391">
        <f t="shared" si="30"/>
        <v>2137.1</v>
      </c>
      <c r="AF23" s="391">
        <f t="shared" si="30"/>
        <v>2137.1</v>
      </c>
      <c r="AG23" s="418">
        <f t="shared" ref="AG23:AG29" si="31">AF23</f>
        <v>2137.1</v>
      </c>
      <c r="AH23" s="391">
        <f>AF23</f>
        <v>2137.1</v>
      </c>
      <c r="AI23" s="391">
        <f t="shared" ref="AI23:AK24" si="32">AH23</f>
        <v>2137.1</v>
      </c>
      <c r="AJ23" s="391">
        <f t="shared" si="32"/>
        <v>2137.1</v>
      </c>
      <c r="AK23" s="391">
        <f t="shared" si="32"/>
        <v>2137.1</v>
      </c>
      <c r="AL23" s="418">
        <f t="shared" ref="AL23:AL29" si="33">AK23</f>
        <v>2137.1</v>
      </c>
      <c r="AM23" s="391">
        <f>AK23</f>
        <v>2137.1</v>
      </c>
      <c r="AN23" s="391">
        <f t="shared" ref="AN23:AP24" si="34">AM23</f>
        <v>2137.1</v>
      </c>
      <c r="AO23" s="391">
        <f t="shared" si="34"/>
        <v>2137.1</v>
      </c>
      <c r="AP23" s="391">
        <f t="shared" si="34"/>
        <v>2137.1</v>
      </c>
      <c r="AQ23" s="418">
        <f t="shared" ref="AQ23:AQ29" si="35">AP23</f>
        <v>2137.1</v>
      </c>
      <c r="AR23" s="391">
        <f>AP23</f>
        <v>2137.1</v>
      </c>
      <c r="AS23" s="391">
        <f t="shared" ref="AS23:AU24" si="36">AR23</f>
        <v>2137.1</v>
      </c>
      <c r="AT23" s="391">
        <f t="shared" si="36"/>
        <v>2137.1</v>
      </c>
      <c r="AU23" s="391">
        <f t="shared" si="36"/>
        <v>2137.1</v>
      </c>
      <c r="AV23" s="418">
        <f t="shared" ref="AV23:AV29" si="37">AU23</f>
        <v>2137.1</v>
      </c>
    </row>
    <row r="24" spans="1:48" outlineLevel="1" x14ac:dyDescent="0.3">
      <c r="A24" s="151"/>
      <c r="B24" s="188" t="s">
        <v>227</v>
      </c>
      <c r="C24" s="189"/>
      <c r="D24" s="91">
        <v>0</v>
      </c>
      <c r="E24" s="91">
        <v>0</v>
      </c>
      <c r="F24" s="91">
        <v>0</v>
      </c>
      <c r="G24" s="91">
        <v>664.6</v>
      </c>
      <c r="H24" s="159">
        <f t="shared" si="24"/>
        <v>664.6</v>
      </c>
      <c r="I24" s="91">
        <v>578.5</v>
      </c>
      <c r="J24" s="91">
        <v>596.1</v>
      </c>
      <c r="K24" s="91">
        <v>652.1</v>
      </c>
      <c r="L24" s="91">
        <v>696</v>
      </c>
      <c r="M24" s="159">
        <f t="shared" si="25"/>
        <v>696</v>
      </c>
      <c r="N24" s="91">
        <v>685.3</v>
      </c>
      <c r="O24" s="91">
        <v>646.1</v>
      </c>
      <c r="P24" s="91">
        <v>741</v>
      </c>
      <c r="Q24" s="91">
        <v>772.3</v>
      </c>
      <c r="R24" s="159">
        <f t="shared" si="26"/>
        <v>772.3</v>
      </c>
      <c r="S24" s="91">
        <v>664.1</v>
      </c>
      <c r="T24" s="91">
        <v>665.9</v>
      </c>
      <c r="U24" s="91">
        <v>706.8</v>
      </c>
      <c r="V24" s="91">
        <v>761.7</v>
      </c>
      <c r="W24" s="159">
        <f t="shared" si="27"/>
        <v>761.7</v>
      </c>
      <c r="X24" s="391">
        <f>V24</f>
        <v>761.7</v>
      </c>
      <c r="Y24" s="391">
        <f t="shared" si="28"/>
        <v>761.7</v>
      </c>
      <c r="Z24" s="391">
        <f t="shared" si="28"/>
        <v>761.7</v>
      </c>
      <c r="AA24" s="391">
        <f t="shared" si="28"/>
        <v>761.7</v>
      </c>
      <c r="AB24" s="418">
        <f t="shared" si="29"/>
        <v>761.7</v>
      </c>
      <c r="AC24" s="391">
        <f>AA24</f>
        <v>761.7</v>
      </c>
      <c r="AD24" s="391">
        <f t="shared" si="30"/>
        <v>761.7</v>
      </c>
      <c r="AE24" s="391">
        <f t="shared" si="30"/>
        <v>761.7</v>
      </c>
      <c r="AF24" s="391">
        <f t="shared" si="30"/>
        <v>761.7</v>
      </c>
      <c r="AG24" s="418">
        <f t="shared" si="31"/>
        <v>761.7</v>
      </c>
      <c r="AH24" s="391">
        <f>AF24</f>
        <v>761.7</v>
      </c>
      <c r="AI24" s="391">
        <f t="shared" si="32"/>
        <v>761.7</v>
      </c>
      <c r="AJ24" s="391">
        <f t="shared" si="32"/>
        <v>761.7</v>
      </c>
      <c r="AK24" s="391">
        <f t="shared" si="32"/>
        <v>761.7</v>
      </c>
      <c r="AL24" s="418">
        <f t="shared" si="33"/>
        <v>761.7</v>
      </c>
      <c r="AM24" s="391">
        <f>AK24</f>
        <v>761.7</v>
      </c>
      <c r="AN24" s="391">
        <f t="shared" si="34"/>
        <v>761.7</v>
      </c>
      <c r="AO24" s="391">
        <f t="shared" si="34"/>
        <v>761.7</v>
      </c>
      <c r="AP24" s="391">
        <f t="shared" si="34"/>
        <v>761.7</v>
      </c>
      <c r="AQ24" s="418">
        <f t="shared" si="35"/>
        <v>761.7</v>
      </c>
      <c r="AR24" s="391">
        <f>AP24</f>
        <v>761.7</v>
      </c>
      <c r="AS24" s="391">
        <f t="shared" si="36"/>
        <v>761.7</v>
      </c>
      <c r="AT24" s="391">
        <f t="shared" si="36"/>
        <v>761.7</v>
      </c>
      <c r="AU24" s="391">
        <f t="shared" si="36"/>
        <v>761.7</v>
      </c>
      <c r="AV24" s="418">
        <f t="shared" si="37"/>
        <v>761.7</v>
      </c>
    </row>
    <row r="25" spans="1:48" outlineLevel="1" x14ac:dyDescent="0.3">
      <c r="A25" s="151"/>
      <c r="B25" s="188" t="s">
        <v>228</v>
      </c>
      <c r="C25" s="189"/>
      <c r="D25" s="91">
        <v>0</v>
      </c>
      <c r="E25" s="91">
        <v>0</v>
      </c>
      <c r="F25" s="91">
        <v>0</v>
      </c>
      <c r="G25" s="91">
        <v>1291.7</v>
      </c>
      <c r="H25" s="159">
        <f t="shared" si="24"/>
        <v>1291.7</v>
      </c>
      <c r="I25" s="91">
        <v>1414</v>
      </c>
      <c r="J25" s="91">
        <v>86.7</v>
      </c>
      <c r="K25" s="91">
        <v>90.9</v>
      </c>
      <c r="L25" s="91">
        <v>98.2</v>
      </c>
      <c r="M25" s="159">
        <f t="shared" si="25"/>
        <v>98.2</v>
      </c>
      <c r="N25" s="91">
        <v>149.69999999999999</v>
      </c>
      <c r="O25" s="91">
        <v>117</v>
      </c>
      <c r="P25" s="91">
        <v>204.8</v>
      </c>
      <c r="Q25" s="91">
        <v>348</v>
      </c>
      <c r="R25" s="159">
        <f t="shared" si="26"/>
        <v>348</v>
      </c>
      <c r="S25" s="91"/>
      <c r="T25" s="91">
        <f>S25</f>
        <v>0</v>
      </c>
      <c r="U25" s="91">
        <f>T25</f>
        <v>0</v>
      </c>
      <c r="V25" s="91">
        <f>U25</f>
        <v>0</v>
      </c>
      <c r="W25" s="159">
        <f t="shared" si="27"/>
        <v>0</v>
      </c>
      <c r="X25" s="391">
        <v>0</v>
      </c>
      <c r="Y25" s="391">
        <v>0</v>
      </c>
      <c r="Z25" s="391">
        <v>0</v>
      </c>
      <c r="AA25" s="391">
        <v>0</v>
      </c>
      <c r="AB25" s="418">
        <f t="shared" si="29"/>
        <v>0</v>
      </c>
      <c r="AC25" s="391">
        <v>0</v>
      </c>
      <c r="AD25" s="391">
        <v>0</v>
      </c>
      <c r="AE25" s="391">
        <v>0</v>
      </c>
      <c r="AF25" s="391">
        <v>0</v>
      </c>
      <c r="AG25" s="418">
        <f t="shared" si="31"/>
        <v>0</v>
      </c>
      <c r="AH25" s="391">
        <v>0</v>
      </c>
      <c r="AI25" s="391">
        <v>0</v>
      </c>
      <c r="AJ25" s="391">
        <v>0</v>
      </c>
      <c r="AK25" s="391">
        <v>0</v>
      </c>
      <c r="AL25" s="418">
        <f t="shared" si="33"/>
        <v>0</v>
      </c>
      <c r="AM25" s="391">
        <v>0</v>
      </c>
      <c r="AN25" s="391">
        <v>0</v>
      </c>
      <c r="AO25" s="391">
        <v>0</v>
      </c>
      <c r="AP25" s="391">
        <v>0</v>
      </c>
      <c r="AQ25" s="418">
        <f t="shared" si="35"/>
        <v>0</v>
      </c>
      <c r="AR25" s="391">
        <v>0</v>
      </c>
      <c r="AS25" s="391">
        <v>0</v>
      </c>
      <c r="AT25" s="391">
        <v>0</v>
      </c>
      <c r="AU25" s="391">
        <v>0</v>
      </c>
      <c r="AV25" s="418">
        <f t="shared" si="37"/>
        <v>0</v>
      </c>
    </row>
    <row r="26" spans="1:48" outlineLevel="1" x14ac:dyDescent="0.3">
      <c r="A26" s="151"/>
      <c r="B26" s="188" t="s">
        <v>229</v>
      </c>
      <c r="C26" s="189"/>
      <c r="D26" s="91">
        <v>0</v>
      </c>
      <c r="E26" s="91">
        <v>0</v>
      </c>
      <c r="F26" s="91">
        <v>0</v>
      </c>
      <c r="G26" s="91">
        <v>0</v>
      </c>
      <c r="H26" s="159">
        <f t="shared" si="24"/>
        <v>0</v>
      </c>
      <c r="I26" s="91">
        <v>1268.9000000000001</v>
      </c>
      <c r="J26" s="91">
        <v>1253.5</v>
      </c>
      <c r="K26" s="91">
        <v>1237.0999999999999</v>
      </c>
      <c r="L26" s="91">
        <v>1248.8</v>
      </c>
      <c r="M26" s="159">
        <f t="shared" si="25"/>
        <v>1248.8</v>
      </c>
      <c r="N26" s="91">
        <v>1267.5999999999999</v>
      </c>
      <c r="O26" s="91">
        <v>1296.4000000000001</v>
      </c>
      <c r="P26" s="91">
        <v>1308.4000000000001</v>
      </c>
      <c r="Q26" s="91">
        <v>1251.3</v>
      </c>
      <c r="R26" s="159">
        <f t="shared" si="26"/>
        <v>1251.3</v>
      </c>
      <c r="S26" s="91">
        <v>1253.3</v>
      </c>
      <c r="T26" s="91">
        <v>1236.3</v>
      </c>
      <c r="U26" s="91">
        <v>1214.8</v>
      </c>
      <c r="V26" s="91">
        <v>1245.7</v>
      </c>
      <c r="W26" s="159">
        <f t="shared" si="27"/>
        <v>1245.7</v>
      </c>
      <c r="X26" s="391">
        <f>V26*0.996</f>
        <v>1240.7172</v>
      </c>
      <c r="Y26" s="391">
        <f>X26*0.996</f>
        <v>1235.7543312</v>
      </c>
      <c r="Z26" s="391">
        <f>Y26*0.996</f>
        <v>1230.8113138752001</v>
      </c>
      <c r="AA26" s="391">
        <f>Z26*0.996</f>
        <v>1225.8880686196992</v>
      </c>
      <c r="AB26" s="418">
        <f t="shared" si="29"/>
        <v>1225.8880686196992</v>
      </c>
      <c r="AC26" s="391">
        <f>AA26*0.996</f>
        <v>1220.9845163452203</v>
      </c>
      <c r="AD26" s="391">
        <f>AC26*0.996</f>
        <v>1216.1005782798395</v>
      </c>
      <c r="AE26" s="391">
        <f>AD26*0.996</f>
        <v>1211.2361759667201</v>
      </c>
      <c r="AF26" s="391">
        <f>AE26*0.996</f>
        <v>1206.3912312628531</v>
      </c>
      <c r="AG26" s="418">
        <f t="shared" si="31"/>
        <v>1206.3912312628531</v>
      </c>
      <c r="AH26" s="391">
        <f>AF26*0.996</f>
        <v>1201.5656663378018</v>
      </c>
      <c r="AI26" s="391">
        <f>AH26*0.996</f>
        <v>1196.7594036724506</v>
      </c>
      <c r="AJ26" s="391">
        <f>AI26*0.996</f>
        <v>1191.9723660577608</v>
      </c>
      <c r="AK26" s="391">
        <f>AJ26*0.996</f>
        <v>1187.2044765935298</v>
      </c>
      <c r="AL26" s="418">
        <f t="shared" si="33"/>
        <v>1187.2044765935298</v>
      </c>
      <c r="AM26" s="391">
        <f>AK26*0.996</f>
        <v>1182.4556586871556</v>
      </c>
      <c r="AN26" s="391">
        <f>AM26*0.996</f>
        <v>1177.725836052407</v>
      </c>
      <c r="AO26" s="391">
        <f>AN26*0.996</f>
        <v>1173.0149327081974</v>
      </c>
      <c r="AP26" s="391">
        <f>AO26*0.996</f>
        <v>1168.3228729773646</v>
      </c>
      <c r="AQ26" s="418">
        <f t="shared" si="35"/>
        <v>1168.3228729773646</v>
      </c>
      <c r="AR26" s="391">
        <f>AP26*0.996</f>
        <v>1163.6495814854552</v>
      </c>
      <c r="AS26" s="391">
        <f>AR26*0.996</f>
        <v>1158.9949831595134</v>
      </c>
      <c r="AT26" s="391">
        <f>AS26*0.996</f>
        <v>1154.3590032268753</v>
      </c>
      <c r="AU26" s="391">
        <f>AT26*0.996</f>
        <v>1149.7415672139678</v>
      </c>
      <c r="AV26" s="418">
        <f t="shared" si="37"/>
        <v>1149.7415672139678</v>
      </c>
    </row>
    <row r="27" spans="1:48" outlineLevel="1" x14ac:dyDescent="0.3">
      <c r="A27" s="151"/>
      <c r="B27" s="188" t="s">
        <v>230</v>
      </c>
      <c r="C27" s="189"/>
      <c r="D27" s="91">
        <v>1554.2</v>
      </c>
      <c r="E27" s="91">
        <v>1311.4</v>
      </c>
      <c r="F27" s="91">
        <v>1300.2</v>
      </c>
      <c r="G27" s="91">
        <v>1269</v>
      </c>
      <c r="H27" s="159">
        <f t="shared" si="24"/>
        <v>1269</v>
      </c>
      <c r="I27" s="91">
        <v>1694.1</v>
      </c>
      <c r="J27" s="91">
        <v>1436.3</v>
      </c>
      <c r="K27" s="91">
        <v>1463.3</v>
      </c>
      <c r="L27" s="91">
        <v>1456.5</v>
      </c>
      <c r="M27" s="159">
        <f t="shared" si="25"/>
        <v>1456.5</v>
      </c>
      <c r="N27" s="91">
        <v>1871.2</v>
      </c>
      <c r="O27" s="91">
        <v>1622.1</v>
      </c>
      <c r="P27" s="91">
        <v>1628.3</v>
      </c>
      <c r="Q27" s="91">
        <v>1596.1</v>
      </c>
      <c r="R27" s="159">
        <f t="shared" si="26"/>
        <v>1596.1</v>
      </c>
      <c r="S27" s="91">
        <v>2070.6999999999998</v>
      </c>
      <c r="T27" s="91">
        <v>1781.6</v>
      </c>
      <c r="U27" s="91">
        <v>1723</v>
      </c>
      <c r="V27" s="91">
        <v>1641.9</v>
      </c>
      <c r="W27" s="159">
        <f t="shared" si="27"/>
        <v>1641.9</v>
      </c>
      <c r="X27" s="391">
        <f>V27*1.3</f>
        <v>2134.4700000000003</v>
      </c>
      <c r="Y27" s="391">
        <f>X27*0.85</f>
        <v>1814.2995000000001</v>
      </c>
      <c r="Z27" s="391">
        <f>Y27*0.99</f>
        <v>1796.1565050000002</v>
      </c>
      <c r="AA27" s="391">
        <f>Z27*0.99</f>
        <v>1778.1949399500002</v>
      </c>
      <c r="AB27" s="418">
        <f t="shared" si="29"/>
        <v>1778.1949399500002</v>
      </c>
      <c r="AC27" s="391">
        <f>AA27*1.3</f>
        <v>2311.6534219350001</v>
      </c>
      <c r="AD27" s="391">
        <f>AC27*0.85</f>
        <v>1964.90540864475</v>
      </c>
      <c r="AE27" s="391">
        <f>AD27*0.99</f>
        <v>1945.2563545583025</v>
      </c>
      <c r="AF27" s="391">
        <f>AE27*0.99</f>
        <v>1925.8037910127196</v>
      </c>
      <c r="AG27" s="418">
        <f t="shared" si="31"/>
        <v>1925.8037910127196</v>
      </c>
      <c r="AH27" s="391">
        <f>AF27*1.3</f>
        <v>2503.5449283165353</v>
      </c>
      <c r="AI27" s="391">
        <f>AH27*0.85</f>
        <v>2128.013189069055</v>
      </c>
      <c r="AJ27" s="391">
        <f>AI27*0.99</f>
        <v>2106.7330571783646</v>
      </c>
      <c r="AK27" s="391">
        <f>AJ27*0.99</f>
        <v>2085.6657266065808</v>
      </c>
      <c r="AL27" s="418">
        <f t="shared" si="33"/>
        <v>2085.6657266065808</v>
      </c>
      <c r="AM27" s="391">
        <f>AK27*1.3</f>
        <v>2711.3654445885554</v>
      </c>
      <c r="AN27" s="391">
        <f>AM27*0.85</f>
        <v>2304.6606279002722</v>
      </c>
      <c r="AO27" s="391">
        <f>AN27*0.99</f>
        <v>2281.6140216212693</v>
      </c>
      <c r="AP27" s="391">
        <f>AO27*0.99</f>
        <v>2258.7978814050566</v>
      </c>
      <c r="AQ27" s="418">
        <f t="shared" si="35"/>
        <v>2258.7978814050566</v>
      </c>
      <c r="AR27" s="391">
        <f>AP27*1.3</f>
        <v>2936.4372458265739</v>
      </c>
      <c r="AS27" s="391">
        <f>AR27*0.85</f>
        <v>2495.9716589525879</v>
      </c>
      <c r="AT27" s="391">
        <f>AS27*0.99</f>
        <v>2471.0119423630617</v>
      </c>
      <c r="AU27" s="391">
        <f>AT27*0.99</f>
        <v>2446.3018229394311</v>
      </c>
      <c r="AV27" s="418">
        <f t="shared" si="37"/>
        <v>2446.3018229394311</v>
      </c>
    </row>
    <row r="28" spans="1:48" outlineLevel="1" x14ac:dyDescent="0.3">
      <c r="A28" s="151"/>
      <c r="B28" s="188" t="s">
        <v>231</v>
      </c>
      <c r="C28" s="189"/>
      <c r="D28" s="91">
        <v>0</v>
      </c>
      <c r="E28" s="91">
        <f>75+0</f>
        <v>75</v>
      </c>
      <c r="F28" s="91">
        <v>0</v>
      </c>
      <c r="G28" s="91">
        <v>0</v>
      </c>
      <c r="H28" s="159">
        <f t="shared" si="24"/>
        <v>0</v>
      </c>
      <c r="I28" s="91">
        <f>497.9+498.7</f>
        <v>996.59999999999991</v>
      </c>
      <c r="J28" s="91">
        <f>1107.1+1249.4</f>
        <v>2356.5</v>
      </c>
      <c r="K28" s="91">
        <f>936.5+1249.6</f>
        <v>2186.1</v>
      </c>
      <c r="L28" s="91">
        <f>438.8+1249.9</f>
        <v>1688.7</v>
      </c>
      <c r="M28" s="159">
        <f t="shared" si="25"/>
        <v>1688.7</v>
      </c>
      <c r="N28" s="91">
        <f>492.6+750</f>
        <v>1242.5999999999999</v>
      </c>
      <c r="O28" s="91">
        <v>18.3</v>
      </c>
      <c r="P28" s="91">
        <v>998.9</v>
      </c>
      <c r="Q28" s="91">
        <v>998.9</v>
      </c>
      <c r="R28" s="159">
        <f t="shared" si="26"/>
        <v>998.9</v>
      </c>
      <c r="S28" s="91">
        <f>200+999.3</f>
        <v>1199.3</v>
      </c>
      <c r="T28" s="91">
        <v>1998.6</v>
      </c>
      <c r="U28" s="91">
        <f>200+999.1</f>
        <v>1199.0999999999999</v>
      </c>
      <c r="V28" s="91">
        <f>175+1749</f>
        <v>1924</v>
      </c>
      <c r="W28" s="159">
        <f t="shared" si="27"/>
        <v>1924</v>
      </c>
      <c r="X28" s="391">
        <f>V28-X59+X60</f>
        <v>1924</v>
      </c>
      <c r="Y28" s="391">
        <f>X28-Y59+Y60</f>
        <v>1674</v>
      </c>
      <c r="Z28" s="391">
        <f>Y28-Z59+Z60</f>
        <v>2800.3</v>
      </c>
      <c r="AA28" s="391">
        <f>Z28-AA59+AA60</f>
        <v>2800.3</v>
      </c>
      <c r="AB28" s="418">
        <f t="shared" si="29"/>
        <v>2800.3</v>
      </c>
      <c r="AC28" s="391">
        <f>AA28-AC59+AC60</f>
        <v>2050.3000000000002</v>
      </c>
      <c r="AD28" s="391">
        <f>AC28-AD59+AD60</f>
        <v>924.00000000000023</v>
      </c>
      <c r="AE28" s="391">
        <f>AD28-AE59+AE60</f>
        <v>924.00000000000023</v>
      </c>
      <c r="AF28" s="391">
        <f>AE28-AF59+AF60</f>
        <v>924.00000000000023</v>
      </c>
      <c r="AG28" s="418">
        <f t="shared" si="31"/>
        <v>924.00000000000023</v>
      </c>
      <c r="AH28" s="391">
        <f>AF28-AH59+AH60</f>
        <v>2174</v>
      </c>
      <c r="AI28" s="391">
        <f>AH28-AI59+AI60</f>
        <v>2174</v>
      </c>
      <c r="AJ28" s="391">
        <f>AI28-AJ59+AJ60</f>
        <v>2174</v>
      </c>
      <c r="AK28" s="391">
        <f>AJ28-AK59+AK60</f>
        <v>1424</v>
      </c>
      <c r="AL28" s="418">
        <f t="shared" si="33"/>
        <v>1424</v>
      </c>
      <c r="AM28" s="391">
        <f>AK28-AM59+AM60</f>
        <v>1424</v>
      </c>
      <c r="AN28" s="391">
        <f>AM28-AN59+AN60</f>
        <v>1424</v>
      </c>
      <c r="AO28" s="391">
        <f>AN28-AO59+AO60</f>
        <v>1424</v>
      </c>
      <c r="AP28" s="391">
        <f>AO28-AP59+AP60</f>
        <v>1424</v>
      </c>
      <c r="AQ28" s="418">
        <f t="shared" si="35"/>
        <v>1424</v>
      </c>
      <c r="AR28" s="391">
        <f>AP28-AR59+AR60</f>
        <v>1424</v>
      </c>
      <c r="AS28" s="391">
        <f>AR28-AS59+AS60</f>
        <v>924</v>
      </c>
      <c r="AT28" s="391">
        <f>AS28-AT59+AT60</f>
        <v>1524</v>
      </c>
      <c r="AU28" s="391">
        <f>AT28-AU59+AU60</f>
        <v>1524</v>
      </c>
      <c r="AV28" s="418">
        <f t="shared" si="37"/>
        <v>1524</v>
      </c>
    </row>
    <row r="29" spans="1:48" ht="16.2" outlineLevel="1" x14ac:dyDescent="0.45">
      <c r="A29" s="151"/>
      <c r="B29" s="188" t="s">
        <v>232</v>
      </c>
      <c r="C29" s="189"/>
      <c r="D29" s="102">
        <v>208.8</v>
      </c>
      <c r="E29" s="102">
        <v>221</v>
      </c>
      <c r="F29" s="102">
        <v>211.5</v>
      </c>
      <c r="G29" s="102">
        <v>0</v>
      </c>
      <c r="H29" s="246">
        <f t="shared" si="24"/>
        <v>0</v>
      </c>
      <c r="I29" s="102">
        <v>0</v>
      </c>
      <c r="J29" s="102">
        <v>0</v>
      </c>
      <c r="K29" s="102">
        <v>0</v>
      </c>
      <c r="L29" s="102">
        <v>0</v>
      </c>
      <c r="M29" s="246">
        <f t="shared" si="25"/>
        <v>0</v>
      </c>
      <c r="N29" s="102">
        <v>0</v>
      </c>
      <c r="O29" s="102">
        <v>0</v>
      </c>
      <c r="P29" s="102">
        <v>0</v>
      </c>
      <c r="Q29" s="102">
        <v>0</v>
      </c>
      <c r="R29" s="246">
        <f t="shared" si="26"/>
        <v>0</v>
      </c>
      <c r="S29" s="102">
        <v>0</v>
      </c>
      <c r="T29" s="102">
        <v>0</v>
      </c>
      <c r="U29" s="102">
        <v>0</v>
      </c>
      <c r="V29" s="102">
        <v>0</v>
      </c>
      <c r="W29" s="246">
        <f t="shared" si="27"/>
        <v>0</v>
      </c>
      <c r="X29" s="419">
        <v>0</v>
      </c>
      <c r="Y29" s="419">
        <v>0</v>
      </c>
      <c r="Z29" s="419">
        <v>0</v>
      </c>
      <c r="AA29" s="419">
        <v>0</v>
      </c>
      <c r="AB29" s="418">
        <f t="shared" si="29"/>
        <v>0</v>
      </c>
      <c r="AC29" s="419">
        <v>0</v>
      </c>
      <c r="AD29" s="419">
        <v>0</v>
      </c>
      <c r="AE29" s="419">
        <v>0</v>
      </c>
      <c r="AF29" s="419">
        <v>0</v>
      </c>
      <c r="AG29" s="418">
        <f t="shared" si="31"/>
        <v>0</v>
      </c>
      <c r="AH29" s="419">
        <v>0</v>
      </c>
      <c r="AI29" s="419">
        <v>0</v>
      </c>
      <c r="AJ29" s="419">
        <v>0</v>
      </c>
      <c r="AK29" s="419">
        <v>0</v>
      </c>
      <c r="AL29" s="418">
        <f t="shared" si="33"/>
        <v>0</v>
      </c>
      <c r="AM29" s="419">
        <v>0</v>
      </c>
      <c r="AN29" s="419">
        <v>0</v>
      </c>
      <c r="AO29" s="419">
        <v>0</v>
      </c>
      <c r="AP29" s="419">
        <v>0</v>
      </c>
      <c r="AQ29" s="418">
        <f t="shared" si="35"/>
        <v>0</v>
      </c>
      <c r="AR29" s="419">
        <v>0</v>
      </c>
      <c r="AS29" s="419">
        <v>0</v>
      </c>
      <c r="AT29" s="419">
        <v>0</v>
      </c>
      <c r="AU29" s="419">
        <v>0</v>
      </c>
      <c r="AV29" s="418">
        <f t="shared" si="37"/>
        <v>0</v>
      </c>
    </row>
    <row r="30" spans="1:48" outlineLevel="1" x14ac:dyDescent="0.3">
      <c r="A30" s="151"/>
      <c r="B30" s="193" t="s">
        <v>233</v>
      </c>
      <c r="C30" s="189"/>
      <c r="D30" s="106">
        <f t="shared" ref="D30:K30" si="38">SUM(D22:D29)</f>
        <v>5427.5</v>
      </c>
      <c r="E30" s="106">
        <f t="shared" si="38"/>
        <v>5273.4</v>
      </c>
      <c r="F30" s="106">
        <f t="shared" si="38"/>
        <v>5895.8</v>
      </c>
      <c r="G30" s="106">
        <f t="shared" si="38"/>
        <v>6168.7</v>
      </c>
      <c r="H30" s="140">
        <f t="shared" si="38"/>
        <v>6168.7</v>
      </c>
      <c r="I30" s="106">
        <f t="shared" si="38"/>
        <v>8675.5</v>
      </c>
      <c r="J30" s="106">
        <f t="shared" si="38"/>
        <v>8265.7999999999993</v>
      </c>
      <c r="K30" s="106">
        <f t="shared" si="38"/>
        <v>8002</v>
      </c>
      <c r="L30" s="106">
        <f t="shared" ref="L30:AU30" si="39">SUM(L22:L28)</f>
        <v>7346.7999999999993</v>
      </c>
      <c r="M30" s="140">
        <f t="shared" si="39"/>
        <v>7346.7999999999993</v>
      </c>
      <c r="N30" s="106">
        <f t="shared" si="39"/>
        <v>7883.9</v>
      </c>
      <c r="O30" s="106">
        <f t="shared" si="39"/>
        <v>6505.0999999999995</v>
      </c>
      <c r="P30" s="106">
        <f t="shared" si="39"/>
        <v>7799.8</v>
      </c>
      <c r="Q30" s="106">
        <f t="shared" si="39"/>
        <v>8151.4</v>
      </c>
      <c r="R30" s="140">
        <f t="shared" si="39"/>
        <v>8151.4</v>
      </c>
      <c r="S30" s="106">
        <f t="shared" si="39"/>
        <v>8921.1</v>
      </c>
      <c r="T30" s="106">
        <f t="shared" si="39"/>
        <v>9104.3000000000011</v>
      </c>
      <c r="U30" s="106">
        <f t="shared" si="39"/>
        <v>8402.4</v>
      </c>
      <c r="V30" s="106">
        <f t="shared" si="39"/>
        <v>9151.7999999999993</v>
      </c>
      <c r="W30" s="140">
        <f t="shared" si="39"/>
        <v>9151.7999999999993</v>
      </c>
      <c r="X30" s="106">
        <f t="shared" si="39"/>
        <v>9609.1115985724427</v>
      </c>
      <c r="Y30" s="106">
        <f t="shared" si="39"/>
        <v>9024.1033878112758</v>
      </c>
      <c r="Z30" s="106">
        <f t="shared" si="39"/>
        <v>10358.601556316058</v>
      </c>
      <c r="AA30" s="106">
        <f t="shared" si="39"/>
        <v>10211.828388114685</v>
      </c>
      <c r="AB30" s="140">
        <f t="shared" si="39"/>
        <v>10211.828388114685</v>
      </c>
      <c r="AC30" s="106">
        <f t="shared" si="39"/>
        <v>10049.94001839995</v>
      </c>
      <c r="AD30" s="106">
        <f t="shared" si="39"/>
        <v>8552.5527196718322</v>
      </c>
      <c r="AE30" s="106">
        <f t="shared" si="39"/>
        <v>8755.2371979092932</v>
      </c>
      <c r="AF30" s="106">
        <f t="shared" si="39"/>
        <v>8675.7574296174334</v>
      </c>
      <c r="AG30" s="140">
        <f t="shared" ref="AG30" si="40">SUM(AG22:AG28)</f>
        <v>8675.7574296174334</v>
      </c>
      <c r="AH30" s="106">
        <f t="shared" si="39"/>
        <v>10526.711245852923</v>
      </c>
      <c r="AI30" s="106">
        <f t="shared" si="39"/>
        <v>10132.816900135887</v>
      </c>
      <c r="AJ30" s="106">
        <f t="shared" si="39"/>
        <v>10383.363978152325</v>
      </c>
      <c r="AK30" s="106">
        <f t="shared" si="39"/>
        <v>9550.8936732130023</v>
      </c>
      <c r="AL30" s="140">
        <f t="shared" ref="AL30" si="41">SUM(AL22:AL28)</f>
        <v>9550.8936732130023</v>
      </c>
      <c r="AM30" s="106">
        <f t="shared" si="39"/>
        <v>10159.355411685801</v>
      </c>
      <c r="AN30" s="106">
        <f t="shared" si="39"/>
        <v>9706.6811881245758</v>
      </c>
      <c r="AO30" s="106">
        <f t="shared" si="39"/>
        <v>9966.2354645545438</v>
      </c>
      <c r="AP30" s="106">
        <f t="shared" si="39"/>
        <v>9855.7318009975752</v>
      </c>
      <c r="AQ30" s="140">
        <f t="shared" ref="AQ30" si="42">SUM(AQ22:AQ28)</f>
        <v>9855.7318009975752</v>
      </c>
      <c r="AR30" s="106">
        <f t="shared" si="39"/>
        <v>10476.561198547997</v>
      </c>
      <c r="AS30" s="106">
        <f t="shared" si="39"/>
        <v>9488.8611511461568</v>
      </c>
      <c r="AT30" s="106">
        <f t="shared" si="39"/>
        <v>10353.222441265838</v>
      </c>
      <c r="AU30" s="106">
        <f t="shared" si="39"/>
        <v>10244.436555858219</v>
      </c>
      <c r="AV30" s="140">
        <f t="shared" ref="AV30" si="43">SUM(AV22:AV28)</f>
        <v>10244.436555858219</v>
      </c>
    </row>
    <row r="31" spans="1:48" outlineLevel="1" x14ac:dyDescent="0.3">
      <c r="A31" s="151"/>
      <c r="B31" s="188" t="s">
        <v>234</v>
      </c>
      <c r="C31" s="189"/>
      <c r="D31" s="91">
        <v>9130.7000000000007</v>
      </c>
      <c r="E31" s="91">
        <v>9141.5</v>
      </c>
      <c r="F31" s="91">
        <v>11159.1</v>
      </c>
      <c r="G31" s="91">
        <v>11167</v>
      </c>
      <c r="H31" s="159">
        <f>G31</f>
        <v>11167</v>
      </c>
      <c r="I31" s="91">
        <v>10653.2</v>
      </c>
      <c r="J31" s="91">
        <v>11658.7</v>
      </c>
      <c r="K31" s="91">
        <v>14645.6</v>
      </c>
      <c r="L31" s="91">
        <v>14659.6</v>
      </c>
      <c r="M31" s="159">
        <f>L31</f>
        <v>14659.6</v>
      </c>
      <c r="N31" s="91">
        <v>14673.5</v>
      </c>
      <c r="O31" s="91">
        <v>14630.3</v>
      </c>
      <c r="P31" s="91">
        <v>13619.2</v>
      </c>
      <c r="Q31" s="91">
        <v>13616.9</v>
      </c>
      <c r="R31" s="159">
        <f>Q31</f>
        <v>13616.9</v>
      </c>
      <c r="S31" s="91">
        <v>13586.3</v>
      </c>
      <c r="T31" s="91">
        <v>14014.4</v>
      </c>
      <c r="U31" s="91">
        <v>13930.8</v>
      </c>
      <c r="V31" s="91">
        <v>13119.9</v>
      </c>
      <c r="W31" s="159">
        <f>V31</f>
        <v>13119.9</v>
      </c>
      <c r="X31" s="391">
        <f>V31-X60+X61</f>
        <v>13119.9</v>
      </c>
      <c r="Y31" s="391">
        <f>X31-Y60+Y61</f>
        <v>13369.9</v>
      </c>
      <c r="Z31" s="391">
        <f>Y31-Z60+Z61</f>
        <v>12243.6</v>
      </c>
      <c r="AA31" s="391">
        <f>Z31-AA60+AA61</f>
        <v>12243.6</v>
      </c>
      <c r="AB31" s="391">
        <f>AA31</f>
        <v>12243.6</v>
      </c>
      <c r="AC31" s="391">
        <f>AA31-AC60+AC61</f>
        <v>12993.6</v>
      </c>
      <c r="AD31" s="391">
        <f>AC31-AD60+AD61</f>
        <v>14119.6</v>
      </c>
      <c r="AE31" s="391">
        <f>AD31-AE60+AE61</f>
        <v>14119.6</v>
      </c>
      <c r="AF31" s="391">
        <f>AE31-AF60+AF61</f>
        <v>14219.6</v>
      </c>
      <c r="AG31" s="391">
        <f>AF31</f>
        <v>14219.6</v>
      </c>
      <c r="AH31" s="391">
        <f>AF31-AH60+AH61</f>
        <v>12969.6</v>
      </c>
      <c r="AI31" s="391">
        <f>AH31-AI60+AI61</f>
        <v>12969.6</v>
      </c>
      <c r="AJ31" s="391">
        <f>AI31-AJ60+AJ61</f>
        <v>18647.458575734126</v>
      </c>
      <c r="AK31" s="391">
        <f>AJ31-AK60+AK61</f>
        <v>19397.458575734126</v>
      </c>
      <c r="AL31" s="391">
        <f>AK31</f>
        <v>19397.458575734126</v>
      </c>
      <c r="AM31" s="391">
        <f>AK31-AM60+AM61</f>
        <v>19397.458575734126</v>
      </c>
      <c r="AN31" s="391">
        <f>AM31-AN60+AN61</f>
        <v>19397.458575734126</v>
      </c>
      <c r="AO31" s="391">
        <f>AN31-AO60+AO61</f>
        <v>19397.458575734126</v>
      </c>
      <c r="AP31" s="391">
        <f>AO31-AP60+AP61</f>
        <v>19397.458575734126</v>
      </c>
      <c r="AQ31" s="391">
        <f>AP31</f>
        <v>19397.458575734126</v>
      </c>
      <c r="AR31" s="391">
        <f>AP31-AR60+AR61</f>
        <v>19397.458575734126</v>
      </c>
      <c r="AS31" s="391">
        <f>AR31-AS60+AS61</f>
        <v>19897.458575734126</v>
      </c>
      <c r="AT31" s="391">
        <f>AS31-AT60+AT61</f>
        <v>19297.458575734126</v>
      </c>
      <c r="AU31" s="391">
        <f>AT31-AU60+AU61</f>
        <v>19297.458575734126</v>
      </c>
      <c r="AV31" s="391">
        <f>AU31</f>
        <v>19297.458575734126</v>
      </c>
    </row>
    <row r="32" spans="1:48" outlineLevel="1" x14ac:dyDescent="0.3">
      <c r="A32" s="151"/>
      <c r="B32" s="188" t="s">
        <v>235</v>
      </c>
      <c r="C32" s="195"/>
      <c r="D32" s="91">
        <v>0</v>
      </c>
      <c r="E32" s="91">
        <v>0</v>
      </c>
      <c r="F32" s="91">
        <v>0</v>
      </c>
      <c r="G32" s="91">
        <v>0</v>
      </c>
      <c r="H32" s="159">
        <f>G32</f>
        <v>0</v>
      </c>
      <c r="I32" s="91">
        <v>7711.7</v>
      </c>
      <c r="J32" s="91">
        <v>7650.4</v>
      </c>
      <c r="K32" s="91">
        <v>7653.6</v>
      </c>
      <c r="L32" s="91">
        <v>7661.7</v>
      </c>
      <c r="M32" s="159">
        <f>L32</f>
        <v>7661.7</v>
      </c>
      <c r="N32" s="91">
        <v>7754.5</v>
      </c>
      <c r="O32" s="91">
        <v>7577.7</v>
      </c>
      <c r="P32" s="91">
        <v>7597.8</v>
      </c>
      <c r="Q32" s="91">
        <v>7738</v>
      </c>
      <c r="R32" s="159">
        <f>Q32</f>
        <v>7738</v>
      </c>
      <c r="S32" s="91">
        <v>7708</v>
      </c>
      <c r="T32" s="91">
        <v>7668.5</v>
      </c>
      <c r="U32" s="91">
        <v>7554.4</v>
      </c>
      <c r="V32" s="91">
        <v>7515.2</v>
      </c>
      <c r="W32" s="159">
        <f>V32</f>
        <v>7515.2</v>
      </c>
      <c r="X32" s="391">
        <f>V32*0.996</f>
        <v>7485.1391999999996</v>
      </c>
      <c r="Y32" s="391">
        <f>X32*0.996</f>
        <v>7455.1986431999994</v>
      </c>
      <c r="Z32" s="391">
        <f>Y32*0.996</f>
        <v>7425.3778486271995</v>
      </c>
      <c r="AA32" s="391">
        <f>Z32*0.996</f>
        <v>7395.6763372326905</v>
      </c>
      <c r="AB32" s="391">
        <f>AA32</f>
        <v>7395.6763372326905</v>
      </c>
      <c r="AC32" s="391">
        <f>AA32*0.996</f>
        <v>7366.0936318837594</v>
      </c>
      <c r="AD32" s="391">
        <f>AC32*0.996</f>
        <v>7336.6292573562241</v>
      </c>
      <c r="AE32" s="391">
        <f>AD32*0.996</f>
        <v>7307.2827403267993</v>
      </c>
      <c r="AF32" s="391">
        <f>AE32*0.996</f>
        <v>7278.0536093654919</v>
      </c>
      <c r="AG32" s="391">
        <f>AF32</f>
        <v>7278.0536093654919</v>
      </c>
      <c r="AH32" s="391">
        <f>AF32*0.996</f>
        <v>7248.9413949280297</v>
      </c>
      <c r="AI32" s="391">
        <f>AH32*0.996</f>
        <v>7219.9456293483172</v>
      </c>
      <c r="AJ32" s="391">
        <f>AI32*0.996</f>
        <v>7191.0658468309239</v>
      </c>
      <c r="AK32" s="391">
        <f>AJ32*0.996</f>
        <v>7162.3015834436001</v>
      </c>
      <c r="AL32" s="391">
        <f>AK32</f>
        <v>7162.3015834436001</v>
      </c>
      <c r="AM32" s="391">
        <f>AK32*0.996</f>
        <v>7133.6523771098255</v>
      </c>
      <c r="AN32" s="391">
        <f>AM32*0.996</f>
        <v>7105.1177676013858</v>
      </c>
      <c r="AO32" s="391">
        <f>AN32*0.996</f>
        <v>7076.6972965309806</v>
      </c>
      <c r="AP32" s="391">
        <f>AO32*0.996</f>
        <v>7048.3905073448568</v>
      </c>
      <c r="AQ32" s="391">
        <f>AP32</f>
        <v>7048.3905073448568</v>
      </c>
      <c r="AR32" s="391">
        <f>AP32*0.996</f>
        <v>7020.196945315477</v>
      </c>
      <c r="AS32" s="391">
        <f>AR32*0.996</f>
        <v>6992.1161575342148</v>
      </c>
      <c r="AT32" s="391">
        <f>AS32*0.996</f>
        <v>6964.1476929040782</v>
      </c>
      <c r="AU32" s="391">
        <f>AT32*0.996</f>
        <v>6936.2911021324617</v>
      </c>
      <c r="AV32" s="391">
        <f>AU32</f>
        <v>6936.2911021324617</v>
      </c>
    </row>
    <row r="33" spans="1:48" outlineLevel="1" x14ac:dyDescent="0.3">
      <c r="A33" s="151"/>
      <c r="B33" s="188" t="s">
        <v>236</v>
      </c>
      <c r="C33" s="195"/>
      <c r="D33" s="91">
        <v>6823.7</v>
      </c>
      <c r="E33" s="91">
        <v>6761.9</v>
      </c>
      <c r="F33" s="91">
        <v>6717.9</v>
      </c>
      <c r="G33" s="91">
        <v>6744.4</v>
      </c>
      <c r="H33" s="159">
        <f>G33</f>
        <v>6744.4</v>
      </c>
      <c r="I33" s="91">
        <v>6748.8</v>
      </c>
      <c r="J33" s="91">
        <v>6685.5</v>
      </c>
      <c r="K33" s="91">
        <v>6642.6</v>
      </c>
      <c r="L33" s="91">
        <v>6598.5</v>
      </c>
      <c r="M33" s="159">
        <f>L33</f>
        <v>6598.5</v>
      </c>
      <c r="N33" s="91">
        <v>6597.7</v>
      </c>
      <c r="O33" s="91">
        <v>6532.1</v>
      </c>
      <c r="P33" s="91">
        <v>6491.4</v>
      </c>
      <c r="Q33" s="91">
        <v>6463</v>
      </c>
      <c r="R33" s="159">
        <f>Q33</f>
        <v>6463</v>
      </c>
      <c r="S33" s="91">
        <v>6447.7</v>
      </c>
      <c r="T33" s="91">
        <v>6381.9</v>
      </c>
      <c r="U33" s="91">
        <v>6333.1</v>
      </c>
      <c r="V33" s="91">
        <v>6279.7</v>
      </c>
      <c r="W33" s="159">
        <f>V33</f>
        <v>6279.7</v>
      </c>
      <c r="X33" s="391">
        <f>V33*0.995</f>
        <v>6248.3014999999996</v>
      </c>
      <c r="Y33" s="391">
        <f>X33*0.995</f>
        <v>6217.0599924999997</v>
      </c>
      <c r="Z33" s="391">
        <f>Y33*0.995</f>
        <v>6185.9746925374993</v>
      </c>
      <c r="AA33" s="391">
        <f>Z33*0.995</f>
        <v>6155.044819074812</v>
      </c>
      <c r="AB33" s="391">
        <f>AA33</f>
        <v>6155.044819074812</v>
      </c>
      <c r="AC33" s="391">
        <f>AA33*0.995</f>
        <v>6124.2695949794379</v>
      </c>
      <c r="AD33" s="391">
        <f>AC33*0.995</f>
        <v>6093.6482470045403</v>
      </c>
      <c r="AE33" s="391">
        <f>AD33*0.995</f>
        <v>6063.1800057695173</v>
      </c>
      <c r="AF33" s="391">
        <f>AE33*0.995</f>
        <v>6032.8641057406694</v>
      </c>
      <c r="AG33" s="391">
        <f>AF33</f>
        <v>6032.8641057406694</v>
      </c>
      <c r="AH33" s="391">
        <f>AF33*0.995</f>
        <v>6002.6997852119657</v>
      </c>
      <c r="AI33" s="391">
        <f>AH33*0.995</f>
        <v>5972.6862862859061</v>
      </c>
      <c r="AJ33" s="391">
        <f>AI33*0.995</f>
        <v>5942.8228548544766</v>
      </c>
      <c r="AK33" s="391">
        <f>AJ33*0.995</f>
        <v>5913.1087405802045</v>
      </c>
      <c r="AL33" s="391">
        <f>AK33</f>
        <v>5913.1087405802045</v>
      </c>
      <c r="AM33" s="391">
        <f>AK33*0.995</f>
        <v>5883.5431968773037</v>
      </c>
      <c r="AN33" s="391">
        <f>AM33*0.995</f>
        <v>5854.125480892917</v>
      </c>
      <c r="AO33" s="391">
        <f>AN33*0.995</f>
        <v>5824.8548534884521</v>
      </c>
      <c r="AP33" s="391">
        <f>AO33*0.995</f>
        <v>5795.73057922101</v>
      </c>
      <c r="AQ33" s="391">
        <f>AP33</f>
        <v>5795.73057922101</v>
      </c>
      <c r="AR33" s="391">
        <f>AP33*0.995</f>
        <v>5766.7519263249051</v>
      </c>
      <c r="AS33" s="391">
        <f>AR33*0.995</f>
        <v>5737.9181666932809</v>
      </c>
      <c r="AT33" s="391">
        <f>AS33*0.995</f>
        <v>5709.2285758598146</v>
      </c>
      <c r="AU33" s="391">
        <f>AT33*0.995</f>
        <v>5680.6824329805158</v>
      </c>
      <c r="AV33" s="391">
        <f>AU33</f>
        <v>5680.6824329805158</v>
      </c>
    </row>
    <row r="34" spans="1:48" ht="15.75" customHeight="1" outlineLevel="1" x14ac:dyDescent="0.45">
      <c r="A34" s="151"/>
      <c r="B34" s="511" t="s">
        <v>237</v>
      </c>
      <c r="C34" s="512"/>
      <c r="D34" s="102">
        <v>1478.2</v>
      </c>
      <c r="E34" s="102">
        <v>1500.3</v>
      </c>
      <c r="F34" s="102">
        <v>1440.6</v>
      </c>
      <c r="G34" s="102">
        <v>1370.5</v>
      </c>
      <c r="H34" s="246">
        <f>G34</f>
        <v>1370.5</v>
      </c>
      <c r="I34" s="102">
        <v>701.2</v>
      </c>
      <c r="J34" s="102">
        <v>751.4</v>
      </c>
      <c r="K34" s="102">
        <v>821.1</v>
      </c>
      <c r="L34" s="102">
        <v>907.3</v>
      </c>
      <c r="M34" s="246">
        <f>L34</f>
        <v>907.3</v>
      </c>
      <c r="N34" s="102">
        <v>962.8</v>
      </c>
      <c r="O34" s="102">
        <v>774.8</v>
      </c>
      <c r="P34" s="102">
        <v>762.9</v>
      </c>
      <c r="Q34" s="102">
        <v>737.8</v>
      </c>
      <c r="R34" s="246">
        <f>Q34</f>
        <v>737.8</v>
      </c>
      <c r="S34" s="102">
        <v>621.1</v>
      </c>
      <c r="T34" s="102">
        <v>613.6</v>
      </c>
      <c r="U34" s="102">
        <v>594.4</v>
      </c>
      <c r="V34" s="102">
        <v>610.5</v>
      </c>
      <c r="W34" s="246">
        <f>V34</f>
        <v>610.5</v>
      </c>
      <c r="X34" s="419">
        <f>V34</f>
        <v>610.5</v>
      </c>
      <c r="Y34" s="419">
        <f>X34</f>
        <v>610.5</v>
      </c>
      <c r="Z34" s="419">
        <f>Y34</f>
        <v>610.5</v>
      </c>
      <c r="AA34" s="419">
        <f>Z34</f>
        <v>610.5</v>
      </c>
      <c r="AB34" s="391">
        <f>AA34</f>
        <v>610.5</v>
      </c>
      <c r="AC34" s="419">
        <f>AA34</f>
        <v>610.5</v>
      </c>
      <c r="AD34" s="419">
        <f>AC34</f>
        <v>610.5</v>
      </c>
      <c r="AE34" s="419">
        <f>AD34</f>
        <v>610.5</v>
      </c>
      <c r="AF34" s="419">
        <f>AE34</f>
        <v>610.5</v>
      </c>
      <c r="AG34" s="391">
        <f>AF34</f>
        <v>610.5</v>
      </c>
      <c r="AH34" s="419">
        <f>AF34</f>
        <v>610.5</v>
      </c>
      <c r="AI34" s="419">
        <f>AH34</f>
        <v>610.5</v>
      </c>
      <c r="AJ34" s="419">
        <f>AI34</f>
        <v>610.5</v>
      </c>
      <c r="AK34" s="419">
        <f>AJ34</f>
        <v>610.5</v>
      </c>
      <c r="AL34" s="391">
        <f>AK34</f>
        <v>610.5</v>
      </c>
      <c r="AM34" s="419">
        <f>AK34</f>
        <v>610.5</v>
      </c>
      <c r="AN34" s="419">
        <f>AM34</f>
        <v>610.5</v>
      </c>
      <c r="AO34" s="419">
        <f>AN34</f>
        <v>610.5</v>
      </c>
      <c r="AP34" s="419">
        <f>AO34</f>
        <v>610.5</v>
      </c>
      <c r="AQ34" s="391">
        <f>AP34</f>
        <v>610.5</v>
      </c>
      <c r="AR34" s="419">
        <f>AP34</f>
        <v>610.5</v>
      </c>
      <c r="AS34" s="419">
        <f>AR34</f>
        <v>610.5</v>
      </c>
      <c r="AT34" s="419">
        <f>AS34</f>
        <v>610.5</v>
      </c>
      <c r="AU34" s="419">
        <f>AT34</f>
        <v>610.5</v>
      </c>
      <c r="AV34" s="391">
        <f>AU34</f>
        <v>610.5</v>
      </c>
    </row>
    <row r="35" spans="1:48" outlineLevel="1" x14ac:dyDescent="0.3">
      <c r="A35" s="151"/>
      <c r="B35" s="552" t="s">
        <v>238</v>
      </c>
      <c r="C35" s="553"/>
      <c r="D35" s="106">
        <f t="shared" ref="D35:AU35" si="44">SUM(D30:D34)</f>
        <v>22860.100000000002</v>
      </c>
      <c r="E35" s="106">
        <f t="shared" si="44"/>
        <v>22677.1</v>
      </c>
      <c r="F35" s="106">
        <f t="shared" si="44"/>
        <v>25213.4</v>
      </c>
      <c r="G35" s="106">
        <f t="shared" si="44"/>
        <v>25450.6</v>
      </c>
      <c r="H35" s="140">
        <f t="shared" si="44"/>
        <v>25450.6</v>
      </c>
      <c r="I35" s="106">
        <f t="shared" si="44"/>
        <v>34490.400000000001</v>
      </c>
      <c r="J35" s="106">
        <f t="shared" si="44"/>
        <v>35011.800000000003</v>
      </c>
      <c r="K35" s="106">
        <f t="shared" si="44"/>
        <v>37764.899999999994</v>
      </c>
      <c r="L35" s="106">
        <f t="shared" si="44"/>
        <v>37173.900000000009</v>
      </c>
      <c r="M35" s="140">
        <f t="shared" si="44"/>
        <v>37173.900000000009</v>
      </c>
      <c r="N35" s="106">
        <f t="shared" si="44"/>
        <v>37872.400000000001</v>
      </c>
      <c r="O35" s="106">
        <f t="shared" si="44"/>
        <v>36020</v>
      </c>
      <c r="P35" s="106">
        <f t="shared" si="44"/>
        <v>36271.1</v>
      </c>
      <c r="Q35" s="106">
        <f t="shared" si="44"/>
        <v>36707.100000000006</v>
      </c>
      <c r="R35" s="140">
        <f t="shared" si="44"/>
        <v>36707.100000000006</v>
      </c>
      <c r="S35" s="106">
        <f t="shared" si="44"/>
        <v>37284.199999999997</v>
      </c>
      <c r="T35" s="106">
        <f t="shared" si="44"/>
        <v>37782.699999999997</v>
      </c>
      <c r="U35" s="106">
        <f t="shared" si="44"/>
        <v>36815.1</v>
      </c>
      <c r="V35" s="106">
        <f t="shared" si="44"/>
        <v>36677.1</v>
      </c>
      <c r="W35" s="140">
        <f t="shared" si="44"/>
        <v>36677.1</v>
      </c>
      <c r="X35" s="106">
        <f>SUM(X30:X34)</f>
        <v>37072.95229857244</v>
      </c>
      <c r="Y35" s="106">
        <f t="shared" si="44"/>
        <v>36676.76202351127</v>
      </c>
      <c r="Z35" s="106">
        <f t="shared" si="44"/>
        <v>36824.054097480759</v>
      </c>
      <c r="AA35" s="106">
        <f t="shared" si="44"/>
        <v>36616.649544422187</v>
      </c>
      <c r="AB35" s="140">
        <f t="shared" si="44"/>
        <v>36616.649544422187</v>
      </c>
      <c r="AC35" s="106">
        <f t="shared" si="44"/>
        <v>37144.403245263151</v>
      </c>
      <c r="AD35" s="106">
        <f t="shared" si="44"/>
        <v>36712.930224032592</v>
      </c>
      <c r="AE35" s="106">
        <f t="shared" si="44"/>
        <v>36855.799944005608</v>
      </c>
      <c r="AF35" s="106">
        <f t="shared" si="44"/>
        <v>36816.775144723593</v>
      </c>
      <c r="AG35" s="140">
        <f t="shared" ref="AG35" si="45">SUM(AG30:AG34)</f>
        <v>36816.775144723593</v>
      </c>
      <c r="AH35" s="106">
        <f t="shared" si="44"/>
        <v>37358.452425992917</v>
      </c>
      <c r="AI35" s="106">
        <f t="shared" si="44"/>
        <v>36905.548815770111</v>
      </c>
      <c r="AJ35" s="106">
        <f t="shared" si="44"/>
        <v>42775.211255571856</v>
      </c>
      <c r="AK35" s="106">
        <f t="shared" si="44"/>
        <v>42634.262572970933</v>
      </c>
      <c r="AL35" s="140">
        <f t="shared" ref="AL35" si="46">SUM(AL30:AL34)</f>
        <v>42634.262572970933</v>
      </c>
      <c r="AM35" s="106">
        <f t="shared" si="44"/>
        <v>43184.50956140706</v>
      </c>
      <c r="AN35" s="106">
        <f t="shared" si="44"/>
        <v>42673.883012352999</v>
      </c>
      <c r="AO35" s="106">
        <f t="shared" si="44"/>
        <v>42875.746190308106</v>
      </c>
      <c r="AP35" s="106">
        <f t="shared" si="44"/>
        <v>42707.81146329757</v>
      </c>
      <c r="AQ35" s="140">
        <f t="shared" ref="AQ35" si="47">SUM(AQ30:AQ34)</f>
        <v>42707.81146329757</v>
      </c>
      <c r="AR35" s="106">
        <f t="shared" si="44"/>
        <v>43271.468645922505</v>
      </c>
      <c r="AS35" s="106">
        <f t="shared" si="44"/>
        <v>42726.854051107774</v>
      </c>
      <c r="AT35" s="106">
        <f t="shared" si="44"/>
        <v>42934.557285763862</v>
      </c>
      <c r="AU35" s="106">
        <f t="shared" si="44"/>
        <v>42769.368666705326</v>
      </c>
      <c r="AV35" s="140">
        <f t="shared" ref="AV35" si="48">SUM(AV30:AV34)</f>
        <v>42769.368666705326</v>
      </c>
    </row>
    <row r="36" spans="1:48" ht="17.399999999999999" x14ac:dyDescent="0.45">
      <c r="B36" s="514" t="s">
        <v>239</v>
      </c>
      <c r="C36" s="515"/>
      <c r="D36" s="14" t="s">
        <v>19</v>
      </c>
      <c r="E36" s="14" t="s">
        <v>78</v>
      </c>
      <c r="F36" s="14" t="s">
        <v>82</v>
      </c>
      <c r="G36" s="14" t="s">
        <v>92</v>
      </c>
      <c r="H36" s="37" t="s">
        <v>93</v>
      </c>
      <c r="I36" s="14" t="s">
        <v>94</v>
      </c>
      <c r="J36" s="14" t="s">
        <v>95</v>
      </c>
      <c r="K36" s="14" t="s">
        <v>96</v>
      </c>
      <c r="L36" s="14" t="s">
        <v>139</v>
      </c>
      <c r="M36" s="37" t="s">
        <v>140</v>
      </c>
      <c r="N36" s="14" t="s">
        <v>146</v>
      </c>
      <c r="O36" s="14" t="s">
        <v>154</v>
      </c>
      <c r="P36" s="14" t="s">
        <v>156</v>
      </c>
      <c r="Q36" s="14" t="s">
        <v>169</v>
      </c>
      <c r="R36" s="37" t="s">
        <v>170</v>
      </c>
      <c r="S36" s="14" t="s">
        <v>185</v>
      </c>
      <c r="T36" s="14" t="s">
        <v>186</v>
      </c>
      <c r="U36" s="14" t="s">
        <v>201</v>
      </c>
      <c r="V36" s="14" t="s">
        <v>324</v>
      </c>
      <c r="W36" s="37" t="s">
        <v>325</v>
      </c>
      <c r="X36" s="247" t="s">
        <v>24</v>
      </c>
      <c r="Y36" s="247" t="s">
        <v>25</v>
      </c>
      <c r="Z36" s="247" t="s">
        <v>26</v>
      </c>
      <c r="AA36" s="247" t="s">
        <v>27</v>
      </c>
      <c r="AB36" s="248" t="s">
        <v>28</v>
      </c>
      <c r="AC36" s="12" t="s">
        <v>87</v>
      </c>
      <c r="AD36" s="12" t="s">
        <v>88</v>
      </c>
      <c r="AE36" s="12" t="s">
        <v>89</v>
      </c>
      <c r="AF36" s="12" t="s">
        <v>90</v>
      </c>
      <c r="AG36" s="39" t="s">
        <v>91</v>
      </c>
      <c r="AH36" s="12" t="s">
        <v>106</v>
      </c>
      <c r="AI36" s="12" t="s">
        <v>107</v>
      </c>
      <c r="AJ36" s="12" t="s">
        <v>108</v>
      </c>
      <c r="AK36" s="12" t="s">
        <v>109</v>
      </c>
      <c r="AL36" s="39" t="s">
        <v>110</v>
      </c>
      <c r="AM36" s="12" t="s">
        <v>161</v>
      </c>
      <c r="AN36" s="12" t="s">
        <v>162</v>
      </c>
      <c r="AO36" s="12" t="s">
        <v>163</v>
      </c>
      <c r="AP36" s="12" t="s">
        <v>164</v>
      </c>
      <c r="AQ36" s="39" t="s">
        <v>165</v>
      </c>
      <c r="AR36" s="12" t="s">
        <v>192</v>
      </c>
      <c r="AS36" s="12" t="s">
        <v>193</v>
      </c>
      <c r="AT36" s="12" t="s">
        <v>194</v>
      </c>
      <c r="AU36" s="12" t="s">
        <v>195</v>
      </c>
      <c r="AV36" s="39" t="s">
        <v>196</v>
      </c>
    </row>
    <row r="37" spans="1:48" outlineLevel="1" x14ac:dyDescent="0.3">
      <c r="B37" s="511" t="s">
        <v>240</v>
      </c>
      <c r="C37" s="512"/>
      <c r="D37" s="16">
        <f>1.2+41.1</f>
        <v>42.300000000000004</v>
      </c>
      <c r="E37" s="16">
        <f>1.2+41.1</f>
        <v>42.300000000000004</v>
      </c>
      <c r="F37" s="16">
        <f>1.2+41.1</f>
        <v>42.300000000000004</v>
      </c>
      <c r="G37" s="16">
        <f>1.2+41.1</f>
        <v>42.300000000000004</v>
      </c>
      <c r="H37" s="17">
        <f>G37</f>
        <v>42.300000000000004</v>
      </c>
      <c r="I37" s="16">
        <f>1.2+41.1</f>
        <v>42.300000000000004</v>
      </c>
      <c r="J37" s="16">
        <f>1.2+41.1</f>
        <v>42.300000000000004</v>
      </c>
      <c r="K37" s="16">
        <f>1.2+115.4</f>
        <v>116.60000000000001</v>
      </c>
      <c r="L37" s="16">
        <f>1.2+373.9</f>
        <v>375.09999999999997</v>
      </c>
      <c r="M37" s="17">
        <f>L37</f>
        <v>375.09999999999997</v>
      </c>
      <c r="N37" s="16">
        <f>1.2+488.6</f>
        <v>489.8</v>
      </c>
      <c r="O37" s="16">
        <f>1.2+595.4</f>
        <v>596.6</v>
      </c>
      <c r="P37" s="16">
        <f>1.2+729.3</f>
        <v>730.5</v>
      </c>
      <c r="Q37" s="16">
        <f>1.2+846.1</f>
        <v>847.30000000000007</v>
      </c>
      <c r="R37" s="17">
        <f>Q37</f>
        <v>847.30000000000007</v>
      </c>
      <c r="S37" s="16">
        <f>1.2+41.1</f>
        <v>42.300000000000004</v>
      </c>
      <c r="T37" s="16">
        <f>1.1+41.1</f>
        <v>42.2</v>
      </c>
      <c r="U37" s="16">
        <f>1.1+117.1</f>
        <v>118.19999999999999</v>
      </c>
      <c r="V37" s="16">
        <f>1.1+205.3</f>
        <v>206.4</v>
      </c>
      <c r="W37" s="17">
        <f>V37</f>
        <v>206.4</v>
      </c>
      <c r="X37" s="16">
        <f>V37+'Cash Flow Statement'!X12+'Cash Flow Statement'!X35</f>
        <v>275.63952897016185</v>
      </c>
      <c r="Y37" s="16">
        <f>X37+'Cash Flow Statement'!Y35+'Cash Flow Statement'!Y12</f>
        <v>335.75361325469015</v>
      </c>
      <c r="Z37" s="16">
        <f>Y37+'Cash Flow Statement'!Z35+'Cash Flow Statement'!Z12</f>
        <v>402.80231700479629</v>
      </c>
      <c r="AA37" s="16">
        <f>Z37+'Cash Flow Statement'!AA35+'Cash Flow Statement'!AA12</f>
        <v>473.50600162300412</v>
      </c>
      <c r="AB37" s="16">
        <f>AA37</f>
        <v>473.50600162300412</v>
      </c>
      <c r="AC37" s="16">
        <f>AA37+'Cash Flow Statement'!AC12+'Cash Flow Statement'!AC35</f>
        <v>546.46319451946761</v>
      </c>
      <c r="AD37" s="16">
        <f>AC37+'Cash Flow Statement'!AD35+'Cash Flow Statement'!AD12</f>
        <v>614.2629541050776</v>
      </c>
      <c r="AE37" s="16">
        <f>AD37+'Cash Flow Statement'!AE35+'Cash Flow Statement'!AE12</f>
        <v>689.05746084841019</v>
      </c>
      <c r="AF37" s="16">
        <f>AE37+'Cash Flow Statement'!AF35+'Cash Flow Statement'!AF12</f>
        <v>766.75002064207729</v>
      </c>
      <c r="AG37" s="16">
        <f>AF37</f>
        <v>766.75002064207729</v>
      </c>
      <c r="AH37" s="16">
        <f>AF37+'Cash Flow Statement'!AH12+'Cash Flow Statement'!AH35</f>
        <v>847.20972992821544</v>
      </c>
      <c r="AI37" s="16">
        <f>AH37+'Cash Flow Statement'!AI35+'Cash Flow Statement'!AI12</f>
        <v>923.05420570280137</v>
      </c>
      <c r="AJ37" s="16">
        <f>AI37+'Cash Flow Statement'!AJ35+'Cash Flow Statement'!AJ12</f>
        <v>1006.3906347648956</v>
      </c>
      <c r="AK37" s="16">
        <f>AJ37+'Cash Flow Statement'!AK35+'Cash Flow Statement'!AK12</f>
        <v>1092.8585669212819</v>
      </c>
      <c r="AL37" s="16">
        <f>AK37</f>
        <v>1092.8585669212819</v>
      </c>
      <c r="AM37" s="16">
        <f>AK37+'Cash Flow Statement'!AM12+'Cash Flow Statement'!AM35</f>
        <v>1181.5755589888161</v>
      </c>
      <c r="AN37" s="16">
        <f>AM37+'Cash Flow Statement'!AN35+'Cash Flow Statement'!AN12</f>
        <v>1264.7319791910647</v>
      </c>
      <c r="AO37" s="16">
        <f>AN37+'Cash Flow Statement'!AO35+'Cash Flow Statement'!AO12</f>
        <v>1355.4211475093116</v>
      </c>
      <c r="AP37" s="16">
        <f>AO37+'Cash Flow Statement'!AP35+'Cash Flow Statement'!AP12</f>
        <v>1448.6554267169645</v>
      </c>
      <c r="AQ37" s="16">
        <f>AP37</f>
        <v>1448.6554267169645</v>
      </c>
      <c r="AR37" s="16">
        <f>AP37+'Cash Flow Statement'!AR12+'Cash Flow Statement'!AR35</f>
        <v>1542.2999674557136</v>
      </c>
      <c r="AS37" s="16">
        <f>AR37+'Cash Flow Statement'!AS35+'Cash Flow Statement'!AS12</f>
        <v>1630.0727422497778</v>
      </c>
      <c r="AT37" s="16">
        <f>AS37+'Cash Flow Statement'!AT35+'Cash Flow Statement'!AT12</f>
        <v>1725.7754223224804</v>
      </c>
      <c r="AU37" s="16">
        <f>AT37+'Cash Flow Statement'!AU35+'Cash Flow Statement'!AU12</f>
        <v>1824.1888296370764</v>
      </c>
      <c r="AV37" s="16">
        <f>AU37</f>
        <v>1824.1888296370764</v>
      </c>
    </row>
    <row r="38" spans="1:48" outlineLevel="1" x14ac:dyDescent="0.3">
      <c r="B38" s="554" t="s">
        <v>241</v>
      </c>
      <c r="C38" s="555"/>
      <c r="D38" s="16">
        <v>-2584</v>
      </c>
      <c r="E38" s="91">
        <v>-4807.7</v>
      </c>
      <c r="F38" s="91">
        <v>-4013.9</v>
      </c>
      <c r="G38" s="91">
        <v>-5771.2</v>
      </c>
      <c r="H38" s="159">
        <f>G38</f>
        <v>-5771.2</v>
      </c>
      <c r="I38" s="91">
        <v>-6414.8</v>
      </c>
      <c r="J38" s="91">
        <v>-7050.6</v>
      </c>
      <c r="K38" s="91">
        <v>-8208.2999999999993</v>
      </c>
      <c r="L38" s="91">
        <v>-7815.6</v>
      </c>
      <c r="M38" s="159">
        <f>L38</f>
        <v>-7815.6</v>
      </c>
      <c r="N38" s="91">
        <v>-8253.6</v>
      </c>
      <c r="O38" s="91">
        <v>-8124.3</v>
      </c>
      <c r="P38" s="91">
        <v>-7501.6</v>
      </c>
      <c r="Q38" s="91">
        <v>-6315.7</v>
      </c>
      <c r="R38" s="159">
        <f>Q38</f>
        <v>-6315.7</v>
      </c>
      <c r="S38" s="91">
        <v>-8753</v>
      </c>
      <c r="T38" s="91">
        <v>-9070.5</v>
      </c>
      <c r="U38" s="91">
        <v>-8719.7000000000007</v>
      </c>
      <c r="V38" s="91">
        <v>-8449.7999999999993</v>
      </c>
      <c r="W38" s="159">
        <f>V38</f>
        <v>-8449.7999999999993</v>
      </c>
      <c r="X38" s="91">
        <f>V38+'Cash Flow Statement'!X6+'Cash Flow Statement'!X33+'Cash Flow Statement'!X34</f>
        <v>-8236.1987172807749</v>
      </c>
      <c r="Y38" s="91">
        <f>X38+'Cash Flow Statement'!Y6+'Cash Flow Statement'!Y33+'Cash Flow Statement'!Y34</f>
        <v>-8025.9059074124252</v>
      </c>
      <c r="Z38" s="91">
        <f>Y38+'Cash Flow Statement'!Z6+'Cash Flow Statement'!Z33+'Cash Flow Statement'!Z34</f>
        <v>-7584.9886470962483</v>
      </c>
      <c r="AA38" s="91">
        <f>Z38+'Cash Flow Statement'!AA6+'Cash Flow Statement'!AA33+'Cash Flow Statement'!AA34</f>
        <v>-7058.8078749601773</v>
      </c>
      <c r="AB38" s="16">
        <f>AA38</f>
        <v>-7058.8078749601773</v>
      </c>
      <c r="AC38" s="91">
        <f>AA38+'Cash Flow Statement'!AC6+'Cash Flow Statement'!AC33+'Cash Flow Statement'!AC34</f>
        <v>-6589.7502296884813</v>
      </c>
      <c r="AD38" s="91">
        <f>AC38+'Cash Flow Statement'!AD6+'Cash Flow Statement'!AD33+'Cash Flow Statement'!AD34</f>
        <v>-6306.8807457014564</v>
      </c>
      <c r="AE38" s="91">
        <f>AD38+'Cash Flow Statement'!AE6+'Cash Flow Statement'!AE33+'Cash Flow Statement'!AE34</f>
        <v>-5897.8331254643708</v>
      </c>
      <c r="AF38" s="91">
        <f>AE38+'Cash Flow Statement'!AF6+'Cash Flow Statement'!AF33+'Cash Flow Statement'!AF34</f>
        <v>-5485.5417287462715</v>
      </c>
      <c r="AG38" s="16">
        <f>AF38</f>
        <v>-5485.5417287462715</v>
      </c>
      <c r="AH38" s="91">
        <f>AF38+'Cash Flow Statement'!AH6+'Cash Flow Statement'!AH33+'Cash Flow Statement'!AH34</f>
        <v>-4995.1103514766619</v>
      </c>
      <c r="AI38" s="91">
        <f>AH38+'Cash Flow Statement'!AI6+'Cash Flow Statement'!AI33+'Cash Flow Statement'!AI34</f>
        <v>-4711.3166914575359</v>
      </c>
      <c r="AJ38" s="91">
        <f>AI38+'Cash Flow Statement'!AJ6+'Cash Flow Statement'!AJ33+'Cash Flow Statement'!AJ34</f>
        <v>-9575.1890875843383</v>
      </c>
      <c r="AK38" s="91">
        <f>AJ38+'Cash Flow Statement'!AK6+'Cash Flow Statement'!AK33+'Cash Flow Statement'!AK34</f>
        <v>-14488.015624610463</v>
      </c>
      <c r="AL38" s="16">
        <f>AK38</f>
        <v>-14488.015624610463</v>
      </c>
      <c r="AM38" s="91">
        <f>AK38+'Cash Flow Statement'!AM6+'Cash Flow Statement'!AM33+'Cash Flow Statement'!AM34</f>
        <v>-13823.285081043887</v>
      </c>
      <c r="AN38" s="91">
        <f>AM38+'Cash Flow Statement'!AN6+'Cash Flow Statement'!AN33+'Cash Flow Statement'!AN34</f>
        <v>-13391.453383668577</v>
      </c>
      <c r="AO38" s="91">
        <f>AN38+'Cash Flow Statement'!AO6+'Cash Flow Statement'!AO33+'Cash Flow Statement'!AO34</f>
        <v>-12645.722660131163</v>
      </c>
      <c r="AP38" s="91">
        <f>AO38+'Cash Flow Statement'!AP6+'Cash Flow Statement'!AP33+'Cash Flow Statement'!AP34</f>
        <v>-11957.4107430691</v>
      </c>
      <c r="AQ38" s="16">
        <f>AP38</f>
        <v>-11957.4107430691</v>
      </c>
      <c r="AR38" s="91">
        <f>AP38+'Cash Flow Statement'!AR6+'Cash Flow Statement'!AR33+'Cash Flow Statement'!AR34</f>
        <v>-11240.495813387997</v>
      </c>
      <c r="AS38" s="91">
        <f>AR38+'Cash Flow Statement'!AS6+'Cash Flow Statement'!AS33+'Cash Flow Statement'!AS34</f>
        <v>-10767.44180607795</v>
      </c>
      <c r="AT38" s="91">
        <f>AS38+'Cash Flow Statement'!AT6+'Cash Flow Statement'!AT33+'Cash Flow Statement'!AT34</f>
        <v>-9962.8219137029773</v>
      </c>
      <c r="AU38" s="91">
        <f>AT38+'Cash Flow Statement'!AU6+'Cash Flow Statement'!AU33+'Cash Flow Statement'!AU34</f>
        <v>-9215.6181466307535</v>
      </c>
      <c r="AV38" s="16">
        <f>AU38</f>
        <v>-9215.6181466307535</v>
      </c>
    </row>
    <row r="39" spans="1:48" outlineLevel="1" x14ac:dyDescent="0.3">
      <c r="B39" s="554" t="s">
        <v>242</v>
      </c>
      <c r="C39" s="555"/>
      <c r="D39" s="16">
        <v>-343.2</v>
      </c>
      <c r="E39" s="92">
        <v>-271.5</v>
      </c>
      <c r="F39" s="91">
        <v>-349</v>
      </c>
      <c r="G39" s="91">
        <v>-503.3</v>
      </c>
      <c r="H39" s="159">
        <f>+G39</f>
        <v>-503.3</v>
      </c>
      <c r="I39" s="91">
        <v>-387.4</v>
      </c>
      <c r="J39" s="91">
        <v>-521.79999999999995</v>
      </c>
      <c r="K39" s="91">
        <v>-529.9</v>
      </c>
      <c r="L39" s="91">
        <v>-364.6</v>
      </c>
      <c r="M39" s="159">
        <f>+L39</f>
        <v>-364.6</v>
      </c>
      <c r="N39" s="91">
        <v>-145.9</v>
      </c>
      <c r="O39" s="91">
        <v>-126.3</v>
      </c>
      <c r="P39" s="91">
        <v>-29.7</v>
      </c>
      <c r="Q39" s="91">
        <v>147.19999999999999</v>
      </c>
      <c r="R39" s="159">
        <f>+Q39</f>
        <v>147.19999999999999</v>
      </c>
      <c r="S39" s="91">
        <v>253.5</v>
      </c>
      <c r="T39" s="91">
        <v>260.3</v>
      </c>
      <c r="U39" s="91">
        <v>-65</v>
      </c>
      <c r="V39" s="91">
        <v>-463.2</v>
      </c>
      <c r="W39" s="159">
        <f t="shared" ref="W39:W40" si="49">+V39</f>
        <v>-463.2</v>
      </c>
      <c r="X39" s="91">
        <f>V39</f>
        <v>-463.2</v>
      </c>
      <c r="Y39" s="91">
        <f t="shared" ref="Y39:AA40" si="50">X39</f>
        <v>-463.2</v>
      </c>
      <c r="Z39" s="91">
        <f t="shared" si="50"/>
        <v>-463.2</v>
      </c>
      <c r="AA39" s="91">
        <f t="shared" si="50"/>
        <v>-463.2</v>
      </c>
      <c r="AB39" s="16">
        <f>AA39</f>
        <v>-463.2</v>
      </c>
      <c r="AC39" s="91">
        <f>AA39</f>
        <v>-463.2</v>
      </c>
      <c r="AD39" s="429">
        <f t="shared" ref="AD39:AF40" si="51">AC39</f>
        <v>-463.2</v>
      </c>
      <c r="AE39" s="91">
        <f t="shared" si="51"/>
        <v>-463.2</v>
      </c>
      <c r="AF39" s="91">
        <f t="shared" si="51"/>
        <v>-463.2</v>
      </c>
      <c r="AG39" s="16">
        <f>AF39</f>
        <v>-463.2</v>
      </c>
      <c r="AH39" s="91">
        <f>AF39</f>
        <v>-463.2</v>
      </c>
      <c r="AI39" s="429">
        <f t="shared" ref="AI39:AK40" si="52">AH39</f>
        <v>-463.2</v>
      </c>
      <c r="AJ39" s="91">
        <f t="shared" si="52"/>
        <v>-463.2</v>
      </c>
      <c r="AK39" s="91">
        <f t="shared" si="52"/>
        <v>-463.2</v>
      </c>
      <c r="AL39" s="16">
        <f>AK39</f>
        <v>-463.2</v>
      </c>
      <c r="AM39" s="91">
        <f>AK39</f>
        <v>-463.2</v>
      </c>
      <c r="AN39" s="429">
        <f t="shared" ref="AN39:AP40" si="53">AM39</f>
        <v>-463.2</v>
      </c>
      <c r="AO39" s="91">
        <f t="shared" si="53"/>
        <v>-463.2</v>
      </c>
      <c r="AP39" s="91">
        <f t="shared" si="53"/>
        <v>-463.2</v>
      </c>
      <c r="AQ39" s="16">
        <f>AP39</f>
        <v>-463.2</v>
      </c>
      <c r="AR39" s="91">
        <f>AP39</f>
        <v>-463.2</v>
      </c>
      <c r="AS39" s="429">
        <f t="shared" ref="AS39:AU40" si="54">AR39</f>
        <v>-463.2</v>
      </c>
      <c r="AT39" s="91">
        <f t="shared" si="54"/>
        <v>-463.2</v>
      </c>
      <c r="AU39" s="91">
        <f t="shared" si="54"/>
        <v>-463.2</v>
      </c>
      <c r="AV39" s="16">
        <f>AU39</f>
        <v>-463.2</v>
      </c>
    </row>
    <row r="40" spans="1:48" ht="16.2" outlineLevel="1" x14ac:dyDescent="0.45">
      <c r="B40" s="249" t="s">
        <v>243</v>
      </c>
      <c r="C40" s="250"/>
      <c r="D40" s="244">
        <v>6.1</v>
      </c>
      <c r="E40" s="102">
        <v>1.7</v>
      </c>
      <c r="F40" s="102">
        <v>1.6</v>
      </c>
      <c r="G40" s="102">
        <v>1.2</v>
      </c>
      <c r="H40" s="245">
        <f>+G40</f>
        <v>1.2</v>
      </c>
      <c r="I40" s="102">
        <v>0.8</v>
      </c>
      <c r="J40" s="102">
        <v>-2.8</v>
      </c>
      <c r="K40" s="102">
        <v>-2.7</v>
      </c>
      <c r="L40" s="102">
        <v>5.7</v>
      </c>
      <c r="M40" s="246">
        <f>+L40</f>
        <v>5.7</v>
      </c>
      <c r="N40" s="102">
        <v>5.7</v>
      </c>
      <c r="O40" s="102">
        <v>5.7</v>
      </c>
      <c r="P40" s="102">
        <v>6.5</v>
      </c>
      <c r="Q40" s="102">
        <v>6.7</v>
      </c>
      <c r="R40" s="246">
        <f>+Q40</f>
        <v>6.7</v>
      </c>
      <c r="S40" s="102">
        <v>6.9</v>
      </c>
      <c r="T40" s="102">
        <v>6.8</v>
      </c>
      <c r="U40" s="102">
        <v>7.6</v>
      </c>
      <c r="V40" s="102">
        <v>7.9</v>
      </c>
      <c r="W40" s="246">
        <f t="shared" si="49"/>
        <v>7.9</v>
      </c>
      <c r="X40" s="444">
        <f>V40</f>
        <v>7.9</v>
      </c>
      <c r="Y40" s="445">
        <f t="shared" si="50"/>
        <v>7.9</v>
      </c>
      <c r="Z40" s="333">
        <f t="shared" si="50"/>
        <v>7.9</v>
      </c>
      <c r="AA40" s="333">
        <f t="shared" si="50"/>
        <v>7.9</v>
      </c>
      <c r="AB40" s="446">
        <f>AA40</f>
        <v>7.9</v>
      </c>
      <c r="AC40" s="333">
        <f>AA40</f>
        <v>7.9</v>
      </c>
      <c r="AD40" s="445">
        <f t="shared" si="51"/>
        <v>7.9</v>
      </c>
      <c r="AE40" s="333">
        <f t="shared" si="51"/>
        <v>7.9</v>
      </c>
      <c r="AF40" s="333">
        <f t="shared" si="51"/>
        <v>7.9</v>
      </c>
      <c r="AG40" s="446">
        <f>AF40</f>
        <v>7.9</v>
      </c>
      <c r="AH40" s="333">
        <f>AF40</f>
        <v>7.9</v>
      </c>
      <c r="AI40" s="445">
        <f t="shared" si="52"/>
        <v>7.9</v>
      </c>
      <c r="AJ40" s="333">
        <f t="shared" si="52"/>
        <v>7.9</v>
      </c>
      <c r="AK40" s="333">
        <f t="shared" si="52"/>
        <v>7.9</v>
      </c>
      <c r="AL40" s="446">
        <f>AK40</f>
        <v>7.9</v>
      </c>
      <c r="AM40" s="333">
        <f>AK40</f>
        <v>7.9</v>
      </c>
      <c r="AN40" s="445">
        <f t="shared" si="53"/>
        <v>7.9</v>
      </c>
      <c r="AO40" s="333">
        <f t="shared" si="53"/>
        <v>7.9</v>
      </c>
      <c r="AP40" s="333">
        <f t="shared" si="53"/>
        <v>7.9</v>
      </c>
      <c r="AQ40" s="446">
        <f>AP40</f>
        <v>7.9</v>
      </c>
      <c r="AR40" s="333">
        <f>AP40</f>
        <v>7.9</v>
      </c>
      <c r="AS40" s="445">
        <f t="shared" si="54"/>
        <v>7.9</v>
      </c>
      <c r="AT40" s="333">
        <f t="shared" si="54"/>
        <v>7.9</v>
      </c>
      <c r="AU40" s="333">
        <f t="shared" si="54"/>
        <v>7.9</v>
      </c>
      <c r="AV40" s="446">
        <f>AU40</f>
        <v>7.9</v>
      </c>
    </row>
    <row r="41" spans="1:48" outlineLevel="1" x14ac:dyDescent="0.3">
      <c r="B41" s="552" t="s">
        <v>244</v>
      </c>
      <c r="C41" s="553"/>
      <c r="D41" s="21">
        <f t="shared" ref="D41:AV41" si="55">SUM(D37:D40)</f>
        <v>-2878.7999999999997</v>
      </c>
      <c r="E41" s="21">
        <f t="shared" si="55"/>
        <v>-5035.2</v>
      </c>
      <c r="F41" s="21">
        <f t="shared" si="55"/>
        <v>-4319</v>
      </c>
      <c r="G41" s="21">
        <f t="shared" si="55"/>
        <v>-6231</v>
      </c>
      <c r="H41" s="22">
        <f t="shared" si="55"/>
        <v>-6231</v>
      </c>
      <c r="I41" s="21">
        <f t="shared" si="55"/>
        <v>-6759.0999999999995</v>
      </c>
      <c r="J41" s="21">
        <f t="shared" si="55"/>
        <v>-7532.9000000000005</v>
      </c>
      <c r="K41" s="21">
        <f t="shared" si="55"/>
        <v>-8624.2999999999993</v>
      </c>
      <c r="L41" s="21">
        <f t="shared" si="55"/>
        <v>-7799.4000000000005</v>
      </c>
      <c r="M41" s="22">
        <f t="shared" si="55"/>
        <v>-7799.4000000000005</v>
      </c>
      <c r="N41" s="21">
        <f t="shared" si="55"/>
        <v>-7904</v>
      </c>
      <c r="O41" s="21">
        <f t="shared" si="55"/>
        <v>-7648.3</v>
      </c>
      <c r="P41" s="21">
        <f t="shared" si="55"/>
        <v>-6794.3</v>
      </c>
      <c r="Q41" s="21">
        <f t="shared" si="55"/>
        <v>-5314.5</v>
      </c>
      <c r="R41" s="22">
        <f t="shared" si="55"/>
        <v>-5314.5</v>
      </c>
      <c r="S41" s="21">
        <f t="shared" si="55"/>
        <v>-8450.3000000000011</v>
      </c>
      <c r="T41" s="21">
        <f t="shared" si="55"/>
        <v>-8761.2000000000007</v>
      </c>
      <c r="U41" s="21">
        <f t="shared" si="55"/>
        <v>-8658.9</v>
      </c>
      <c r="V41" s="21">
        <f t="shared" si="55"/>
        <v>-8698.7000000000007</v>
      </c>
      <c r="W41" s="22">
        <f t="shared" si="55"/>
        <v>-8698.7000000000007</v>
      </c>
      <c r="X41" s="21">
        <f>SUM(X37:X40)</f>
        <v>-8415.8591883106128</v>
      </c>
      <c r="Y41" s="21">
        <f t="shared" si="55"/>
        <v>-8145.4522941577352</v>
      </c>
      <c r="Z41" s="21">
        <f t="shared" si="55"/>
        <v>-7637.4863300914521</v>
      </c>
      <c r="AA41" s="21">
        <f t="shared" si="55"/>
        <v>-7040.6018733371729</v>
      </c>
      <c r="AB41" s="22">
        <f t="shared" ref="AB41" si="56">SUM(AB37:AB40)</f>
        <v>-7040.6018733371729</v>
      </c>
      <c r="AC41" s="21">
        <f t="shared" si="55"/>
        <v>-6498.5870351690137</v>
      </c>
      <c r="AD41" s="21">
        <f t="shared" si="55"/>
        <v>-6147.9177915963792</v>
      </c>
      <c r="AE41" s="21">
        <f t="shared" si="55"/>
        <v>-5664.0756646159607</v>
      </c>
      <c r="AF41" s="21">
        <f t="shared" si="55"/>
        <v>-5174.0917081041944</v>
      </c>
      <c r="AG41" s="22">
        <f t="shared" si="55"/>
        <v>-5174.0917081041944</v>
      </c>
      <c r="AH41" s="21">
        <f t="shared" si="55"/>
        <v>-4603.2006215484462</v>
      </c>
      <c r="AI41" s="21">
        <f t="shared" si="55"/>
        <v>-4243.5624857547346</v>
      </c>
      <c r="AJ41" s="21">
        <f t="shared" si="55"/>
        <v>-9024.098452819444</v>
      </c>
      <c r="AK41" s="21">
        <f t="shared" si="55"/>
        <v>-13850.457057689182</v>
      </c>
      <c r="AL41" s="22">
        <f t="shared" si="55"/>
        <v>-13850.457057689182</v>
      </c>
      <c r="AM41" s="21">
        <f t="shared" si="55"/>
        <v>-13097.009522055072</v>
      </c>
      <c r="AN41" s="21">
        <f t="shared" si="55"/>
        <v>-12582.021404477513</v>
      </c>
      <c r="AO41" s="21">
        <f t="shared" si="55"/>
        <v>-11745.601512621854</v>
      </c>
      <c r="AP41" s="21">
        <f t="shared" si="55"/>
        <v>-10964.055316352136</v>
      </c>
      <c r="AQ41" s="22">
        <f t="shared" si="55"/>
        <v>-10964.055316352136</v>
      </c>
      <c r="AR41" s="21">
        <f t="shared" si="55"/>
        <v>-10153.495845932284</v>
      </c>
      <c r="AS41" s="21">
        <f t="shared" si="55"/>
        <v>-9592.6690638281725</v>
      </c>
      <c r="AT41" s="21">
        <f t="shared" si="55"/>
        <v>-8692.3464913804983</v>
      </c>
      <c r="AU41" s="21">
        <f t="shared" si="55"/>
        <v>-7846.7293169936775</v>
      </c>
      <c r="AV41" s="22">
        <f t="shared" si="55"/>
        <v>-7846.7293169936775</v>
      </c>
    </row>
    <row r="42" spans="1:48" outlineLevel="1" x14ac:dyDescent="0.3">
      <c r="B42" s="550" t="s">
        <v>245</v>
      </c>
      <c r="C42" s="551"/>
      <c r="D42" s="251">
        <f t="shared" ref="D42:AA42" si="57">D41+D35</f>
        <v>19981.300000000003</v>
      </c>
      <c r="E42" s="251">
        <f t="shared" si="57"/>
        <v>17641.899999999998</v>
      </c>
      <c r="F42" s="251">
        <f t="shared" si="57"/>
        <v>20894.400000000001</v>
      </c>
      <c r="G42" s="251">
        <f t="shared" si="57"/>
        <v>19219.599999999999</v>
      </c>
      <c r="H42" s="252">
        <f t="shared" si="57"/>
        <v>19219.599999999999</v>
      </c>
      <c r="I42" s="251">
        <f t="shared" si="57"/>
        <v>27731.300000000003</v>
      </c>
      <c r="J42" s="251">
        <f t="shared" si="57"/>
        <v>27478.9</v>
      </c>
      <c r="K42" s="251">
        <f t="shared" si="57"/>
        <v>29140.599999999995</v>
      </c>
      <c r="L42" s="251">
        <f t="shared" si="57"/>
        <v>29374.500000000007</v>
      </c>
      <c r="M42" s="252">
        <f t="shared" si="57"/>
        <v>29374.500000000007</v>
      </c>
      <c r="N42" s="251">
        <f t="shared" si="57"/>
        <v>29968.400000000001</v>
      </c>
      <c r="O42" s="251">
        <f t="shared" si="57"/>
        <v>28371.7</v>
      </c>
      <c r="P42" s="251">
        <f t="shared" si="57"/>
        <v>29476.799999999999</v>
      </c>
      <c r="Q42" s="251">
        <f t="shared" si="57"/>
        <v>31392.600000000006</v>
      </c>
      <c r="R42" s="252">
        <f t="shared" si="57"/>
        <v>31392.600000000006</v>
      </c>
      <c r="S42" s="251">
        <f>S41+S35</f>
        <v>28833.899999999994</v>
      </c>
      <c r="T42" s="251">
        <f t="shared" si="57"/>
        <v>29021.499999999996</v>
      </c>
      <c r="U42" s="251">
        <f t="shared" si="57"/>
        <v>28156.199999999997</v>
      </c>
      <c r="V42" s="251">
        <f t="shared" si="57"/>
        <v>27978.399999999998</v>
      </c>
      <c r="W42" s="252">
        <f t="shared" si="57"/>
        <v>27978.399999999998</v>
      </c>
      <c r="X42" s="251">
        <f>X41+X35</f>
        <v>28657.093110261827</v>
      </c>
      <c r="Y42" s="251">
        <f t="shared" si="57"/>
        <v>28531.309729353536</v>
      </c>
      <c r="Z42" s="251">
        <f t="shared" si="57"/>
        <v>29186.567767389308</v>
      </c>
      <c r="AA42" s="251">
        <f t="shared" si="57"/>
        <v>29576.047671085013</v>
      </c>
      <c r="AB42" s="252">
        <f t="shared" ref="AB42" si="58">AB41+AB35</f>
        <v>29576.047671085013</v>
      </c>
      <c r="AC42" s="251">
        <f>AC41+AC35</f>
        <v>30645.816210094137</v>
      </c>
      <c r="AD42" s="251">
        <f t="shared" ref="AD42:AG42" si="59">AD41+AD35</f>
        <v>30565.012432436211</v>
      </c>
      <c r="AE42" s="251">
        <f t="shared" si="59"/>
        <v>31191.724279389648</v>
      </c>
      <c r="AF42" s="251">
        <f t="shared" si="59"/>
        <v>31642.683436619398</v>
      </c>
      <c r="AG42" s="252">
        <f t="shared" si="59"/>
        <v>31642.683436619398</v>
      </c>
      <c r="AH42" s="251">
        <f>AH41+AH35</f>
        <v>32755.25180444447</v>
      </c>
      <c r="AI42" s="251">
        <f t="shared" ref="AI42:AL42" si="60">AI41+AI35</f>
        <v>32661.986330015377</v>
      </c>
      <c r="AJ42" s="251">
        <f t="shared" si="60"/>
        <v>33751.11280275241</v>
      </c>
      <c r="AK42" s="251">
        <f t="shared" si="60"/>
        <v>28783.805515281751</v>
      </c>
      <c r="AL42" s="252">
        <f t="shared" si="60"/>
        <v>28783.805515281751</v>
      </c>
      <c r="AM42" s="251">
        <f>AM41+AM35</f>
        <v>30087.500039351988</v>
      </c>
      <c r="AN42" s="251">
        <f t="shared" ref="AN42:AQ42" si="61">AN41+AN35</f>
        <v>30091.861607875486</v>
      </c>
      <c r="AO42" s="251">
        <f t="shared" si="61"/>
        <v>31130.14467768625</v>
      </c>
      <c r="AP42" s="251">
        <f t="shared" si="61"/>
        <v>31743.756146945434</v>
      </c>
      <c r="AQ42" s="252">
        <f t="shared" si="61"/>
        <v>31743.756146945434</v>
      </c>
      <c r="AR42" s="251">
        <f>AR41+AR35</f>
        <v>33117.972799990224</v>
      </c>
      <c r="AS42" s="251">
        <f t="shared" ref="AS42:AV42" si="62">AS41+AS35</f>
        <v>33134.184987279601</v>
      </c>
      <c r="AT42" s="251">
        <f t="shared" si="62"/>
        <v>34242.210794383362</v>
      </c>
      <c r="AU42" s="251">
        <f t="shared" si="62"/>
        <v>34922.639349711651</v>
      </c>
      <c r="AV42" s="252">
        <f t="shared" si="62"/>
        <v>34922.639349711651</v>
      </c>
    </row>
    <row r="43" spans="1:48" x14ac:dyDescent="0.3">
      <c r="B43" s="253"/>
      <c r="C43" s="254"/>
      <c r="D43" s="255">
        <f t="shared" ref="D43:W43" si="63">ROUND((D42-D20),0)</f>
        <v>0</v>
      </c>
      <c r="E43" s="255">
        <f t="shared" si="63"/>
        <v>0</v>
      </c>
      <c r="F43" s="255">
        <f t="shared" si="63"/>
        <v>0</v>
      </c>
      <c r="G43" s="255">
        <f t="shared" si="63"/>
        <v>0</v>
      </c>
      <c r="H43" s="255">
        <f t="shared" si="63"/>
        <v>0</v>
      </c>
      <c r="I43" s="255">
        <f t="shared" si="63"/>
        <v>0</v>
      </c>
      <c r="J43" s="255">
        <f t="shared" si="63"/>
        <v>0</v>
      </c>
      <c r="K43" s="255">
        <f t="shared" si="63"/>
        <v>0</v>
      </c>
      <c r="L43" s="256">
        <f t="shared" si="63"/>
        <v>0</v>
      </c>
      <c r="M43" s="256">
        <f t="shared" si="63"/>
        <v>0</v>
      </c>
      <c r="N43" s="256">
        <f t="shared" si="63"/>
        <v>0</v>
      </c>
      <c r="O43" s="256">
        <f t="shared" si="63"/>
        <v>0</v>
      </c>
      <c r="P43" s="256">
        <f t="shared" si="63"/>
        <v>0</v>
      </c>
      <c r="Q43" s="256">
        <f t="shared" si="63"/>
        <v>0</v>
      </c>
      <c r="R43" s="256">
        <f t="shared" si="63"/>
        <v>0</v>
      </c>
      <c r="S43" s="256">
        <f t="shared" si="63"/>
        <v>0</v>
      </c>
      <c r="T43" s="256">
        <f t="shared" si="63"/>
        <v>0</v>
      </c>
      <c r="U43" s="256">
        <f t="shared" si="63"/>
        <v>0</v>
      </c>
      <c r="V43" s="256">
        <f t="shared" si="63"/>
        <v>0</v>
      </c>
      <c r="W43" s="256">
        <f t="shared" si="63"/>
        <v>0</v>
      </c>
      <c r="X43" s="256">
        <f>X20-X42</f>
        <v>-9.9999999991268851E-2</v>
      </c>
      <c r="Y43" s="256">
        <f t="shared" ref="Y43:AV43" si="64">Y20-Y42</f>
        <v>-9.9999999987630872E-2</v>
      </c>
      <c r="Z43" s="256">
        <f t="shared" si="64"/>
        <v>-9.9999999991268851E-2</v>
      </c>
      <c r="AA43" s="256">
        <f t="shared" si="64"/>
        <v>-9.9999999987630872E-2</v>
      </c>
      <c r="AB43" s="256">
        <f t="shared" si="64"/>
        <v>-9.9999999987630872E-2</v>
      </c>
      <c r="AC43" s="256">
        <f t="shared" si="64"/>
        <v>-9.9999999991268851E-2</v>
      </c>
      <c r="AD43" s="256">
        <f t="shared" si="64"/>
        <v>-9.9999999980354914E-2</v>
      </c>
      <c r="AE43" s="256">
        <f t="shared" si="64"/>
        <v>-9.9999999987630872E-2</v>
      </c>
      <c r="AF43" s="256">
        <f t="shared" si="64"/>
        <v>-9.9999999987630872E-2</v>
      </c>
      <c r="AG43" s="256">
        <f t="shared" si="64"/>
        <v>-9.9999999987630872E-2</v>
      </c>
      <c r="AH43" s="256">
        <f t="shared" si="64"/>
        <v>-9.9999999983992893E-2</v>
      </c>
      <c r="AI43" s="256">
        <f t="shared" si="64"/>
        <v>-9.9999999987630872E-2</v>
      </c>
      <c r="AJ43" s="256">
        <f t="shared" si="64"/>
        <v>-9.9999999991268851E-2</v>
      </c>
      <c r="AK43" s="256">
        <f t="shared" si="64"/>
        <v>-9.9999999991268851E-2</v>
      </c>
      <c r="AL43" s="256">
        <f t="shared" si="64"/>
        <v>-9.9999999991268851E-2</v>
      </c>
      <c r="AM43" s="256">
        <f t="shared" si="64"/>
        <v>-9.9999999991268851E-2</v>
      </c>
      <c r="AN43" s="256">
        <f t="shared" si="64"/>
        <v>-9.9999999973078957E-2</v>
      </c>
      <c r="AO43" s="256">
        <f t="shared" si="64"/>
        <v>-9.9999999991268851E-2</v>
      </c>
      <c r="AP43" s="256">
        <f t="shared" si="64"/>
        <v>-9.9999999987630872E-2</v>
      </c>
      <c r="AQ43" s="256">
        <f t="shared" si="64"/>
        <v>-9.9999999987630872E-2</v>
      </c>
      <c r="AR43" s="256">
        <f t="shared" si="64"/>
        <v>-9.9999999991268851E-2</v>
      </c>
      <c r="AS43" s="256">
        <f t="shared" si="64"/>
        <v>-9.9999999976716936E-2</v>
      </c>
      <c r="AT43" s="256">
        <f t="shared" si="64"/>
        <v>-9.9999999991268851E-2</v>
      </c>
      <c r="AU43" s="256">
        <f t="shared" si="64"/>
        <v>-9.9999999991268851E-2</v>
      </c>
      <c r="AV43" s="256">
        <f t="shared" si="64"/>
        <v>-9.9999999991268851E-2</v>
      </c>
    </row>
    <row r="44" spans="1:48" ht="15.6" x14ac:dyDescent="0.3">
      <c r="B44" s="514" t="s">
        <v>246</v>
      </c>
      <c r="C44" s="515"/>
      <c r="D44" s="13" t="s">
        <v>15</v>
      </c>
      <c r="E44" s="13" t="s">
        <v>79</v>
      </c>
      <c r="F44" s="13" t="s">
        <v>81</v>
      </c>
      <c r="G44" s="13" t="s">
        <v>144</v>
      </c>
      <c r="H44" s="36" t="s">
        <v>144</v>
      </c>
      <c r="I44" s="13" t="s">
        <v>143</v>
      </c>
      <c r="J44" s="13" t="s">
        <v>142</v>
      </c>
      <c r="K44" s="13" t="s">
        <v>141</v>
      </c>
      <c r="L44" s="13" t="s">
        <v>138</v>
      </c>
      <c r="M44" s="36" t="s">
        <v>138</v>
      </c>
      <c r="N44" s="13" t="s">
        <v>145</v>
      </c>
      <c r="O44" s="13" t="s">
        <v>153</v>
      </c>
      <c r="P44" s="13" t="s">
        <v>155</v>
      </c>
      <c r="Q44" s="13" t="s">
        <v>168</v>
      </c>
      <c r="R44" s="36" t="s">
        <v>168</v>
      </c>
      <c r="S44" s="13" t="s">
        <v>184</v>
      </c>
      <c r="T44" s="13" t="s">
        <v>187</v>
      </c>
      <c r="U44" s="13" t="s">
        <v>200</v>
      </c>
      <c r="V44" s="13" t="s">
        <v>323</v>
      </c>
      <c r="W44" s="36" t="s">
        <v>323</v>
      </c>
      <c r="X44" s="15" t="s">
        <v>20</v>
      </c>
      <c r="Y44" s="15" t="s">
        <v>21</v>
      </c>
      <c r="Z44" s="15" t="s">
        <v>22</v>
      </c>
      <c r="AA44" s="15" t="s">
        <v>23</v>
      </c>
      <c r="AB44" s="38" t="s">
        <v>23</v>
      </c>
      <c r="AC44" s="15" t="s">
        <v>83</v>
      </c>
      <c r="AD44" s="15" t="s">
        <v>84</v>
      </c>
      <c r="AE44" s="15" t="s">
        <v>85</v>
      </c>
      <c r="AF44" s="15" t="s">
        <v>86</v>
      </c>
      <c r="AG44" s="38" t="s">
        <v>86</v>
      </c>
      <c r="AH44" s="15" t="s">
        <v>102</v>
      </c>
      <c r="AI44" s="15" t="s">
        <v>103</v>
      </c>
      <c r="AJ44" s="15" t="s">
        <v>104</v>
      </c>
      <c r="AK44" s="15" t="s">
        <v>105</v>
      </c>
      <c r="AL44" s="38" t="s">
        <v>105</v>
      </c>
      <c r="AM44" s="15" t="s">
        <v>157</v>
      </c>
      <c r="AN44" s="15" t="s">
        <v>158</v>
      </c>
      <c r="AO44" s="15" t="s">
        <v>159</v>
      </c>
      <c r="AP44" s="15" t="s">
        <v>160</v>
      </c>
      <c r="AQ44" s="38" t="s">
        <v>160</v>
      </c>
      <c r="AR44" s="15" t="s">
        <v>188</v>
      </c>
      <c r="AS44" s="15" t="s">
        <v>189</v>
      </c>
      <c r="AT44" s="15" t="s">
        <v>190</v>
      </c>
      <c r="AU44" s="15" t="s">
        <v>191</v>
      </c>
      <c r="AV44" s="38" t="s">
        <v>191</v>
      </c>
    </row>
    <row r="45" spans="1:48" ht="16.2" x14ac:dyDescent="0.45">
      <c r="B45" s="516"/>
      <c r="C45" s="517"/>
      <c r="D45" s="14" t="s">
        <v>19</v>
      </c>
      <c r="E45" s="14" t="s">
        <v>78</v>
      </c>
      <c r="F45" s="14" t="s">
        <v>82</v>
      </c>
      <c r="G45" s="14" t="s">
        <v>92</v>
      </c>
      <c r="H45" s="37" t="s">
        <v>93</v>
      </c>
      <c r="I45" s="14" t="s">
        <v>94</v>
      </c>
      <c r="J45" s="14" t="s">
        <v>95</v>
      </c>
      <c r="K45" s="14" t="s">
        <v>96</v>
      </c>
      <c r="L45" s="14" t="s">
        <v>139</v>
      </c>
      <c r="M45" s="37" t="s">
        <v>140</v>
      </c>
      <c r="N45" s="14" t="s">
        <v>146</v>
      </c>
      <c r="O45" s="14" t="s">
        <v>154</v>
      </c>
      <c r="P45" s="14" t="s">
        <v>156</v>
      </c>
      <c r="Q45" s="14" t="s">
        <v>169</v>
      </c>
      <c r="R45" s="37" t="s">
        <v>170</v>
      </c>
      <c r="S45" s="14" t="s">
        <v>185</v>
      </c>
      <c r="T45" s="14" t="s">
        <v>186</v>
      </c>
      <c r="U45" s="14" t="s">
        <v>201</v>
      </c>
      <c r="V45" s="14" t="s">
        <v>324</v>
      </c>
      <c r="W45" s="37" t="s">
        <v>325</v>
      </c>
      <c r="X45" s="12" t="s">
        <v>24</v>
      </c>
      <c r="Y45" s="12" t="s">
        <v>25</v>
      </c>
      <c r="Z45" s="12" t="s">
        <v>26</v>
      </c>
      <c r="AA45" s="12" t="s">
        <v>27</v>
      </c>
      <c r="AB45" s="39" t="s">
        <v>28</v>
      </c>
      <c r="AC45" s="12" t="s">
        <v>87</v>
      </c>
      <c r="AD45" s="12" t="s">
        <v>88</v>
      </c>
      <c r="AE45" s="12" t="s">
        <v>89</v>
      </c>
      <c r="AF45" s="12" t="s">
        <v>90</v>
      </c>
      <c r="AG45" s="39" t="s">
        <v>91</v>
      </c>
      <c r="AH45" s="12" t="s">
        <v>106</v>
      </c>
      <c r="AI45" s="12" t="s">
        <v>107</v>
      </c>
      <c r="AJ45" s="12" t="s">
        <v>108</v>
      </c>
      <c r="AK45" s="12" t="s">
        <v>109</v>
      </c>
      <c r="AL45" s="39" t="s">
        <v>110</v>
      </c>
      <c r="AM45" s="12" t="s">
        <v>161</v>
      </c>
      <c r="AN45" s="12" t="s">
        <v>162</v>
      </c>
      <c r="AO45" s="12" t="s">
        <v>163</v>
      </c>
      <c r="AP45" s="12" t="s">
        <v>164</v>
      </c>
      <c r="AQ45" s="39" t="s">
        <v>165</v>
      </c>
      <c r="AR45" s="12" t="s">
        <v>192</v>
      </c>
      <c r="AS45" s="12" t="s">
        <v>193</v>
      </c>
      <c r="AT45" s="12" t="s">
        <v>194</v>
      </c>
      <c r="AU45" s="12" t="s">
        <v>195</v>
      </c>
      <c r="AV45" s="39" t="s">
        <v>196</v>
      </c>
    </row>
    <row r="46" spans="1:48" outlineLevel="1" x14ac:dyDescent="0.3">
      <c r="B46" s="188" t="s">
        <v>247</v>
      </c>
      <c r="C46" s="257"/>
      <c r="D46" s="258">
        <f>31+30+31</f>
        <v>92</v>
      </c>
      <c r="E46" s="258">
        <f>31+28+31</f>
        <v>90</v>
      </c>
      <c r="F46" s="258">
        <f>30+31+30</f>
        <v>91</v>
      </c>
      <c r="G46" s="258">
        <f>31+31+30</f>
        <v>92</v>
      </c>
      <c r="H46" s="112"/>
      <c r="I46" s="258">
        <f>31+30+31</f>
        <v>92</v>
      </c>
      <c r="J46" s="258">
        <f>31+29+31</f>
        <v>91</v>
      </c>
      <c r="K46" s="258">
        <f>30+31+30</f>
        <v>91</v>
      </c>
      <c r="L46" s="258">
        <f>31+31+30</f>
        <v>92</v>
      </c>
      <c r="M46" s="112"/>
      <c r="N46" s="258">
        <f>31+30+31</f>
        <v>92</v>
      </c>
      <c r="O46" s="258">
        <f>31+28+31</f>
        <v>90</v>
      </c>
      <c r="P46" s="258">
        <f>30+31+30</f>
        <v>91</v>
      </c>
      <c r="Q46" s="258">
        <f>31+31+30</f>
        <v>92</v>
      </c>
      <c r="R46" s="112"/>
      <c r="S46" s="258">
        <f>31+30+31</f>
        <v>92</v>
      </c>
      <c r="T46" s="258">
        <f>31+28+31</f>
        <v>90</v>
      </c>
      <c r="U46" s="258">
        <f>30+31+30</f>
        <v>91</v>
      </c>
      <c r="V46" s="258">
        <f>31+31+30</f>
        <v>92</v>
      </c>
      <c r="W46" s="112"/>
      <c r="X46" s="258">
        <f>31+31+30</f>
        <v>92</v>
      </c>
      <c r="Y46" s="258">
        <f>31+28+31</f>
        <v>90</v>
      </c>
      <c r="Z46" s="258">
        <f>30+31+30</f>
        <v>91</v>
      </c>
      <c r="AA46" s="258">
        <f>31+31+30</f>
        <v>92</v>
      </c>
      <c r="AB46" s="112"/>
      <c r="AC46" s="258">
        <f>31+31+30</f>
        <v>92</v>
      </c>
      <c r="AD46" s="258">
        <f>31+28+31</f>
        <v>90</v>
      </c>
      <c r="AE46" s="258">
        <f>30+31+30</f>
        <v>91</v>
      </c>
      <c r="AF46" s="258">
        <f>31+31+30</f>
        <v>92</v>
      </c>
      <c r="AG46" s="112"/>
      <c r="AH46" s="258">
        <f>31+31+30</f>
        <v>92</v>
      </c>
      <c r="AI46" s="258">
        <f>31+28+31</f>
        <v>90</v>
      </c>
      <c r="AJ46" s="258">
        <f>30+31+30</f>
        <v>91</v>
      </c>
      <c r="AK46" s="258">
        <f>31+31+30</f>
        <v>92</v>
      </c>
      <c r="AL46" s="112"/>
      <c r="AM46" s="258">
        <f>31+31+30</f>
        <v>92</v>
      </c>
      <c r="AN46" s="258">
        <f>31+28+31</f>
        <v>90</v>
      </c>
      <c r="AO46" s="258">
        <f>30+31+30</f>
        <v>91</v>
      </c>
      <c r="AP46" s="258">
        <f>31+31+30</f>
        <v>92</v>
      </c>
      <c r="AQ46" s="112"/>
      <c r="AR46" s="258">
        <f>31+31+30</f>
        <v>92</v>
      </c>
      <c r="AS46" s="258">
        <f>31+28+31</f>
        <v>90</v>
      </c>
      <c r="AT46" s="258">
        <f>30+31+30</f>
        <v>91</v>
      </c>
      <c r="AU46" s="258">
        <f>31+31+30</f>
        <v>92</v>
      </c>
      <c r="AV46" s="112"/>
    </row>
    <row r="47" spans="1:48" outlineLevel="1" x14ac:dyDescent="0.3">
      <c r="B47" s="511" t="s">
        <v>248</v>
      </c>
      <c r="C47" s="512"/>
      <c r="D47" s="259">
        <f>'Income Statement &amp; Segments'!D8/'Balance Sheet'!D8</f>
        <v>9.1942057111172737</v>
      </c>
      <c r="E47" s="259">
        <f>'Income Statement &amp; Segments'!E8/'Balance Sheet'!E8</f>
        <v>8.9623365548607161</v>
      </c>
      <c r="F47" s="259">
        <f>'Income Statement &amp; Segments'!F8/'Balance Sheet'!F8</f>
        <v>8.6301543131798635</v>
      </c>
      <c r="G47" s="259">
        <f>'Income Statement &amp; Segments'!G8/'Balance Sheet'!G8</f>
        <v>7.6757679180887379</v>
      </c>
      <c r="H47" s="116"/>
      <c r="I47" s="259">
        <f>'Income Statement &amp; Segments'!I8/'Balance Sheet'!I8</f>
        <v>7.8153287082920375</v>
      </c>
      <c r="J47" s="259">
        <f>'Income Statement &amp; Segments'!J8/'Balance Sheet'!J8</f>
        <v>6.3716259298618487</v>
      </c>
      <c r="K47" s="259">
        <f>'Income Statement &amp; Segments'!K8/'Balance Sheet'!K8</f>
        <v>4.7918510952218822</v>
      </c>
      <c r="L47" s="259">
        <f>'Income Statement &amp; Segments'!L8/'Balance Sheet'!L8</f>
        <v>7.0218474077428121</v>
      </c>
      <c r="M47" s="31"/>
      <c r="N47" s="259">
        <f>'Income Statement &amp; Segments'!N8/'Balance Sheet'!N8</f>
        <v>7.6006756756756761</v>
      </c>
      <c r="O47" s="259">
        <f>'Income Statement &amp; Segments'!O8/'Balance Sheet'!O8</f>
        <v>7.5755510111338324</v>
      </c>
      <c r="P47" s="259">
        <f>'Income Statement &amp; Segments'!P8/'Balance Sheet'!P8</f>
        <v>8.2270632133450388</v>
      </c>
      <c r="Q47" s="259">
        <f>'Income Statement &amp; Segments'!Q8/'Balance Sheet'!Q8</f>
        <v>8.6667021276595744</v>
      </c>
      <c r="R47" s="31"/>
      <c r="S47" s="259">
        <f>'Income Statement &amp; Segments'!S8/'Balance Sheet'!S8</f>
        <v>7.8075841334497138</v>
      </c>
      <c r="T47" s="259">
        <f>'Income Statement &amp; Segments'!T8/'Balance Sheet'!T8</f>
        <v>7.6211198722427387</v>
      </c>
      <c r="U47" s="259">
        <f>'Income Statement &amp; Segments'!U8/'Balance Sheet'!U8</f>
        <v>7.1111595846784761</v>
      </c>
      <c r="V47" s="259">
        <f>'Income Statement &amp; Segments'!V8/'Balance Sheet'!V8</f>
        <v>7.1579753296469582</v>
      </c>
      <c r="W47" s="389"/>
      <c r="X47" s="422">
        <f>AVERAGE(I47,N47,S47)</f>
        <v>7.7411961724724749</v>
      </c>
      <c r="Y47" s="422">
        <f>AVERAGE(J47,O47,T47)</f>
        <v>7.1894322710794727</v>
      </c>
      <c r="Z47" s="422">
        <f>AVERAGE(K47,P47,U47)</f>
        <v>6.7100246310817981</v>
      </c>
      <c r="AA47" s="422">
        <f>AVERAGE(L47,Q47,V47)</f>
        <v>7.6155082883497824</v>
      </c>
      <c r="AB47" s="423"/>
      <c r="AC47" s="422">
        <f>AVERAGE(N47,S47,X47)</f>
        <v>7.7164853271992877</v>
      </c>
      <c r="AD47" s="422">
        <f>AVERAGE(O47,T47,Y47)</f>
        <v>7.4620343848186819</v>
      </c>
      <c r="AE47" s="422">
        <f>AVERAGE(P47,U47,Z47)</f>
        <v>7.349415809701771</v>
      </c>
      <c r="AF47" s="422">
        <f>AVERAGE(Q47,V47,AA47)</f>
        <v>7.813395248552105</v>
      </c>
      <c r="AG47" s="423"/>
      <c r="AH47" s="422">
        <f>AVERAGE(S47,X47,AC47)</f>
        <v>7.7550885443738258</v>
      </c>
      <c r="AI47" s="422">
        <f>AVERAGE(T47,Y47,AD47)</f>
        <v>7.424195509380298</v>
      </c>
      <c r="AJ47" s="422">
        <f>AVERAGE(U47,Z47,AE47)</f>
        <v>7.0568666751540148</v>
      </c>
      <c r="AK47" s="422">
        <f>AVERAGE(V47,AA47,AF47)</f>
        <v>7.5289596221829482</v>
      </c>
      <c r="AL47" s="423"/>
      <c r="AM47" s="422">
        <f>AVERAGE(X47,AC47,AH47)</f>
        <v>7.7375900146818628</v>
      </c>
      <c r="AN47" s="422">
        <f>AVERAGE(Y47,AD47,AI47)</f>
        <v>7.3585540550928172</v>
      </c>
      <c r="AO47" s="422">
        <f>AVERAGE(Z47,AE47,AJ47)</f>
        <v>7.038769038645861</v>
      </c>
      <c r="AP47" s="422">
        <f>AVERAGE(AA47,AF47,AK47)</f>
        <v>7.6526210530282794</v>
      </c>
      <c r="AQ47" s="423"/>
      <c r="AR47" s="422">
        <f>AVERAGE(AC47,AH47,AM47)</f>
        <v>7.7363879620849927</v>
      </c>
      <c r="AS47" s="422">
        <f>AVERAGE(AD47,AI47,AN47)</f>
        <v>7.4149279830972654</v>
      </c>
      <c r="AT47" s="422">
        <f>AVERAGE(AE47,AJ47,AO47)</f>
        <v>7.1483505078338823</v>
      </c>
      <c r="AU47" s="422">
        <f>AVERAGE(AF47,AK47,AP47)</f>
        <v>7.6649919745877781</v>
      </c>
      <c r="AV47" s="423"/>
    </row>
    <row r="48" spans="1:48" s="23" customFormat="1" outlineLevel="1" x14ac:dyDescent="0.3">
      <c r="B48" s="538" t="s">
        <v>249</v>
      </c>
      <c r="C48" s="539"/>
      <c r="D48" s="260">
        <f>D46/D47</f>
        <v>10.00630210924661</v>
      </c>
      <c r="E48" s="260">
        <f>E46/E47</f>
        <v>10.042024136126486</v>
      </c>
      <c r="F48" s="258">
        <f>F46/F47</f>
        <v>10.544423274219552</v>
      </c>
      <c r="G48" s="258">
        <f>G46/G47</f>
        <v>11.985771453979545</v>
      </c>
      <c r="H48" s="116"/>
      <c r="I48" s="258">
        <f>I46/I47</f>
        <v>11.771737752039567</v>
      </c>
      <c r="J48" s="258">
        <f>J46/J47</f>
        <v>14.28206881598479</v>
      </c>
      <c r="K48" s="258">
        <f>K46/K47</f>
        <v>18.990573411335589</v>
      </c>
      <c r="L48" s="260">
        <f>L46/L47</f>
        <v>13.101965146459028</v>
      </c>
      <c r="M48" s="31"/>
      <c r="N48" s="260">
        <f>N46/N47</f>
        <v>12.104187038847897</v>
      </c>
      <c r="O48" s="260">
        <f>O46/O47</f>
        <v>11.880323935212958</v>
      </c>
      <c r="P48" s="260">
        <f>P46/P47</f>
        <v>11.061055159074236</v>
      </c>
      <c r="Q48" s="260">
        <f>Q46/Q47</f>
        <v>10.615341181091731</v>
      </c>
      <c r="R48" s="31"/>
      <c r="S48" s="260">
        <f>S46/S47</f>
        <v>11.783414488721057</v>
      </c>
      <c r="T48" s="260">
        <f>T46/T47</f>
        <v>11.809288071664309</v>
      </c>
      <c r="U48" s="260">
        <f>U46/U47</f>
        <v>12.79678776947522</v>
      </c>
      <c r="V48" s="260">
        <f>V46/V47</f>
        <v>12.852796463121866</v>
      </c>
      <c r="W48" s="31"/>
      <c r="X48" s="260">
        <f>X46/X47</f>
        <v>11.884468233365535</v>
      </c>
      <c r="Y48" s="260">
        <f>Y46/Y47</f>
        <v>12.518373719443463</v>
      </c>
      <c r="Z48" s="260">
        <f>Z46/Z47</f>
        <v>13.561798205400756</v>
      </c>
      <c r="AA48" s="260">
        <f>AA46/AA47</f>
        <v>12.080611893068484</v>
      </c>
      <c r="AB48" s="116"/>
      <c r="AC48" s="260">
        <f>AC46/AC47</f>
        <v>11.92252639627471</v>
      </c>
      <c r="AD48" s="260">
        <f>AD46/AD47</f>
        <v>12.061054044873165</v>
      </c>
      <c r="AE48" s="260">
        <f>AE46/AE47</f>
        <v>12.381936517984638</v>
      </c>
      <c r="AF48" s="260">
        <f>AF46/AF47</f>
        <v>11.774650721406735</v>
      </c>
      <c r="AG48" s="116"/>
      <c r="AH48" s="260">
        <f>AH46/AH47</f>
        <v>11.863178540591171</v>
      </c>
      <c r="AI48" s="260">
        <f>AI46/AI47</f>
        <v>12.122525583585062</v>
      </c>
      <c r="AJ48" s="260">
        <f>AJ46/AJ47</f>
        <v>12.895241498666111</v>
      </c>
      <c r="AK48" s="260">
        <f>AK46/AK47</f>
        <v>12.219483782186296</v>
      </c>
      <c r="AL48" s="116"/>
      <c r="AM48" s="260">
        <f>AM46/AM47</f>
        <v>11.890007072671535</v>
      </c>
      <c r="AN48" s="260">
        <f>AN46/AN47</f>
        <v>12.230663704605318</v>
      </c>
      <c r="AO48" s="260">
        <f>AO46/AO47</f>
        <v>12.928396925708311</v>
      </c>
      <c r="AP48" s="260">
        <f>AP46/AP47</f>
        <v>12.022024788956974</v>
      </c>
      <c r="AQ48" s="116"/>
      <c r="AR48" s="260">
        <f>AR46/AR47</f>
        <v>11.891854499913881</v>
      </c>
      <c r="AS48" s="260">
        <f>AS46/AS47</f>
        <v>12.137676887106648</v>
      </c>
      <c r="AT48" s="260">
        <f>AT46/AT47</f>
        <v>12.730209563769018</v>
      </c>
      <c r="AU48" s="260">
        <f>AU46/AU47</f>
        <v>12.002621829874485</v>
      </c>
      <c r="AV48" s="116"/>
    </row>
    <row r="49" spans="2:48" outlineLevel="1" x14ac:dyDescent="0.3">
      <c r="B49" s="511" t="s">
        <v>250</v>
      </c>
      <c r="C49" s="512"/>
      <c r="D49" s="259">
        <f>'Income Statement &amp; Segments'!D9/'Balance Sheet'!D9</f>
        <v>1.6062306215857083</v>
      </c>
      <c r="E49" s="259">
        <f>'Income Statement &amp; Segments'!E9/'Balance Sheet'!E9</f>
        <v>1.3943173943173943</v>
      </c>
      <c r="F49" s="259">
        <f>'Income Statement &amp; Segments'!F9/'Balance Sheet'!F9</f>
        <v>1.4497759029791721</v>
      </c>
      <c r="G49" s="259">
        <f>'Income Statement &amp; Segments'!G9/'Balance Sheet'!G9</f>
        <v>1.3989146070354381</v>
      </c>
      <c r="H49" s="116"/>
      <c r="I49" s="259">
        <f>'Income Statement &amp; Segments'!I9/'Balance Sheet'!I9</f>
        <v>1.5875630013487614</v>
      </c>
      <c r="J49" s="259">
        <f>'Income Statement &amp; Segments'!J9/'Balance Sheet'!J9</f>
        <v>1.3387615601125855</v>
      </c>
      <c r="K49" s="259">
        <f>'Income Statement &amp; Segments'!K9/'Balance Sheet'!K9</f>
        <v>0.93698699330723578</v>
      </c>
      <c r="L49" s="259">
        <f>'Income Statement &amp; Segments'!L9/'Balance Sheet'!L9</f>
        <v>1.2742039448240299</v>
      </c>
      <c r="M49" s="31"/>
      <c r="N49" s="259">
        <f>'Income Statement &amp; Segments'!N9/'Balance Sheet'!N9</f>
        <v>1.3925246347264695</v>
      </c>
      <c r="O49" s="259">
        <f>'Income Statement &amp; Segments'!O9/'Balance Sheet'!O9</f>
        <v>1.3250864591646716</v>
      </c>
      <c r="P49" s="259">
        <f>'Income Statement &amp; Segments'!P9/'Balance Sheet'!P9</f>
        <v>1.4248805063945227</v>
      </c>
      <c r="Q49" s="259">
        <f>'Income Statement &amp; Segments'!Q9/'Balance Sheet'!Q9</f>
        <v>1.5531516927489244</v>
      </c>
      <c r="R49" s="31"/>
      <c r="S49" s="259">
        <f>'Income Statement &amp; Segments'!S9/'Balance Sheet'!S9</f>
        <v>1.5435220817298883</v>
      </c>
      <c r="T49" s="259">
        <f>'Income Statement &amp; Segments'!T9/'Balance Sheet'!T9</f>
        <v>1.2842708333333335</v>
      </c>
      <c r="U49" s="259">
        <f>'Income Statement &amp; Segments'!U9/'Balance Sheet'!U9</f>
        <v>1.2253739040742651</v>
      </c>
      <c r="V49" s="259">
        <f>'Income Statement &amp; Segments'!V9/'Balance Sheet'!V9</f>
        <v>1.2455205366167417</v>
      </c>
      <c r="W49" s="389"/>
      <c r="X49" s="422">
        <f>AVERAGE(I49,N49,S49)</f>
        <v>1.5078699059350396</v>
      </c>
      <c r="Y49" s="422">
        <f>AVERAGE(J49,O49,T49)</f>
        <v>1.3160396175368634</v>
      </c>
      <c r="Z49" s="422">
        <f>AVERAGE(K49,P49,U49)</f>
        <v>1.1957471345920079</v>
      </c>
      <c r="AA49" s="422">
        <f>AVERAGE(L49,Q49,V49)</f>
        <v>1.3576253913965655</v>
      </c>
      <c r="AB49" s="423"/>
      <c r="AC49" s="422">
        <f>AVERAGE(N49,S49,X49)</f>
        <v>1.4813055407971323</v>
      </c>
      <c r="AD49" s="422">
        <f>AVERAGE(O49,T49,Y49)</f>
        <v>1.3084656366782894</v>
      </c>
      <c r="AE49" s="422">
        <f>AVERAGE(P49,U49,Z49)</f>
        <v>1.2820005150202654</v>
      </c>
      <c r="AF49" s="422">
        <f>AVERAGE(Q49,V49,AA49)</f>
        <v>1.385432540254077</v>
      </c>
      <c r="AG49" s="423"/>
      <c r="AH49" s="422">
        <f>AVERAGE(S49,X49,AC49)</f>
        <v>1.5108991761540203</v>
      </c>
      <c r="AI49" s="422">
        <f>AVERAGE(T49,Y49,AD49)</f>
        <v>1.3029253625161621</v>
      </c>
      <c r="AJ49" s="422">
        <f>AVERAGE(U49,Z49,AE49)</f>
        <v>1.2343738512288462</v>
      </c>
      <c r="AK49" s="422">
        <f>AVERAGE(V49,AA49,AF49)</f>
        <v>1.3295261560891281</v>
      </c>
      <c r="AL49" s="423"/>
      <c r="AM49" s="422">
        <f>AVERAGE(X49,AC49,AH49)</f>
        <v>1.5000248742953974</v>
      </c>
      <c r="AN49" s="422">
        <f>AVERAGE(Y49,AD49,AI49)</f>
        <v>1.3091435389104384</v>
      </c>
      <c r="AO49" s="422">
        <f>AVERAGE(Z49,AE49,AJ49)</f>
        <v>1.2373738336137066</v>
      </c>
      <c r="AP49" s="422">
        <f>AVERAGE(AA49,AF49,AK49)</f>
        <v>1.3575280292465901</v>
      </c>
      <c r="AQ49" s="423"/>
      <c r="AR49" s="422">
        <f>AVERAGE(AC49,AH49,AM49)</f>
        <v>1.4974098637488502</v>
      </c>
      <c r="AS49" s="422">
        <f>AVERAGE(AD49,AI49,AN49)</f>
        <v>1.3068448460349635</v>
      </c>
      <c r="AT49" s="422">
        <f>AVERAGE(AE49,AJ49,AO49)</f>
        <v>1.2512493999542729</v>
      </c>
      <c r="AU49" s="422">
        <f>AVERAGE(AF49,AK49,AP49)</f>
        <v>1.3574955751965982</v>
      </c>
      <c r="AV49" s="423"/>
    </row>
    <row r="50" spans="2:48" s="23" customFormat="1" outlineLevel="1" x14ac:dyDescent="0.3">
      <c r="B50" s="538" t="s">
        <v>249</v>
      </c>
      <c r="C50" s="539"/>
      <c r="D50" s="260">
        <f>D46/D49</f>
        <v>57.276955602536987</v>
      </c>
      <c r="E50" s="260">
        <f>E46/E49</f>
        <v>64.547713717693838</v>
      </c>
      <c r="F50" s="258">
        <f>F46/F49</f>
        <v>62.768321513002363</v>
      </c>
      <c r="G50" s="258">
        <f>G46/G49</f>
        <v>65.765272259873825</v>
      </c>
      <c r="H50" s="116"/>
      <c r="I50" s="258">
        <f>I46/I49</f>
        <v>57.950456090144868</v>
      </c>
      <c r="J50" s="258">
        <f>J46/J49</f>
        <v>67.973269259648589</v>
      </c>
      <c r="K50" s="258">
        <f>K46/K49</f>
        <v>97.119811320754721</v>
      </c>
      <c r="L50" s="260">
        <f>L46/L49</f>
        <v>72.201942533387296</v>
      </c>
      <c r="M50" s="31"/>
      <c r="N50" s="260">
        <f>N46/N49</f>
        <v>66.067053828510083</v>
      </c>
      <c r="O50" s="260">
        <f>O46/O49</f>
        <v>67.920096366191515</v>
      </c>
      <c r="P50" s="260">
        <f>P46/P49</f>
        <v>63.865004533091565</v>
      </c>
      <c r="Q50" s="260">
        <f>Q46/Q49</f>
        <v>59.234394444221429</v>
      </c>
      <c r="R50" s="31"/>
      <c r="S50" s="260">
        <f>S46/S49</f>
        <v>59.603941588507659</v>
      </c>
      <c r="T50" s="260">
        <f>T46/T49</f>
        <v>70.078676291670035</v>
      </c>
      <c r="U50" s="260">
        <f>U46/U49</f>
        <v>74.263047138047142</v>
      </c>
      <c r="V50" s="260">
        <f>V46/V49</f>
        <v>73.864699372925116</v>
      </c>
      <c r="W50" s="31"/>
      <c r="X50" s="260">
        <f>X46/X49</f>
        <v>61.01322112596327</v>
      </c>
      <c r="Y50" s="260">
        <f>Y46/Y49</f>
        <v>68.386998993576285</v>
      </c>
      <c r="Z50" s="260">
        <f>Z46/Z49</f>
        <v>76.103046678886201</v>
      </c>
      <c r="AA50" s="260">
        <f>AA46/AA49</f>
        <v>67.765379598094597</v>
      </c>
      <c r="AB50" s="116"/>
      <c r="AC50" s="260">
        <f>AC46/AC49</f>
        <v>62.1073758695942</v>
      </c>
      <c r="AD50" s="260">
        <f>AD46/AD49</f>
        <v>68.782853349115641</v>
      </c>
      <c r="AE50" s="260">
        <f>AE46/AE49</f>
        <v>70.982810797514773</v>
      </c>
      <c r="AF50" s="260">
        <f>AF46/AF49</f>
        <v>66.405254190960434</v>
      </c>
      <c r="AG50" s="116"/>
      <c r="AH50" s="260">
        <f>AH46/AH49</f>
        <v>60.89089295434335</v>
      </c>
      <c r="AI50" s="260">
        <f>AI46/AI49</f>
        <v>69.075330474951585</v>
      </c>
      <c r="AJ50" s="260">
        <f>AJ46/AJ49</f>
        <v>73.721587596340854</v>
      </c>
      <c r="AK50" s="260">
        <f>AK46/AK49</f>
        <v>69.19758560495184</v>
      </c>
      <c r="AL50" s="116"/>
      <c r="AM50" s="260">
        <f>AM46/AM49</f>
        <v>61.332316267898499</v>
      </c>
      <c r="AN50" s="260">
        <f>AN46/AN49</f>
        <v>68.747236131879276</v>
      </c>
      <c r="AO50" s="260">
        <f>AO46/AO49</f>
        <v>73.542851422870086</v>
      </c>
      <c r="AP50" s="260">
        <f>AP46/AP49</f>
        <v>67.770239743085654</v>
      </c>
      <c r="AQ50" s="116"/>
      <c r="AR50" s="260">
        <f>AR46/AR49</f>
        <v>61.439424320120878</v>
      </c>
      <c r="AS50" s="260">
        <f>AS46/AS49</f>
        <v>68.868160036797605</v>
      </c>
      <c r="AT50" s="260">
        <f>AT46/AT49</f>
        <v>72.727307604163968</v>
      </c>
      <c r="AU50" s="260">
        <f>AU46/AU49</f>
        <v>67.771859946339916</v>
      </c>
      <c r="AV50" s="116"/>
    </row>
    <row r="51" spans="2:48" s="23" customFormat="1" outlineLevel="1" x14ac:dyDescent="0.3">
      <c r="B51" s="511" t="s">
        <v>251</v>
      </c>
      <c r="C51" s="512"/>
      <c r="D51" s="259">
        <f>'Income Statement &amp; Segments'!D9/'Balance Sheet'!D22</f>
        <v>1.9771013175829171</v>
      </c>
      <c r="E51" s="259">
        <f>'Income Statement &amp; Segments'!E9/'Balance Sheet'!E22</f>
        <v>1.8345946931704202</v>
      </c>
      <c r="F51" s="259">
        <f>'Income Statement &amp; Segments'!F9/'Balance Sheet'!F22</f>
        <v>1.9203771608171816</v>
      </c>
      <c r="G51" s="259">
        <f>'Income Statement &amp; Segments'!G9/'Balance Sheet'!G22</f>
        <v>1.7983525258468513</v>
      </c>
      <c r="H51" s="117"/>
      <c r="I51" s="259">
        <f>'Income Statement &amp; Segments'!I9/'Balance Sheet'!I22</f>
        <v>2.0600589535740608</v>
      </c>
      <c r="J51" s="259">
        <f>'Income Statement &amp; Segments'!J9/'Balance Sheet'!J22</f>
        <v>2.0023053021950488</v>
      </c>
      <c r="K51" s="259">
        <f>'Income Statement &amp; Segments'!K9/'Balance Sheet'!K22</f>
        <v>1.7239776951672863</v>
      </c>
      <c r="L51" s="259">
        <f>'Income Statement &amp; Segments'!L9/'Balance Sheet'!L22</f>
        <v>1.9809600160336707</v>
      </c>
      <c r="M51" s="261"/>
      <c r="N51" s="259">
        <f>'Income Statement &amp; Segments'!N9/'Balance Sheet'!N22</f>
        <v>1.9504092899295642</v>
      </c>
      <c r="O51" s="259">
        <f>'Income Statement &amp; Segments'!O9/'Balance Sheet'!O22</f>
        <v>1.9276315789473686</v>
      </c>
      <c r="P51" s="259">
        <f>'Income Statement &amp; Segments'!P9/'Balance Sheet'!P22</f>
        <v>1.9574090505767525</v>
      </c>
      <c r="Q51" s="259">
        <f>'Income Statement &amp; Segments'!Q9/'Balance Sheet'!Q22</f>
        <v>2.0560415978870914</v>
      </c>
      <c r="R51" s="261"/>
      <c r="S51" s="259">
        <f>'Income Statement &amp; Segments'!S9/'Balance Sheet'!S22</f>
        <v>1.9597487203350394</v>
      </c>
      <c r="T51" s="259">
        <f>'Income Statement &amp; Segments'!T9/'Balance Sheet'!T22</f>
        <v>1.8546822113576533</v>
      </c>
      <c r="U51" s="259">
        <f>'Income Statement &amp; Segments'!U9/'Balance Sheet'!U22</f>
        <v>1.7543294401933145</v>
      </c>
      <c r="V51" s="259">
        <f>'Income Statement &amp; Segments'!V9/'Balance Sheet'!V22</f>
        <v>1.8808103232967948</v>
      </c>
      <c r="W51" s="390"/>
      <c r="X51" s="422">
        <f>AVERAGE(I51,N51,S51)</f>
        <v>1.9900723212795548</v>
      </c>
      <c r="Y51" s="422">
        <f>AVERAGE(J51,O51,T51)</f>
        <v>1.9282063641666902</v>
      </c>
      <c r="Z51" s="422">
        <f>AVERAGE(K51,P51,U51)</f>
        <v>1.8119053953124513</v>
      </c>
      <c r="AA51" s="422">
        <f>AVERAGE(L51,Q51,V51)</f>
        <v>1.9726039790725192</v>
      </c>
      <c r="AB51" s="411"/>
      <c r="AC51" s="422">
        <f>AVERAGE(N51,S51,X51)</f>
        <v>1.9667434438480527</v>
      </c>
      <c r="AD51" s="422">
        <f>AVERAGE(O51,T51,Y51)</f>
        <v>1.9035067181572372</v>
      </c>
      <c r="AE51" s="422">
        <f>AVERAGE(P51,U51,Z51)</f>
        <v>1.8412146286941729</v>
      </c>
      <c r="AF51" s="422">
        <f>AVERAGE(Q51,V51,AA51)</f>
        <v>1.9698186334188019</v>
      </c>
      <c r="AG51" s="411"/>
      <c r="AH51" s="422">
        <f>AVERAGE(S51,X51,AC51)</f>
        <v>1.9721881618208823</v>
      </c>
      <c r="AI51" s="422">
        <f>AVERAGE(T51,Y51,AD51)</f>
        <v>1.8954650978938601</v>
      </c>
      <c r="AJ51" s="422">
        <f>AVERAGE(U51,Z51,AE51)</f>
        <v>1.8024831547333129</v>
      </c>
      <c r="AK51" s="422">
        <f>AVERAGE(V51,AA51,AF51)</f>
        <v>1.9410776452627054</v>
      </c>
      <c r="AL51" s="411"/>
      <c r="AM51" s="422">
        <f>AVERAGE(X51,AC51,AH51)</f>
        <v>1.9763346423161632</v>
      </c>
      <c r="AN51" s="422">
        <f>AVERAGE(Y51,AD51,AI51)</f>
        <v>1.9090593934059292</v>
      </c>
      <c r="AO51" s="422">
        <f>AVERAGE(Z51,AE51,AJ51)</f>
        <v>1.8185343929133122</v>
      </c>
      <c r="AP51" s="422">
        <f>AVERAGE(AA51,AF51,AK51)</f>
        <v>1.9611667525846757</v>
      </c>
      <c r="AQ51" s="411"/>
      <c r="AR51" s="422">
        <f>AVERAGE(AC51,AH51,AM51)</f>
        <v>1.9717554159950328</v>
      </c>
      <c r="AS51" s="422">
        <f>AVERAGE(AD51,AI51,AN51)</f>
        <v>1.9026770698190087</v>
      </c>
      <c r="AT51" s="422">
        <f>AVERAGE(AE51,AJ51,AO51)</f>
        <v>1.8207440587802661</v>
      </c>
      <c r="AU51" s="422">
        <f>AVERAGE(AF51,AK51,AP51)</f>
        <v>1.9573543437553944</v>
      </c>
      <c r="AV51" s="411"/>
    </row>
    <row r="52" spans="2:48" s="23" customFormat="1" outlineLevel="1" x14ac:dyDescent="0.3">
      <c r="B52" s="538" t="s">
        <v>252</v>
      </c>
      <c r="C52" s="539"/>
      <c r="D52" s="16">
        <f>D46/D51</f>
        <v>46.532769556025364</v>
      </c>
      <c r="E52" s="16">
        <f>E46/E51</f>
        <v>49.057157057654081</v>
      </c>
      <c r="F52" s="91">
        <f>F46/F51</f>
        <v>47.386524822695037</v>
      </c>
      <c r="G52" s="91">
        <f>G46/G51</f>
        <v>51.157934096751603</v>
      </c>
      <c r="H52" s="118"/>
      <c r="I52" s="91">
        <f>I46/I51</f>
        <v>44.658916115185114</v>
      </c>
      <c r="J52" s="91">
        <f>J46/J51</f>
        <v>45.447614756970509</v>
      </c>
      <c r="K52" s="91">
        <f>K46/K51</f>
        <v>52.784905660377355</v>
      </c>
      <c r="L52" s="16">
        <f>L46/L51</f>
        <v>46.44212869283691</v>
      </c>
      <c r="M52" s="28"/>
      <c r="N52" s="16">
        <f>N46/N51</f>
        <v>47.169586647796592</v>
      </c>
      <c r="O52" s="16">
        <f>O46/O51</f>
        <v>46.689419795221838</v>
      </c>
      <c r="P52" s="16">
        <f>P46/P51</f>
        <v>46.490027198549406</v>
      </c>
      <c r="Q52" s="16">
        <f>Q46/Q51</f>
        <v>44.74617638794107</v>
      </c>
      <c r="R52" s="28"/>
      <c r="S52" s="16">
        <f>S46/S51</f>
        <v>46.944794016383717</v>
      </c>
      <c r="T52" s="16">
        <f>T46/T51</f>
        <v>48.525833400924647</v>
      </c>
      <c r="U52" s="16">
        <f>U46/U51</f>
        <v>51.871671258034894</v>
      </c>
      <c r="V52" s="16">
        <f>V46/V51</f>
        <v>48.915086683880489</v>
      </c>
      <c r="W52" s="28"/>
      <c r="X52" s="16">
        <f>X46/X51</f>
        <v>46.229475691037628</v>
      </c>
      <c r="Y52" s="16">
        <f>Y46/Y51</f>
        <v>46.675501996330745</v>
      </c>
      <c r="Z52" s="16">
        <f>Z46/Z51</f>
        <v>50.223372718809991</v>
      </c>
      <c r="AA52" s="16">
        <f>AA46/AA51</f>
        <v>46.638859586634645</v>
      </c>
      <c r="AB52" s="118"/>
      <c r="AC52" s="16">
        <f>AC46/AC51</f>
        <v>46.777834845604687</v>
      </c>
      <c r="AD52" s="16">
        <f>AD46/AD51</f>
        <v>47.28115700433564</v>
      </c>
      <c r="AE52" s="16">
        <f>AE46/AE51</f>
        <v>49.423895824974551</v>
      </c>
      <c r="AF52" s="16">
        <f>AF46/AF51</f>
        <v>46.70480745748938</v>
      </c>
      <c r="AG52" s="118"/>
      <c r="AH52" s="16">
        <f>AH46/AH51</f>
        <v>46.648692949793499</v>
      </c>
      <c r="AI52" s="16">
        <f>AI46/AI51</f>
        <v>47.481750046467859</v>
      </c>
      <c r="AJ52" s="16">
        <f>AJ46/AJ51</f>
        <v>50.485908709345992</v>
      </c>
      <c r="AK52" s="16">
        <f>AK46/AK51</f>
        <v>47.396352343004146</v>
      </c>
      <c r="AL52" s="118"/>
      <c r="AM52" s="16">
        <f>AM46/AM51</f>
        <v>46.550820913699468</v>
      </c>
      <c r="AN52" s="16">
        <f>AN46/AN51</f>
        <v>47.143635400170609</v>
      </c>
      <c r="AO52" s="16">
        <f>AO46/AO51</f>
        <v>50.040296380766819</v>
      </c>
      <c r="AP52" s="16">
        <f>AP46/AP51</f>
        <v>46.910850328637615</v>
      </c>
      <c r="AQ52" s="118"/>
      <c r="AR52" s="16">
        <f>AR46/AR51</f>
        <v>46.658931048794827</v>
      </c>
      <c r="AS52" s="16">
        <f>AS46/AS51</f>
        <v>47.301773604998147</v>
      </c>
      <c r="AT52" s="16">
        <f>AT46/AT51</f>
        <v>49.979567178135831</v>
      </c>
      <c r="AU52" s="16">
        <f>AU46/AU51</f>
        <v>47.002220264057108</v>
      </c>
      <c r="AV52" s="118"/>
    </row>
    <row r="53" spans="2:48" s="23" customFormat="1" outlineLevel="1" x14ac:dyDescent="0.3">
      <c r="B53" s="511" t="s">
        <v>253</v>
      </c>
      <c r="C53" s="512"/>
      <c r="D53" s="30">
        <f t="shared" ref="D53:L53" si="65">(D12+D7)/D20</f>
        <v>2.4783172266068774E-2</v>
      </c>
      <c r="E53" s="30">
        <f t="shared" si="65"/>
        <v>1.862044337628033E-2</v>
      </c>
      <c r="F53" s="108">
        <f t="shared" si="65"/>
        <v>1.4104190097872643E-2</v>
      </c>
      <c r="G53" s="108">
        <f t="shared" si="65"/>
        <v>1.5114935950133718E-2</v>
      </c>
      <c r="H53" s="118">
        <f t="shared" si="65"/>
        <v>1.5114935950133718E-2</v>
      </c>
      <c r="I53" s="108">
        <f t="shared" si="65"/>
        <v>9.6713821566244626E-3</v>
      </c>
      <c r="J53" s="108">
        <f t="shared" si="65"/>
        <v>9.1597553031598795E-3</v>
      </c>
      <c r="K53" s="108">
        <f t="shared" si="65"/>
        <v>1.5555616562459249E-2</v>
      </c>
      <c r="L53" s="108">
        <f t="shared" si="65"/>
        <v>1.6589218539890038E-2</v>
      </c>
      <c r="M53" s="28"/>
      <c r="N53" s="108">
        <f>(N12+N7)/N20</f>
        <v>1.4228367975494099E-2</v>
      </c>
      <c r="O53" s="108">
        <f>(O12+O7)/O20</f>
        <v>1.4373528458035493E-2</v>
      </c>
      <c r="P53" s="108">
        <f>(P12+P7)/P20</f>
        <v>1.4910030939586384E-2</v>
      </c>
      <c r="Q53" s="108">
        <f>(Q12+Q7)/Q20</f>
        <v>1.4140275096678831E-2</v>
      </c>
      <c r="R53" s="28"/>
      <c r="S53" s="108">
        <f>(S12+S7)/S20</f>
        <v>1.3421701538813684E-2</v>
      </c>
      <c r="T53" s="108">
        <f>(T12+T7)/T20</f>
        <v>1.2669917130403319E-2</v>
      </c>
      <c r="U53" s="108">
        <f>(U12+U7)/U20</f>
        <v>1.3119668137035531E-2</v>
      </c>
      <c r="V53" s="108">
        <f>(V12+V7)/V20</f>
        <v>2.3003542030788138E-2</v>
      </c>
      <c r="W53" s="28"/>
      <c r="X53" s="405">
        <v>0.01</v>
      </c>
      <c r="Y53" s="405">
        <v>0.01</v>
      </c>
      <c r="Z53" s="405">
        <v>0.01</v>
      </c>
      <c r="AA53" s="405">
        <v>0.01</v>
      </c>
      <c r="AB53" s="406"/>
      <c r="AC53" s="405">
        <v>0.01</v>
      </c>
      <c r="AD53" s="405">
        <v>0.01</v>
      </c>
      <c r="AE53" s="405">
        <v>0.01</v>
      </c>
      <c r="AF53" s="405">
        <v>0.01</v>
      </c>
      <c r="AG53" s="406"/>
      <c r="AH53" s="405">
        <v>0.01</v>
      </c>
      <c r="AI53" s="405">
        <v>0.01</v>
      </c>
      <c r="AJ53" s="405">
        <v>0.01</v>
      </c>
      <c r="AK53" s="405">
        <v>0.01</v>
      </c>
      <c r="AL53" s="406"/>
      <c r="AM53" s="405">
        <f t="shared" ref="AM53:AP56" si="66">AVERAGE(X53,AC53,AH53)</f>
        <v>0.01</v>
      </c>
      <c r="AN53" s="405">
        <f t="shared" si="66"/>
        <v>0.01</v>
      </c>
      <c r="AO53" s="405">
        <f t="shared" si="66"/>
        <v>0.01</v>
      </c>
      <c r="AP53" s="405">
        <f t="shared" si="66"/>
        <v>0.01</v>
      </c>
      <c r="AQ53" s="406"/>
      <c r="AR53" s="405">
        <f t="shared" ref="AR53:AU56" si="67">AVERAGE(AC53,AH53,AM53)</f>
        <v>0.01</v>
      </c>
      <c r="AS53" s="405">
        <f t="shared" si="67"/>
        <v>0.01</v>
      </c>
      <c r="AT53" s="405">
        <f t="shared" si="67"/>
        <v>0.01</v>
      </c>
      <c r="AU53" s="405">
        <f t="shared" si="67"/>
        <v>0.01</v>
      </c>
      <c r="AV53" s="406"/>
    </row>
    <row r="54" spans="2:48" s="23" customFormat="1" outlineLevel="1" x14ac:dyDescent="0.3">
      <c r="B54" s="170" t="s">
        <v>254</v>
      </c>
      <c r="C54" s="189"/>
      <c r="D54" s="30">
        <f t="shared" ref="D54:L54" si="68">D7/(D7+D12)</f>
        <v>0.4648626817447496</v>
      </c>
      <c r="E54" s="30">
        <f t="shared" si="68"/>
        <v>0.23318112633181123</v>
      </c>
      <c r="F54" s="108">
        <f t="shared" si="68"/>
        <v>0.24465558194774345</v>
      </c>
      <c r="G54" s="108">
        <f t="shared" si="68"/>
        <v>0.24268502581755594</v>
      </c>
      <c r="H54" s="118">
        <f t="shared" si="68"/>
        <v>0.24268502581755594</v>
      </c>
      <c r="I54" s="108">
        <f t="shared" si="68"/>
        <v>0.25503355704697983</v>
      </c>
      <c r="J54" s="108">
        <f t="shared" si="68"/>
        <v>0.21017083829956296</v>
      </c>
      <c r="K54" s="108">
        <f t="shared" si="68"/>
        <v>0.50716964482682547</v>
      </c>
      <c r="L54" s="108">
        <f t="shared" si="68"/>
        <v>0.57705725425815724</v>
      </c>
      <c r="M54" s="28"/>
      <c r="N54" s="108">
        <f>N7/(N7+N12)</f>
        <v>0.55229831144465291</v>
      </c>
      <c r="O54" s="108">
        <f>O7/(O7+O12)</f>
        <v>0.30161844041196662</v>
      </c>
      <c r="P54" s="108">
        <f>P7/(P7+P12)</f>
        <v>0.34948805460750854</v>
      </c>
      <c r="Q54" s="108">
        <f>Q7/(Q7+Q12)</f>
        <v>0.3653976120747916</v>
      </c>
      <c r="R54" s="28"/>
      <c r="S54" s="108">
        <f>S7/(S7+S12)</f>
        <v>0.22583979328165377</v>
      </c>
      <c r="T54" s="108">
        <f>T7/(T7+T12)</f>
        <v>0.22327984770193088</v>
      </c>
      <c r="U54" s="108">
        <f>U7/(U7+U12)</f>
        <v>0.20817541959935032</v>
      </c>
      <c r="V54" s="108">
        <f>V7/(V7+V12)</f>
        <v>0.5663455562461156</v>
      </c>
      <c r="W54" s="28"/>
      <c r="X54" s="405">
        <f t="shared" ref="X54:AA56" si="69">AVERAGE(I54,N54,S54)</f>
        <v>0.3443905539244288</v>
      </c>
      <c r="Y54" s="405">
        <f t="shared" si="69"/>
        <v>0.24502304213782014</v>
      </c>
      <c r="Z54" s="405">
        <f t="shared" si="69"/>
        <v>0.35494437301122811</v>
      </c>
      <c r="AA54" s="405">
        <f t="shared" si="69"/>
        <v>0.50293347419302148</v>
      </c>
      <c r="AB54" s="406"/>
      <c r="AC54" s="405">
        <f t="shared" ref="AC54:AF56" si="70">AVERAGE(N54,S54,X54)</f>
        <v>0.37417621955024516</v>
      </c>
      <c r="AD54" s="405">
        <f t="shared" si="70"/>
        <v>0.25664044341723918</v>
      </c>
      <c r="AE54" s="405">
        <f t="shared" si="70"/>
        <v>0.3042026157393623</v>
      </c>
      <c r="AF54" s="405">
        <f t="shared" si="70"/>
        <v>0.47822554750464291</v>
      </c>
      <c r="AG54" s="406"/>
      <c r="AH54" s="405">
        <f t="shared" ref="AH54:AK56" si="71">AVERAGE(S54,X54,AC54)</f>
        <v>0.31480218891877593</v>
      </c>
      <c r="AI54" s="405">
        <f t="shared" si="71"/>
        <v>0.24164777775233004</v>
      </c>
      <c r="AJ54" s="405">
        <f t="shared" si="71"/>
        <v>0.28910746944998023</v>
      </c>
      <c r="AK54" s="405">
        <f t="shared" si="71"/>
        <v>0.51583485931459327</v>
      </c>
      <c r="AL54" s="406"/>
      <c r="AM54" s="405">
        <f t="shared" si="66"/>
        <v>0.34445632079781663</v>
      </c>
      <c r="AN54" s="405">
        <f t="shared" si="66"/>
        <v>0.24777042110246314</v>
      </c>
      <c r="AO54" s="405">
        <f t="shared" si="66"/>
        <v>0.31608481940019023</v>
      </c>
      <c r="AP54" s="405">
        <f t="shared" si="66"/>
        <v>0.49899796033741922</v>
      </c>
      <c r="AQ54" s="406"/>
      <c r="AR54" s="405">
        <f t="shared" si="67"/>
        <v>0.34447824308894592</v>
      </c>
      <c r="AS54" s="405">
        <f t="shared" si="67"/>
        <v>0.24868621409067745</v>
      </c>
      <c r="AT54" s="405">
        <f t="shared" si="67"/>
        <v>0.30313163486317757</v>
      </c>
      <c r="AU54" s="405">
        <f t="shared" si="67"/>
        <v>0.49768612238555182</v>
      </c>
      <c r="AV54" s="406"/>
    </row>
    <row r="55" spans="2:48" s="23" customFormat="1" outlineLevel="1" x14ac:dyDescent="0.3">
      <c r="B55" s="188" t="s">
        <v>255</v>
      </c>
      <c r="C55" s="189"/>
      <c r="D55" s="30">
        <f t="shared" ref="D55:L55" si="72">+D16/(D27+D33)</f>
        <v>7.7585075018799465E-2</v>
      </c>
      <c r="E55" s="30">
        <f t="shared" si="72"/>
        <v>0.12468259571674534</v>
      </c>
      <c r="F55" s="103">
        <f t="shared" si="72"/>
        <v>0.19119242713361023</v>
      </c>
      <c r="G55" s="103">
        <f t="shared" si="72"/>
        <v>0.22035590386103276</v>
      </c>
      <c r="H55" s="115">
        <f t="shared" si="72"/>
        <v>0.22035590386103276</v>
      </c>
      <c r="I55" s="262">
        <f t="shared" si="72"/>
        <v>0.20507171706404201</v>
      </c>
      <c r="J55" s="262">
        <f t="shared" si="72"/>
        <v>0.21050752296288999</v>
      </c>
      <c r="K55" s="103">
        <f t="shared" si="72"/>
        <v>0.2146584586535733</v>
      </c>
      <c r="L55" s="103">
        <f t="shared" si="72"/>
        <v>0.22220980757293607</v>
      </c>
      <c r="M55" s="263"/>
      <c r="N55" s="262">
        <f>+N16/(N27+N33)</f>
        <v>0.21164495979407008</v>
      </c>
      <c r="O55" s="262">
        <f>+O16/(O27+O33)</f>
        <v>0.21706605185058006</v>
      </c>
      <c r="P55" s="103">
        <f>+P16/(P27+P33)</f>
        <v>0.22796408734312845</v>
      </c>
      <c r="Q55" s="103">
        <f>+Q16/(Q27+Q33)</f>
        <v>0.23263143527192862</v>
      </c>
      <c r="R55" s="263"/>
      <c r="S55" s="262">
        <f>+S16/(S27+S33)</f>
        <v>0.21831564613072879</v>
      </c>
      <c r="T55" s="262">
        <f>+T16/(T27+T33)</f>
        <v>0.22164512770257855</v>
      </c>
      <c r="U55" s="262">
        <f>+U16/(U27+U33)</f>
        <v>0.21758667345241495</v>
      </c>
      <c r="V55" s="103">
        <f>+V16/(V27+V33)</f>
        <v>0.22718895172692385</v>
      </c>
      <c r="W55" s="263"/>
      <c r="X55" s="405">
        <f t="shared" si="69"/>
        <v>0.21167744099628027</v>
      </c>
      <c r="Y55" s="405">
        <f t="shared" si="69"/>
        <v>0.21640623417201618</v>
      </c>
      <c r="Z55" s="405">
        <f t="shared" si="69"/>
        <v>0.22006973981637223</v>
      </c>
      <c r="AA55" s="405">
        <f t="shared" si="69"/>
        <v>0.22734339819059621</v>
      </c>
      <c r="AB55" s="406"/>
      <c r="AC55" s="405">
        <f t="shared" si="70"/>
        <v>0.21387934897369307</v>
      </c>
      <c r="AD55" s="405">
        <f t="shared" si="70"/>
        <v>0.21837247124172496</v>
      </c>
      <c r="AE55" s="405">
        <f t="shared" si="70"/>
        <v>0.22187350020397187</v>
      </c>
      <c r="AF55" s="405">
        <f t="shared" si="70"/>
        <v>0.22905459506314954</v>
      </c>
      <c r="AG55" s="406"/>
      <c r="AH55" s="405">
        <f t="shared" si="71"/>
        <v>0.21462414536690069</v>
      </c>
      <c r="AI55" s="405">
        <f t="shared" si="71"/>
        <v>0.21880794437210657</v>
      </c>
      <c r="AJ55" s="405">
        <f t="shared" si="71"/>
        <v>0.21984330449091968</v>
      </c>
      <c r="AK55" s="405">
        <f t="shared" si="71"/>
        <v>0.22786231499355655</v>
      </c>
      <c r="AL55" s="406"/>
      <c r="AM55" s="405">
        <f t="shared" si="66"/>
        <v>0.21339364511229134</v>
      </c>
      <c r="AN55" s="405">
        <f t="shared" si="66"/>
        <v>0.21786221659528257</v>
      </c>
      <c r="AO55" s="405">
        <f t="shared" si="66"/>
        <v>0.22059551483708795</v>
      </c>
      <c r="AP55" s="405">
        <f t="shared" si="66"/>
        <v>0.22808676941576744</v>
      </c>
      <c r="AQ55" s="406"/>
      <c r="AR55" s="405">
        <f t="shared" si="67"/>
        <v>0.21396571315096169</v>
      </c>
      <c r="AS55" s="405">
        <f t="shared" si="67"/>
        <v>0.21834754406970469</v>
      </c>
      <c r="AT55" s="405">
        <f t="shared" si="67"/>
        <v>0.22077077317732652</v>
      </c>
      <c r="AU55" s="405">
        <f t="shared" si="67"/>
        <v>0.22833455982415785</v>
      </c>
      <c r="AV55" s="406"/>
    </row>
    <row r="56" spans="2:48" outlineLevel="1" x14ac:dyDescent="0.3">
      <c r="B56" s="188" t="s">
        <v>256</v>
      </c>
      <c r="C56" s="189"/>
      <c r="D56" s="264"/>
      <c r="E56" s="264">
        <f>+'Cash Flow Statement'!E7/((E14+D14)/2)</f>
        <v>6.122482504846076E-2</v>
      </c>
      <c r="F56" s="265">
        <f>+'Cash Flow Statement'!F7/((F14+E14)/2)</f>
        <v>5.8442138063667992E-2</v>
      </c>
      <c r="G56" s="265">
        <f>+'Cash Flow Statement'!G7/((G14+F14)/2)</f>
        <v>5.7957922263164152E-2</v>
      </c>
      <c r="H56" s="115">
        <f>+'Cash Flow Statement'!H7/((H14+G14)/2)</f>
        <v>0.2253370026587061</v>
      </c>
      <c r="I56" s="266">
        <f>+'Cash Flow Statement'!I7/((I14+G14)/2)</f>
        <v>5.75858250276855E-2</v>
      </c>
      <c r="J56" s="266">
        <f>+'Cash Flow Statement'!J7/((J14+I14)/2)</f>
        <v>5.9117695395957084E-2</v>
      </c>
      <c r="K56" s="265">
        <f>+'Cash Flow Statement'!K7/((K14+J14)/2)</f>
        <v>5.9467301657388859E-2</v>
      </c>
      <c r="L56" s="265">
        <f>+'Cash Flow Statement'!L7/((L14+K14)/2)</f>
        <v>6.0492940894950963E-2</v>
      </c>
      <c r="M56" s="263"/>
      <c r="N56" s="266">
        <f>+'Cash Flow Statement'!N7/((N14+L14)/2)</f>
        <v>6.2547808652661588E-2</v>
      </c>
      <c r="O56" s="266">
        <f>+'Cash Flow Statement'!O7/((O14+N14)/2)</f>
        <v>6.251524266319812E-2</v>
      </c>
      <c r="P56" s="265">
        <f>+'Cash Flow Statement'!P7/((P14+O14)/2)</f>
        <v>6.0825288199111989E-2</v>
      </c>
      <c r="Q56" s="265">
        <f>+'Cash Flow Statement'!Q7/((Q14+P14)/2)</f>
        <v>6.0363072942040873E-2</v>
      </c>
      <c r="R56" s="263"/>
      <c r="S56" s="266">
        <f>+'Cash Flow Statement'!S7/((S14+Q14)/2)</f>
        <v>6.052868611709418E-2</v>
      </c>
      <c r="T56" s="266">
        <f>+'Cash Flow Statement'!T7/((T14+S14)/2)</f>
        <v>6.0861044576476821E-2</v>
      </c>
      <c r="U56" s="266">
        <f>+'Cash Flow Statement'!U7/((U14+T14)/2)</f>
        <v>6.0812805967829661E-2</v>
      </c>
      <c r="V56" s="265">
        <f>+'Cash Flow Statement'!V7/((V14+U14)/2)</f>
        <v>5.5579973320379075E-2</v>
      </c>
      <c r="W56" s="263"/>
      <c r="X56" s="405">
        <f t="shared" si="69"/>
        <v>6.0220773265813758E-2</v>
      </c>
      <c r="Y56" s="405">
        <f t="shared" si="69"/>
        <v>6.0831327545210673E-2</v>
      </c>
      <c r="Z56" s="405">
        <f t="shared" si="69"/>
        <v>6.0368465274776829E-2</v>
      </c>
      <c r="AA56" s="405">
        <f t="shared" si="69"/>
        <v>5.8811995719123634E-2</v>
      </c>
      <c r="AB56" s="424"/>
      <c r="AC56" s="405">
        <f t="shared" si="70"/>
        <v>6.1099089345189844E-2</v>
      </c>
      <c r="AD56" s="405">
        <f t="shared" si="70"/>
        <v>6.1402538261628538E-2</v>
      </c>
      <c r="AE56" s="405">
        <f t="shared" si="70"/>
        <v>6.0668853147239493E-2</v>
      </c>
      <c r="AF56" s="405">
        <f t="shared" si="70"/>
        <v>5.8251680660514525E-2</v>
      </c>
      <c r="AG56" s="424"/>
      <c r="AH56" s="405">
        <f t="shared" si="71"/>
        <v>6.0616182909365927E-2</v>
      </c>
      <c r="AI56" s="405">
        <f t="shared" si="71"/>
        <v>6.1031636794438675E-2</v>
      </c>
      <c r="AJ56" s="405">
        <f t="shared" si="71"/>
        <v>6.0616708129948661E-2</v>
      </c>
      <c r="AK56" s="405">
        <f t="shared" si="71"/>
        <v>5.7547883233339085E-2</v>
      </c>
      <c r="AL56" s="424"/>
      <c r="AM56" s="405">
        <f t="shared" si="66"/>
        <v>6.0645348506789848E-2</v>
      </c>
      <c r="AN56" s="405">
        <f t="shared" si="66"/>
        <v>6.1088500867092631E-2</v>
      </c>
      <c r="AO56" s="405">
        <f t="shared" si="66"/>
        <v>6.0551342183988326E-2</v>
      </c>
      <c r="AP56" s="405">
        <f t="shared" si="66"/>
        <v>5.8203853204325751E-2</v>
      </c>
      <c r="AQ56" s="424"/>
      <c r="AR56" s="405">
        <f t="shared" si="67"/>
        <v>6.0786873587115209E-2</v>
      </c>
      <c r="AS56" s="405">
        <f t="shared" si="67"/>
        <v>6.1174225307719952E-2</v>
      </c>
      <c r="AT56" s="405">
        <f t="shared" si="67"/>
        <v>6.0612301153725491E-2</v>
      </c>
      <c r="AU56" s="405">
        <f t="shared" si="67"/>
        <v>5.8001139032726447E-2</v>
      </c>
      <c r="AV56" s="424"/>
    </row>
    <row r="57" spans="2:48" outlineLevel="1" x14ac:dyDescent="0.3">
      <c r="B57" s="188"/>
      <c r="C57" s="189"/>
      <c r="D57" s="264"/>
      <c r="E57" s="264"/>
      <c r="F57" s="265"/>
      <c r="G57" s="265"/>
      <c r="H57" s="115"/>
      <c r="I57" s="266"/>
      <c r="J57" s="266"/>
      <c r="K57" s="265"/>
      <c r="L57" s="265"/>
      <c r="M57" s="263"/>
      <c r="N57" s="266"/>
      <c r="O57" s="266"/>
      <c r="P57" s="265"/>
      <c r="Q57" s="265"/>
      <c r="R57" s="263"/>
      <c r="S57" s="266"/>
      <c r="T57" s="266"/>
      <c r="U57" s="266"/>
      <c r="V57" s="265"/>
      <c r="W57" s="263"/>
      <c r="X57" s="266"/>
      <c r="Y57" s="266"/>
      <c r="Z57" s="265"/>
      <c r="AA57" s="265"/>
      <c r="AB57" s="380"/>
      <c r="AC57" s="266"/>
      <c r="AD57" s="266"/>
      <c r="AE57" s="265"/>
      <c r="AF57" s="265"/>
      <c r="AG57" s="380"/>
      <c r="AH57" s="266"/>
      <c r="AI57" s="266"/>
      <c r="AJ57" s="265"/>
      <c r="AK57" s="265"/>
      <c r="AL57" s="380"/>
      <c r="AM57" s="266"/>
      <c r="AN57" s="266"/>
      <c r="AO57" s="265"/>
      <c r="AP57" s="265"/>
      <c r="AQ57" s="380"/>
      <c r="AR57" s="266"/>
      <c r="AS57" s="266"/>
      <c r="AT57" s="265"/>
      <c r="AU57" s="265"/>
      <c r="AV57" s="380"/>
    </row>
    <row r="58" spans="2:48" s="272" customFormat="1" outlineLevel="1" x14ac:dyDescent="0.3">
      <c r="B58" s="267" t="s">
        <v>257</v>
      </c>
      <c r="C58" s="234"/>
      <c r="D58" s="268"/>
      <c r="E58" s="268"/>
      <c r="F58" s="269"/>
      <c r="G58" s="269"/>
      <c r="H58" s="270"/>
      <c r="I58" s="268"/>
      <c r="J58" s="268"/>
      <c r="K58" s="269"/>
      <c r="L58" s="269"/>
      <c r="M58" s="270"/>
      <c r="N58" s="268"/>
      <c r="O58" s="268"/>
      <c r="P58" s="269"/>
      <c r="Q58" s="269"/>
      <c r="R58" s="270"/>
      <c r="S58" s="268"/>
      <c r="T58" s="268"/>
      <c r="U58" s="268"/>
      <c r="V58" s="269"/>
      <c r="W58" s="270"/>
      <c r="X58" s="268"/>
      <c r="Y58" s="268"/>
      <c r="Z58" s="269"/>
      <c r="AA58" s="269"/>
      <c r="AB58" s="271"/>
      <c r="AC58" s="268"/>
      <c r="AD58" s="268"/>
      <c r="AE58" s="269"/>
      <c r="AF58" s="269"/>
      <c r="AG58" s="271"/>
      <c r="AH58" s="268"/>
      <c r="AI58" s="268"/>
      <c r="AJ58" s="269"/>
      <c r="AK58" s="269"/>
      <c r="AL58" s="271"/>
      <c r="AM58" s="268"/>
      <c r="AN58" s="268"/>
      <c r="AO58" s="269"/>
      <c r="AP58" s="269"/>
      <c r="AQ58" s="271"/>
      <c r="AR58" s="268"/>
      <c r="AS58" s="268"/>
      <c r="AT58" s="269"/>
      <c r="AU58" s="269"/>
      <c r="AV58" s="271"/>
    </row>
    <row r="59" spans="2:48" s="276" customFormat="1" outlineLevel="1" x14ac:dyDescent="0.3">
      <c r="B59" s="188" t="s">
        <v>258</v>
      </c>
      <c r="C59" s="273"/>
      <c r="D59" s="274"/>
      <c r="E59" s="274"/>
      <c r="F59" s="136"/>
      <c r="G59" s="136"/>
      <c r="H59" s="112"/>
      <c r="I59" s="275"/>
      <c r="J59" s="275"/>
      <c r="K59" s="136"/>
      <c r="L59" s="136"/>
      <c r="M59" s="26"/>
      <c r="N59" s="275"/>
      <c r="O59" s="275"/>
      <c r="P59" s="136"/>
      <c r="Q59" s="136"/>
      <c r="R59" s="26"/>
      <c r="S59" s="275"/>
      <c r="T59" s="275"/>
      <c r="U59" s="275"/>
      <c r="V59" s="136"/>
      <c r="W59" s="26"/>
      <c r="X59" s="426"/>
      <c r="Y59" s="426">
        <v>1000</v>
      </c>
      <c r="Z59" s="427"/>
      <c r="AA59" s="427"/>
      <c r="AB59" s="399"/>
      <c r="AC59" s="426">
        <v>750</v>
      </c>
      <c r="AD59" s="426">
        <f>500+626.3</f>
        <v>1126.3</v>
      </c>
      <c r="AE59" s="427"/>
      <c r="AF59" s="427"/>
      <c r="AG59" s="399"/>
      <c r="AH59" s="426"/>
      <c r="AI59" s="426"/>
      <c r="AJ59" s="427"/>
      <c r="AK59" s="427">
        <v>1250</v>
      </c>
      <c r="AL59" s="399"/>
      <c r="AM59" s="426"/>
      <c r="AN59" s="426"/>
      <c r="AO59" s="427">
        <v>500</v>
      </c>
      <c r="AP59" s="427"/>
      <c r="AQ59" s="399"/>
      <c r="AR59" s="426"/>
      <c r="AS59" s="426">
        <v>500</v>
      </c>
      <c r="AT59" s="427"/>
      <c r="AU59" s="427"/>
      <c r="AV59" s="399"/>
    </row>
    <row r="60" spans="2:48" s="276" customFormat="1" outlineLevel="1" x14ac:dyDescent="0.3">
      <c r="B60" s="188" t="s">
        <v>259</v>
      </c>
      <c r="C60" s="273"/>
      <c r="D60" s="274"/>
      <c r="E60" s="274"/>
      <c r="F60" s="136"/>
      <c r="G60" s="136"/>
      <c r="H60" s="112"/>
      <c r="I60" s="275"/>
      <c r="J60" s="275"/>
      <c r="K60" s="136"/>
      <c r="L60" s="136"/>
      <c r="M60" s="26"/>
      <c r="N60" s="275"/>
      <c r="O60" s="275"/>
      <c r="P60" s="136"/>
      <c r="Q60" s="136"/>
      <c r="R60" s="26"/>
      <c r="S60" s="275"/>
      <c r="T60" s="275"/>
      <c r="U60" s="275"/>
      <c r="V60" s="136"/>
      <c r="W60" s="26"/>
      <c r="X60" s="427">
        <f>AA59</f>
        <v>0</v>
      </c>
      <c r="Y60" s="427">
        <f>AC59</f>
        <v>750</v>
      </c>
      <c r="Z60" s="427">
        <f>AD59</f>
        <v>1126.3</v>
      </c>
      <c r="AA60" s="427">
        <f>AE59</f>
        <v>0</v>
      </c>
      <c r="AB60" s="399"/>
      <c r="AC60" s="427">
        <f>AF59</f>
        <v>0</v>
      </c>
      <c r="AD60" s="427">
        <f>AH59</f>
        <v>0</v>
      </c>
      <c r="AE60" s="427">
        <f>AI59</f>
        <v>0</v>
      </c>
      <c r="AF60" s="427">
        <f>AJ59</f>
        <v>0</v>
      </c>
      <c r="AG60" s="399"/>
      <c r="AH60" s="427">
        <f>AK59</f>
        <v>1250</v>
      </c>
      <c r="AI60" s="427">
        <f>AM59</f>
        <v>0</v>
      </c>
      <c r="AJ60" s="427">
        <f>AN59</f>
        <v>0</v>
      </c>
      <c r="AK60" s="427">
        <f>AO59</f>
        <v>500</v>
      </c>
      <c r="AL60" s="399"/>
      <c r="AM60" s="427">
        <f>AP59</f>
        <v>0</v>
      </c>
      <c r="AN60" s="427">
        <f>AR59</f>
        <v>0</v>
      </c>
      <c r="AO60" s="427">
        <f>AS59</f>
        <v>500</v>
      </c>
      <c r="AP60" s="427">
        <f>AT59</f>
        <v>0</v>
      </c>
      <c r="AQ60" s="399"/>
      <c r="AR60" s="427">
        <f>AU59</f>
        <v>0</v>
      </c>
      <c r="AS60" s="427">
        <f>AW59</f>
        <v>0</v>
      </c>
      <c r="AT60" s="427">
        <v>600</v>
      </c>
      <c r="AU60" s="427">
        <f>AY59</f>
        <v>0</v>
      </c>
      <c r="AV60" s="399"/>
    </row>
    <row r="61" spans="2:48" s="276" customFormat="1" outlineLevel="1" x14ac:dyDescent="0.3">
      <c r="B61" s="188" t="s">
        <v>260</v>
      </c>
      <c r="C61" s="273"/>
      <c r="D61" s="274"/>
      <c r="E61" s="274"/>
      <c r="F61" s="136"/>
      <c r="G61" s="136"/>
      <c r="H61" s="112"/>
      <c r="I61" s="275"/>
      <c r="J61" s="275"/>
      <c r="K61" s="136"/>
      <c r="L61" s="136"/>
      <c r="M61" s="26"/>
      <c r="N61" s="275"/>
      <c r="O61" s="275"/>
      <c r="P61" s="136"/>
      <c r="Q61" s="136"/>
      <c r="R61" s="26"/>
      <c r="S61" s="275"/>
      <c r="T61" s="275"/>
      <c r="U61" s="275"/>
      <c r="V61" s="136"/>
      <c r="W61" s="26"/>
      <c r="X61" s="426"/>
      <c r="Y61" s="426">
        <v>1000</v>
      </c>
      <c r="Z61" s="427"/>
      <c r="AA61" s="427"/>
      <c r="AB61" s="399"/>
      <c r="AC61" s="426">
        <v>750</v>
      </c>
      <c r="AD61" s="426">
        <v>1126</v>
      </c>
      <c r="AE61" s="427"/>
      <c r="AF61" s="427">
        <f>0.5*(SUM('Income Statement &amp; Segments'!AC154:AF154))</f>
        <v>100</v>
      </c>
      <c r="AG61" s="399"/>
      <c r="AH61" s="426"/>
      <c r="AI61" s="426"/>
      <c r="AJ61" s="427">
        <f>0.5*(SUM('Income Statement &amp; Segments'!AH154:AK154))</f>
        <v>5677.8585757341261</v>
      </c>
      <c r="AK61" s="427">
        <v>1250</v>
      </c>
      <c r="AL61" s="399"/>
      <c r="AM61" s="426"/>
      <c r="AN61" s="426"/>
      <c r="AO61" s="427">
        <v>500</v>
      </c>
      <c r="AP61" s="427"/>
      <c r="AQ61" s="399"/>
      <c r="AR61" s="426"/>
      <c r="AS61" s="426">
        <v>500</v>
      </c>
      <c r="AT61" s="427"/>
      <c r="AU61" s="427"/>
      <c r="AV61" s="399"/>
    </row>
    <row r="62" spans="2:48" s="23" customFormat="1" outlineLevel="1" x14ac:dyDescent="0.3">
      <c r="B62" s="188" t="s">
        <v>261</v>
      </c>
      <c r="C62" s="189"/>
      <c r="D62" s="169">
        <f>+(D28+D31)/D41</f>
        <v>-3.1717034875642636</v>
      </c>
      <c r="E62" s="169">
        <f>+(E28+E31)/E41</f>
        <v>-1.8304138862408643</v>
      </c>
      <c r="F62" s="277">
        <f>+(F28+F31)/F41</f>
        <v>-2.5837230840472332</v>
      </c>
      <c r="G62" s="277">
        <f>+(G28+G31)/G41</f>
        <v>-1.7921681913015568</v>
      </c>
      <c r="H62" s="118"/>
      <c r="I62" s="277">
        <f>+(I28+I31)/I41</f>
        <v>-1.7235726649997785</v>
      </c>
      <c r="J62" s="277">
        <f>+(J28+J31)/J41</f>
        <v>-1.8605318005017988</v>
      </c>
      <c r="K62" s="277">
        <f>+(K28+K31)/K41</f>
        <v>-1.9516598448569742</v>
      </c>
      <c r="L62" s="169">
        <f>+(L28+L31)/L41</f>
        <v>-2.0960971356771032</v>
      </c>
      <c r="M62" s="28"/>
      <c r="N62" s="169">
        <f>+(N28+N31)/N41</f>
        <v>-2.0136766194331983</v>
      </c>
      <c r="O62" s="169">
        <f>+(O28+O31)/O41</f>
        <v>-1.9152752899337104</v>
      </c>
      <c r="P62" s="169">
        <f>+(P28+P31)/P41</f>
        <v>-2.1515240716482933</v>
      </c>
      <c r="Q62" s="169">
        <f>+(Q28+Q31)/Q41</f>
        <v>-2.7501740521215541</v>
      </c>
      <c r="R62" s="28"/>
      <c r="S62" s="169">
        <f t="shared" ref="S62:W62" si="73">+(S28+S31)/S41</f>
        <v>-1.7497130279398361</v>
      </c>
      <c r="T62" s="169">
        <f t="shared" si="73"/>
        <v>-1.8277176642469066</v>
      </c>
      <c r="U62" s="169">
        <f t="shared" si="73"/>
        <v>-1.7473235630391852</v>
      </c>
      <c r="V62" s="169">
        <f t="shared" si="73"/>
        <v>-1.7294423304631725</v>
      </c>
      <c r="W62" s="28">
        <f t="shared" si="73"/>
        <v>-1.7294423304631725</v>
      </c>
      <c r="X62" s="277"/>
      <c r="Y62" s="277"/>
      <c r="Z62" s="277"/>
      <c r="AA62" s="277"/>
      <c r="AB62" s="118"/>
      <c r="AC62" s="277"/>
      <c r="AD62" s="277"/>
      <c r="AE62" s="277"/>
      <c r="AF62" s="277"/>
      <c r="AG62" s="118"/>
      <c r="AH62" s="277"/>
      <c r="AI62" s="277"/>
      <c r="AJ62" s="277"/>
      <c r="AK62" s="277"/>
      <c r="AL62" s="118"/>
      <c r="AM62" s="277"/>
      <c r="AN62" s="277"/>
      <c r="AO62" s="277"/>
      <c r="AP62" s="277"/>
      <c r="AQ62" s="118"/>
      <c r="AR62" s="277"/>
      <c r="AS62" s="277"/>
      <c r="AT62" s="277"/>
      <c r="AU62" s="277"/>
      <c r="AV62" s="118"/>
    </row>
    <row r="63" spans="2:48" s="23" customFormat="1" outlineLevel="1" x14ac:dyDescent="0.3">
      <c r="B63" s="188" t="s">
        <v>262</v>
      </c>
      <c r="C63" s="189"/>
      <c r="D63" s="169">
        <f>+D28/(D28+D31)</f>
        <v>0</v>
      </c>
      <c r="E63" s="169">
        <f>+E28/(E28+E31)</f>
        <v>8.1375793413985785E-3</v>
      </c>
      <c r="F63" s="277">
        <f>+F28/(F28+F31)</f>
        <v>0</v>
      </c>
      <c r="G63" s="277">
        <f>+G28/(G28+G31)</f>
        <v>0</v>
      </c>
      <c r="H63" s="118"/>
      <c r="I63" s="277">
        <f>+I28/(I28+I31)</f>
        <v>8.5546532987690757E-2</v>
      </c>
      <c r="J63" s="277">
        <f>+J28/(J28+J31)</f>
        <v>0.16813887778982817</v>
      </c>
      <c r="K63" s="277">
        <f>+K28/(K28+K31)</f>
        <v>0.12987992894360045</v>
      </c>
      <c r="L63" s="169">
        <f>+L28/(L28+L31)</f>
        <v>0.10329514383758555</v>
      </c>
      <c r="M63" s="28"/>
      <c r="N63" s="169">
        <f>+N28/(N28+N31)</f>
        <v>7.8071889470410452E-2</v>
      </c>
      <c r="O63" s="169">
        <f>+O28/(O28+O31)</f>
        <v>1.2492661414742708E-3</v>
      </c>
      <c r="P63" s="169">
        <f>+P28/(P28+P31)</f>
        <v>6.8333093904132544E-2</v>
      </c>
      <c r="Q63" s="169">
        <f>+Q28/(Q28+Q31)</f>
        <v>6.8343847069609609E-2</v>
      </c>
      <c r="R63" s="28"/>
      <c r="S63" s="169">
        <f t="shared" ref="S63:W63" si="74">+S28/(S28+S31)</f>
        <v>8.1112704252786494E-2</v>
      </c>
      <c r="T63" s="169">
        <f t="shared" si="74"/>
        <v>0.12481109098857178</v>
      </c>
      <c r="U63" s="169">
        <f t="shared" si="74"/>
        <v>7.9253663276029576E-2</v>
      </c>
      <c r="V63" s="169">
        <f t="shared" si="74"/>
        <v>0.12789236833533857</v>
      </c>
      <c r="W63" s="28">
        <f t="shared" si="74"/>
        <v>0.12789236833533857</v>
      </c>
      <c r="X63" s="277"/>
      <c r="Y63" s="277"/>
      <c r="Z63" s="277"/>
      <c r="AA63" s="277"/>
      <c r="AB63" s="118"/>
      <c r="AC63" s="277"/>
      <c r="AD63" s="277"/>
      <c r="AE63" s="277"/>
      <c r="AF63" s="277"/>
      <c r="AG63" s="118"/>
      <c r="AH63" s="277"/>
      <c r="AI63" s="277"/>
      <c r="AJ63" s="277"/>
      <c r="AK63" s="277"/>
      <c r="AL63" s="118"/>
      <c r="AM63" s="277"/>
      <c r="AN63" s="277"/>
      <c r="AO63" s="277"/>
      <c r="AP63" s="277"/>
      <c r="AQ63" s="118"/>
      <c r="AR63" s="277"/>
      <c r="AS63" s="277"/>
      <c r="AT63" s="277"/>
      <c r="AU63" s="277"/>
      <c r="AV63" s="118"/>
    </row>
    <row r="64" spans="2:48" outlineLevel="1" x14ac:dyDescent="0.3">
      <c r="B64" s="188" t="s">
        <v>314</v>
      </c>
      <c r="C64" s="189"/>
      <c r="D64" s="278"/>
      <c r="E64" s="278"/>
      <c r="F64" s="278"/>
      <c r="G64" s="278"/>
      <c r="H64" s="280"/>
      <c r="I64" s="279"/>
      <c r="J64" s="279"/>
      <c r="K64" s="279"/>
      <c r="L64" s="279"/>
      <c r="M64" s="280">
        <f>M67/(M65-M66)</f>
        <v>14.55407378391847</v>
      </c>
      <c r="N64" s="279"/>
      <c r="O64" s="279"/>
      <c r="P64" s="279"/>
      <c r="Q64" s="279"/>
      <c r="R64" s="280">
        <f>R67/(R65-R66)</f>
        <v>3.5268936560411204</v>
      </c>
      <c r="S64" s="279"/>
      <c r="T64" s="279"/>
      <c r="U64" s="279"/>
      <c r="V64" s="279"/>
      <c r="W64" s="280">
        <f>W67/(W65-W66)</f>
        <v>4.1612739491288941</v>
      </c>
      <c r="X64" s="381"/>
      <c r="Y64" s="381"/>
      <c r="Z64" s="381"/>
      <c r="AA64" s="381"/>
      <c r="AB64" s="280">
        <f>AB67/(AB65-AB66)</f>
        <v>3.4697520889437929</v>
      </c>
      <c r="AC64" s="381"/>
      <c r="AD64" s="381"/>
      <c r="AE64" s="381"/>
      <c r="AF64" s="381"/>
      <c r="AG64" s="280">
        <f>AG67/(AG65-AG66)</f>
        <v>2.9242654114893729</v>
      </c>
      <c r="AH64" s="381"/>
      <c r="AI64" s="381"/>
      <c r="AJ64" s="381"/>
      <c r="AK64" s="381"/>
      <c r="AL64" s="280">
        <f>AL67/(AL65-AL66)</f>
        <v>3.3813171514046987</v>
      </c>
      <c r="AM64" s="381"/>
      <c r="AN64" s="381"/>
      <c r="AO64" s="381"/>
      <c r="AP64" s="381"/>
      <c r="AQ64" s="280">
        <f>AQ67/(AQ65-AQ66)</f>
        <v>3.0861806056773102</v>
      </c>
      <c r="AR64" s="381"/>
      <c r="AS64" s="381"/>
      <c r="AT64" s="381"/>
      <c r="AU64" s="381"/>
      <c r="AV64" s="280">
        <f>AV67/(AV65-AV66)</f>
        <v>2.89447697131699</v>
      </c>
    </row>
    <row r="65" spans="2:48" outlineLevel="1" x14ac:dyDescent="0.3">
      <c r="B65" s="170" t="s">
        <v>311</v>
      </c>
      <c r="C65" s="41"/>
      <c r="D65" s="129"/>
      <c r="E65" s="129"/>
      <c r="F65" s="282"/>
      <c r="G65" s="282"/>
      <c r="H65" s="17"/>
      <c r="I65" s="129"/>
      <c r="J65" s="129"/>
      <c r="K65" s="282"/>
      <c r="L65" s="282"/>
      <c r="M65" s="17">
        <f>'Income Statement &amp; Segments'!M19+'Income Statement &amp; Segments'!M12</f>
        <v>3564.3800000000042</v>
      </c>
      <c r="N65" s="129"/>
      <c r="O65" s="129"/>
      <c r="P65" s="282"/>
      <c r="Q65" s="282"/>
      <c r="R65" s="17">
        <f>'Income Statement &amp; Segments'!R19+'Income Statement &amp; Segments'!R12</f>
        <v>6703.7999999999975</v>
      </c>
      <c r="S65" s="129"/>
      <c r="T65" s="129"/>
      <c r="U65" s="282"/>
      <c r="V65" s="282"/>
      <c r="W65" s="17">
        <f>'Income Statement &amp; Segments'!W19+'Income Statement &amp; Segments'!W12</f>
        <v>6302.899999999996</v>
      </c>
      <c r="X65" s="132"/>
      <c r="Y65" s="382"/>
      <c r="Z65" s="382"/>
      <c r="AA65" s="383"/>
      <c r="AB65" s="17">
        <f>'Income Statement &amp; Segments'!AB19+'Income Statement &amp; Segments'!AB12</f>
        <v>7157.7968796299974</v>
      </c>
      <c r="AC65" s="132"/>
      <c r="AD65" s="132"/>
      <c r="AE65" s="282"/>
      <c r="AF65" s="282"/>
      <c r="AG65" s="17">
        <f>'Income Statement &amp; Segments'!AG19+'Income Statement &amp; Segments'!AG12</f>
        <v>8141.7724184299541</v>
      </c>
      <c r="AH65" s="132"/>
      <c r="AI65" s="132"/>
      <c r="AJ65" s="282"/>
      <c r="AK65" s="282"/>
      <c r="AL65" s="17">
        <f>'Income Statement &amp; Segments'!AL19+'Income Statement &amp; Segments'!AL12</f>
        <v>9269.1265632482791</v>
      </c>
      <c r="AM65" s="132"/>
      <c r="AN65" s="132"/>
      <c r="AO65" s="282"/>
      <c r="AP65" s="282"/>
      <c r="AQ65" s="17">
        <f>'Income Statement &amp; Segments'!AQ19+'Income Statement &amp; Segments'!AQ12</f>
        <v>10013.573251845384</v>
      </c>
      <c r="AR65" s="132"/>
      <c r="AS65" s="132"/>
      <c r="AT65" s="282"/>
      <c r="AU65" s="282"/>
      <c r="AV65" s="17">
        <f>'Income Statement &amp; Segments'!AV19+'Income Statement &amp; Segments'!AV12</f>
        <v>10623.756106478491</v>
      </c>
    </row>
    <row r="66" spans="2:48" outlineLevel="1" x14ac:dyDescent="0.3">
      <c r="B66" s="170" t="s">
        <v>313</v>
      </c>
      <c r="C66" s="41"/>
      <c r="D66" s="129"/>
      <c r="E66" s="129"/>
      <c r="F66" s="282"/>
      <c r="G66" s="282"/>
      <c r="H66" s="349"/>
      <c r="I66" s="129"/>
      <c r="J66" s="129"/>
      <c r="K66" s="282"/>
      <c r="L66" s="282"/>
      <c r="M66" s="349">
        <v>2441.1</v>
      </c>
      <c r="N66" s="129"/>
      <c r="O66" s="129"/>
      <c r="P66" s="282"/>
      <c r="Q66" s="282"/>
      <c r="R66" s="349">
        <v>2559.6999999999998</v>
      </c>
      <c r="S66" s="129"/>
      <c r="T66" s="129"/>
      <c r="U66" s="282"/>
      <c r="V66" s="282"/>
      <c r="W66" s="350">
        <f>R66*1.05</f>
        <v>2687.6849999999999</v>
      </c>
      <c r="X66" s="132"/>
      <c r="Y66" s="277"/>
      <c r="Z66" s="277"/>
      <c r="AA66" s="383"/>
      <c r="AB66" s="350">
        <f>W66*1.05</f>
        <v>2822.06925</v>
      </c>
      <c r="AC66" s="132"/>
      <c r="AD66" s="132"/>
      <c r="AE66" s="282"/>
      <c r="AF66" s="282"/>
      <c r="AG66" s="350">
        <f>AB66*1.05</f>
        <v>2963.1727125000002</v>
      </c>
      <c r="AH66" s="132"/>
      <c r="AI66" s="132"/>
      <c r="AJ66" s="282"/>
      <c r="AK66" s="282"/>
      <c r="AL66" s="350">
        <f>AG66*1.05</f>
        <v>3111.3313481250002</v>
      </c>
      <c r="AM66" s="132"/>
      <c r="AN66" s="132"/>
      <c r="AO66" s="282"/>
      <c r="AP66" s="282"/>
      <c r="AQ66" s="350">
        <f>AL66*1.05</f>
        <v>3266.8979155312504</v>
      </c>
      <c r="AR66" s="132"/>
      <c r="AS66" s="132"/>
      <c r="AT66" s="282"/>
      <c r="AU66" s="282"/>
      <c r="AV66" s="350">
        <f>AQ66*1.05</f>
        <v>3430.2428113078131</v>
      </c>
    </row>
    <row r="67" spans="2:48" outlineLevel="1" x14ac:dyDescent="0.3">
      <c r="B67" s="348" t="s">
        <v>312</v>
      </c>
      <c r="C67" s="284"/>
      <c r="D67" s="285"/>
      <c r="E67" s="285"/>
      <c r="F67" s="286"/>
      <c r="G67" s="286"/>
      <c r="H67" s="287"/>
      <c r="I67" s="285"/>
      <c r="J67" s="285"/>
      <c r="K67" s="286"/>
      <c r="L67" s="286"/>
      <c r="M67" s="287">
        <f>M28+M31</f>
        <v>16348.300000000001</v>
      </c>
      <c r="N67" s="285"/>
      <c r="O67" s="285"/>
      <c r="P67" s="286"/>
      <c r="Q67" s="286"/>
      <c r="R67" s="287">
        <f>R28+R31</f>
        <v>14615.8</v>
      </c>
      <c r="S67" s="285"/>
      <c r="T67" s="285"/>
      <c r="U67" s="286"/>
      <c r="V67" s="286"/>
      <c r="W67" s="287">
        <f>W28+W31</f>
        <v>15043.9</v>
      </c>
      <c r="X67" s="384"/>
      <c r="Y67" s="384"/>
      <c r="Z67" s="286"/>
      <c r="AA67" s="385"/>
      <c r="AB67" s="287">
        <f>AB28+AB31</f>
        <v>15043.900000000001</v>
      </c>
      <c r="AC67" s="384"/>
      <c r="AD67" s="384"/>
      <c r="AE67" s="286"/>
      <c r="AF67" s="286"/>
      <c r="AG67" s="287">
        <f>AG28+AG31</f>
        <v>15143.6</v>
      </c>
      <c r="AH67" s="384"/>
      <c r="AI67" s="384"/>
      <c r="AJ67" s="286"/>
      <c r="AK67" s="286"/>
      <c r="AL67" s="287">
        <f>AL28+AL31</f>
        <v>20821.458575734126</v>
      </c>
      <c r="AM67" s="384"/>
      <c r="AN67" s="384"/>
      <c r="AO67" s="286"/>
      <c r="AP67" s="286"/>
      <c r="AQ67" s="287">
        <f>AQ28+AQ31</f>
        <v>20821.458575734126</v>
      </c>
      <c r="AR67" s="384"/>
      <c r="AS67" s="384"/>
      <c r="AT67" s="286"/>
      <c r="AU67" s="286"/>
      <c r="AV67" s="287">
        <f>AV28+AV31</f>
        <v>20821.458575734126</v>
      </c>
    </row>
  </sheetData>
  <dataConsolidate/>
  <mergeCells count="27">
    <mergeCell ref="B51:C51"/>
    <mergeCell ref="B52:C52"/>
    <mergeCell ref="B53:C53"/>
    <mergeCell ref="B44:C44"/>
    <mergeCell ref="B45:C45"/>
    <mergeCell ref="B47:C47"/>
    <mergeCell ref="B48:C48"/>
    <mergeCell ref="B49:C49"/>
    <mergeCell ref="B50:C50"/>
    <mergeCell ref="B42:C42"/>
    <mergeCell ref="B20:C20"/>
    <mergeCell ref="B21:C21"/>
    <mergeCell ref="B22:C22"/>
    <mergeCell ref="B23:C23"/>
    <mergeCell ref="B34:C34"/>
    <mergeCell ref="B35:C35"/>
    <mergeCell ref="B36:C36"/>
    <mergeCell ref="B37:C37"/>
    <mergeCell ref="B38:C38"/>
    <mergeCell ref="B39:C39"/>
    <mergeCell ref="B41:C41"/>
    <mergeCell ref="B19:C19"/>
    <mergeCell ref="B3:C3"/>
    <mergeCell ref="B5:C5"/>
    <mergeCell ref="B6:C6"/>
    <mergeCell ref="B8:C8"/>
    <mergeCell ref="B10:C1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68C1D-210F-414F-9333-38996EF80DA1}">
  <sheetPr>
    <pageSetUpPr fitToPage="1"/>
  </sheetPr>
  <dimension ref="B1:AV65"/>
  <sheetViews>
    <sheetView showGridLines="0" zoomScale="70" zoomScaleNormal="70" workbookViewId="0">
      <pane xSplit="3" ySplit="4" topLeftCell="AQ5" activePane="bottomRight" state="frozen"/>
      <selection activeCell="X5" sqref="X5"/>
      <selection pane="topRight" activeCell="X5" sqref="X5"/>
      <selection pane="bottomLeft" activeCell="X5" sqref="X5"/>
      <selection pane="bottomRight" activeCell="AW22" sqref="AW22"/>
    </sheetView>
  </sheetViews>
  <sheetFormatPr defaultColWidth="8.88671875" defaultRowHeight="14.4" outlineLevelRow="1" outlineLevelCol="1" x14ac:dyDescent="0.3"/>
  <cols>
    <col min="1" max="1" width="2" style="2" customWidth="1"/>
    <col min="2" max="2" width="39" style="2" customWidth="1"/>
    <col min="3" max="3" width="11.664062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2:48" ht="16.2" customHeight="1" x14ac:dyDescent="0.3">
      <c r="B1" s="224" t="s">
        <v>207</v>
      </c>
      <c r="D1" s="42"/>
      <c r="E1" s="139"/>
      <c r="F1" s="139"/>
      <c r="G1" s="139"/>
      <c r="H1" s="139"/>
      <c r="I1" s="204"/>
      <c r="J1" s="343"/>
      <c r="K1" s="343"/>
      <c r="L1" s="343"/>
      <c r="M1" s="343"/>
      <c r="N1" s="343"/>
      <c r="O1" s="343"/>
      <c r="P1" s="343"/>
      <c r="Q1" s="343"/>
      <c r="R1" s="343"/>
      <c r="S1" s="343"/>
      <c r="T1" s="343"/>
      <c r="U1" s="343"/>
      <c r="V1" s="204"/>
      <c r="W1" s="184"/>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row>
    <row r="2" spans="2:48" ht="6.9" customHeight="1" x14ac:dyDescent="0.3">
      <c r="B2" s="89"/>
      <c r="D2" s="42"/>
      <c r="E2" s="139"/>
      <c r="F2" s="139"/>
      <c r="G2" s="139"/>
      <c r="H2" s="139"/>
      <c r="I2" s="204"/>
      <c r="J2" s="344"/>
      <c r="K2" s="344"/>
      <c r="L2" s="344"/>
      <c r="M2" s="344"/>
      <c r="N2" s="344"/>
      <c r="O2" s="344"/>
      <c r="P2" s="344"/>
      <c r="Q2" s="344"/>
      <c r="R2" s="344"/>
      <c r="S2" s="344"/>
      <c r="T2" s="344"/>
      <c r="U2" s="344"/>
      <c r="V2" s="204"/>
      <c r="W2" s="184"/>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row>
    <row r="3" spans="2:48" ht="15.6" x14ac:dyDescent="0.3">
      <c r="B3" s="514" t="s">
        <v>263</v>
      </c>
      <c r="C3" s="515"/>
      <c r="D3" s="13" t="s">
        <v>15</v>
      </c>
      <c r="E3" s="13" t="s">
        <v>79</v>
      </c>
      <c r="F3" s="13" t="s">
        <v>81</v>
      </c>
      <c r="G3" s="13" t="s">
        <v>144</v>
      </c>
      <c r="H3" s="36" t="s">
        <v>144</v>
      </c>
      <c r="I3" s="13" t="s">
        <v>143</v>
      </c>
      <c r="J3" s="13" t="s">
        <v>142</v>
      </c>
      <c r="K3" s="13" t="s">
        <v>141</v>
      </c>
      <c r="L3" s="13" t="s">
        <v>138</v>
      </c>
      <c r="M3" s="36" t="s">
        <v>138</v>
      </c>
      <c r="N3" s="13" t="s">
        <v>145</v>
      </c>
      <c r="O3" s="13" t="s">
        <v>153</v>
      </c>
      <c r="P3" s="13" t="s">
        <v>155</v>
      </c>
      <c r="Q3" s="13" t="s">
        <v>168</v>
      </c>
      <c r="R3" s="36" t="s">
        <v>168</v>
      </c>
      <c r="S3" s="13" t="s">
        <v>184</v>
      </c>
      <c r="T3" s="13" t="s">
        <v>187</v>
      </c>
      <c r="U3" s="13" t="s">
        <v>200</v>
      </c>
      <c r="V3" s="13" t="s">
        <v>323</v>
      </c>
      <c r="W3" s="36" t="s">
        <v>323</v>
      </c>
      <c r="X3" s="15" t="s">
        <v>20</v>
      </c>
      <c r="Y3" s="15" t="s">
        <v>21</v>
      </c>
      <c r="Z3" s="15" t="s">
        <v>22</v>
      </c>
      <c r="AA3" s="15" t="s">
        <v>23</v>
      </c>
      <c r="AB3" s="38" t="s">
        <v>23</v>
      </c>
      <c r="AC3" s="15" t="s">
        <v>83</v>
      </c>
      <c r="AD3" s="15" t="s">
        <v>84</v>
      </c>
      <c r="AE3" s="15" t="s">
        <v>85</v>
      </c>
      <c r="AF3" s="15" t="s">
        <v>86</v>
      </c>
      <c r="AG3" s="38" t="s">
        <v>86</v>
      </c>
      <c r="AH3" s="15" t="s">
        <v>102</v>
      </c>
      <c r="AI3" s="15" t="s">
        <v>103</v>
      </c>
      <c r="AJ3" s="15" t="s">
        <v>104</v>
      </c>
      <c r="AK3" s="15" t="s">
        <v>105</v>
      </c>
      <c r="AL3" s="38" t="s">
        <v>105</v>
      </c>
      <c r="AM3" s="15" t="s">
        <v>157</v>
      </c>
      <c r="AN3" s="15" t="s">
        <v>158</v>
      </c>
      <c r="AO3" s="15" t="s">
        <v>159</v>
      </c>
      <c r="AP3" s="15" t="s">
        <v>160</v>
      </c>
      <c r="AQ3" s="38" t="s">
        <v>160</v>
      </c>
      <c r="AR3" s="15" t="s">
        <v>188</v>
      </c>
      <c r="AS3" s="15" t="s">
        <v>189</v>
      </c>
      <c r="AT3" s="15" t="s">
        <v>190</v>
      </c>
      <c r="AU3" s="15" t="s">
        <v>191</v>
      </c>
      <c r="AV3" s="38" t="s">
        <v>191</v>
      </c>
    </row>
    <row r="4" spans="2:48" ht="16.2" x14ac:dyDescent="0.45">
      <c r="B4" s="236" t="s">
        <v>3</v>
      </c>
      <c r="C4" s="237"/>
      <c r="D4" s="14" t="s">
        <v>19</v>
      </c>
      <c r="E4" s="14" t="s">
        <v>78</v>
      </c>
      <c r="F4" s="14" t="s">
        <v>82</v>
      </c>
      <c r="G4" s="14" t="s">
        <v>92</v>
      </c>
      <c r="H4" s="37" t="s">
        <v>93</v>
      </c>
      <c r="I4" s="14" t="s">
        <v>94</v>
      </c>
      <c r="J4" s="14" t="s">
        <v>95</v>
      </c>
      <c r="K4" s="14" t="s">
        <v>96</v>
      </c>
      <c r="L4" s="14" t="s">
        <v>139</v>
      </c>
      <c r="M4" s="37" t="s">
        <v>140</v>
      </c>
      <c r="N4" s="14" t="s">
        <v>146</v>
      </c>
      <c r="O4" s="14" t="s">
        <v>154</v>
      </c>
      <c r="P4" s="14" t="s">
        <v>156</v>
      </c>
      <c r="Q4" s="14" t="s">
        <v>169</v>
      </c>
      <c r="R4" s="37" t="s">
        <v>170</v>
      </c>
      <c r="S4" s="14" t="s">
        <v>185</v>
      </c>
      <c r="T4" s="14" t="s">
        <v>186</v>
      </c>
      <c r="U4" s="14" t="s">
        <v>201</v>
      </c>
      <c r="V4" s="14" t="s">
        <v>324</v>
      </c>
      <c r="W4" s="37" t="s">
        <v>325</v>
      </c>
      <c r="X4" s="12" t="s">
        <v>24</v>
      </c>
      <c r="Y4" s="12" t="s">
        <v>25</v>
      </c>
      <c r="Z4" s="12" t="s">
        <v>26</v>
      </c>
      <c r="AA4" s="12" t="s">
        <v>27</v>
      </c>
      <c r="AB4" s="39" t="s">
        <v>28</v>
      </c>
      <c r="AC4" s="12" t="s">
        <v>87</v>
      </c>
      <c r="AD4" s="12" t="s">
        <v>88</v>
      </c>
      <c r="AE4" s="12" t="s">
        <v>89</v>
      </c>
      <c r="AF4" s="12" t="s">
        <v>90</v>
      </c>
      <c r="AG4" s="39" t="s">
        <v>91</v>
      </c>
      <c r="AH4" s="12" t="s">
        <v>106</v>
      </c>
      <c r="AI4" s="12" t="s">
        <v>107</v>
      </c>
      <c r="AJ4" s="12" t="s">
        <v>108</v>
      </c>
      <c r="AK4" s="12" t="s">
        <v>109</v>
      </c>
      <c r="AL4" s="39" t="s">
        <v>110</v>
      </c>
      <c r="AM4" s="12" t="s">
        <v>161</v>
      </c>
      <c r="AN4" s="12" t="s">
        <v>162</v>
      </c>
      <c r="AO4" s="12" t="s">
        <v>163</v>
      </c>
      <c r="AP4" s="12" t="s">
        <v>164</v>
      </c>
      <c r="AQ4" s="39" t="s">
        <v>165</v>
      </c>
      <c r="AR4" s="12" t="s">
        <v>192</v>
      </c>
      <c r="AS4" s="12" t="s">
        <v>193</v>
      </c>
      <c r="AT4" s="12" t="s">
        <v>194</v>
      </c>
      <c r="AU4" s="12" t="s">
        <v>195</v>
      </c>
      <c r="AV4" s="39" t="s">
        <v>196</v>
      </c>
    </row>
    <row r="5" spans="2:48" outlineLevel="1" x14ac:dyDescent="0.3">
      <c r="B5" s="532" t="s">
        <v>264</v>
      </c>
      <c r="C5" s="533"/>
      <c r="D5" s="4"/>
      <c r="E5" s="4"/>
      <c r="F5" s="4"/>
      <c r="G5" s="4"/>
      <c r="H5" s="288"/>
      <c r="I5" s="4"/>
      <c r="J5" s="4"/>
      <c r="K5" s="289"/>
      <c r="L5" s="4"/>
      <c r="M5" s="288"/>
      <c r="N5" s="4"/>
      <c r="O5" s="4"/>
      <c r="P5" s="4"/>
      <c r="Q5" s="4"/>
      <c r="R5" s="288"/>
      <c r="S5" s="4"/>
      <c r="T5" s="4"/>
      <c r="U5" s="4"/>
      <c r="V5" s="4"/>
      <c r="W5" s="288"/>
      <c r="X5" s="4"/>
      <c r="Y5" s="4"/>
      <c r="Z5" s="4"/>
      <c r="AA5" s="4"/>
      <c r="AB5" s="288"/>
      <c r="AC5" s="4"/>
      <c r="AD5" s="4"/>
      <c r="AE5" s="4"/>
      <c r="AF5" s="4"/>
      <c r="AG5" s="288"/>
      <c r="AH5" s="4"/>
      <c r="AI5" s="4"/>
      <c r="AJ5" s="4"/>
      <c r="AK5" s="4"/>
      <c r="AL5" s="288"/>
      <c r="AM5" s="4"/>
      <c r="AN5" s="4"/>
      <c r="AO5" s="4"/>
      <c r="AP5" s="4"/>
      <c r="AQ5" s="288"/>
      <c r="AR5" s="4"/>
      <c r="AS5" s="4"/>
      <c r="AT5" s="4"/>
      <c r="AU5" s="4"/>
      <c r="AV5" s="288"/>
    </row>
    <row r="6" spans="2:48" outlineLevel="1" x14ac:dyDescent="0.3">
      <c r="B6" s="281" t="s">
        <v>265</v>
      </c>
      <c r="C6" s="41"/>
      <c r="D6" s="16">
        <v>760.40000000000043</v>
      </c>
      <c r="E6" s="91">
        <v>658.59999999999968</v>
      </c>
      <c r="F6" s="16">
        <v>1373.200000000001</v>
      </c>
      <c r="G6" s="16">
        <v>802.400000000001</v>
      </c>
      <c r="H6" s="17">
        <v>3594.6000000000054</v>
      </c>
      <c r="I6" s="16">
        <v>885.29999999999882</v>
      </c>
      <c r="J6" s="16">
        <v>324.79999999999905</v>
      </c>
      <c r="K6" s="16">
        <v>-678.09999999999923</v>
      </c>
      <c r="L6" s="16">
        <f>924.7-K6-J6-I6</f>
        <v>392.70000000000141</v>
      </c>
      <c r="M6" s="17">
        <v>924.70000000000437</v>
      </c>
      <c r="N6" s="16">
        <v>622.20000000000016</v>
      </c>
      <c r="O6" s="16">
        <v>659.4</v>
      </c>
      <c r="P6" s="16">
        <v>1154.1999999999989</v>
      </c>
      <c r="Q6" s="16">
        <v>1764.6</v>
      </c>
      <c r="R6" s="17">
        <v>4200.3999999999978</v>
      </c>
      <c r="S6" s="16">
        <v>816.10000000000014</v>
      </c>
      <c r="T6" s="16">
        <v>675.00000000000011</v>
      </c>
      <c r="U6" s="16">
        <v>913.69999999999959</v>
      </c>
      <c r="V6" s="16">
        <f>'Income Statement &amp; Segments'!V25</f>
        <v>878.49999999999864</v>
      </c>
      <c r="W6" s="17">
        <f t="shared" ref="W6:W13" si="0">SUM(S6:V6)</f>
        <v>3283.2999999999988</v>
      </c>
      <c r="X6" s="16">
        <f>'Income Statement &amp; Segments'!X25</f>
        <v>823.13094875672186</v>
      </c>
      <c r="Y6" s="16">
        <f>'Income Statement &amp; Segments'!Y25</f>
        <v>821.04153523792161</v>
      </c>
      <c r="Z6" s="16">
        <f>'Income Statement &amp; Segments'!Z25</f>
        <v>1052.8874831364881</v>
      </c>
      <c r="AA6" s="16">
        <f>'Income Statement &amp; Segments'!AA25</f>
        <v>1170.0346435653205</v>
      </c>
      <c r="AB6" s="17">
        <f t="shared" ref="AB6" si="1">SUM(X6:AA6)</f>
        <v>3867.094610696452</v>
      </c>
      <c r="AC6" s="16">
        <f>'Income Statement &amp; Segments'!AC25</f>
        <v>1114.1992244438047</v>
      </c>
      <c r="AD6" s="16">
        <f>'Income Statement &amp; Segments'!AD25</f>
        <v>929.30134631747705</v>
      </c>
      <c r="AE6" s="16">
        <f>'Income Statement &amp; Segments'!AE25</f>
        <v>1156.278519131705</v>
      </c>
      <c r="AF6" s="16">
        <f>'Income Statement &amp; Segments'!AF25</f>
        <v>1192.7245069266103</v>
      </c>
      <c r="AG6" s="17">
        <f t="shared" ref="AG6:AG13" si="2">SUM(AC6:AF6)</f>
        <v>4392.5035968195971</v>
      </c>
      <c r="AH6" s="16">
        <f>'Income Statement &amp; Segments'!AH25</f>
        <v>1271.7315265380444</v>
      </c>
      <c r="AI6" s="16">
        <f>'Income Statement &amp; Segments'!AI25</f>
        <v>1065.9625824256025</v>
      </c>
      <c r="AJ6" s="16">
        <f>'Income Statement &amp; Segments'!AJ25</f>
        <v>1369.9744592377037</v>
      </c>
      <c r="AK6" s="16">
        <f>'Income Statement &amp; Segments'!AK25</f>
        <v>1326.2750780551698</v>
      </c>
      <c r="AL6" s="17">
        <f t="shared" ref="AL6:AL13" si="3">SUM(AH6:AK6)</f>
        <v>5033.94364625652</v>
      </c>
      <c r="AM6" s="16">
        <f>'Income Statement &amp; Segments'!AM25</f>
        <v>1327.2960689924412</v>
      </c>
      <c r="AN6" s="16">
        <f>'Income Statement &amp; Segments'!AN25</f>
        <v>1095.7223538520252</v>
      </c>
      <c r="AO6" s="16">
        <f>'Income Statement &amp; Segments'!AO25</f>
        <v>1410.9491613270816</v>
      </c>
      <c r="AP6" s="16">
        <f>'Income Statement &amp; Segments'!AP25</f>
        <v>1388.188235460573</v>
      </c>
      <c r="AQ6" s="17">
        <f t="shared" ref="AQ6:AQ13" si="4">SUM(AM6:AP6)</f>
        <v>5222.1558196321212</v>
      </c>
      <c r="AR6" s="16">
        <f>'Income Statement &amp; Segments'!AR25</f>
        <v>1418.1910007164099</v>
      </c>
      <c r="AS6" s="16">
        <f>'Income Statement &amp; Segments'!AS25</f>
        <v>1175.7326304874234</v>
      </c>
      <c r="AT6" s="16">
        <f>'Income Statement &amp; Segments'!AT25</f>
        <v>1508.7038727987058</v>
      </c>
      <c r="AU6" s="16">
        <f>'Income Statement &amp; Segments'!AU25</f>
        <v>1487.9705228760317</v>
      </c>
      <c r="AV6" s="17">
        <f t="shared" ref="AV6:AV13" si="5">SUM(AR6:AU6)</f>
        <v>5590.5980268785715</v>
      </c>
    </row>
    <row r="7" spans="2:48" outlineLevel="1" x14ac:dyDescent="0.3">
      <c r="B7" s="281" t="s">
        <v>266</v>
      </c>
      <c r="C7" s="41"/>
      <c r="D7" s="16">
        <v>350.8</v>
      </c>
      <c r="E7" s="16">
        <f>723.5-D7</f>
        <v>372.7</v>
      </c>
      <c r="F7" s="16">
        <f>1083.6-E7-D7</f>
        <v>360.09999999999985</v>
      </c>
      <c r="G7" s="16">
        <f>1449.3-F7-E7-D7</f>
        <v>365.7</v>
      </c>
      <c r="H7" s="17">
        <f t="shared" ref="H7:H13" si="6">SUM(D7:G7)</f>
        <v>1449.3</v>
      </c>
      <c r="I7" s="16">
        <v>369.2</v>
      </c>
      <c r="J7" s="16">
        <f>746.9-I7</f>
        <v>377.7</v>
      </c>
      <c r="K7" s="16">
        <f>1124-J7-I7</f>
        <v>377.09999999999997</v>
      </c>
      <c r="L7" s="16">
        <f>1503.2-K7-J7-I7</f>
        <v>379.2000000000001</v>
      </c>
      <c r="M7" s="17">
        <f t="shared" ref="M7:M13" si="7">SUM(I7:L7)</f>
        <v>1503.2</v>
      </c>
      <c r="N7" s="16">
        <v>388.4</v>
      </c>
      <c r="O7" s="16">
        <f>772.9-N7</f>
        <v>384.5</v>
      </c>
      <c r="P7" s="16">
        <f>1146.2-O7-N7</f>
        <v>373.30000000000007</v>
      </c>
      <c r="Q7" s="16">
        <f>1524.1-P7-O7-N7</f>
        <v>377.89999999999975</v>
      </c>
      <c r="R7" s="17">
        <f t="shared" ref="R7:R13" si="8">SUM(N7:Q7)</f>
        <v>1524.1</v>
      </c>
      <c r="S7" s="16">
        <v>386.4</v>
      </c>
      <c r="T7" s="16">
        <f>777.7-S7</f>
        <v>391.30000000000007</v>
      </c>
      <c r="U7" s="16">
        <f>1169-T7-S7</f>
        <v>391.29999999999995</v>
      </c>
      <c r="V7" s="16">
        <f>1529.4-U7-T7-S7</f>
        <v>360.40000000000009</v>
      </c>
      <c r="W7" s="17">
        <f t="shared" si="0"/>
        <v>1529.4</v>
      </c>
      <c r="X7" s="16">
        <f>'Balance Sheet'!V14*'Balance Sheet'!X56</f>
        <v>395.07838301037117</v>
      </c>
      <c r="Y7" s="16">
        <f>'Balance Sheet'!X14*'Balance Sheet'!Y56</f>
        <v>411.90958929512271</v>
      </c>
      <c r="Z7" s="16">
        <f>'Balance Sheet'!Y14*'Balance Sheet'!Z56</f>
        <v>419.33865989421025</v>
      </c>
      <c r="AA7" s="16">
        <f>'Balance Sheet'!Z14*'Balance Sheet'!AA56</f>
        <v>421.67696642893139</v>
      </c>
      <c r="AB7" s="17">
        <f t="shared" ref="AB7:AB13" si="9">SUM(X7:AA7)</f>
        <v>1648.0035986286355</v>
      </c>
      <c r="AC7" s="16">
        <f>'Balance Sheet'!AA14*'Balance Sheet'!AC56</f>
        <v>454.35837067950899</v>
      </c>
      <c r="AD7" s="16">
        <f>'Balance Sheet'!AC14*'Balance Sheet'!AD56</f>
        <v>471.91684910296692</v>
      </c>
      <c r="AE7" s="16">
        <f>'Balance Sheet'!AD14*'Balance Sheet'!AE56</f>
        <v>478.01476861603919</v>
      </c>
      <c r="AF7" s="16">
        <f>'Balance Sheet'!AE14*'Balance Sheet'!AF56</f>
        <v>473.62180480536966</v>
      </c>
      <c r="AG7" s="17">
        <f t="shared" si="2"/>
        <v>1877.9117932038848</v>
      </c>
      <c r="AH7" s="16">
        <f>'Balance Sheet'!AF14*'Balance Sheet'!AH56</f>
        <v>509.92587911172672</v>
      </c>
      <c r="AI7" s="16">
        <f>'Balance Sheet'!AH14*'Balance Sheet'!AI56</f>
        <v>525.52514743619656</v>
      </c>
      <c r="AJ7" s="16">
        <f>'Balance Sheet'!AI14*'Balance Sheet'!AJ56</f>
        <v>530.66036472055214</v>
      </c>
      <c r="AK7" s="16">
        <f>'Balance Sheet'!AJ14*'Balance Sheet'!AK56</f>
        <v>515.50803598565744</v>
      </c>
      <c r="AL7" s="17">
        <f t="shared" si="3"/>
        <v>2081.6194272541329</v>
      </c>
      <c r="AM7" s="16">
        <f>'Balance Sheet'!AK14*'Balance Sheet'!AM56</f>
        <v>558.17563584192953</v>
      </c>
      <c r="AN7" s="16">
        <f>'Balance Sheet'!AM14*'Balance Sheet'!AN56</f>
        <v>575.90683680246013</v>
      </c>
      <c r="AO7" s="16">
        <f>'Balance Sheet'!AN14*'Balance Sheet'!AO56</f>
        <v>580.3452615526727</v>
      </c>
      <c r="AP7" s="16">
        <f>'Balance Sheet'!AO14*'Balance Sheet'!AP56</f>
        <v>570.57205749889988</v>
      </c>
      <c r="AQ7" s="17">
        <f t="shared" si="4"/>
        <v>2284.9997916959624</v>
      </c>
      <c r="AR7" s="16">
        <f>'Balance Sheet'!AP14*'Balance Sheet'!AR56</f>
        <v>611.14139506036895</v>
      </c>
      <c r="AS7" s="16">
        <f>'Balance Sheet'!AR14*'Balance Sheet'!AS56</f>
        <v>628.12456704592921</v>
      </c>
      <c r="AT7" s="16">
        <f>'Balance Sheet'!AS14*'Balance Sheet'!AT56</f>
        <v>631.15851557055908</v>
      </c>
      <c r="AU7" s="16">
        <f>'Balance Sheet'!AT14*'Balance Sheet'!AU56</f>
        <v>616.2670005394333</v>
      </c>
      <c r="AV7" s="17">
        <f t="shared" si="5"/>
        <v>2486.6914782162903</v>
      </c>
    </row>
    <row r="8" spans="2:48" outlineLevel="1" x14ac:dyDescent="0.3">
      <c r="B8" s="281" t="s">
        <v>219</v>
      </c>
      <c r="C8" s="41"/>
      <c r="D8" s="16">
        <v>-354.6</v>
      </c>
      <c r="E8" s="16">
        <f>-714.5-D8</f>
        <v>-359.9</v>
      </c>
      <c r="F8" s="16">
        <f>-1243.5-E8-D8</f>
        <v>-529</v>
      </c>
      <c r="G8" s="91">
        <f>-1495.4-F8-E8-D8</f>
        <v>-251.90000000000009</v>
      </c>
      <c r="H8" s="17">
        <f t="shared" si="6"/>
        <v>-1495.4</v>
      </c>
      <c r="I8" s="16">
        <v>10.4</v>
      </c>
      <c r="J8" s="16">
        <f>47.7-I8</f>
        <v>37.300000000000004</v>
      </c>
      <c r="K8" s="16">
        <f>20-J8-I8</f>
        <v>-27.700000000000003</v>
      </c>
      <c r="L8" s="91">
        <f>-25.8-K8-J8-I8</f>
        <v>-45.800000000000004</v>
      </c>
      <c r="M8" s="17">
        <f t="shared" si="7"/>
        <v>-25.800000000000004</v>
      </c>
      <c r="N8" s="16">
        <v>-6.1</v>
      </c>
      <c r="O8" s="16">
        <f>-25.2-N8</f>
        <v>-19.100000000000001</v>
      </c>
      <c r="P8" s="16">
        <f>-113.2-O8-N8</f>
        <v>-88</v>
      </c>
      <c r="Q8" s="91">
        <f>-146.2-P8-O8-N8</f>
        <v>-32.999999999999986</v>
      </c>
      <c r="R8" s="17">
        <f t="shared" si="8"/>
        <v>-146.19999999999999</v>
      </c>
      <c r="S8" s="16">
        <v>-0.3</v>
      </c>
      <c r="T8" s="16">
        <f>28.4-S8</f>
        <v>28.7</v>
      </c>
      <c r="U8" s="16">
        <f>35-T8-S8</f>
        <v>6.6000000000000005</v>
      </c>
      <c r="V8" s="16">
        <f>-37.8-U8-T8-S8</f>
        <v>-72.8</v>
      </c>
      <c r="W8" s="17">
        <f t="shared" si="0"/>
        <v>-37.799999999999997</v>
      </c>
      <c r="X8" s="16">
        <f>-('Balance Sheet'!X16-'Balance Sheet'!V16)</f>
        <v>69.808131429937248</v>
      </c>
      <c r="Y8" s="16">
        <f>-('Balance Sheet'!Y16-'Balance Sheet'!X16)</f>
        <v>22.217291967679557</v>
      </c>
      <c r="Z8" s="16">
        <f>-('Balance Sheet'!Z16-'Balance Sheet'!Y16)</f>
        <v>-269.93255690279466</v>
      </c>
      <c r="AA8" s="16">
        <f>-('Balance Sheet'!AA16-'Balance Sheet'!Z16)</f>
        <v>-58.331389631840011</v>
      </c>
      <c r="AB8" s="17">
        <f t="shared" si="9"/>
        <v>-236.23852313701786</v>
      </c>
      <c r="AC8" s="16">
        <f>-('Balance Sheet'!AC16-'Balance Sheet'!AA16)</f>
        <v>287.56690002266987</v>
      </c>
      <c r="AD8" s="16">
        <f>-('Balance Sheet'!AD16-'Balance Sheet'!AC16)</f>
        <v>215.91043311080739</v>
      </c>
      <c r="AE8" s="16">
        <f>-('Balance Sheet'!AE16-'Balance Sheet'!AD16)</f>
        <v>-17.808894431750559</v>
      </c>
      <c r="AF8" s="16">
        <f>-('Balance Sheet'!AF16-'Balance Sheet'!AE16)</f>
        <v>-43.231606214497788</v>
      </c>
      <c r="AG8" s="17">
        <f t="shared" si="2"/>
        <v>442.43683248722891</v>
      </c>
      <c r="AH8" s="16">
        <f>-('Balance Sheet'!AH16-'Balance Sheet'!AF16)</f>
        <v>-161.41551267304953</v>
      </c>
      <c r="AI8" s="16">
        <f>-('Balance Sheet'!AI16-'Balance Sheet'!AH16)</f>
        <v>-27.642476423811559</v>
      </c>
      <c r="AJ8" s="16">
        <f>-('Balance Sheet'!AJ16-'Balance Sheet'!AI16)</f>
        <v>-1.869478631978609</v>
      </c>
      <c r="AK8" s="16">
        <f>-('Balance Sheet'!AK16-'Balance Sheet'!AJ16)</f>
        <v>112.57857539056522</v>
      </c>
      <c r="AL8" s="17">
        <f t="shared" si="3"/>
        <v>-78.348892338274482</v>
      </c>
      <c r="AM8" s="16">
        <f>-('Balance Sheet'!AM16-'Balance Sheet'!AK16)</f>
        <v>112.46730339088936</v>
      </c>
      <c r="AN8" s="16">
        <f>-('Balance Sheet'!AN16-'Balance Sheet'!AM16)</f>
        <v>-26.245270328763581</v>
      </c>
      <c r="AO8" s="16">
        <f>-('Balance Sheet'!AO16-'Balance Sheet'!AN16)</f>
        <v>-13.436318458671167</v>
      </c>
      <c r="AP8" s="16">
        <f>-('Balance Sheet'!AP16-'Balance Sheet'!AO16)</f>
        <v>-47.660155482138862</v>
      </c>
      <c r="AQ8" s="17">
        <f t="shared" si="4"/>
        <v>25.125559121315746</v>
      </c>
      <c r="AR8" s="16">
        <f>-('Balance Sheet'!AR16-'Balance Sheet'!AP16)</f>
        <v>108.15065985898786</v>
      </c>
      <c r="AS8" s="16">
        <f>-('Balance Sheet'!AS16-'Balance Sheet'!AR16)</f>
        <v>83.960893516932401</v>
      </c>
      <c r="AT8" s="16">
        <f>-('Balance Sheet'!AT16-'Balance Sheet'!AS16)</f>
        <v>-142.27199477007616</v>
      </c>
      <c r="AU8" s="16">
        <f>-('Balance Sheet'!AU16-'Balance Sheet'!AT16)</f>
        <v>-48.192526746545127</v>
      </c>
      <c r="AV8" s="17">
        <f t="shared" si="5"/>
        <v>1.647031859298977</v>
      </c>
    </row>
    <row r="9" spans="2:48" outlineLevel="1" x14ac:dyDescent="0.3">
      <c r="B9" s="281" t="s">
        <v>267</v>
      </c>
      <c r="C9" s="41"/>
      <c r="D9" s="16">
        <v>-55</v>
      </c>
      <c r="E9" s="16">
        <f>-108.2-D9</f>
        <v>-53.2</v>
      </c>
      <c r="F9" s="16">
        <f>-174.1-E9-D9</f>
        <v>-65.899999999999991</v>
      </c>
      <c r="G9" s="91">
        <f>-250.6-F9-E9-D9</f>
        <v>-76.5</v>
      </c>
      <c r="H9" s="17">
        <f t="shared" si="6"/>
        <v>-250.6</v>
      </c>
      <c r="I9" s="16">
        <v>-62.9</v>
      </c>
      <c r="J9" s="16">
        <f>-116.3-I9</f>
        <v>-53.4</v>
      </c>
      <c r="K9" s="16">
        <f>-182.3-J9-I9</f>
        <v>-66</v>
      </c>
      <c r="L9" s="91">
        <f>-280.7-K9-J9-I9</f>
        <v>-98.399999999999977</v>
      </c>
      <c r="M9" s="17">
        <f t="shared" si="7"/>
        <v>-280.7</v>
      </c>
      <c r="N9" s="16">
        <v>-69</v>
      </c>
      <c r="O9" s="16">
        <f>-131.3-N9</f>
        <v>-62.300000000000011</v>
      </c>
      <c r="P9" s="16">
        <f>-238.3-O9-N9</f>
        <v>-107</v>
      </c>
      <c r="Q9" s="91">
        <f>-347.3-P9-O9-N9</f>
        <v>-109</v>
      </c>
      <c r="R9" s="17">
        <f t="shared" si="8"/>
        <v>-347.3</v>
      </c>
      <c r="S9" s="16">
        <v>-46.6</v>
      </c>
      <c r="T9" s="16">
        <f>-118.7-S9</f>
        <v>-72.099999999999994</v>
      </c>
      <c r="U9" s="16">
        <f>-175-T9-S9</f>
        <v>-56.300000000000004</v>
      </c>
      <c r="V9" s="16">
        <f>-268.7-U9-T9-S9</f>
        <v>-93.699999999999989</v>
      </c>
      <c r="W9" s="159">
        <f t="shared" si="0"/>
        <v>-268.7</v>
      </c>
      <c r="X9" s="91">
        <f>-'Income Statement &amp; Segments'!X16</f>
        <v>-90.4</v>
      </c>
      <c r="Y9" s="91">
        <f>-'Income Statement &amp; Segments'!Y16</f>
        <v>-90.5</v>
      </c>
      <c r="Z9" s="91">
        <f>-'Income Statement &amp; Segments'!Z16</f>
        <v>-90.6</v>
      </c>
      <c r="AA9" s="91">
        <f>-'Income Statement &amp; Segments'!AA16</f>
        <v>-90.7</v>
      </c>
      <c r="AB9" s="159">
        <f t="shared" si="9"/>
        <v>-362.2</v>
      </c>
      <c r="AC9" s="91">
        <f>-'Income Statement &amp; Segments'!AC16</f>
        <v>-91</v>
      </c>
      <c r="AD9" s="91">
        <f>-'Income Statement &amp; Segments'!AD16</f>
        <v>-91</v>
      </c>
      <c r="AE9" s="91">
        <f>-'Income Statement &amp; Segments'!AE16</f>
        <v>-91</v>
      </c>
      <c r="AF9" s="91">
        <f>-'Income Statement &amp; Segments'!AF16</f>
        <v>-91</v>
      </c>
      <c r="AG9" s="159">
        <f t="shared" si="2"/>
        <v>-364</v>
      </c>
      <c r="AH9" s="91">
        <f>-'Income Statement &amp; Segments'!AH16</f>
        <v>-91</v>
      </c>
      <c r="AI9" s="91">
        <f>-'Income Statement &amp; Segments'!AI16</f>
        <v>-91</v>
      </c>
      <c r="AJ9" s="91">
        <f>-'Income Statement &amp; Segments'!AJ16</f>
        <v>-91</v>
      </c>
      <c r="AK9" s="91">
        <f>-'Income Statement &amp; Segments'!AK16</f>
        <v>-91</v>
      </c>
      <c r="AL9" s="159">
        <f t="shared" si="3"/>
        <v>-364</v>
      </c>
      <c r="AM9" s="91">
        <f>-'Income Statement &amp; Segments'!AM16</f>
        <v>-91</v>
      </c>
      <c r="AN9" s="91">
        <f>-'Income Statement &amp; Segments'!AN16</f>
        <v>-91</v>
      </c>
      <c r="AO9" s="91">
        <f>-'Income Statement &amp; Segments'!AO16</f>
        <v>-91</v>
      </c>
      <c r="AP9" s="91">
        <f>-'Income Statement &amp; Segments'!AP16</f>
        <v>-91</v>
      </c>
      <c r="AQ9" s="159">
        <f t="shared" si="4"/>
        <v>-364</v>
      </c>
      <c r="AR9" s="91">
        <f>-'Income Statement &amp; Segments'!AR16</f>
        <v>-91</v>
      </c>
      <c r="AS9" s="91">
        <f>-'Income Statement &amp; Segments'!AS16</f>
        <v>-91</v>
      </c>
      <c r="AT9" s="91">
        <f>-'Income Statement &amp; Segments'!AT16</f>
        <v>-91</v>
      </c>
      <c r="AU9" s="91">
        <f>-'Income Statement &amp; Segments'!AU16</f>
        <v>-91</v>
      </c>
      <c r="AV9" s="159">
        <f t="shared" si="5"/>
        <v>-364</v>
      </c>
    </row>
    <row r="10" spans="2:48" outlineLevel="1" x14ac:dyDescent="0.3">
      <c r="B10" s="281" t="s">
        <v>268</v>
      </c>
      <c r="C10" s="41"/>
      <c r="D10" s="16">
        <v>63.7</v>
      </c>
      <c r="E10" s="16">
        <f>93.3-D10</f>
        <v>29.599999999999994</v>
      </c>
      <c r="F10" s="16">
        <f>163.7-E10-D10</f>
        <v>70.399999999999991</v>
      </c>
      <c r="G10" s="91">
        <f>216.8-F10-E10-D10</f>
        <v>53.100000000000037</v>
      </c>
      <c r="H10" s="17">
        <f t="shared" si="6"/>
        <v>216.8</v>
      </c>
      <c r="I10" s="16">
        <v>64.3</v>
      </c>
      <c r="J10" s="16">
        <f>98.1-I10</f>
        <v>33.799999999999997</v>
      </c>
      <c r="K10" s="16">
        <f>165.6-J10-I10</f>
        <v>67.500000000000014</v>
      </c>
      <c r="L10" s="91">
        <f>227.7-K10-J10-I10</f>
        <v>62.099999999999994</v>
      </c>
      <c r="M10" s="17">
        <f t="shared" si="7"/>
        <v>227.70000000000002</v>
      </c>
      <c r="N10" s="16">
        <v>77.2</v>
      </c>
      <c r="O10" s="16">
        <f>130.2-N10</f>
        <v>52.999999999999986</v>
      </c>
      <c r="P10" s="16">
        <f>226.7-O10-N10</f>
        <v>96.499999999999986</v>
      </c>
      <c r="Q10" s="91">
        <f>336-P10-O10-N10</f>
        <v>109.3</v>
      </c>
      <c r="R10" s="17">
        <f t="shared" si="8"/>
        <v>336</v>
      </c>
      <c r="S10" s="16">
        <v>44.9</v>
      </c>
      <c r="T10" s="16">
        <f>100.8-S10</f>
        <v>55.9</v>
      </c>
      <c r="U10" s="16">
        <f>145.9-T10-S10</f>
        <v>45.1</v>
      </c>
      <c r="V10" s="16">
        <f>231.2-U10-T10-S10</f>
        <v>85.299999999999983</v>
      </c>
      <c r="W10" s="159">
        <f t="shared" si="0"/>
        <v>231.2</v>
      </c>
      <c r="X10" s="16">
        <f>-X54*X9</f>
        <v>90.4</v>
      </c>
      <c r="Y10" s="16">
        <f>-Y54*Y9</f>
        <v>90.5</v>
      </c>
      <c r="Z10" s="16">
        <f>-Z54*Z9</f>
        <v>90.6</v>
      </c>
      <c r="AA10" s="16">
        <f>-AA54*AA9</f>
        <v>90.7</v>
      </c>
      <c r="AB10" s="159">
        <f t="shared" si="9"/>
        <v>362.2</v>
      </c>
      <c r="AC10" s="16">
        <f>-AC54*AC9</f>
        <v>91</v>
      </c>
      <c r="AD10" s="16">
        <f>-AD54*AD9</f>
        <v>91</v>
      </c>
      <c r="AE10" s="16">
        <f>-AE54*AE9</f>
        <v>91</v>
      </c>
      <c r="AF10" s="16">
        <f>-AF54*AF9</f>
        <v>91</v>
      </c>
      <c r="AG10" s="159">
        <f t="shared" si="2"/>
        <v>364</v>
      </c>
      <c r="AH10" s="16">
        <f>-AH54*AH9</f>
        <v>91</v>
      </c>
      <c r="AI10" s="16">
        <f>-AI54*AI9</f>
        <v>91</v>
      </c>
      <c r="AJ10" s="16">
        <f>-AJ54*AJ9</f>
        <v>91</v>
      </c>
      <c r="AK10" s="16">
        <f>-AK54*AK9</f>
        <v>91</v>
      </c>
      <c r="AL10" s="159">
        <f t="shared" si="3"/>
        <v>364</v>
      </c>
      <c r="AM10" s="16">
        <f>-AM54*AM9</f>
        <v>91</v>
      </c>
      <c r="AN10" s="16">
        <f>-AN54*AN9</f>
        <v>91</v>
      </c>
      <c r="AO10" s="16">
        <f>-AO54*AO9</f>
        <v>91</v>
      </c>
      <c r="AP10" s="16">
        <f>-AP54*AP9</f>
        <v>91</v>
      </c>
      <c r="AQ10" s="159">
        <f t="shared" si="4"/>
        <v>364</v>
      </c>
      <c r="AR10" s="16">
        <f>-AR54*AR9</f>
        <v>91</v>
      </c>
      <c r="AS10" s="16">
        <f>-AS54*AS9</f>
        <v>91</v>
      </c>
      <c r="AT10" s="16">
        <f>-AT54*AT9</f>
        <v>91</v>
      </c>
      <c r="AU10" s="16">
        <f>-AU54*AU9</f>
        <v>91</v>
      </c>
      <c r="AV10" s="159">
        <f t="shared" si="5"/>
        <v>364</v>
      </c>
    </row>
    <row r="11" spans="2:48" outlineLevel="1" x14ac:dyDescent="0.3">
      <c r="B11" s="281" t="s">
        <v>269</v>
      </c>
      <c r="C11" s="41"/>
      <c r="D11" s="16">
        <v>0</v>
      </c>
      <c r="E11" s="16">
        <f>-21-D11</f>
        <v>-21</v>
      </c>
      <c r="F11" s="16">
        <f>-622.8-E11-D11</f>
        <v>-601.79999999999995</v>
      </c>
      <c r="G11" s="91">
        <f>-622.8-F11-E11-D11</f>
        <v>0</v>
      </c>
      <c r="H11" s="17">
        <f t="shared" si="6"/>
        <v>-622.79999999999995</v>
      </c>
      <c r="I11" s="16">
        <v>0</v>
      </c>
      <c r="J11" s="16">
        <f>0-I11</f>
        <v>0</v>
      </c>
      <c r="K11" s="16">
        <f>0-J11-I11</f>
        <v>0</v>
      </c>
      <c r="L11" s="91">
        <f>0-K11-J11-I11</f>
        <v>0</v>
      </c>
      <c r="M11" s="17">
        <f t="shared" si="7"/>
        <v>0</v>
      </c>
      <c r="N11" s="16">
        <v>0</v>
      </c>
      <c r="O11" s="16">
        <f>0-N11</f>
        <v>0</v>
      </c>
      <c r="P11" s="16">
        <f>0-O11-N11</f>
        <v>0</v>
      </c>
      <c r="Q11" s="91">
        <f>-864.5-P11-O11-N11</f>
        <v>-864.5</v>
      </c>
      <c r="R11" s="17">
        <f t="shared" si="8"/>
        <v>-864.5</v>
      </c>
      <c r="S11" s="16">
        <v>0</v>
      </c>
      <c r="T11" s="16">
        <f>0-S11</f>
        <v>0</v>
      </c>
      <c r="U11" s="16">
        <f t="shared" ref="U11" si="10">0-T11-S11</f>
        <v>0</v>
      </c>
      <c r="V11" s="16">
        <f t="shared" ref="V11:V17" si="11">0-U11-T11-S11</f>
        <v>0</v>
      </c>
      <c r="W11" s="159">
        <f t="shared" si="0"/>
        <v>0</v>
      </c>
      <c r="X11" s="91">
        <v>0</v>
      </c>
      <c r="Y11" s="91"/>
      <c r="Z11" s="91"/>
      <c r="AA11" s="91"/>
      <c r="AB11" s="159">
        <f t="shared" si="9"/>
        <v>0</v>
      </c>
      <c r="AC11" s="91"/>
      <c r="AD11" s="91"/>
      <c r="AE11" s="91"/>
      <c r="AF11" s="91"/>
      <c r="AG11" s="159">
        <f t="shared" si="2"/>
        <v>0</v>
      </c>
      <c r="AH11" s="91"/>
      <c r="AI11" s="91"/>
      <c r="AJ11" s="91"/>
      <c r="AK11" s="91"/>
      <c r="AL11" s="159">
        <f t="shared" si="3"/>
        <v>0</v>
      </c>
      <c r="AM11" s="91"/>
      <c r="AN11" s="91"/>
      <c r="AO11" s="91"/>
      <c r="AP11" s="91"/>
      <c r="AQ11" s="159">
        <f t="shared" si="4"/>
        <v>0</v>
      </c>
      <c r="AR11" s="91"/>
      <c r="AS11" s="91"/>
      <c r="AT11" s="91"/>
      <c r="AU11" s="91"/>
      <c r="AV11" s="159">
        <f t="shared" si="5"/>
        <v>0</v>
      </c>
    </row>
    <row r="12" spans="2:48" outlineLevel="1" x14ac:dyDescent="0.3">
      <c r="B12" s="281" t="s">
        <v>270</v>
      </c>
      <c r="C12" s="41"/>
      <c r="D12" s="16">
        <v>97.3</v>
      </c>
      <c r="E12" s="16">
        <f>192.1-D12</f>
        <v>94.8</v>
      </c>
      <c r="F12" s="16">
        <f>255.4-E12-D12</f>
        <v>63.300000000000026</v>
      </c>
      <c r="G12" s="91">
        <f>308-F12-E12-D12</f>
        <v>52.59999999999998</v>
      </c>
      <c r="H12" s="17">
        <f t="shared" si="6"/>
        <v>308</v>
      </c>
      <c r="I12" s="16">
        <v>90.3</v>
      </c>
      <c r="J12" s="16">
        <f>146.6-I12</f>
        <v>56.3</v>
      </c>
      <c r="K12" s="16">
        <f>188-J12-I12</f>
        <v>41.399999999999991</v>
      </c>
      <c r="L12" s="91">
        <f>248.6-K12-J12-I12</f>
        <v>60.59999999999998</v>
      </c>
      <c r="M12" s="17">
        <f t="shared" si="7"/>
        <v>248.59999999999997</v>
      </c>
      <c r="N12" s="16">
        <v>99.3</v>
      </c>
      <c r="O12" s="16">
        <f>175.3-N12</f>
        <v>76.000000000000014</v>
      </c>
      <c r="P12" s="16">
        <f>255.3-O12-N12</f>
        <v>80.000000000000014</v>
      </c>
      <c r="Q12" s="91">
        <f>319.1-P12-O12-N12</f>
        <v>63.800000000000026</v>
      </c>
      <c r="R12" s="17">
        <f t="shared" si="8"/>
        <v>319.10000000000002</v>
      </c>
      <c r="S12" s="16">
        <v>95.8</v>
      </c>
      <c r="T12" s="16">
        <f>149.2-S12</f>
        <v>53.399999999999991</v>
      </c>
      <c r="U12" s="16">
        <f>206.6-T12-S12</f>
        <v>57.399999999999991</v>
      </c>
      <c r="V12" s="16">
        <f>271.5-U12-T12-S12</f>
        <v>64.900000000000048</v>
      </c>
      <c r="W12" s="159">
        <f t="shared" si="0"/>
        <v>271.5</v>
      </c>
      <c r="X12" s="91">
        <f>'Income Statement &amp; Segments'!X8*'Cash Flow Statement'!X53</f>
        <v>73.425578924240313</v>
      </c>
      <c r="Y12" s="91">
        <f>'Income Statement &amp; Segments'!Y8*'Cash Flow Statement'!Y53</f>
        <v>63.74843251741644</v>
      </c>
      <c r="Z12" s="91">
        <f>'Income Statement &amp; Segments'!Z8*'Cash Flow Statement'!Z53</f>
        <v>71.102301852645198</v>
      </c>
      <c r="AA12" s="91">
        <f>'Income Statement &amp; Segments'!AA8*'Cash Flow Statement'!AA53</f>
        <v>74.978253786302105</v>
      </c>
      <c r="AB12" s="159">
        <f t="shared" si="9"/>
        <v>283.25456708060403</v>
      </c>
      <c r="AC12" s="91">
        <f>'Income Statement &amp; Segments'!AC8*'Cash Flow Statement'!AC53</f>
        <v>77.368003578112493</v>
      </c>
      <c r="AD12" s="91">
        <f>'Income Statement &amp; Segments'!AD8*'Cash Flow Statement'!AD53</f>
        <v>71.898764658596207</v>
      </c>
      <c r="AE12" s="91">
        <f>'Income Statement &amp; Segments'!AE8*'Cash Flow Statement'!AE53</f>
        <v>79.316396856900056</v>
      </c>
      <c r="AF12" s="91">
        <f>'Income Statement &amp; Segments'!AF8*'Cash Flow Statement'!AF53</f>
        <v>82.389658996879021</v>
      </c>
      <c r="AG12" s="159">
        <f t="shared" si="2"/>
        <v>310.97282409048773</v>
      </c>
      <c r="AH12" s="91">
        <f>'Income Statement &amp; Segments'!AH8*'Cash Flow Statement'!AH53</f>
        <v>85.324103475006069</v>
      </c>
      <c r="AI12" s="91">
        <f>'Income Statement &amp; Segments'!AI8*'Cash Flow Statement'!AI53</f>
        <v>80.42984440801672</v>
      </c>
      <c r="AJ12" s="91">
        <f>'Income Statement &amp; Segments'!AJ8*'Cash Flow Statement'!AJ53</f>
        <v>88.37474258382214</v>
      </c>
      <c r="AK12" s="91">
        <f>'Income Statement &amp; Segments'!AK8*'Cash Flow Statement'!AK53</f>
        <v>91.69556857760567</v>
      </c>
      <c r="AL12" s="159">
        <f t="shared" si="3"/>
        <v>345.82425904445063</v>
      </c>
      <c r="AM12" s="91">
        <f>'Income Statement &amp; Segments'!AM8*'Cash Flow Statement'!AM53</f>
        <v>94.080601065081353</v>
      </c>
      <c r="AN12" s="91">
        <f>'Income Statement &amp; Segments'!AN8*'Cash Flow Statement'!AN53</f>
        <v>88.183850835391269</v>
      </c>
      <c r="AO12" s="91">
        <f>'Income Statement &amp; Segments'!AO8*'Cash Flow Statement'!AO53</f>
        <v>96.172010193696352</v>
      </c>
      <c r="AP12" s="91">
        <f>'Income Statement &amp; Segments'!AP8*'Cash Flow Statement'!AP53</f>
        <v>98.870992166285518</v>
      </c>
      <c r="AQ12" s="159">
        <f t="shared" si="4"/>
        <v>377.30745426045451</v>
      </c>
      <c r="AR12" s="91">
        <f>'Income Statement &amp; Segments'!AR8*'Cash Flow Statement'!AR53</f>
        <v>99.306057090601527</v>
      </c>
      <c r="AS12" s="91">
        <f>'Income Statement &amp; Segments'!AS8*'Cash Flow Statement'!AS53</f>
        <v>93.079298760371955</v>
      </c>
      <c r="AT12" s="91">
        <f>'Income Statement &amp; Segments'!AT8*'Cash Flow Statement'!AT53</f>
        <v>101.48862641696718</v>
      </c>
      <c r="AU12" s="91">
        <f>'Income Statement &amp; Segments'!AU8*'Cash Flow Statement'!AU53</f>
        <v>104.36323749538043</v>
      </c>
      <c r="AV12" s="159">
        <f t="shared" si="5"/>
        <v>398.23721976332109</v>
      </c>
    </row>
    <row r="13" spans="2:48" outlineLevel="1" x14ac:dyDescent="0.3">
      <c r="B13" s="290" t="s">
        <v>271</v>
      </c>
      <c r="C13" s="291"/>
      <c r="D13" s="16">
        <v>6.1</v>
      </c>
      <c r="E13" s="91">
        <f>5.4+91.1-D13</f>
        <v>90.4</v>
      </c>
      <c r="F13" s="91">
        <f>10.5+122.3-E13-D13</f>
        <v>36.300000000000004</v>
      </c>
      <c r="G13" s="91">
        <f>10.5+187.9-F13-E13-D13</f>
        <v>65.599999999999994</v>
      </c>
      <c r="H13" s="17">
        <f t="shared" si="6"/>
        <v>198.4</v>
      </c>
      <c r="I13" s="91">
        <f>5.1+294.9</f>
        <v>300</v>
      </c>
      <c r="J13" s="91">
        <f>596.3+67.7-I13</f>
        <v>364</v>
      </c>
      <c r="K13" s="91">
        <f>902.4+124.6+63.7-J13-I13</f>
        <v>426.70000000000005</v>
      </c>
      <c r="L13" s="91">
        <f>1197.6+454.4+24.5-K13-J13-I13</f>
        <v>585.79999999999995</v>
      </c>
      <c r="M13" s="17">
        <f t="shared" si="7"/>
        <v>1676.5</v>
      </c>
      <c r="N13" s="91">
        <f>308.3+132.6-10.2</f>
        <v>430.7</v>
      </c>
      <c r="O13" s="91">
        <f>617.9+175.4-15.4-N13</f>
        <v>347.2</v>
      </c>
      <c r="P13" s="91">
        <f>931.7+204.7-6.8-O13-N13</f>
        <v>351.7000000000001</v>
      </c>
      <c r="Q13" s="91">
        <f>1248.6+226.2-6-P13-O13-N13</f>
        <v>339.19999999999987</v>
      </c>
      <c r="R13" s="17">
        <f t="shared" si="8"/>
        <v>1468.8</v>
      </c>
      <c r="S13" s="91">
        <v>0</v>
      </c>
      <c r="T13" s="91">
        <f>0-S13</f>
        <v>0</v>
      </c>
      <c r="U13" s="91">
        <f>1090.4+89.6-44.7</f>
        <v>1135.3</v>
      </c>
      <c r="V13" s="91">
        <f>1497.7+91.4-67.8-U13-T13-S13</f>
        <v>386.00000000000023</v>
      </c>
      <c r="W13" s="159">
        <f t="shared" si="0"/>
        <v>1521.3000000000002</v>
      </c>
      <c r="X13" s="91">
        <v>0</v>
      </c>
      <c r="Y13" s="91">
        <v>0</v>
      </c>
      <c r="Z13" s="91">
        <v>0</v>
      </c>
      <c r="AA13" s="91">
        <v>0</v>
      </c>
      <c r="AB13" s="159">
        <f t="shared" si="9"/>
        <v>0</v>
      </c>
      <c r="AC13" s="91">
        <v>0</v>
      </c>
      <c r="AD13" s="91">
        <v>0</v>
      </c>
      <c r="AE13" s="91">
        <v>0</v>
      </c>
      <c r="AF13" s="91">
        <v>0</v>
      </c>
      <c r="AG13" s="159">
        <f t="shared" si="2"/>
        <v>0</v>
      </c>
      <c r="AH13" s="91">
        <v>0</v>
      </c>
      <c r="AI13" s="91">
        <v>0</v>
      </c>
      <c r="AJ13" s="91">
        <v>0</v>
      </c>
      <c r="AK13" s="91">
        <v>0</v>
      </c>
      <c r="AL13" s="159">
        <f t="shared" si="3"/>
        <v>0</v>
      </c>
      <c r="AM13" s="91">
        <v>0</v>
      </c>
      <c r="AN13" s="91">
        <v>0</v>
      </c>
      <c r="AO13" s="91">
        <v>0</v>
      </c>
      <c r="AP13" s="91">
        <v>0</v>
      </c>
      <c r="AQ13" s="159">
        <f t="shared" si="4"/>
        <v>0</v>
      </c>
      <c r="AR13" s="91">
        <v>0</v>
      </c>
      <c r="AS13" s="91">
        <v>0</v>
      </c>
      <c r="AT13" s="91">
        <v>0</v>
      </c>
      <c r="AU13" s="91">
        <v>0</v>
      </c>
      <c r="AV13" s="159">
        <f t="shared" si="5"/>
        <v>0</v>
      </c>
    </row>
    <row r="14" spans="2:48" outlineLevel="1" x14ac:dyDescent="0.3">
      <c r="B14" s="558" t="s">
        <v>272</v>
      </c>
      <c r="C14" s="559"/>
      <c r="D14" s="292"/>
      <c r="E14" s="293"/>
      <c r="F14" s="294"/>
      <c r="G14" s="294"/>
      <c r="H14" s="295"/>
      <c r="I14" s="294"/>
      <c r="J14" s="294"/>
      <c r="K14" s="294"/>
      <c r="L14" s="294"/>
      <c r="M14" s="295"/>
      <c r="N14" s="294"/>
      <c r="O14" s="294"/>
      <c r="P14" s="294"/>
      <c r="Q14" s="294"/>
      <c r="R14" s="295"/>
      <c r="S14" s="294"/>
      <c r="T14" s="294"/>
      <c r="U14" s="294"/>
      <c r="V14" s="294"/>
      <c r="W14" s="295"/>
      <c r="X14" s="294"/>
      <c r="Y14" s="294"/>
      <c r="Z14" s="294"/>
      <c r="AA14" s="294"/>
      <c r="AB14" s="295"/>
      <c r="AC14" s="294"/>
      <c r="AD14" s="294"/>
      <c r="AE14" s="294"/>
      <c r="AF14" s="294"/>
      <c r="AG14" s="295"/>
      <c r="AH14" s="294"/>
      <c r="AI14" s="294"/>
      <c r="AJ14" s="294"/>
      <c r="AK14" s="294"/>
      <c r="AL14" s="295"/>
      <c r="AM14" s="294"/>
      <c r="AN14" s="294"/>
      <c r="AO14" s="294"/>
      <c r="AP14" s="294"/>
      <c r="AQ14" s="295"/>
      <c r="AR14" s="294"/>
      <c r="AS14" s="294"/>
      <c r="AT14" s="294"/>
      <c r="AU14" s="294"/>
      <c r="AV14" s="295"/>
    </row>
    <row r="15" spans="2:48" outlineLevel="1" x14ac:dyDescent="0.3">
      <c r="B15" s="556" t="s">
        <v>273</v>
      </c>
      <c r="C15" s="557"/>
      <c r="D15" s="298">
        <v>-28.8</v>
      </c>
      <c r="E15" s="298">
        <f>9.8-D15</f>
        <v>38.6</v>
      </c>
      <c r="F15" s="298">
        <f>-70.1-E15-D15</f>
        <v>-79.899999999999991</v>
      </c>
      <c r="G15" s="298">
        <f>-197.7-F15-E15-D15</f>
        <v>-127.60000000000001</v>
      </c>
      <c r="H15" s="299">
        <f t="shared" ref="H15:H21" si="12">SUM(D15:G15)</f>
        <v>-197.7</v>
      </c>
      <c r="I15" s="298">
        <v>-22.9</v>
      </c>
      <c r="J15" s="298">
        <f>-60.7-I15</f>
        <v>-37.800000000000004</v>
      </c>
      <c r="K15" s="298">
        <f>13.4-J15-I15</f>
        <v>74.099999999999994</v>
      </c>
      <c r="L15" s="298">
        <f>-2.7-K15-J15-I15</f>
        <v>-16.099999999999994</v>
      </c>
      <c r="M15" s="299">
        <f t="shared" ref="M15:M21" si="13">SUM(I15:L15)</f>
        <v>-2.7000000000000028</v>
      </c>
      <c r="N15" s="298">
        <v>19.600000000000001</v>
      </c>
      <c r="O15" s="298">
        <f>12.8-N15</f>
        <v>-6.8000000000000007</v>
      </c>
      <c r="P15" s="298">
        <f>-13.1-O15-N15</f>
        <v>-25.9</v>
      </c>
      <c r="Q15" s="298">
        <f>-43-P15-O15-N15</f>
        <v>-29.900000000000002</v>
      </c>
      <c r="R15" s="299">
        <f t="shared" ref="R15:R21" si="14">SUM(N15:Q15)</f>
        <v>-43</v>
      </c>
      <c r="S15" s="298">
        <v>-91.6</v>
      </c>
      <c r="T15" s="298">
        <f>-62.1-S15</f>
        <v>29.499999999999993</v>
      </c>
      <c r="U15" s="298">
        <f>-245.5-T15-S15</f>
        <v>-183.4</v>
      </c>
      <c r="V15" s="298">
        <f>-326.1-U15-T15-S15</f>
        <v>-80.600000000000023</v>
      </c>
      <c r="W15" s="299">
        <f t="shared" ref="W15:W21" si="15">SUM(S15:V15)</f>
        <v>-326.10000000000002</v>
      </c>
      <c r="X15" s="298">
        <f>-('Balance Sheet'!X8-'Balance Sheet'!V8)</f>
        <v>47.992499049708158</v>
      </c>
      <c r="Y15" s="298">
        <f>-('Balance Sheet'!Y8-'Balance Sheet'!X8)</f>
        <v>-48.40570083252851</v>
      </c>
      <c r="Z15" s="298">
        <f>-('Balance Sheet'!Z8-'Balance Sheet'!Y8)</f>
        <v>-204.32890429323788</v>
      </c>
      <c r="AA15" s="298">
        <f>-('Balance Sheet'!AA8-'Balance Sheet'!Z8)</f>
        <v>123.77201834749849</v>
      </c>
      <c r="AB15" s="299">
        <f t="shared" ref="AB15:AB21" si="16">SUM(X15:AA15)</f>
        <v>-80.970087728559747</v>
      </c>
      <c r="AC15" s="298">
        <f>-('Balance Sheet'!AC8-'Balance Sheet'!AA8)</f>
        <v>-18.092723999322061</v>
      </c>
      <c r="AD15" s="298">
        <f>-('Balance Sheet'!AD8-'Balance Sheet'!AC8)</f>
        <v>28.085266479347865</v>
      </c>
      <c r="AE15" s="298">
        <f>-('Balance Sheet'!AE8-'Balance Sheet'!AD8)</f>
        <v>-141.16214290526159</v>
      </c>
      <c r="AF15" s="298">
        <f>-('Balance Sheet'!AF8-'Balance Sheet'!AE8)</f>
        <v>36.178740955658668</v>
      </c>
      <c r="AG15" s="299">
        <f t="shared" ref="AG15:AG21" si="17">SUM(AC15:AF15)</f>
        <v>-94.990859469577117</v>
      </c>
      <c r="AH15" s="298">
        <f>-('Balance Sheet'!AH8-'Balance Sheet'!AF8)</f>
        <v>-60.167878465347485</v>
      </c>
      <c r="AI15" s="298">
        <f>-('Balance Sheet'!AI8-'Balance Sheet'!AH8)</f>
        <v>18.429539829343184</v>
      </c>
      <c r="AJ15" s="298">
        <f>-('Balance Sheet'!AJ8-'Balance Sheet'!AI8)</f>
        <v>-214.92765188663338</v>
      </c>
      <c r="AK15" s="298">
        <f>-('Balance Sheet'!AK8-'Balance Sheet'!AJ8)</f>
        <v>44.702299987848164</v>
      </c>
      <c r="AL15" s="299">
        <f t="shared" ref="AL15:AL21" si="18">SUM(AH15:AK15)</f>
        <v>-211.96369053478952</v>
      </c>
      <c r="AM15" s="298">
        <f>-('Balance Sheet'!AM8-'Balance Sheet'!AK8)</f>
        <v>1.9628541643612607</v>
      </c>
      <c r="AN15" s="298">
        <f>-('Balance Sheet'!AN8-'Balance Sheet'!AM8)</f>
        <v>22.123802753624204</v>
      </c>
      <c r="AO15" s="298">
        <f>-('Balance Sheet'!AO8-'Balance Sheet'!AN8)</f>
        <v>-215.19881295874302</v>
      </c>
      <c r="AP15" s="298">
        <f>-('Balance Sheet'!AP8-'Balance Sheet'!AO8)</f>
        <v>95.443562884264111</v>
      </c>
      <c r="AQ15" s="299">
        <f t="shared" ref="AQ15:AQ21" si="19">SUM(AM15:AP15)</f>
        <v>-95.668593156493444</v>
      </c>
      <c r="AR15" s="298">
        <f>-('Balance Sheet'!AR8-'Balance Sheet'!AP8)</f>
        <v>10.601597323430724</v>
      </c>
      <c r="AS15" s="298">
        <f>-('Balance Sheet'!AS8-'Balance Sheet'!AR8)</f>
        <v>36.367500731139899</v>
      </c>
      <c r="AT15" s="298">
        <f>-('Balance Sheet'!AT8-'Balance Sheet'!AS8)</f>
        <v>-211.11056725179492</v>
      </c>
      <c r="AU15" s="298">
        <f>-('Balance Sheet'!AU8-'Balance Sheet'!AT8)</f>
        <v>74.709014294077406</v>
      </c>
      <c r="AV15" s="299">
        <f t="shared" ref="AV15:AV21" si="20">SUM(AR15:AU15)</f>
        <v>-89.432454903146891</v>
      </c>
    </row>
    <row r="16" spans="2:48" outlineLevel="1" x14ac:dyDescent="0.3">
      <c r="B16" s="296" t="s">
        <v>212</v>
      </c>
      <c r="C16" s="297"/>
      <c r="D16" s="298">
        <v>44.8</v>
      </c>
      <c r="E16" s="298">
        <f>-51-D16</f>
        <v>-95.8</v>
      </c>
      <c r="F16" s="298">
        <f>-140.5-E16-D16</f>
        <v>-89.5</v>
      </c>
      <c r="G16" s="298">
        <f>-173-F16-E16-D16</f>
        <v>-32.5</v>
      </c>
      <c r="H16" s="299">
        <f t="shared" si="12"/>
        <v>-173</v>
      </c>
      <c r="I16" s="298">
        <v>122.8</v>
      </c>
      <c r="J16" s="298">
        <f>36.9-I16</f>
        <v>-85.9</v>
      </c>
      <c r="K16" s="298">
        <f>-51.7-J16-I16</f>
        <v>-88.6</v>
      </c>
      <c r="L16" s="298">
        <f>-10.9-K16-J16-I16</f>
        <v>40.799999999999997</v>
      </c>
      <c r="M16" s="299">
        <f t="shared" si="13"/>
        <v>-10.900000000000006</v>
      </c>
      <c r="N16" s="298">
        <v>90.1</v>
      </c>
      <c r="O16" s="298">
        <f>51.3-N16</f>
        <v>-38.799999999999997</v>
      </c>
      <c r="P16" s="298">
        <f>8.4-O16-N16</f>
        <v>-42.9</v>
      </c>
      <c r="Q16" s="298">
        <f>-49.8-P16-O16-N16</f>
        <v>-58.199999999999996</v>
      </c>
      <c r="R16" s="299">
        <f t="shared" si="14"/>
        <v>-49.8</v>
      </c>
      <c r="S16" s="298">
        <v>-36</v>
      </c>
      <c r="T16" s="298">
        <f>-324.9-S16</f>
        <v>-288.89999999999998</v>
      </c>
      <c r="U16" s="298">
        <f>-557.3-T16-S16</f>
        <v>-232.39999999999998</v>
      </c>
      <c r="V16" s="298">
        <f>-641-U16-T16-S16</f>
        <v>-83.700000000000045</v>
      </c>
      <c r="W16" s="299">
        <f t="shared" si="15"/>
        <v>-641</v>
      </c>
      <c r="X16" s="298">
        <f>-('Balance Sheet'!X9-'Balance Sheet'!V9)</f>
        <v>314.21147667452851</v>
      </c>
      <c r="Y16" s="298">
        <f>-('Balance Sheet'!Y9-'Balance Sheet'!X9)</f>
        <v>-190.6638900209914</v>
      </c>
      <c r="Z16" s="298">
        <f>-('Balance Sheet'!Z9-'Balance Sheet'!Y9)</f>
        <v>-420.71198158806192</v>
      </c>
      <c r="AA16" s="298">
        <f>-('Balance Sheet'!AA9-'Balance Sheet'!Z9)</f>
        <v>281.7312335346096</v>
      </c>
      <c r="AB16" s="299">
        <f t="shared" si="16"/>
        <v>-15.433161399915207</v>
      </c>
      <c r="AC16" s="298">
        <f>-('Balance Sheet'!AC9-'Balance Sheet'!AA9)</f>
        <v>109.91635648697638</v>
      </c>
      <c r="AD16" s="298">
        <f>-('Balance Sheet'!AD9-'Balance Sheet'!AC9)</f>
        <v>-170.94183711029154</v>
      </c>
      <c r="AE16" s="298">
        <f>-('Balance Sheet'!AE9-'Balance Sheet'!AD9)</f>
        <v>-297.56069317074571</v>
      </c>
      <c r="AF16" s="298">
        <f>-('Balance Sheet'!AF9-'Balance Sheet'!AE9)</f>
        <v>104.0261195856815</v>
      </c>
      <c r="AG16" s="299">
        <f t="shared" si="17"/>
        <v>-254.56005420837937</v>
      </c>
      <c r="AH16" s="298">
        <f>-('Balance Sheet'!AH9-'Balance Sheet'!AF9)</f>
        <v>163.8704528242115</v>
      </c>
      <c r="AI16" s="298">
        <f>-('Balance Sheet'!AI9-'Balance Sheet'!AH9)</f>
        <v>-241.66974319436713</v>
      </c>
      <c r="AJ16" s="298">
        <f>-('Balance Sheet'!AJ9-'Balance Sheet'!AI9)</f>
        <v>-413.40559411290678</v>
      </c>
      <c r="AK16" s="298">
        <f>-('Balance Sheet'!AK9-'Balance Sheet'!AJ9)</f>
        <v>83.216750372820115</v>
      </c>
      <c r="AL16" s="299">
        <f t="shared" si="18"/>
        <v>-407.9881341102423</v>
      </c>
      <c r="AM16" s="298">
        <f>-('Balance Sheet'!AM9-'Balance Sheet'!AK9)</f>
        <v>294.96171919040398</v>
      </c>
      <c r="AN16" s="298">
        <f>-('Balance Sheet'!AN9-'Balance Sheet'!AM9)</f>
        <v>-213.23625333726477</v>
      </c>
      <c r="AO16" s="298">
        <f>-('Balance Sheet'!AO9-'Balance Sheet'!AN9)</f>
        <v>-443.97302438150791</v>
      </c>
      <c r="AP16" s="298">
        <f>-('Balance Sheet'!AP9-'Balance Sheet'!AO9)</f>
        <v>174.64744099632753</v>
      </c>
      <c r="AQ16" s="299">
        <f t="shared" si="19"/>
        <v>-187.60011753204117</v>
      </c>
      <c r="AR16" s="298">
        <f>-('Balance Sheet'!AR9-'Balance Sheet'!AP9)</f>
        <v>337.94953836708964</v>
      </c>
      <c r="AS16" s="298">
        <f>-('Balance Sheet'!AS9-'Balance Sheet'!AR9)</f>
        <v>-223.78467476131982</v>
      </c>
      <c r="AT16" s="298">
        <f>-('Balance Sheet'!AT9-'Balance Sheet'!AS9)</f>
        <v>-426.15788474083092</v>
      </c>
      <c r="AU16" s="298">
        <f>-('Balance Sheet'!AU9-'Balance Sheet'!AT9)</f>
        <v>145.12207604627974</v>
      </c>
      <c r="AV16" s="299">
        <f t="shared" si="20"/>
        <v>-166.87094508878135</v>
      </c>
    </row>
    <row r="17" spans="2:48" outlineLevel="1" x14ac:dyDescent="0.3">
      <c r="B17" s="556" t="s">
        <v>274</v>
      </c>
      <c r="C17" s="557"/>
      <c r="D17" s="298">
        <v>847.3</v>
      </c>
      <c r="E17" s="298">
        <f>774.6-D17</f>
        <v>-72.699999999999932</v>
      </c>
      <c r="F17" s="298">
        <f>831.6-E17-D17</f>
        <v>57</v>
      </c>
      <c r="G17" s="298">
        <f>922-F17-E17-D17</f>
        <v>90.399999999999977</v>
      </c>
      <c r="H17" s="299">
        <f t="shared" si="12"/>
        <v>922</v>
      </c>
      <c r="I17" s="298">
        <v>-28.5</v>
      </c>
      <c r="J17" s="298">
        <f>-247.7-I17</f>
        <v>-219.2</v>
      </c>
      <c r="K17" s="298">
        <f>-492.1-J17-I17</f>
        <v>-244.40000000000003</v>
      </c>
      <c r="L17" s="298">
        <f>-317.5-K17-J17-I17</f>
        <v>174.60000000000002</v>
      </c>
      <c r="M17" s="299">
        <f t="shared" si="13"/>
        <v>-317.5</v>
      </c>
      <c r="N17" s="298">
        <v>5.2</v>
      </c>
      <c r="O17" s="298">
        <f>139.7-N17</f>
        <v>134.5</v>
      </c>
      <c r="P17" s="298">
        <f>216.8-O17-N17</f>
        <v>77.100000000000009</v>
      </c>
      <c r="Q17" s="298">
        <f>251.1-P17-O17-N17</f>
        <v>34.299999999999997</v>
      </c>
      <c r="R17" s="299">
        <f t="shared" si="14"/>
        <v>251.10000000000002</v>
      </c>
      <c r="S17" s="298">
        <f>64.6+330.4+50.7-4.9</f>
        <v>440.8</v>
      </c>
      <c r="T17" s="298">
        <f>-120.7+670.7+77.3-17.9-S17</f>
        <v>168.59999999999997</v>
      </c>
      <c r="U17" s="298">
        <f t="shared" ref="U17:U20" si="21">0-T17-S17</f>
        <v>-609.4</v>
      </c>
      <c r="V17" s="298">
        <f t="shared" si="11"/>
        <v>0</v>
      </c>
      <c r="W17" s="299">
        <f t="shared" si="15"/>
        <v>0</v>
      </c>
      <c r="X17" s="298">
        <f>-('Balance Sheet'!X10-'Balance Sheet'!V10)</f>
        <v>-4.8369999999999891</v>
      </c>
      <c r="Y17" s="298">
        <f>-('Balance Sheet'!Y10-'Balance Sheet'!X10)</f>
        <v>-4.8853700000000231</v>
      </c>
      <c r="Z17" s="298">
        <f>-('Balance Sheet'!Z10-'Balance Sheet'!Y10)</f>
        <v>-4.9342237000000182</v>
      </c>
      <c r="AA17" s="298">
        <f>-('Balance Sheet'!AA10-'Balance Sheet'!Z10)</f>
        <v>-4.9835659369999803</v>
      </c>
      <c r="AB17" s="299">
        <f t="shared" si="16"/>
        <v>-19.640159637000011</v>
      </c>
      <c r="AC17" s="298">
        <f>-('Balance Sheet'!AC10-'Balance Sheet'!AA10)</f>
        <v>-5.0334015963700267</v>
      </c>
      <c r="AD17" s="298">
        <f>-('Balance Sheet'!AD10-'Balance Sheet'!AC10)</f>
        <v>-5.083735612333669</v>
      </c>
      <c r="AE17" s="298">
        <f>-('Balance Sheet'!AE10-'Balance Sheet'!AD10)</f>
        <v>-5.1345729684570642</v>
      </c>
      <c r="AF17" s="298">
        <f>-('Balance Sheet'!AF10-'Balance Sheet'!AE10)</f>
        <v>-5.1859186981415633</v>
      </c>
      <c r="AG17" s="299">
        <f t="shared" si="17"/>
        <v>-20.437628875302323</v>
      </c>
      <c r="AH17" s="298">
        <f>-('Balance Sheet'!AH10-'Balance Sheet'!AF10)</f>
        <v>-5.2377778851230232</v>
      </c>
      <c r="AI17" s="298">
        <f>-('Balance Sheet'!AI10-'Balance Sheet'!AH10)</f>
        <v>-5.2901556639742466</v>
      </c>
      <c r="AJ17" s="298">
        <f>-('Balance Sheet'!AJ10-'Balance Sheet'!AI10)</f>
        <v>-5.3430572206140141</v>
      </c>
      <c r="AK17" s="298">
        <f>-('Balance Sheet'!AK10-'Balance Sheet'!AJ10)</f>
        <v>-5.3964877928201531</v>
      </c>
      <c r="AL17" s="299">
        <f t="shared" si="18"/>
        <v>-21.267478562531437</v>
      </c>
      <c r="AM17" s="298">
        <f>-('Balance Sheet'!AM10-'Balance Sheet'!AK10)</f>
        <v>-5.450452670748291</v>
      </c>
      <c r="AN17" s="298">
        <f>-('Balance Sheet'!AN10-'Balance Sheet'!AM10)</f>
        <v>-5.5049571974558376</v>
      </c>
      <c r="AO17" s="298">
        <f>-('Balance Sheet'!AO10-'Balance Sheet'!AN10)</f>
        <v>-5.5600067694304016</v>
      </c>
      <c r="AP17" s="298">
        <f>-('Balance Sheet'!AP10-'Balance Sheet'!AO10)</f>
        <v>-5.6156068371246874</v>
      </c>
      <c r="AQ17" s="299">
        <f t="shared" si="19"/>
        <v>-22.131023474759218</v>
      </c>
      <c r="AR17" s="298">
        <f>-('Balance Sheet'!AR10-'Balance Sheet'!AP10)</f>
        <v>-5.6717629054959389</v>
      </c>
      <c r="AS17" s="298">
        <f>-('Balance Sheet'!AS10-'Balance Sheet'!AR10)</f>
        <v>-5.7284805345508403</v>
      </c>
      <c r="AT17" s="298">
        <f>-('Balance Sheet'!AT10-'Balance Sheet'!AS10)</f>
        <v>-5.785765339896443</v>
      </c>
      <c r="AU17" s="298">
        <f>-('Balance Sheet'!AU10-'Balance Sheet'!AT10)</f>
        <v>-5.843622993295412</v>
      </c>
      <c r="AV17" s="299">
        <f t="shared" si="20"/>
        <v>-23.029631773238634</v>
      </c>
    </row>
    <row r="18" spans="2:48" outlineLevel="1" x14ac:dyDescent="0.3">
      <c r="B18" s="556" t="s">
        <v>225</v>
      </c>
      <c r="C18" s="557"/>
      <c r="D18" s="298">
        <v>-21.3</v>
      </c>
      <c r="E18" s="298">
        <f>-83.4-D18</f>
        <v>-62.100000000000009</v>
      </c>
      <c r="F18" s="298">
        <f>-15.1-E18-D18</f>
        <v>68.300000000000011</v>
      </c>
      <c r="G18" s="298">
        <f>31.9-F18-E18-D18</f>
        <v>47</v>
      </c>
      <c r="H18" s="299">
        <f t="shared" si="12"/>
        <v>31.900000000000006</v>
      </c>
      <c r="I18" s="298">
        <v>-110.3</v>
      </c>
      <c r="J18" s="298">
        <f>-186.4-I18</f>
        <v>-76.100000000000009</v>
      </c>
      <c r="K18" s="298">
        <f>-320.3-J18-I18</f>
        <v>-133.89999999999998</v>
      </c>
      <c r="L18" s="298">
        <f>-210.8-K18-J18-I18</f>
        <v>109.49999999999997</v>
      </c>
      <c r="M18" s="299">
        <f t="shared" si="13"/>
        <v>-210.79999999999998</v>
      </c>
      <c r="N18" s="298">
        <v>24.8</v>
      </c>
      <c r="O18" s="298">
        <f>21.3-N18</f>
        <v>-3.5</v>
      </c>
      <c r="P18" s="298">
        <f>108.2-O18-N18</f>
        <v>86.9</v>
      </c>
      <c r="Q18" s="298">
        <f>189.9-P18-O18-N18</f>
        <v>81.7</v>
      </c>
      <c r="R18" s="299">
        <f t="shared" si="14"/>
        <v>189.9</v>
      </c>
      <c r="S18" s="298">
        <v>84</v>
      </c>
      <c r="T18" s="298">
        <f>133-S18</f>
        <v>49</v>
      </c>
      <c r="U18" s="298">
        <f>341.7-T18-S18</f>
        <v>208.7</v>
      </c>
      <c r="V18" s="298">
        <f>345.5-U18-T18-S18</f>
        <v>3.8000000000000114</v>
      </c>
      <c r="W18" s="299">
        <f t="shared" si="15"/>
        <v>345.5</v>
      </c>
      <c r="X18" s="298">
        <f>'Balance Sheet'!X22-'Balance Sheet'!V22</f>
        <v>-30.275601427557831</v>
      </c>
      <c r="Y18" s="298">
        <f>'Balance Sheet'!Y22-'Balance Sheet'!X22</f>
        <v>-9.8748419611672489</v>
      </c>
      <c r="Z18" s="298">
        <f>'Balance Sheet'!Z22-'Balance Sheet'!Y22</f>
        <v>231.28418082958228</v>
      </c>
      <c r="AA18" s="298">
        <f>'Balance Sheet'!AA22-'Balance Sheet'!Z22</f>
        <v>-123.88835789587097</v>
      </c>
      <c r="AB18" s="299">
        <f t="shared" si="16"/>
        <v>67.245379544986235</v>
      </c>
      <c r="AC18" s="298">
        <f>'Balance Sheet'!AC22-'Balance Sheet'!AA22</f>
        <v>59.5567005747439</v>
      </c>
      <c r="AD18" s="298">
        <f>'Balance Sheet'!AD22-'Balance Sheet'!AC22</f>
        <v>-19.45534737248704</v>
      </c>
      <c r="AE18" s="298">
        <f>'Balance Sheet'!AE22-'Balance Sheet'!AD22</f>
        <v>227.19793463702649</v>
      </c>
      <c r="AF18" s="298">
        <f>'Balance Sheet'!AF22-'Balance Sheet'!AE22</f>
        <v>-55.18226004240978</v>
      </c>
      <c r="AG18" s="299">
        <f t="shared" si="17"/>
        <v>212.11702779687357</v>
      </c>
      <c r="AH18" s="298">
        <f>'Balance Sheet'!AH22-'Balance Sheet'!AF22</f>
        <v>28.038243856725558</v>
      </c>
      <c r="AI18" s="298">
        <f>'Balance Sheet'!AI22-'Balance Sheet'!AH22</f>
        <v>-13.556343804203834</v>
      </c>
      <c r="AJ18" s="298">
        <f>'Balance Sheet'!AJ22-'Balance Sheet'!AI22</f>
        <v>276.61424752181824</v>
      </c>
      <c r="AK18" s="298">
        <f>'Balance Sheet'!AK22-'Balance Sheet'!AJ22</f>
        <v>-56.635084903307643</v>
      </c>
      <c r="AL18" s="299">
        <f t="shared" si="18"/>
        <v>234.46106267103232</v>
      </c>
      <c r="AM18" s="298">
        <f>'Balance Sheet'!AM22-'Balance Sheet'!AK22</f>
        <v>-12.489161602802142</v>
      </c>
      <c r="AN18" s="298">
        <f>'Balance Sheet'!AN22-'Balance Sheet'!AM22</f>
        <v>-41.239584238192265</v>
      </c>
      <c r="AO18" s="298">
        <f>'Balance Sheet'!AO22-'Balance Sheet'!AN22</f>
        <v>287.31178605318019</v>
      </c>
      <c r="AP18" s="298">
        <f>'Balance Sheet'!AP22-'Balance Sheet'!AO22</f>
        <v>-82.995463609924627</v>
      </c>
      <c r="AQ18" s="299">
        <f t="shared" si="19"/>
        <v>150.58757660226115</v>
      </c>
      <c r="AR18" s="298">
        <f>'Balance Sheet'!AR22-'Balance Sheet'!AP22</f>
        <v>-52.136675379184908</v>
      </c>
      <c r="AS18" s="298">
        <f>'Balance Sheet'!AS22-'Balance Sheet'!AR22</f>
        <v>-42.57986220191242</v>
      </c>
      <c r="AT18" s="298">
        <f>'Balance Sheet'!AT22-'Balance Sheet'!AS22</f>
        <v>293.95698664184374</v>
      </c>
      <c r="AU18" s="298">
        <f>'Balance Sheet'!AU22-'Balance Sheet'!AT22</f>
        <v>-79.458329971079365</v>
      </c>
      <c r="AV18" s="299">
        <f t="shared" si="20"/>
        <v>119.78211908966705</v>
      </c>
    </row>
    <row r="19" spans="2:48" outlineLevel="1" x14ac:dyDescent="0.3">
      <c r="B19" s="296" t="s">
        <v>230</v>
      </c>
      <c r="C19" s="297"/>
      <c r="D19" s="298">
        <v>362.7</v>
      </c>
      <c r="E19" s="298">
        <f>9.4-D19</f>
        <v>-353.3</v>
      </c>
      <c r="F19" s="298">
        <f>-32.4-E19-D19</f>
        <v>-41.799999999999955</v>
      </c>
      <c r="G19" s="298">
        <f>-30.5-F19-E19-D19</f>
        <v>1.8999999999999773</v>
      </c>
      <c r="H19" s="299">
        <f t="shared" si="12"/>
        <v>-30.5</v>
      </c>
      <c r="I19" s="298">
        <v>426.7</v>
      </c>
      <c r="J19" s="298">
        <f>112.1-I19</f>
        <v>-314.60000000000002</v>
      </c>
      <c r="K19" s="298">
        <f>92-J19-I19</f>
        <v>-20.099999999999966</v>
      </c>
      <c r="L19" s="298">
        <f>31-K19-J19-I19</f>
        <v>-61</v>
      </c>
      <c r="M19" s="299">
        <f t="shared" si="13"/>
        <v>31</v>
      </c>
      <c r="N19" s="298">
        <v>398.9</v>
      </c>
      <c r="O19" s="298">
        <f>89.8-N19</f>
        <v>-309.09999999999997</v>
      </c>
      <c r="P19" s="298">
        <f>52.4-O19-N19</f>
        <v>-37.400000000000034</v>
      </c>
      <c r="Q19" s="298">
        <f>-6.1-P19-O19-N19</f>
        <v>-58.5</v>
      </c>
      <c r="R19" s="299">
        <f t="shared" si="14"/>
        <v>-6.1000000000000227</v>
      </c>
      <c r="S19" s="298">
        <v>461.3</v>
      </c>
      <c r="T19" s="298">
        <f>110.2-S19</f>
        <v>-351.1</v>
      </c>
      <c r="U19" s="298">
        <f>32.7-T19-S19</f>
        <v>-77.5</v>
      </c>
      <c r="V19" s="298">
        <f>-75.8-U19-T19-S19</f>
        <v>-108.5</v>
      </c>
      <c r="W19" s="299">
        <f t="shared" si="15"/>
        <v>-75.800000000000011</v>
      </c>
      <c r="X19" s="298">
        <f>'Balance Sheet'!X27-'Balance Sheet'!V27</f>
        <v>492.57000000000016</v>
      </c>
      <c r="Y19" s="298">
        <f>'Balance Sheet'!Y27-'Balance Sheet'!X27</f>
        <v>-320.17050000000017</v>
      </c>
      <c r="Z19" s="298">
        <f>'Balance Sheet'!Z27-'Balance Sheet'!Y27</f>
        <v>-18.142994999999928</v>
      </c>
      <c r="AA19" s="298">
        <f>'Balance Sheet'!AA27-'Balance Sheet'!Z27</f>
        <v>-17.96156504999999</v>
      </c>
      <c r="AB19" s="299">
        <f t="shared" si="16"/>
        <v>136.29493995000007</v>
      </c>
      <c r="AC19" s="298">
        <f>'Balance Sheet'!AC27-'Balance Sheet'!AA27</f>
        <v>533.45848198499993</v>
      </c>
      <c r="AD19" s="298">
        <f>'Balance Sheet'!AD27-'Balance Sheet'!AC27</f>
        <v>-346.74801329025013</v>
      </c>
      <c r="AE19" s="298">
        <f>'Balance Sheet'!AE27-'Balance Sheet'!AD27</f>
        <v>-19.64905408644745</v>
      </c>
      <c r="AF19" s="298">
        <f>'Balance Sheet'!AF27-'Balance Sheet'!AE27</f>
        <v>-19.452563545582962</v>
      </c>
      <c r="AG19" s="299">
        <f t="shared" si="17"/>
        <v>147.6088510627194</v>
      </c>
      <c r="AH19" s="298">
        <f>'Balance Sheet'!AH27-'Balance Sheet'!AF27</f>
        <v>577.74113730381578</v>
      </c>
      <c r="AI19" s="298">
        <f>'Balance Sheet'!AI27-'Balance Sheet'!AH27</f>
        <v>-375.53173924748035</v>
      </c>
      <c r="AJ19" s="298">
        <f>'Balance Sheet'!AJ27-'Balance Sheet'!AI27</f>
        <v>-21.280131890690427</v>
      </c>
      <c r="AK19" s="298">
        <f>'Balance Sheet'!AK27-'Balance Sheet'!AJ27</f>
        <v>-21.067330571783714</v>
      </c>
      <c r="AL19" s="299">
        <f t="shared" si="18"/>
        <v>159.86193559386129</v>
      </c>
      <c r="AM19" s="298">
        <f>'Balance Sheet'!AM27-'Balance Sheet'!AK27</f>
        <v>625.69971798197457</v>
      </c>
      <c r="AN19" s="298">
        <f>'Balance Sheet'!AN27-'Balance Sheet'!AM27</f>
        <v>-406.70481668828324</v>
      </c>
      <c r="AO19" s="298">
        <f>'Balance Sheet'!AO27-'Balance Sheet'!AN27</f>
        <v>-23.046606279002845</v>
      </c>
      <c r="AP19" s="298">
        <f>'Balance Sheet'!AP27-'Balance Sheet'!AO27</f>
        <v>-22.816140216212716</v>
      </c>
      <c r="AQ19" s="299">
        <f t="shared" si="19"/>
        <v>173.13215479847577</v>
      </c>
      <c r="AR19" s="298">
        <f>'Balance Sheet'!AR27-'Balance Sheet'!AP27</f>
        <v>677.63936442151726</v>
      </c>
      <c r="AS19" s="298">
        <f>'Balance Sheet'!AS27-'Balance Sheet'!AR27</f>
        <v>-440.46558687398601</v>
      </c>
      <c r="AT19" s="298">
        <f>'Balance Sheet'!AT27-'Balance Sheet'!AS27</f>
        <v>-24.959716589526124</v>
      </c>
      <c r="AU19" s="298">
        <f>'Balance Sheet'!AU27-'Balance Sheet'!AT27</f>
        <v>-24.710119423630658</v>
      </c>
      <c r="AV19" s="299">
        <f t="shared" si="20"/>
        <v>187.50394153437446</v>
      </c>
    </row>
    <row r="20" spans="2:48" outlineLevel="1" x14ac:dyDescent="0.3">
      <c r="B20" s="296" t="s">
        <v>275</v>
      </c>
      <c r="C20" s="297"/>
      <c r="D20" s="298">
        <v>0</v>
      </c>
      <c r="E20" s="298">
        <v>0</v>
      </c>
      <c r="F20" s="298">
        <f>1045.4-E20-D20</f>
        <v>1045.4000000000001</v>
      </c>
      <c r="G20" s="298">
        <f>1237-F20-E20-D20</f>
        <v>191.59999999999991</v>
      </c>
      <c r="H20" s="299">
        <f t="shared" si="12"/>
        <v>1237</v>
      </c>
      <c r="I20" s="298">
        <v>125.1</v>
      </c>
      <c r="J20" s="298">
        <f>-1227.4-I20</f>
        <v>-1352.5</v>
      </c>
      <c r="K20" s="298">
        <f>-1224.5-J20-I20</f>
        <v>2.9000000000000057</v>
      </c>
      <c r="L20" s="298">
        <f>-1214.6-K20-J20-I20</f>
        <v>9.9000000000000057</v>
      </c>
      <c r="M20" s="299">
        <f t="shared" si="13"/>
        <v>-1214.5999999999999</v>
      </c>
      <c r="N20" s="298">
        <v>56.9</v>
      </c>
      <c r="O20" s="298">
        <f>40-N20</f>
        <v>-16.899999999999999</v>
      </c>
      <c r="P20" s="298">
        <f>128.9-O20-N20</f>
        <v>88.9</v>
      </c>
      <c r="Q20" s="298">
        <f>286.1-P20-O20-N20</f>
        <v>157.20000000000002</v>
      </c>
      <c r="R20" s="299">
        <f t="shared" si="14"/>
        <v>286.10000000000002</v>
      </c>
      <c r="S20" s="298">
        <v>0</v>
      </c>
      <c r="T20" s="298">
        <f>0-S20</f>
        <v>0</v>
      </c>
      <c r="U20" s="298">
        <f t="shared" si="21"/>
        <v>0</v>
      </c>
      <c r="V20" s="298">
        <f>-149.6-U20-T20-S20</f>
        <v>-149.6</v>
      </c>
      <c r="W20" s="299">
        <f t="shared" si="15"/>
        <v>-149.6</v>
      </c>
      <c r="X20" s="298">
        <f>-'Balance Sheet'!X25-'Balance Sheet'!V25</f>
        <v>0</v>
      </c>
      <c r="Y20" s="298">
        <f>'Balance Sheet'!Y25-'Balance Sheet'!X25</f>
        <v>0</v>
      </c>
      <c r="Z20" s="298">
        <f>'Balance Sheet'!Z25-'Balance Sheet'!Y25</f>
        <v>0</v>
      </c>
      <c r="AA20" s="298">
        <f>'Balance Sheet'!AA25-'Balance Sheet'!Z25</f>
        <v>0</v>
      </c>
      <c r="AB20" s="299">
        <f t="shared" si="16"/>
        <v>0</v>
      </c>
      <c r="AC20" s="298">
        <f>-'Balance Sheet'!AC25-'Balance Sheet'!AA25</f>
        <v>0</v>
      </c>
      <c r="AD20" s="298">
        <f>'Balance Sheet'!AD25-'Balance Sheet'!AC25</f>
        <v>0</v>
      </c>
      <c r="AE20" s="298">
        <f>'Balance Sheet'!AE25-'Balance Sheet'!AD25</f>
        <v>0</v>
      </c>
      <c r="AF20" s="298">
        <f>'Balance Sheet'!AF25-'Balance Sheet'!AE25</f>
        <v>0</v>
      </c>
      <c r="AG20" s="299">
        <f t="shared" si="17"/>
        <v>0</v>
      </c>
      <c r="AH20" s="298">
        <f>-'Balance Sheet'!AH25-'Balance Sheet'!AF25</f>
        <v>0</v>
      </c>
      <c r="AI20" s="298">
        <f>'Balance Sheet'!AI25-'Balance Sheet'!AH25</f>
        <v>0</v>
      </c>
      <c r="AJ20" s="298">
        <f>'Balance Sheet'!AJ25-'Balance Sheet'!AI25</f>
        <v>0</v>
      </c>
      <c r="AK20" s="298">
        <f>'Balance Sheet'!AK25-'Balance Sheet'!AJ25</f>
        <v>0</v>
      </c>
      <c r="AL20" s="299">
        <f t="shared" si="18"/>
        <v>0</v>
      </c>
      <c r="AM20" s="298">
        <f>-'Balance Sheet'!AM25-'Balance Sheet'!AK25</f>
        <v>0</v>
      </c>
      <c r="AN20" s="298">
        <f>'Balance Sheet'!AN25-'Balance Sheet'!AM25</f>
        <v>0</v>
      </c>
      <c r="AO20" s="298">
        <f>'Balance Sheet'!AO25-'Balance Sheet'!AN25</f>
        <v>0</v>
      </c>
      <c r="AP20" s="298">
        <f>'Balance Sheet'!AP25-'Balance Sheet'!AO25</f>
        <v>0</v>
      </c>
      <c r="AQ20" s="299">
        <f t="shared" si="19"/>
        <v>0</v>
      </c>
      <c r="AR20" s="298">
        <f>-'Balance Sheet'!AR25-'Balance Sheet'!AP25</f>
        <v>0</v>
      </c>
      <c r="AS20" s="298">
        <f>'Balance Sheet'!AS25-'Balance Sheet'!AR25</f>
        <v>0</v>
      </c>
      <c r="AT20" s="298">
        <f>'Balance Sheet'!AT25-'Balance Sheet'!AS25</f>
        <v>0</v>
      </c>
      <c r="AU20" s="298">
        <f>'Balance Sheet'!AU25-'Balance Sheet'!AT25</f>
        <v>0</v>
      </c>
      <c r="AV20" s="299">
        <f t="shared" si="20"/>
        <v>0</v>
      </c>
    </row>
    <row r="21" spans="2:48" ht="16.2" outlineLevel="1" x14ac:dyDescent="0.45">
      <c r="B21" s="556" t="s">
        <v>276</v>
      </c>
      <c r="C21" s="557"/>
      <c r="D21" s="300">
        <v>305.60000000000002</v>
      </c>
      <c r="E21" s="300">
        <f>429.3-D21</f>
        <v>123.69999999999999</v>
      </c>
      <c r="F21" s="300">
        <f>-67.4-E21-D21</f>
        <v>-496.70000000000005</v>
      </c>
      <c r="G21" s="300">
        <f>-141.1-F21-E21-D21</f>
        <v>-73.699999999999989</v>
      </c>
      <c r="H21" s="301">
        <f t="shared" si="12"/>
        <v>-141.10000000000002</v>
      </c>
      <c r="I21" s="300">
        <f>-31.8-301.6</f>
        <v>-333.40000000000003</v>
      </c>
      <c r="J21" s="300">
        <f>-608.6-140.5-I21</f>
        <v>-415.7</v>
      </c>
      <c r="K21" s="300">
        <f>-918.2+70.5-J21-I21</f>
        <v>-98.600000000000023</v>
      </c>
      <c r="L21" s="300">
        <f>-1231.4+280.5-K21-J21-I21</f>
        <v>-103.20000000000005</v>
      </c>
      <c r="M21" s="301">
        <f t="shared" si="13"/>
        <v>-950.90000000000009</v>
      </c>
      <c r="N21" s="300">
        <f>-314.8+12.3</f>
        <v>-302.5</v>
      </c>
      <c r="O21" s="300">
        <f>-676.3+59.5-N21</f>
        <v>-314.29999999999995</v>
      </c>
      <c r="P21" s="300">
        <f>-1029.8+154.6-O21-N21</f>
        <v>-258.39999999999998</v>
      </c>
      <c r="Q21" s="300">
        <f>-1488.1+358.7-P21-O21-N21</f>
        <v>-254.19999999999993</v>
      </c>
      <c r="R21" s="301">
        <f t="shared" si="14"/>
        <v>-1129.3999999999999</v>
      </c>
      <c r="S21" s="300">
        <f>-363.3+79.4</f>
        <v>-283.89999999999998</v>
      </c>
      <c r="T21" s="300">
        <f>-766.3-95-S21</f>
        <v>-577.4</v>
      </c>
      <c r="U21" s="300">
        <f>-1201.4+5.8-T21-S21</f>
        <v>-334.30000000000018</v>
      </c>
      <c r="V21" s="300">
        <f>339.6-1625.6-U21-T21-S21</f>
        <v>-90.399999999999864</v>
      </c>
      <c r="W21" s="301">
        <f t="shared" si="15"/>
        <v>-1286</v>
      </c>
      <c r="X21" s="300">
        <f>('Balance Sheet'!X23+'Balance Sheet'!X33+'Balance Sheet'!X29+'Balance Sheet'!X34+'Balance Sheet'!X26+'Balance Sheet'!X24-'Balance Sheet'!V33-'Balance Sheet'!V23-'Balance Sheet'!V29-'Balance Sheet'!V34-'Balance Sheet'!V26-'Balance Sheet'!V24)</f>
        <v>-36.38130000000001</v>
      </c>
      <c r="Y21" s="300">
        <f>('Balance Sheet'!Y23+'Balance Sheet'!Y24+'Balance Sheet'!Y26+'Balance Sheet'!Y29+'Balance Sheet'!Y33+'Balance Sheet'!Y34-'Balance Sheet'!X23-'Balance Sheet'!X24-'Balance Sheet'!X26-'Balance Sheet'!X29-'Balance Sheet'!X33-'Balance Sheet'!X34)</f>
        <v>-36.204376300000149</v>
      </c>
      <c r="Z21" s="300">
        <f>('Balance Sheet'!Z23+'Balance Sheet'!Z24+'Balance Sheet'!Z26+'Balance Sheet'!Z29+'Balance Sheet'!Z33+'Balance Sheet'!Z34-'Balance Sheet'!Y23-'Balance Sheet'!Y24-'Balance Sheet'!Y26-'Balance Sheet'!Y29-'Balance Sheet'!Y33-'Balance Sheet'!Y34)</f>
        <v>-36.028317287298705</v>
      </c>
      <c r="AA21" s="300">
        <f>('Balance Sheet'!AA23+'Balance Sheet'!AA24+'Balance Sheet'!AA26+'Balance Sheet'!AA29+'Balance Sheet'!AA33+'Balance Sheet'!AA34-'Balance Sheet'!Z23-'Balance Sheet'!Z24-'Balance Sheet'!Z26-'Balance Sheet'!Z29-'Balance Sheet'!Z33-'Balance Sheet'!Z34)</f>
        <v>-35.853118718189762</v>
      </c>
      <c r="AB21" s="301">
        <f t="shared" si="16"/>
        <v>-144.46711230548863</v>
      </c>
      <c r="AC21" s="300">
        <f>('Balance Sheet'!AC23+'Balance Sheet'!AC33+'Balance Sheet'!AC29+'Balance Sheet'!AC34+'Balance Sheet'!AC26+'Balance Sheet'!AC24-'Balance Sheet'!AA33-'Balance Sheet'!AA23-'Balance Sheet'!AA29-'Balance Sheet'!AA34-'Balance Sheet'!AA26-'Balance Sheet'!AA24)</f>
        <v>-35.678776369851221</v>
      </c>
      <c r="AD21" s="300">
        <f>('Balance Sheet'!AD23+'Balance Sheet'!AD24+'Balance Sheet'!AD26+'Balance Sheet'!AD29+'Balance Sheet'!AD33+'Balance Sheet'!AD34-'Balance Sheet'!AC23-'Balance Sheet'!AC24-'Balance Sheet'!AC26-'Balance Sheet'!AC29-'Balance Sheet'!AC33-'Balance Sheet'!AC34)</f>
        <v>-35.505286040279316</v>
      </c>
      <c r="AE21" s="300">
        <f>('Balance Sheet'!AE23+'Balance Sheet'!AE24+'Balance Sheet'!AE26+'Balance Sheet'!AE29+'Balance Sheet'!AE33+'Balance Sheet'!AE34-'Balance Sheet'!AD23-'Balance Sheet'!AD24-'Balance Sheet'!AD26-'Balance Sheet'!AD29-'Balance Sheet'!AD33-'Balance Sheet'!AD34)</f>
        <v>-35.332643548142187</v>
      </c>
      <c r="AF21" s="300">
        <f>('Balance Sheet'!AF23+'Balance Sheet'!AF24+'Balance Sheet'!AF26+'Balance Sheet'!AF29+'Balance Sheet'!AF33+'Balance Sheet'!AF34-'Balance Sheet'!AE23-'Balance Sheet'!AE24-'Balance Sheet'!AE26-'Balance Sheet'!AE29-'Balance Sheet'!AE33-'Balance Sheet'!AE34)</f>
        <v>-35.160844732714395</v>
      </c>
      <c r="AG21" s="301">
        <f t="shared" si="17"/>
        <v>-141.67755069098712</v>
      </c>
      <c r="AH21" s="300">
        <f>('Balance Sheet'!AH23+'Balance Sheet'!AH33+'Balance Sheet'!AH29+'Balance Sheet'!AH34+'Balance Sheet'!AH26+'Balance Sheet'!AH24-'Balance Sheet'!AF33-'Balance Sheet'!AF23-'Balance Sheet'!AF29-'Balance Sheet'!AF34-'Balance Sheet'!AF26-'Balance Sheet'!AF24)</f>
        <v>-34.989885453754368</v>
      </c>
      <c r="AI21" s="300">
        <f>('Balance Sheet'!AI23+'Balance Sheet'!AI24+'Balance Sheet'!AI26+'Balance Sheet'!AI29+'Balance Sheet'!AI33+'Balance Sheet'!AI34-'Balance Sheet'!AH23-'Balance Sheet'!AH24-'Balance Sheet'!AH26-'Balance Sheet'!AH29-'Balance Sheet'!AH33-'Balance Sheet'!AH34)</f>
        <v>-34.819761591412316</v>
      </c>
      <c r="AJ21" s="300">
        <f>('Balance Sheet'!AJ23+'Balance Sheet'!AJ24+'Balance Sheet'!AJ26+'Balance Sheet'!AJ29+'Balance Sheet'!AJ33+'Balance Sheet'!AJ34-'Balance Sheet'!AI23-'Balance Sheet'!AI24-'Balance Sheet'!AI26-'Balance Sheet'!AI29-'Balance Sheet'!AI33-'Balance Sheet'!AI34)</f>
        <v>-34.650469046119724</v>
      </c>
      <c r="AK21" s="300">
        <f>('Balance Sheet'!AK23+'Balance Sheet'!AK24+'Balance Sheet'!AK26+'Balance Sheet'!AK29+'Balance Sheet'!AK33+'Balance Sheet'!AK34-'Balance Sheet'!AJ23-'Balance Sheet'!AJ24-'Balance Sheet'!AJ26-'Balance Sheet'!AJ29-'Balance Sheet'!AJ33-'Balance Sheet'!AJ34)</f>
        <v>-34.482003738504318</v>
      </c>
      <c r="AL21" s="301">
        <f t="shared" si="18"/>
        <v>-138.94211982979073</v>
      </c>
      <c r="AM21" s="300">
        <f>('Balance Sheet'!AM23+'Balance Sheet'!AM33+'Balance Sheet'!AM29+'Balance Sheet'!AM34+'Balance Sheet'!AM26+'Balance Sheet'!AM24-'Balance Sheet'!AK33-'Balance Sheet'!AK23-'Balance Sheet'!AK29-'Balance Sheet'!AK34-'Balance Sheet'!AK26-'Balance Sheet'!AK24)</f>
        <v>-34.314361609275466</v>
      </c>
      <c r="AN21" s="300">
        <f>('Balance Sheet'!AN23+'Balance Sheet'!AN24+'Balance Sheet'!AN26+'Balance Sheet'!AN29+'Balance Sheet'!AN33+'Balance Sheet'!AN34-'Balance Sheet'!AM23-'Balance Sheet'!AM24-'Balance Sheet'!AM26-'Balance Sheet'!AM29-'Balance Sheet'!AM33-'Balance Sheet'!AM34)</f>
        <v>-34.147538619135048</v>
      </c>
      <c r="AO21" s="300">
        <f>('Balance Sheet'!AO23+'Balance Sheet'!AO24+'Balance Sheet'!AO26+'Balance Sheet'!AO29+'Balance Sheet'!AO33+'Balance Sheet'!AO34-'Balance Sheet'!AN23-'Balance Sheet'!AN24-'Balance Sheet'!AN26-'Balance Sheet'!AN29-'Balance Sheet'!AN33-'Balance Sheet'!AN34)</f>
        <v>-33.981530748675141</v>
      </c>
      <c r="AP21" s="300">
        <f>('Balance Sheet'!AP23+'Balance Sheet'!AP24+'Balance Sheet'!AP26+'Balance Sheet'!AP29+'Balance Sheet'!AP33+'Balance Sheet'!AP34-'Balance Sheet'!AO23-'Balance Sheet'!AO24-'Balance Sheet'!AO26-'Balance Sheet'!AO29-'Balance Sheet'!AO33-'Balance Sheet'!AO34)</f>
        <v>-33.816333998274786</v>
      </c>
      <c r="AQ21" s="301">
        <f t="shared" si="19"/>
        <v>-136.25976497536044</v>
      </c>
      <c r="AR21" s="300">
        <f>('Balance Sheet'!AR23+'Balance Sheet'!AR33+'Balance Sheet'!AR29+'Balance Sheet'!AR34+'Balance Sheet'!AR26+'Balance Sheet'!AR24-'Balance Sheet'!AP33-'Balance Sheet'!AP23-'Balance Sheet'!AP29-'Balance Sheet'!AP34-'Balance Sheet'!AP26-'Balance Sheet'!AP24)</f>
        <v>-33.651944388013135</v>
      </c>
      <c r="AS21" s="300">
        <f>('Balance Sheet'!AS23+'Balance Sheet'!AS24+'Balance Sheet'!AS26+'Balance Sheet'!AS29+'Balance Sheet'!AS33+'Balance Sheet'!AS34-'Balance Sheet'!AR23-'Balance Sheet'!AR24-'Balance Sheet'!AR26-'Balance Sheet'!AR29-'Balance Sheet'!AR33-'Balance Sheet'!AR34)</f>
        <v>-33.488357957566222</v>
      </c>
      <c r="AT21" s="300">
        <f>('Balance Sheet'!AT23+'Balance Sheet'!AT24+'Balance Sheet'!AT26+'Balance Sheet'!AT29+'Balance Sheet'!AT33+'Balance Sheet'!AT34-'Balance Sheet'!AS23-'Balance Sheet'!AS24-'Balance Sheet'!AS26-'Balance Sheet'!AS29-'Balance Sheet'!AS33-'Balance Sheet'!AS34)</f>
        <v>-33.325570766104647</v>
      </c>
      <c r="AU21" s="300">
        <f>('Balance Sheet'!AU23+'Balance Sheet'!AU24+'Balance Sheet'!AU26+'Balance Sheet'!AU29+'Balance Sheet'!AU33+'Balance Sheet'!AU34-'Balance Sheet'!AT23-'Balance Sheet'!AT24-'Balance Sheet'!AT26-'Balance Sheet'!AT29-'Balance Sheet'!AT33-'Balance Sheet'!AT34)</f>
        <v>-33.163578892205805</v>
      </c>
      <c r="AV21" s="301">
        <f t="shared" si="20"/>
        <v>-133.62945200388981</v>
      </c>
    </row>
    <row r="22" spans="2:48" outlineLevel="1" x14ac:dyDescent="0.3">
      <c r="B22" s="560" t="s">
        <v>277</v>
      </c>
      <c r="C22" s="561"/>
      <c r="D22" s="302">
        <f t="shared" ref="D22:AU22" si="22">D6+SUM(D7:D21)</f>
        <v>2379.0000000000005</v>
      </c>
      <c r="E22" s="302">
        <f t="shared" si="22"/>
        <v>390.39999999999969</v>
      </c>
      <c r="F22" s="302">
        <f t="shared" si="22"/>
        <v>1169.400000000001</v>
      </c>
      <c r="G22" s="302">
        <f t="shared" si="22"/>
        <v>1108.1000000000008</v>
      </c>
      <c r="H22" s="303">
        <f t="shared" si="22"/>
        <v>5046.9000000000051</v>
      </c>
      <c r="I22" s="302">
        <f t="shared" si="22"/>
        <v>1836.0999999999985</v>
      </c>
      <c r="J22" s="302">
        <f t="shared" si="22"/>
        <v>-1361.3000000000009</v>
      </c>
      <c r="K22" s="302">
        <f t="shared" si="22"/>
        <v>-367.69999999999925</v>
      </c>
      <c r="L22" s="302">
        <f t="shared" si="22"/>
        <v>1490.7000000000014</v>
      </c>
      <c r="M22" s="303">
        <f t="shared" si="22"/>
        <v>1597.8000000000043</v>
      </c>
      <c r="N22" s="302">
        <f t="shared" si="22"/>
        <v>1835.7000000000003</v>
      </c>
      <c r="O22" s="302">
        <f t="shared" si="22"/>
        <v>883.80000000000018</v>
      </c>
      <c r="P22" s="302">
        <f t="shared" si="22"/>
        <v>1748.9999999999991</v>
      </c>
      <c r="Q22" s="302">
        <f t="shared" si="22"/>
        <v>1520.6999999999996</v>
      </c>
      <c r="R22" s="303">
        <f t="shared" si="22"/>
        <v>5989.199999999998</v>
      </c>
      <c r="S22" s="302">
        <f t="shared" si="22"/>
        <v>1870.8999999999999</v>
      </c>
      <c r="T22" s="302">
        <f t="shared" si="22"/>
        <v>161.9000000000002</v>
      </c>
      <c r="U22" s="302">
        <f t="shared" si="22"/>
        <v>1264.7999999999993</v>
      </c>
      <c r="V22" s="302">
        <f t="shared" si="22"/>
        <v>1099.599999999999</v>
      </c>
      <c r="W22" s="303">
        <f>W6+SUM(W7:W21)</f>
        <v>4397.1999999999989</v>
      </c>
      <c r="X22" s="302">
        <f>X6+SUM(X7:X21)</f>
        <v>2144.7231164179493</v>
      </c>
      <c r="Y22" s="302">
        <f t="shared" si="22"/>
        <v>708.71216990345283</v>
      </c>
      <c r="Z22" s="302">
        <f t="shared" si="22"/>
        <v>820.53364694153265</v>
      </c>
      <c r="AA22" s="302">
        <f t="shared" si="22"/>
        <v>1831.1751184297614</v>
      </c>
      <c r="AB22" s="303">
        <f>AB6+SUM(AB7:AB21)</f>
        <v>5505.1440516926959</v>
      </c>
      <c r="AC22" s="302">
        <f t="shared" si="22"/>
        <v>2577.6191358052729</v>
      </c>
      <c r="AD22" s="302">
        <f t="shared" si="22"/>
        <v>1139.3784402435538</v>
      </c>
      <c r="AE22" s="302">
        <f t="shared" si="22"/>
        <v>1424.1596181308662</v>
      </c>
      <c r="AF22" s="302">
        <f t="shared" si="22"/>
        <v>1730.7276380368526</v>
      </c>
      <c r="AG22" s="303">
        <f>AG6+SUM(AG7:AG21)</f>
        <v>6871.8848322165459</v>
      </c>
      <c r="AH22" s="302">
        <f t="shared" si="22"/>
        <v>2374.8202886322556</v>
      </c>
      <c r="AI22" s="302">
        <f t="shared" si="22"/>
        <v>991.83689417390951</v>
      </c>
      <c r="AJ22" s="302">
        <f t="shared" si="22"/>
        <v>1574.1474312749533</v>
      </c>
      <c r="AK22" s="302">
        <f t="shared" si="22"/>
        <v>2056.3954013632506</v>
      </c>
      <c r="AL22" s="303">
        <f>AL6+SUM(AL7:AL21)</f>
        <v>6997.2000154443685</v>
      </c>
      <c r="AM22" s="302">
        <f t="shared" si="22"/>
        <v>2962.389924744255</v>
      </c>
      <c r="AN22" s="302">
        <f t="shared" si="22"/>
        <v>1054.858423834406</v>
      </c>
      <c r="AO22" s="302">
        <f t="shared" si="22"/>
        <v>1639.5819195306003</v>
      </c>
      <c r="AP22" s="302">
        <f t="shared" si="22"/>
        <v>2134.8185888626745</v>
      </c>
      <c r="AQ22" s="303">
        <f>AQ6+SUM(AQ7:AQ21)</f>
        <v>7791.6488569719368</v>
      </c>
      <c r="AR22" s="302">
        <f t="shared" si="22"/>
        <v>3171.5192301657116</v>
      </c>
      <c r="AS22" s="302">
        <f t="shared" si="22"/>
        <v>1271.2179282124616</v>
      </c>
      <c r="AT22" s="302">
        <f t="shared" si="22"/>
        <v>1691.6965019698466</v>
      </c>
      <c r="AU22" s="302">
        <f t="shared" si="22"/>
        <v>2237.0636732244461</v>
      </c>
      <c r="AV22" s="303">
        <f>AV6+SUM(AV7:AV21)</f>
        <v>8371.4973335724681</v>
      </c>
    </row>
    <row r="23" spans="2:48" outlineLevel="1" x14ac:dyDescent="0.3">
      <c r="B23" s="528" t="s">
        <v>278</v>
      </c>
      <c r="C23" s="529"/>
      <c r="D23" s="304"/>
      <c r="E23" s="305"/>
      <c r="F23" s="305"/>
      <c r="G23" s="305"/>
      <c r="H23" s="306"/>
      <c r="I23" s="307"/>
      <c r="J23" s="307"/>
      <c r="K23" s="305"/>
      <c r="L23" s="305"/>
      <c r="M23" s="308"/>
      <c r="N23" s="305"/>
      <c r="O23" s="305"/>
      <c r="P23" s="305"/>
      <c r="Q23" s="305"/>
      <c r="R23" s="308"/>
      <c r="S23" s="305"/>
      <c r="T23" s="305"/>
      <c r="U23" s="305"/>
      <c r="V23" s="305"/>
      <c r="W23" s="308"/>
      <c r="X23" s="305"/>
      <c r="Y23" s="305"/>
      <c r="Z23" s="305"/>
      <c r="AA23" s="305"/>
      <c r="AB23" s="308"/>
      <c r="AC23" s="305"/>
      <c r="AD23" s="305"/>
      <c r="AE23" s="305"/>
      <c r="AF23" s="305"/>
      <c r="AG23" s="308"/>
      <c r="AH23" s="305"/>
      <c r="AI23" s="305"/>
      <c r="AJ23" s="305"/>
      <c r="AK23" s="305"/>
      <c r="AL23" s="308"/>
      <c r="AM23" s="305"/>
      <c r="AN23" s="305"/>
      <c r="AO23" s="305"/>
      <c r="AP23" s="305"/>
      <c r="AQ23" s="308"/>
      <c r="AR23" s="305"/>
      <c r="AS23" s="305"/>
      <c r="AT23" s="305"/>
      <c r="AU23" s="305"/>
      <c r="AV23" s="308"/>
    </row>
    <row r="24" spans="2:48" outlineLevel="1" x14ac:dyDescent="0.3">
      <c r="B24" s="188" t="s">
        <v>279</v>
      </c>
      <c r="C24" s="189"/>
      <c r="D24" s="16">
        <f>-108.7+32.1+14.2</f>
        <v>-62.399999999999991</v>
      </c>
      <c r="E24" s="16">
        <f>-150.2+218.3+55.1-D24</f>
        <v>185.60000000000002</v>
      </c>
      <c r="F24" s="16">
        <f>-176.3+281.7+57.5-E24-D24</f>
        <v>39.699999999999946</v>
      </c>
      <c r="G24" s="16">
        <f>-190.4+298.3+59.8-F24-E24-D24</f>
        <v>4.8000000000000256</v>
      </c>
      <c r="H24" s="17">
        <f>SUM(D24:G24)</f>
        <v>167.7</v>
      </c>
      <c r="I24" s="16">
        <f>-38+64.6+1.3</f>
        <v>27.899999999999995</v>
      </c>
      <c r="J24" s="16">
        <f>-65.1+93.7+4.3-I24</f>
        <v>5.0000000000000107</v>
      </c>
      <c r="K24" s="16">
        <f>-297.4+133.5+10-J24-I24</f>
        <v>-186.79999999999998</v>
      </c>
      <c r="L24" s="16">
        <f>-443.9+186.7+73.7-K24-J24-I24</f>
        <v>-29.600000000000023</v>
      </c>
      <c r="M24" s="17">
        <f>SUM(I24:L24)</f>
        <v>-183.5</v>
      </c>
      <c r="N24" s="16">
        <f>-135.5+91.2+113.7</f>
        <v>69.400000000000006</v>
      </c>
      <c r="O24" s="16">
        <f>-321.7+121.7+289-N24</f>
        <v>19.599999999999994</v>
      </c>
      <c r="P24" s="16">
        <f>-367.3+130.4+298.7-O24-N24</f>
        <v>-27.200000000000017</v>
      </c>
      <c r="Q24" s="16">
        <f>-432+143.2+345.5-P24-O24-N24</f>
        <v>-5.0999999999999943</v>
      </c>
      <c r="R24" s="17">
        <f>SUM(N24:Q24)</f>
        <v>56.699999999999989</v>
      </c>
      <c r="S24" s="16">
        <f>-61+72.6+45.6</f>
        <v>57.199999999999996</v>
      </c>
      <c r="T24" s="16">
        <f>-67.5+72.6+55.7-S24</f>
        <v>3.6000000000000014</v>
      </c>
      <c r="U24" s="16">
        <f>-117.3+72.6+59.5-T24-S24</f>
        <v>-46</v>
      </c>
      <c r="V24" s="16">
        <f>-377.9+72.6+67.3-U24-T24-S24</f>
        <v>-252.79999999999993</v>
      </c>
      <c r="W24" s="17">
        <f>SUM(S24:V24)</f>
        <v>-237.99999999999994</v>
      </c>
      <c r="X24" s="16">
        <f>-('Balance Sheet'!X7+'Balance Sheet'!X12-'Balance Sheet'!V7-'Balance Sheet'!V12)</f>
        <v>357.02906889738176</v>
      </c>
      <c r="Y24" s="16">
        <f>-('Balance Sheet'!Y7+'Balance Sheet'!Y12-'Balance Sheet'!X7-'Balance Sheet'!X12)</f>
        <v>1.2578338090829391</v>
      </c>
      <c r="Z24" s="16">
        <f>-('Balance Sheet'!Z7+'Balance Sheet'!Z12-'Balance Sheet'!Y7-'Balance Sheet'!Y12)</f>
        <v>-6.5525803803577105</v>
      </c>
      <c r="AA24" s="16">
        <f>-('Balance Sheet'!AA7+'Balance Sheet'!AA12-'Balance Sheet'!Z7-'Balance Sheet'!Z12)</f>
        <v>-3.8947990369570675</v>
      </c>
      <c r="AB24" s="17">
        <f>SUM(X24:AA24)</f>
        <v>347.83952328914995</v>
      </c>
      <c r="AC24" s="16">
        <f>-('Balance Sheet'!AC7+'Balance Sheet'!AC12-'Balance Sheet'!AA7-'Balance Sheet'!AA12)</f>
        <v>-10.697685390091237</v>
      </c>
      <c r="AD24" s="16">
        <f>-('Balance Sheet'!AD7+'Balance Sheet'!AD12-'Balance Sheet'!AC7-'Balance Sheet'!AC12)</f>
        <v>0.80803777657922637</v>
      </c>
      <c r="AE24" s="16">
        <f>-('Balance Sheet'!AE7+'Balance Sheet'!AE12-'Balance Sheet'!AD7-'Balance Sheet'!AD12)</f>
        <v>-6.2671184695343527</v>
      </c>
      <c r="AF24" s="16">
        <f>-('Balance Sheet'!AF7+'Balance Sheet'!AF12-'Balance Sheet'!AE7-'Balance Sheet'!AE12)</f>
        <v>-4.5095915722974667</v>
      </c>
      <c r="AG24" s="17">
        <f>SUM(AC24:AF24)</f>
        <v>-20.66635765534383</v>
      </c>
      <c r="AH24" s="16">
        <f>-('Balance Sheet'!AH7+'Balance Sheet'!AH12-'Balance Sheet'!AF7-'Balance Sheet'!AF12)</f>
        <v>-11.125683678250709</v>
      </c>
      <c r="AI24" s="16">
        <f>-('Balance Sheet'!AI7+'Balance Sheet'!AI12-'Balance Sheet'!AH7-'Balance Sheet'!AH12)</f>
        <v>0.93265474429088613</v>
      </c>
      <c r="AJ24" s="16">
        <f>-('Balance Sheet'!AJ7+'Balance Sheet'!AJ12-'Balance Sheet'!AI7-'Balance Sheet'!AI12)</f>
        <v>-10.891264727370299</v>
      </c>
      <c r="AK24" s="16">
        <f>-('Balance Sheet'!AK7+'Balance Sheet'!AK12-'Balance Sheet'!AJ7-'Balance Sheet'!AJ12)</f>
        <v>49.673072874706577</v>
      </c>
      <c r="AL24" s="17">
        <f>SUM(AH24:AK24)</f>
        <v>28.588779213376455</v>
      </c>
      <c r="AM24" s="16">
        <f>-('Balance Sheet'!AM7+'Balance Sheet'!AM12-'Balance Sheet'!AK7-'Balance Sheet'!AK12)</f>
        <v>-13.03694524070238</v>
      </c>
      <c r="AN24" s="16">
        <f>-('Balance Sheet'!AN7+'Balance Sheet'!AN12-'Balance Sheet'!AM7-'Balance Sheet'!AM12)</f>
        <v>-4.3615685234954071E-2</v>
      </c>
      <c r="AO24" s="16">
        <f>-('Balance Sheet'!AO7+'Balance Sheet'!AO12-'Balance Sheet'!AN7-'Balance Sheet'!AN12)</f>
        <v>-10.382830698107682</v>
      </c>
      <c r="AP24" s="16">
        <f>-('Balance Sheet'!AP7+'Balance Sheet'!AP12-'Balance Sheet'!AO7-'Balance Sheet'!AO12)</f>
        <v>-6.1361146925917751</v>
      </c>
      <c r="AQ24" s="17">
        <f>SUM(AM24:AP24)</f>
        <v>-29.599506316636791</v>
      </c>
      <c r="AR24" s="16">
        <f>-('Balance Sheet'!AR7+'Balance Sheet'!AR12-'Balance Sheet'!AP7-'Balance Sheet'!AP12)</f>
        <v>-13.742166530447918</v>
      </c>
      <c r="AS24" s="16">
        <f>-('Balance Sheet'!AS7+'Balance Sheet'!AS12-'Balance Sheet'!AR7-'Balance Sheet'!AR12)</f>
        <v>-0.16212187289374924</v>
      </c>
      <c r="AT24" s="16">
        <f>-('Balance Sheet'!AT7+'Balance Sheet'!AT12-'Balance Sheet'!AS7-'Balance Sheet'!AS12)</f>
        <v>-11.080258071037662</v>
      </c>
      <c r="AU24" s="16">
        <f>-('Balance Sheet'!AU7+'Balance Sheet'!AU12-'Balance Sheet'!AT7-'Balance Sheet'!AT12)</f>
        <v>-6.8042855532829094</v>
      </c>
      <c r="AV24" s="17">
        <f>SUM(AR24:AU24)</f>
        <v>-31.788832027662238</v>
      </c>
    </row>
    <row r="25" spans="2:48" outlineLevel="1" x14ac:dyDescent="0.3">
      <c r="B25" s="511" t="s">
        <v>280</v>
      </c>
      <c r="C25" s="512"/>
      <c r="D25" s="16">
        <v>-431.4</v>
      </c>
      <c r="E25" s="16">
        <f>-845.6-D25</f>
        <v>-414.20000000000005</v>
      </c>
      <c r="F25" s="16">
        <f>-1280.7-E25-D25</f>
        <v>-435.1</v>
      </c>
      <c r="G25" s="16">
        <f>-1806.6-F25-E25-D25</f>
        <v>-525.9</v>
      </c>
      <c r="H25" s="159">
        <f>SUM(D25:G25)</f>
        <v>-1806.6</v>
      </c>
      <c r="I25" s="16">
        <v>-394.3</v>
      </c>
      <c r="J25" s="16">
        <f>-758.3-I25</f>
        <v>-363.99999999999994</v>
      </c>
      <c r="K25" s="16">
        <f>-1138.4-J25-I25</f>
        <v>-380.10000000000008</v>
      </c>
      <c r="L25" s="16">
        <f>-1483.6-K25-J25-I25</f>
        <v>-345.19999999999976</v>
      </c>
      <c r="M25" s="159">
        <f>SUM(I25:L25)</f>
        <v>-1483.6</v>
      </c>
      <c r="N25" s="16">
        <v>-324.2</v>
      </c>
      <c r="O25" s="16">
        <f>-647.9-N25</f>
        <v>-323.7</v>
      </c>
      <c r="P25" s="16">
        <f>-985.7-O25-N25</f>
        <v>-337.8</v>
      </c>
      <c r="Q25" s="16">
        <f>-1470-P25-O25-N25</f>
        <v>-484.3</v>
      </c>
      <c r="R25" s="159">
        <f>SUM(N25:Q25)</f>
        <v>-1470</v>
      </c>
      <c r="S25" s="16">
        <v>-416.8</v>
      </c>
      <c r="T25" s="16">
        <f>-871.9-S25</f>
        <v>-455.09999999999997</v>
      </c>
      <c r="U25" s="16">
        <f>-1295.4-T25-S25</f>
        <v>-423.50000000000017</v>
      </c>
      <c r="V25" s="16">
        <f>-1841.3-U25-T25-S25</f>
        <v>-545.89999999999986</v>
      </c>
      <c r="W25" s="159">
        <f>SUM(S25:V25)</f>
        <v>-1841.3</v>
      </c>
      <c r="X25" s="16">
        <f>-'Income Statement &amp; Segments'!X8*'Cash Flow Statement'!X56</f>
        <v>-605.91818303340835</v>
      </c>
      <c r="Y25" s="16">
        <f>-'Income Statement &amp; Segments'!Y8*'Cash Flow Statement'!Y56</f>
        <v>-586.88949419621304</v>
      </c>
      <c r="Z25" s="16">
        <f>-'Income Statement &amp; Segments'!Z8*'Cash Flow Statement'!Z56</f>
        <v>-642.93320924553416</v>
      </c>
      <c r="AA25" s="458">
        <f>-'Income Statement &amp; Segments'!AA8*'Cash Flow Statement'!AA56</f>
        <v>-688.1807594427446</v>
      </c>
      <c r="AB25" s="438">
        <f>SUM(X25:AA25)</f>
        <v>-2523.9216459179002</v>
      </c>
      <c r="AC25" s="458">
        <f>-'Income Statement &amp; Segments'!AC8*'Cash Flow Statement'!AC56</f>
        <v>-703.56476927533447</v>
      </c>
      <c r="AD25" s="458">
        <f>-'Income Statement &amp; Segments'!AD8*'Cash Flow Statement'!AD56</f>
        <v>-665.37275200784586</v>
      </c>
      <c r="AE25" s="458">
        <f>-'Income Statement &amp; Segments'!AE8*'Cash Flow Statement'!AE56</f>
        <v>-729.54626544120811</v>
      </c>
      <c r="AF25" s="458">
        <f>-'Income Statement &amp; Segments'!AF8*'Cash Flow Statement'!AF56</f>
        <v>-755.38194695089646</v>
      </c>
      <c r="AG25" s="438">
        <f>SUM(AC25:AF25)</f>
        <v>-2853.8657336752849</v>
      </c>
      <c r="AH25" s="458">
        <f>-'Income Statement &amp; Segments'!AH8*'Cash Flow Statement'!AH56</f>
        <v>-708.25442370321707</v>
      </c>
      <c r="AI25" s="458">
        <f>-'Income Statement &amp; Segments'!AI8*'Cash Flow Statement'!AI56</f>
        <v>-669.18263107750249</v>
      </c>
      <c r="AJ25" s="458">
        <f>-'Income Statement &amp; Segments'!AJ8*'Cash Flow Statement'!AJ56</f>
        <v>-734.19979033115101</v>
      </c>
      <c r="AK25" s="458">
        <f>-'Income Statement &amp; Segments'!AK8*'Cash Flow Statement'!AK56</f>
        <v>-761.54213382087016</v>
      </c>
      <c r="AL25" s="438">
        <f>SUM(AH25:AK25)</f>
        <v>-2873.1789789327408</v>
      </c>
      <c r="AM25" s="458">
        <f>-'Income Statement &amp; Segments'!AM8*'Cash Flow Statement'!AM56</f>
        <v>-781.66216409158972</v>
      </c>
      <c r="AN25" s="458">
        <f>-'Income Statement &amp; Segments'!AN8*'Cash Flow Statement'!AN56</f>
        <v>-732.83885320025399</v>
      </c>
      <c r="AO25" s="458">
        <f>-'Income Statement &amp; Segments'!AO8*'Cash Flow Statement'!AO56</f>
        <v>-798.98975749650936</v>
      </c>
      <c r="AP25" s="458">
        <f>-'Income Statement &amp; Segments'!AP8*'Cash Flow Statement'!AP56</f>
        <v>-821.4157322771913</v>
      </c>
      <c r="AQ25" s="159">
        <f>SUM(AM25:AP25)</f>
        <v>-3134.9065070655442</v>
      </c>
      <c r="AR25" s="16">
        <f>-'Income Statement &amp; Segments'!AR8*'Cash Flow Statement'!AR56</f>
        <v>-825.10079336968579</v>
      </c>
      <c r="AS25" s="16">
        <f>-'Income Statement &amp; Segments'!AS8*'Cash Flow Statement'!AS56</f>
        <v>-773.37019980810749</v>
      </c>
      <c r="AT25" s="16">
        <f>-'Income Statement &amp; Segments'!AT8*'Cash Flow Statement'!AT56</f>
        <v>-843.19968176815951</v>
      </c>
      <c r="AU25" s="16">
        <f>-'Income Statement &amp; Segments'!AU8*'Cash Flow Statement'!AU56</f>
        <v>-867.09311501541958</v>
      </c>
      <c r="AV25" s="159">
        <f>SUM(AR25:AU25)</f>
        <v>-3308.7637899613724</v>
      </c>
    </row>
    <row r="26" spans="2:48" ht="16.2" outlineLevel="1" x14ac:dyDescent="0.45">
      <c r="B26" s="511" t="s">
        <v>281</v>
      </c>
      <c r="C26" s="512"/>
      <c r="D26" s="244">
        <v>-16.600000000000001</v>
      </c>
      <c r="E26" s="244">
        <f>48.5-37.1-D26</f>
        <v>28</v>
      </c>
      <c r="F26" s="244">
        <f>684.2-72.9-E26-D26</f>
        <v>599.90000000000009</v>
      </c>
      <c r="G26" s="244">
        <f>684.3-56.2-F26-E26-D26</f>
        <v>16.79999999999982</v>
      </c>
      <c r="H26" s="245">
        <f>SUM(D26:G26)</f>
        <v>628.09999999999991</v>
      </c>
      <c r="I26" s="244">
        <v>-19.899999999999999</v>
      </c>
      <c r="J26" s="244">
        <f>-22.5-I26</f>
        <v>-2.6000000000000014</v>
      </c>
      <c r="K26" s="244">
        <f>-39.4-J26-I26</f>
        <v>-16.899999999999999</v>
      </c>
      <c r="L26" s="244">
        <f>-44.4-K26-J26-I26</f>
        <v>-5</v>
      </c>
      <c r="M26" s="245">
        <f>SUM(I26:L26)</f>
        <v>-44.4</v>
      </c>
      <c r="N26" s="244">
        <v>-17.7</v>
      </c>
      <c r="O26" s="244">
        <f>-20.1-N26</f>
        <v>-2.4000000000000021</v>
      </c>
      <c r="P26" s="244">
        <f>-62.3-O26-N26</f>
        <v>-42.199999999999989</v>
      </c>
      <c r="Q26" s="244">
        <f>1175-81.2-P26-O26-N26</f>
        <v>1156.1000000000001</v>
      </c>
      <c r="R26" s="245">
        <f>SUM(N26:Q26)</f>
        <v>1093.8000000000002</v>
      </c>
      <c r="S26" s="244">
        <v>-41.4</v>
      </c>
      <c r="T26" s="244">
        <f>-69.8-S26</f>
        <v>-28.4</v>
      </c>
      <c r="U26" s="244">
        <f>-95.7-T26-S26</f>
        <v>-25.900000000000013</v>
      </c>
      <c r="V26" s="244">
        <f>59.3-126.3-U26-T26-S26</f>
        <v>28.70000000000001</v>
      </c>
      <c r="W26" s="245">
        <f>SUM(S26:V26)</f>
        <v>-67</v>
      </c>
      <c r="X26" s="244">
        <f>-('Balance Sheet'!X13-'Balance Sheet'!V13)-('Balance Sheet'!X17-'Balance Sheet'!V17)-('Balance Sheet'!X15-'Balance Sheet'!V15)+('Balance Sheet'!X32-'Balance Sheet'!V32)-('Balance Sheet'!X18-'Balance Sheet'!V18)-('Balance Sheet'!X19-'Balance Sheet'!V19)</f>
        <v>1.0299534116633424</v>
      </c>
      <c r="Y26" s="244">
        <f>-('Balance Sheet'!Y13+'Balance Sheet'!Y15+'Balance Sheet'!Y17+'Balance Sheet'!Y18+'Balance Sheet'!Y19-'Balance Sheet'!Y32-'Balance Sheet'!X13-'Balance Sheet'!X15-'Balance Sheet'!X17-'Balance Sheet'!X18-'Balance Sheet'!X19+'Balance Sheet'!X32)</f>
        <v>15.959368130186704</v>
      </c>
      <c r="Z26" s="244">
        <f>-('Balance Sheet'!Z13+'Balance Sheet'!Z15+'Balance Sheet'!Z17+'Balance Sheet'!Z18+'Balance Sheet'!Z19-'Balance Sheet'!Z32-'Balance Sheet'!Y13-'Balance Sheet'!Y15-'Balance Sheet'!Y17-'Balance Sheet'!Y18-'Balance Sheet'!Y19+'Balance Sheet'!Y32)</f>
        <v>-0.4375214249257624</v>
      </c>
      <c r="AA26" s="244">
        <f>-('Balance Sheet'!AA13+'Balance Sheet'!AA15+'Balance Sheet'!AA17+'Balance Sheet'!AA18+'Balance Sheet'!AA19-'Balance Sheet'!AA32-'Balance Sheet'!Z13-'Balance Sheet'!Z15-'Balance Sheet'!Z17-'Balance Sheet'!Z18-'Balance Sheet'!Z19+'Balance Sheet'!Z32)</f>
        <v>3.9746019184813122</v>
      </c>
      <c r="AB26" s="246">
        <f>SUM(X26:AA26)</f>
        <v>20.526402035405596</v>
      </c>
      <c r="AC26" s="244">
        <f>-('Balance Sheet'!AC13-'Balance Sheet'!AA13)-('Balance Sheet'!AC17-'Balance Sheet'!AA17)-('Balance Sheet'!AC15-'Balance Sheet'!AA15)+('Balance Sheet'!AC32-'Balance Sheet'!AA32)-('Balance Sheet'!AC18-'Balance Sheet'!AA18)-('Balance Sheet'!AC19-'Balance Sheet'!AA19)</f>
        <v>-10.285503495663363</v>
      </c>
      <c r="AD26" s="244">
        <f>-('Balance Sheet'!AD13+'Balance Sheet'!AD15+'Balance Sheet'!AD17+'Balance Sheet'!AD18+'Balance Sheet'!AD19-'Balance Sheet'!AD32-'Balance Sheet'!AC13-'Balance Sheet'!AC15-'Balance Sheet'!AC17-'Balance Sheet'!AC18-'Balance Sheet'!AC19+'Balance Sheet'!AC32)</f>
        <v>11.782524089918297</v>
      </c>
      <c r="AE26" s="244">
        <f>-('Balance Sheet'!AE13+'Balance Sheet'!AE15+'Balance Sheet'!AE17+'Balance Sheet'!AE18+'Balance Sheet'!AE19-'Balance Sheet'!AE32-'Balance Sheet'!AD13-'Balance Sheet'!AD15-'Balance Sheet'!AD17-'Balance Sheet'!AD18-'Balance Sheet'!AD19+'Balance Sheet'!AD32)</f>
        <v>-2.8974955601916008</v>
      </c>
      <c r="AF26" s="244">
        <f>-('Balance Sheet'!AF13+'Balance Sheet'!AF15+'Balance Sheet'!AF17+'Balance Sheet'!AF18+'Balance Sheet'!AF19-'Balance Sheet'!AF32-'Balance Sheet'!AE13-'Balance Sheet'!AE15-'Balance Sheet'!AE17-'Balance Sheet'!AE18-'Balance Sheet'!AE19+'Balance Sheet'!AE32)</f>
        <v>-2.8975003763662244E-2</v>
      </c>
      <c r="AG26" s="246">
        <f>SUM(AC26:AF26)</f>
        <v>-1.4294499697003289</v>
      </c>
      <c r="AH26" s="244">
        <f>-('Balance Sheet'!AH13-'Balance Sheet'!AF13)-('Balance Sheet'!AH17-'Balance Sheet'!AF17)-('Balance Sheet'!AH15-'Balance Sheet'!AF15)+('Balance Sheet'!AH32-'Balance Sheet'!AF32)-('Balance Sheet'!AH18-'Balance Sheet'!AF18)-('Balance Sheet'!AH19-'Balance Sheet'!AF19)</f>
        <v>-13.698603272884256</v>
      </c>
      <c r="AI26" s="244">
        <f>-('Balance Sheet'!AI13+'Balance Sheet'!AI15+'Balance Sheet'!AI17+'Balance Sheet'!AI18+'Balance Sheet'!AI19-'Balance Sheet'!AI32-'Balance Sheet'!AH13-'Balance Sheet'!AH15-'Balance Sheet'!AH17-'Balance Sheet'!AH18-'Balance Sheet'!AH19+'Balance Sheet'!AH32)</f>
        <v>9.6668965089411358</v>
      </c>
      <c r="AJ26" s="244">
        <f>-('Balance Sheet'!AJ13+'Balance Sheet'!AJ15+'Balance Sheet'!AJ17+'Balance Sheet'!AJ18+'Balance Sheet'!AJ19-'Balance Sheet'!AJ32-'Balance Sheet'!AI13-'Balance Sheet'!AI15-'Balance Sheet'!AI17-'Balance Sheet'!AI18-'Balance Sheet'!AI19+'Balance Sheet'!AI32)</f>
        <v>-14.232912463595312</v>
      </c>
      <c r="AK26" s="244">
        <f>-('Balance Sheet'!AK13+'Balance Sheet'!AK15+'Balance Sheet'!AK17+'Balance Sheet'!AK18+'Balance Sheet'!AK19-'Balance Sheet'!AK32-'Balance Sheet'!AJ13-'Balance Sheet'!AJ15-'Balance Sheet'!AJ17-'Balance Sheet'!AJ18-'Balance Sheet'!AJ19+'Balance Sheet'!AJ32)</f>
        <v>105.29265419562853</v>
      </c>
      <c r="AL26" s="246">
        <f>SUM(AH26:AK26)</f>
        <v>87.028034968090097</v>
      </c>
      <c r="AM26" s="244">
        <f>-('Balance Sheet'!AM13-'Balance Sheet'!AK13)-('Balance Sheet'!AM17-'Balance Sheet'!AK17)-('Balance Sheet'!AM15-'Balance Sheet'!AK15)+('Balance Sheet'!AM32-'Balance Sheet'!AK32)-('Balance Sheet'!AM18-'Balance Sheet'!AK18)-('Balance Sheet'!AM19-'Balance Sheet'!AK19)</f>
        <v>-19.330616513711277</v>
      </c>
      <c r="AN26" s="244">
        <f>-('Balance Sheet'!AN13+'Balance Sheet'!AN15+'Balance Sheet'!AN17+'Balance Sheet'!AN18+'Balance Sheet'!AN19-'Balance Sheet'!AN32-'Balance Sheet'!AM13-'Balance Sheet'!AM15-'Balance Sheet'!AM17-'Balance Sheet'!AM18-'Balance Sheet'!AM19+'Balance Sheet'!AM32)</f>
        <v>6.0322763452204526</v>
      </c>
      <c r="AO26" s="244">
        <f>-('Balance Sheet'!AO13+'Balance Sheet'!AO15+'Balance Sheet'!AO17+'Balance Sheet'!AO18+'Balance Sheet'!AO19-'Balance Sheet'!AO32-'Balance Sheet'!AN13-'Balance Sheet'!AN15-'Balance Sheet'!AN17-'Balance Sheet'!AN18-'Balance Sheet'!AN19+'Balance Sheet'!AN32)</f>
        <v>-14.792878433556325</v>
      </c>
      <c r="AP26" s="244">
        <f>-('Balance Sheet'!AP13+'Balance Sheet'!AP15+'Balance Sheet'!AP17+'Balance Sheet'!AP18+'Balance Sheet'!AP19-'Balance Sheet'!AP32-'Balance Sheet'!AO13-'Balance Sheet'!AO15-'Balance Sheet'!AO17-'Balance Sheet'!AO18-'Balance Sheet'!AO19+'Balance Sheet'!AO32)</f>
        <v>-6.698990162910377</v>
      </c>
      <c r="AQ26" s="246">
        <f>SUM(AM26:AP26)</f>
        <v>-34.790208764957526</v>
      </c>
      <c r="AR26" s="244">
        <f>-('Balance Sheet'!AR13-'Balance Sheet'!AP13)-('Balance Sheet'!AR17-'Balance Sheet'!AP17)-('Balance Sheet'!AR15-'Balance Sheet'!AP15)+('Balance Sheet'!AR32-'Balance Sheet'!AP32)-('Balance Sheet'!AR18-'Balance Sheet'!AP18)-('Balance Sheet'!AR19-'Balance Sheet'!AP19)</f>
        <v>-22.058357717674525</v>
      </c>
      <c r="AS26" s="244">
        <f>-('Balance Sheet'!AS13+'Balance Sheet'!AS15+'Balance Sheet'!AS17+'Balance Sheet'!AS18+'Balance Sheet'!AS19-'Balance Sheet'!AS32-'Balance Sheet'!AR13-'Balance Sheet'!AR15-'Balance Sheet'!AR17-'Balance Sheet'!AR18-'Balance Sheet'!AR19+'Balance Sheet'!AR32)</f>
        <v>4.5708690561978074</v>
      </c>
      <c r="AT26" s="244">
        <f>-('Balance Sheet'!AT13+'Balance Sheet'!AT15+'Balance Sheet'!AT17+'Balance Sheet'!AT18+'Balance Sheet'!AT19-'Balance Sheet'!AT32-'Balance Sheet'!AS13-'Balance Sheet'!AS15-'Balance Sheet'!AS17-'Balance Sheet'!AS18-'Balance Sheet'!AS19+'Balance Sheet'!AS32)</f>
        <v>-17.305183838988341</v>
      </c>
      <c r="AU26" s="244">
        <f>-('Balance Sheet'!AU13+'Balance Sheet'!AU15+'Balance Sheet'!AU17+'Balance Sheet'!AU18+'Balance Sheet'!AU19-'Balance Sheet'!AU32-'Balance Sheet'!AT13-'Balance Sheet'!AT15-'Balance Sheet'!AT17-'Balance Sheet'!AT18-'Balance Sheet'!AT19+'Balance Sheet'!AT32)</f>
        <v>-9.0651646955084288</v>
      </c>
      <c r="AV26" s="246">
        <f>SUM(AR26:AU26)</f>
        <v>-43.857837195973488</v>
      </c>
    </row>
    <row r="27" spans="2:48" outlineLevel="1" x14ac:dyDescent="0.3">
      <c r="B27" s="518" t="s">
        <v>282</v>
      </c>
      <c r="C27" s="519"/>
      <c r="D27" s="21">
        <f t="shared" ref="D27:AV27" si="23">SUM(D24:D26)</f>
        <v>-510.4</v>
      </c>
      <c r="E27" s="21">
        <f t="shared" si="23"/>
        <v>-200.60000000000002</v>
      </c>
      <c r="F27" s="21">
        <f t="shared" si="23"/>
        <v>204.5</v>
      </c>
      <c r="G27" s="21">
        <f t="shared" si="23"/>
        <v>-504.30000000000007</v>
      </c>
      <c r="H27" s="22">
        <f t="shared" si="23"/>
        <v>-1010.8</v>
      </c>
      <c r="I27" s="21">
        <f t="shared" si="23"/>
        <v>-386.3</v>
      </c>
      <c r="J27" s="21">
        <f t="shared" si="23"/>
        <v>-361.59999999999997</v>
      </c>
      <c r="K27" s="21">
        <f t="shared" si="23"/>
        <v>-583.80000000000007</v>
      </c>
      <c r="L27" s="21">
        <f t="shared" si="23"/>
        <v>-379.79999999999978</v>
      </c>
      <c r="M27" s="22">
        <f t="shared" si="23"/>
        <v>-1711.5</v>
      </c>
      <c r="N27" s="21">
        <f t="shared" si="23"/>
        <v>-272.5</v>
      </c>
      <c r="O27" s="21">
        <f t="shared" si="23"/>
        <v>-306.5</v>
      </c>
      <c r="P27" s="21">
        <f t="shared" si="23"/>
        <v>-407.2</v>
      </c>
      <c r="Q27" s="21">
        <f t="shared" si="23"/>
        <v>666.70000000000016</v>
      </c>
      <c r="R27" s="22">
        <f t="shared" si="23"/>
        <v>-319.49999999999977</v>
      </c>
      <c r="S27" s="21">
        <f t="shared" si="23"/>
        <v>-401</v>
      </c>
      <c r="T27" s="21">
        <f t="shared" si="23"/>
        <v>-479.89999999999992</v>
      </c>
      <c r="U27" s="21">
        <f t="shared" si="23"/>
        <v>-495.4000000000002</v>
      </c>
      <c r="V27" s="21">
        <f t="shared" si="23"/>
        <v>-769.99999999999977</v>
      </c>
      <c r="W27" s="22">
        <f t="shared" si="23"/>
        <v>-2146.2999999999997</v>
      </c>
      <c r="X27" s="21">
        <f>SUM(X24:X26)</f>
        <v>-247.85916072436325</v>
      </c>
      <c r="Y27" s="21">
        <f t="shared" si="23"/>
        <v>-569.67229225694336</v>
      </c>
      <c r="Z27" s="21">
        <f t="shared" si="23"/>
        <v>-649.92331105081757</v>
      </c>
      <c r="AA27" s="21">
        <f t="shared" si="23"/>
        <v>-688.1009565612203</v>
      </c>
      <c r="AB27" s="22">
        <f t="shared" si="23"/>
        <v>-2155.5557205933446</v>
      </c>
      <c r="AC27" s="21">
        <f t="shared" si="23"/>
        <v>-724.54795816108913</v>
      </c>
      <c r="AD27" s="21">
        <f t="shared" si="23"/>
        <v>-652.78219014134834</v>
      </c>
      <c r="AE27" s="21">
        <f t="shared" si="23"/>
        <v>-738.71087947093406</v>
      </c>
      <c r="AF27" s="21">
        <f t="shared" si="23"/>
        <v>-759.92051352695762</v>
      </c>
      <c r="AG27" s="22">
        <f t="shared" si="23"/>
        <v>-2875.9615413003289</v>
      </c>
      <c r="AH27" s="21">
        <f t="shared" si="23"/>
        <v>-733.07871065435199</v>
      </c>
      <c r="AI27" s="21">
        <f t="shared" si="23"/>
        <v>-658.5830798242705</v>
      </c>
      <c r="AJ27" s="21">
        <f t="shared" si="23"/>
        <v>-759.32396752211662</v>
      </c>
      <c r="AK27" s="21">
        <f t="shared" si="23"/>
        <v>-606.57640675053506</v>
      </c>
      <c r="AL27" s="22">
        <f t="shared" si="23"/>
        <v>-2757.5621647512744</v>
      </c>
      <c r="AM27" s="21">
        <f t="shared" si="23"/>
        <v>-814.02972584600343</v>
      </c>
      <c r="AN27" s="21">
        <f t="shared" si="23"/>
        <v>-726.85019254026849</v>
      </c>
      <c r="AO27" s="21">
        <f t="shared" si="23"/>
        <v>-824.16546662817336</v>
      </c>
      <c r="AP27" s="21">
        <f t="shared" si="23"/>
        <v>-834.2508371326935</v>
      </c>
      <c r="AQ27" s="22">
        <f t="shared" si="23"/>
        <v>-3199.2962221471389</v>
      </c>
      <c r="AR27" s="21">
        <f t="shared" si="23"/>
        <v>-860.90131761780822</v>
      </c>
      <c r="AS27" s="21">
        <f t="shared" si="23"/>
        <v>-768.96145262480343</v>
      </c>
      <c r="AT27" s="21">
        <f t="shared" si="23"/>
        <v>-871.58512367818548</v>
      </c>
      <c r="AU27" s="21">
        <f t="shared" si="23"/>
        <v>-882.96256526421098</v>
      </c>
      <c r="AV27" s="22">
        <f t="shared" si="23"/>
        <v>-3384.4104591850078</v>
      </c>
    </row>
    <row r="28" spans="2:48" outlineLevel="1" x14ac:dyDescent="0.3">
      <c r="B28" s="558" t="s">
        <v>283</v>
      </c>
      <c r="C28" s="559"/>
      <c r="D28" s="292"/>
      <c r="E28" s="294"/>
      <c r="F28" s="294"/>
      <c r="G28" s="294"/>
      <c r="H28" s="295"/>
      <c r="I28" s="294"/>
      <c r="J28" s="294"/>
      <c r="K28" s="294"/>
      <c r="L28" s="294"/>
      <c r="M28" s="295"/>
      <c r="N28" s="294"/>
      <c r="O28" s="294"/>
      <c r="P28" s="294"/>
      <c r="Q28" s="294"/>
      <c r="R28" s="295"/>
      <c r="S28" s="294"/>
      <c r="T28" s="294"/>
      <c r="U28" s="294"/>
      <c r="V28" s="294"/>
      <c r="W28" s="295"/>
      <c r="X28" s="294"/>
      <c r="Y28" s="294"/>
      <c r="Z28" s="294"/>
      <c r="AA28" s="294"/>
      <c r="AB28" s="295"/>
      <c r="AC28" s="294"/>
      <c r="AD28" s="294"/>
      <c r="AE28" s="294"/>
      <c r="AF28" s="294"/>
      <c r="AG28" s="295"/>
      <c r="AH28" s="294"/>
      <c r="AI28" s="294"/>
      <c r="AJ28" s="294"/>
      <c r="AK28" s="294"/>
      <c r="AL28" s="295"/>
      <c r="AM28" s="294"/>
      <c r="AN28" s="294"/>
      <c r="AO28" s="294"/>
      <c r="AP28" s="294"/>
      <c r="AQ28" s="295"/>
      <c r="AR28" s="294"/>
      <c r="AS28" s="294"/>
      <c r="AT28" s="294"/>
      <c r="AU28" s="294"/>
      <c r="AV28" s="295"/>
    </row>
    <row r="29" spans="2:48" outlineLevel="1" x14ac:dyDescent="0.3">
      <c r="B29" s="556" t="s">
        <v>260</v>
      </c>
      <c r="C29" s="557"/>
      <c r="D29" s="298">
        <v>0</v>
      </c>
      <c r="E29" s="298">
        <f>-D29</f>
        <v>0</v>
      </c>
      <c r="F29" s="298">
        <f>1996-350-E29-D29</f>
        <v>1646</v>
      </c>
      <c r="G29" s="298">
        <f>1996-F29-E29-D29</f>
        <v>350</v>
      </c>
      <c r="H29" s="299">
        <f t="shared" ref="H29:H36" si="24">SUM(D29:G29)</f>
        <v>1996</v>
      </c>
      <c r="I29" s="298">
        <v>0</v>
      </c>
      <c r="J29" s="298">
        <f>1739.7-I29</f>
        <v>1739.7</v>
      </c>
      <c r="K29" s="298">
        <f>1157.2+4727.6-J29-I29</f>
        <v>4145.1000000000004</v>
      </c>
      <c r="L29" s="298">
        <f>1406.6-K29-J29-I29</f>
        <v>-4478.2000000000007</v>
      </c>
      <c r="M29" s="299">
        <f t="shared" ref="M29:M36" si="25">SUM(I29:L29)</f>
        <v>1406.5999999999995</v>
      </c>
      <c r="N29" s="298">
        <v>192.9</v>
      </c>
      <c r="O29" s="298">
        <f>203.3-N29</f>
        <v>10.400000000000006</v>
      </c>
      <c r="P29" s="298">
        <f>215.6-O29-N29</f>
        <v>12.299999999999983</v>
      </c>
      <c r="Q29" s="298">
        <f>-296.5-P29-O29-N29</f>
        <v>-512.09999999999991</v>
      </c>
      <c r="R29" s="299">
        <f t="shared" ref="R29:R36" si="26">SUM(N29:Q29)</f>
        <v>-296.49999999999989</v>
      </c>
      <c r="S29" s="298">
        <v>200</v>
      </c>
      <c r="T29" s="298">
        <f>17.4+1498.1-S29</f>
        <v>1315.5</v>
      </c>
      <c r="U29" s="298">
        <f>200+38.9+1498.1-T29-S29</f>
        <v>221.5</v>
      </c>
      <c r="V29" s="298">
        <f>36.6-36.6+1498.1-1000-U29-T29-S29</f>
        <v>-1238.9000000000001</v>
      </c>
      <c r="W29" s="299">
        <f t="shared" ref="W29:W36" si="27">SUM(S29:V29)</f>
        <v>498.09999999999991</v>
      </c>
      <c r="X29" s="298">
        <v>0</v>
      </c>
      <c r="Y29" s="298">
        <v>0</v>
      </c>
      <c r="Z29" s="298">
        <f>('Balance Sheet'!Z28+'Balance Sheet'!Z31-'Balance Sheet'!Y28-'Balance Sheet'!Y31)</f>
        <v>1.8189894035458565E-12</v>
      </c>
      <c r="AA29" s="298">
        <f>('Balance Sheet'!AA28+'Balance Sheet'!AA31-'Balance Sheet'!Z28-'Balance Sheet'!Z31)</f>
        <v>1.8189894035458565E-12</v>
      </c>
      <c r="AB29" s="299">
        <f t="shared" ref="AB29:AB36" si="28">SUM(X29:AA29)</f>
        <v>3.637978807091713E-12</v>
      </c>
      <c r="AC29" s="298">
        <f>('Balance Sheet'!AC28+'Balance Sheet'!AC31-'Balance Sheet'!AA28-'Balance Sheet'!AA31)</f>
        <v>1.8189894035458565E-12</v>
      </c>
      <c r="AD29" s="298">
        <f>('Balance Sheet'!AD28+'Balance Sheet'!AD31-'Balance Sheet'!AC28-'Balance Sheet'!AC31)</f>
        <v>-0.30000000000109139</v>
      </c>
      <c r="AE29" s="298">
        <f>('Balance Sheet'!AE28+'Balance Sheet'!AE31-'Balance Sheet'!AD28-'Balance Sheet'!AD31)</f>
        <v>0</v>
      </c>
      <c r="AF29" s="298">
        <f>('Balance Sheet'!AF28+'Balance Sheet'!AF31-'Balance Sheet'!AE28-'Balance Sheet'!AE31)</f>
        <v>100</v>
      </c>
      <c r="AG29" s="299">
        <f t="shared" ref="AG29:AG36" si="29">SUM(AC29:AF29)</f>
        <v>99.700000000000728</v>
      </c>
      <c r="AH29" s="298">
        <f>('Balance Sheet'!AH28+'Balance Sheet'!AH31-'Balance Sheet'!AF28-'Balance Sheet'!AF31)</f>
        <v>0</v>
      </c>
      <c r="AI29" s="298">
        <f>('Balance Sheet'!AI28+'Balance Sheet'!AI31-'Balance Sheet'!AH28-'Balance Sheet'!AH31)</f>
        <v>0</v>
      </c>
      <c r="AJ29" s="298">
        <f>('Balance Sheet'!AJ28+'Balance Sheet'!AJ31-'Balance Sheet'!AI28-'Balance Sheet'!AI31)</f>
        <v>5677.8585757341261</v>
      </c>
      <c r="AK29" s="298">
        <f>('Balance Sheet'!AK28+'Balance Sheet'!AK31-'Balance Sheet'!AJ28-'Balance Sheet'!AJ31)</f>
        <v>0</v>
      </c>
      <c r="AL29" s="299">
        <f t="shared" ref="AL29:AL36" si="30">SUM(AH29:AK29)</f>
        <v>5677.8585757341261</v>
      </c>
      <c r="AM29" s="298">
        <f>('Balance Sheet'!AM28+'Balance Sheet'!AM31-'Balance Sheet'!AK28-'Balance Sheet'!AK31)</f>
        <v>0</v>
      </c>
      <c r="AN29" s="298">
        <f>('Balance Sheet'!AN28+'Balance Sheet'!AN31-'Balance Sheet'!AM28-'Balance Sheet'!AM31)</f>
        <v>0</v>
      </c>
      <c r="AO29" s="298">
        <f>('Balance Sheet'!AO28+'Balance Sheet'!AO31-'Balance Sheet'!AN28-'Balance Sheet'!AN31)</f>
        <v>0</v>
      </c>
      <c r="AP29" s="298">
        <f>('Balance Sheet'!AP28+'Balance Sheet'!AP31-'Balance Sheet'!AO28-'Balance Sheet'!AO31)</f>
        <v>0</v>
      </c>
      <c r="AQ29" s="299">
        <f t="shared" ref="AQ29:AQ36" si="31">SUM(AM29:AP29)</f>
        <v>0</v>
      </c>
      <c r="AR29" s="298">
        <f>('Balance Sheet'!AR28+'Balance Sheet'!AR31-'Balance Sheet'!AP28-'Balance Sheet'!AP31)</f>
        <v>0</v>
      </c>
      <c r="AS29" s="298">
        <f>('Balance Sheet'!AS28+'Balance Sheet'!AS31-'Balance Sheet'!AR28-'Balance Sheet'!AR31)</f>
        <v>0</v>
      </c>
      <c r="AT29" s="298">
        <f>('Balance Sheet'!AT28+'Balance Sheet'!AT31-'Balance Sheet'!AS28-'Balance Sheet'!AS31)</f>
        <v>0</v>
      </c>
      <c r="AU29" s="298">
        <f>('Balance Sheet'!AU28+'Balance Sheet'!AU31-'Balance Sheet'!AT28-'Balance Sheet'!AT31)</f>
        <v>0</v>
      </c>
      <c r="AV29" s="299">
        <f t="shared" ref="AV29:AV36" si="32">SUM(AR29:AU29)</f>
        <v>0</v>
      </c>
    </row>
    <row r="30" spans="2:48" outlineLevel="1" x14ac:dyDescent="0.3">
      <c r="B30" s="296" t="s">
        <v>284</v>
      </c>
      <c r="C30" s="297"/>
      <c r="D30" s="298">
        <v>-350</v>
      </c>
      <c r="E30" s="298">
        <v>0</v>
      </c>
      <c r="F30" s="298">
        <f>-75-E30-D30</f>
        <v>275</v>
      </c>
      <c r="G30" s="298">
        <f>-350-F30-E30-D30</f>
        <v>-275</v>
      </c>
      <c r="H30" s="299">
        <f t="shared" si="24"/>
        <v>-350</v>
      </c>
      <c r="I30" s="298"/>
      <c r="J30" s="298">
        <f>0-I30</f>
        <v>0</v>
      </c>
      <c r="K30" s="298">
        <v>-220.7</v>
      </c>
      <c r="L30" s="298">
        <f>-967.7-K30-J30-I30</f>
        <v>-747</v>
      </c>
      <c r="M30" s="299">
        <f t="shared" si="25"/>
        <v>-967.7</v>
      </c>
      <c r="N30" s="298">
        <f>-144.7-500</f>
        <v>-644.70000000000005</v>
      </c>
      <c r="O30" s="298">
        <f>-296.5-320.5-1250-N30</f>
        <v>-1222.3</v>
      </c>
      <c r="P30" s="298">
        <f>-296.5-346.2-1250-O30-N30</f>
        <v>-25.700000000000045</v>
      </c>
      <c r="Q30" s="298">
        <f>215.1-349.8-1250-P30-O30-N30</f>
        <v>508</v>
      </c>
      <c r="R30" s="299">
        <f t="shared" si="26"/>
        <v>-1384.7</v>
      </c>
      <c r="S30" s="298"/>
      <c r="T30" s="298">
        <v>-12.6</v>
      </c>
      <c r="U30" s="298">
        <f>-38.9-1000-T30-S30</f>
        <v>-1026.3000000000002</v>
      </c>
      <c r="V30" s="298">
        <f>175-U30-T30-S30</f>
        <v>1213.9000000000001</v>
      </c>
      <c r="W30" s="299">
        <f t="shared" si="27"/>
        <v>175</v>
      </c>
      <c r="X30" s="298">
        <v>0</v>
      </c>
      <c r="Y30" s="298">
        <v>0</v>
      </c>
      <c r="Z30" s="298">
        <v>0</v>
      </c>
      <c r="AA30" s="298">
        <v>0</v>
      </c>
      <c r="AB30" s="299">
        <f t="shared" si="28"/>
        <v>0</v>
      </c>
      <c r="AC30" s="298">
        <v>0</v>
      </c>
      <c r="AD30" s="298">
        <v>0</v>
      </c>
      <c r="AE30" s="298">
        <v>0</v>
      </c>
      <c r="AF30" s="298">
        <v>0</v>
      </c>
      <c r="AG30" s="299">
        <f t="shared" si="29"/>
        <v>0</v>
      </c>
      <c r="AH30" s="298">
        <v>0</v>
      </c>
      <c r="AI30" s="298">
        <v>0</v>
      </c>
      <c r="AJ30" s="298">
        <v>0</v>
      </c>
      <c r="AK30" s="298">
        <v>0</v>
      </c>
      <c r="AL30" s="299">
        <f t="shared" si="30"/>
        <v>0</v>
      </c>
      <c r="AM30" s="298">
        <v>0</v>
      </c>
      <c r="AN30" s="298">
        <v>0</v>
      </c>
      <c r="AO30" s="298">
        <v>0</v>
      </c>
      <c r="AP30" s="298">
        <v>0</v>
      </c>
      <c r="AQ30" s="299">
        <f t="shared" si="31"/>
        <v>0</v>
      </c>
      <c r="AR30" s="298">
        <v>0</v>
      </c>
      <c r="AS30" s="298">
        <v>0</v>
      </c>
      <c r="AT30" s="298">
        <v>0</v>
      </c>
      <c r="AU30" s="298">
        <v>0</v>
      </c>
      <c r="AV30" s="299">
        <f t="shared" si="32"/>
        <v>0</v>
      </c>
    </row>
    <row r="31" spans="2:48" outlineLevel="1" x14ac:dyDescent="0.3">
      <c r="B31" s="296" t="s">
        <v>285</v>
      </c>
      <c r="C31" s="297"/>
      <c r="D31" s="298"/>
      <c r="E31" s="298">
        <v>75</v>
      </c>
      <c r="F31" s="298">
        <v>0</v>
      </c>
      <c r="G31" s="298">
        <f>0-F31-E31-D31</f>
        <v>-75</v>
      </c>
      <c r="H31" s="299">
        <f t="shared" si="24"/>
        <v>0</v>
      </c>
      <c r="I31" s="298">
        <f>398.9+99</f>
        <v>497.9</v>
      </c>
      <c r="J31" s="298">
        <f>613+494.1-I31</f>
        <v>609.19999999999993</v>
      </c>
      <c r="K31" s="298">
        <f>0-J31-I31</f>
        <v>-1107.0999999999999</v>
      </c>
      <c r="L31" s="298">
        <f>4727.6-K31-J31-I31</f>
        <v>4727.6000000000013</v>
      </c>
      <c r="M31" s="299">
        <f t="shared" si="25"/>
        <v>4727.6000000000013</v>
      </c>
      <c r="N31" s="298">
        <v>0</v>
      </c>
      <c r="O31" s="298">
        <f>0-N31</f>
        <v>0</v>
      </c>
      <c r="P31" s="298">
        <f>0-O31-N31</f>
        <v>0</v>
      </c>
      <c r="Q31" s="298">
        <f>0-P31-O31-N31</f>
        <v>0</v>
      </c>
      <c r="R31" s="299">
        <f t="shared" si="26"/>
        <v>0</v>
      </c>
      <c r="S31" s="298">
        <v>0</v>
      </c>
      <c r="T31" s="298">
        <f>0-S31</f>
        <v>0</v>
      </c>
      <c r="U31" s="298">
        <f t="shared" ref="U31" si="33">0-T31-S31</f>
        <v>0</v>
      </c>
      <c r="V31" s="298">
        <f t="shared" ref="V31" si="34">0-U31-T31-S31</f>
        <v>0</v>
      </c>
      <c r="W31" s="299">
        <f t="shared" si="27"/>
        <v>0</v>
      </c>
      <c r="X31" s="298">
        <v>0</v>
      </c>
      <c r="Y31" s="298">
        <v>0</v>
      </c>
      <c r="Z31" s="298">
        <v>0</v>
      </c>
      <c r="AA31" s="298">
        <v>0</v>
      </c>
      <c r="AB31" s="299">
        <f t="shared" si="28"/>
        <v>0</v>
      </c>
      <c r="AC31" s="298">
        <v>0</v>
      </c>
      <c r="AD31" s="298">
        <v>0</v>
      </c>
      <c r="AE31" s="298">
        <v>0</v>
      </c>
      <c r="AF31" s="298">
        <v>0</v>
      </c>
      <c r="AG31" s="299">
        <f t="shared" si="29"/>
        <v>0</v>
      </c>
      <c r="AH31" s="298">
        <v>0</v>
      </c>
      <c r="AI31" s="298">
        <v>0</v>
      </c>
      <c r="AJ31" s="298">
        <v>0</v>
      </c>
      <c r="AK31" s="298">
        <v>0</v>
      </c>
      <c r="AL31" s="299">
        <f t="shared" si="30"/>
        <v>0</v>
      </c>
      <c r="AM31" s="298">
        <v>0</v>
      </c>
      <c r="AN31" s="298">
        <v>0</v>
      </c>
      <c r="AO31" s="298">
        <v>0</v>
      </c>
      <c r="AP31" s="298">
        <v>0</v>
      </c>
      <c r="AQ31" s="299">
        <f t="shared" si="31"/>
        <v>0</v>
      </c>
      <c r="AR31" s="298">
        <v>0</v>
      </c>
      <c r="AS31" s="298">
        <v>0</v>
      </c>
      <c r="AT31" s="298">
        <v>0</v>
      </c>
      <c r="AU31" s="298">
        <v>0</v>
      </c>
      <c r="AV31" s="299">
        <f t="shared" si="32"/>
        <v>0</v>
      </c>
    </row>
    <row r="32" spans="2:48" outlineLevel="1" x14ac:dyDescent="0.3">
      <c r="B32" s="296" t="s">
        <v>286</v>
      </c>
      <c r="C32" s="297"/>
      <c r="D32" s="298">
        <v>108.4</v>
      </c>
      <c r="E32" s="298">
        <f>275.7-D32</f>
        <v>167.29999999999998</v>
      </c>
      <c r="F32" s="298">
        <f>358.5-E32-D32</f>
        <v>82.800000000000011</v>
      </c>
      <c r="G32" s="298">
        <f>409.8-F32-E32-D32</f>
        <v>51.300000000000011</v>
      </c>
      <c r="H32" s="299">
        <f t="shared" si="24"/>
        <v>409.8</v>
      </c>
      <c r="I32" s="298">
        <v>33.1</v>
      </c>
      <c r="J32" s="298">
        <f>65.4-I32</f>
        <v>32.300000000000004</v>
      </c>
      <c r="K32" s="298">
        <f>98.9-J32-I32</f>
        <v>33.499999999999993</v>
      </c>
      <c r="L32" s="298">
        <f>298.8-K32-J32-I32</f>
        <v>199.9</v>
      </c>
      <c r="M32" s="299">
        <f t="shared" si="25"/>
        <v>298.8</v>
      </c>
      <c r="N32" s="298">
        <v>102.8</v>
      </c>
      <c r="O32" s="298">
        <f>134.4-N32</f>
        <v>31.600000000000009</v>
      </c>
      <c r="P32" s="298">
        <f>191.6-O32-N32</f>
        <v>57.2</v>
      </c>
      <c r="Q32" s="298">
        <f>246.2-P32-O32-N32</f>
        <v>54.59999999999998</v>
      </c>
      <c r="R32" s="299">
        <f t="shared" si="26"/>
        <v>246.2</v>
      </c>
      <c r="S32" s="298">
        <v>41.3</v>
      </c>
      <c r="T32" s="298">
        <f>56.3-S32</f>
        <v>15</v>
      </c>
      <c r="U32" s="298">
        <f>75.5-T32-S32</f>
        <v>19.200000000000003</v>
      </c>
      <c r="V32" s="298">
        <f>101.6-U32-T32-S32</f>
        <v>26.099999999999994</v>
      </c>
      <c r="W32" s="299">
        <f t="shared" si="27"/>
        <v>101.6</v>
      </c>
      <c r="X32" s="298">
        <v>0</v>
      </c>
      <c r="Y32" s="298">
        <v>0</v>
      </c>
      <c r="Z32" s="298">
        <v>0</v>
      </c>
      <c r="AA32" s="298">
        <v>0</v>
      </c>
      <c r="AB32" s="299">
        <f t="shared" si="28"/>
        <v>0</v>
      </c>
      <c r="AC32" s="298">
        <v>0</v>
      </c>
      <c r="AD32" s="298">
        <v>0</v>
      </c>
      <c r="AE32" s="298">
        <v>0</v>
      </c>
      <c r="AF32" s="298">
        <v>0</v>
      </c>
      <c r="AG32" s="299">
        <f t="shared" si="29"/>
        <v>0</v>
      </c>
      <c r="AH32" s="298">
        <v>0</v>
      </c>
      <c r="AI32" s="298">
        <v>0</v>
      </c>
      <c r="AJ32" s="298">
        <v>0</v>
      </c>
      <c r="AK32" s="298">
        <v>0</v>
      </c>
      <c r="AL32" s="299">
        <f t="shared" si="30"/>
        <v>0</v>
      </c>
      <c r="AM32" s="298">
        <v>0</v>
      </c>
      <c r="AN32" s="298">
        <v>0</v>
      </c>
      <c r="AO32" s="298">
        <v>0</v>
      </c>
      <c r="AP32" s="298">
        <v>0</v>
      </c>
      <c r="AQ32" s="299">
        <f t="shared" si="31"/>
        <v>0</v>
      </c>
      <c r="AR32" s="298">
        <v>0</v>
      </c>
      <c r="AS32" s="298">
        <v>0</v>
      </c>
      <c r="AT32" s="298">
        <v>0</v>
      </c>
      <c r="AU32" s="298">
        <v>0</v>
      </c>
      <c r="AV32" s="299">
        <f t="shared" si="32"/>
        <v>0</v>
      </c>
    </row>
    <row r="33" spans="2:48" outlineLevel="1" x14ac:dyDescent="0.3">
      <c r="B33" s="296" t="s">
        <v>287</v>
      </c>
      <c r="C33" s="297"/>
      <c r="D33" s="298">
        <v>-446.7</v>
      </c>
      <c r="E33" s="298">
        <f>-894.5-D33</f>
        <v>-447.8</v>
      </c>
      <c r="F33" s="298">
        <f>-1330.7-E33-D33</f>
        <v>-436.2000000000001</v>
      </c>
      <c r="G33" s="298">
        <f>-1761.3-F33-E33-D33</f>
        <v>-430.59999999999997</v>
      </c>
      <c r="H33" s="299">
        <f t="shared" si="24"/>
        <v>-1761.3</v>
      </c>
      <c r="I33" s="298">
        <v>-484.2</v>
      </c>
      <c r="J33" s="298">
        <f>-965.2-I33</f>
        <v>-481.00000000000006</v>
      </c>
      <c r="K33" s="298">
        <f>-1444.2-J33-I33</f>
        <v>-479.00000000000006</v>
      </c>
      <c r="L33" s="298">
        <f>-1923.5-K33-J33-I33</f>
        <v>-479.3</v>
      </c>
      <c r="M33" s="299">
        <f t="shared" si="25"/>
        <v>-1923.5</v>
      </c>
      <c r="N33" s="298">
        <v>-528.20000000000005</v>
      </c>
      <c r="O33" s="298">
        <f>-1058-N33</f>
        <v>-529.79999999999995</v>
      </c>
      <c r="P33" s="298">
        <f>-1588.2-O33-N33</f>
        <v>-530.20000000000005</v>
      </c>
      <c r="Q33" s="298">
        <f>-2119-P33-O33-N33</f>
        <v>-530.79999999999995</v>
      </c>
      <c r="R33" s="299">
        <f t="shared" si="26"/>
        <v>-2119</v>
      </c>
      <c r="S33" s="298">
        <v>-576</v>
      </c>
      <c r="T33" s="298">
        <f>-1139.2-S33</f>
        <v>-563.20000000000005</v>
      </c>
      <c r="U33" s="298">
        <f>-1701.1-T33-S33</f>
        <v>-561.89999999999986</v>
      </c>
      <c r="V33" s="298">
        <f>-2263.3-U33-T33-S33</f>
        <v>-562.20000000000027</v>
      </c>
      <c r="W33" s="299">
        <f t="shared" si="27"/>
        <v>-2263.3000000000002</v>
      </c>
      <c r="X33" s="298">
        <f>-'Income Statement &amp; Segments'!X30*'Income Statement &amp; Segments'!X35</f>
        <v>-609.52966603749712</v>
      </c>
      <c r="Y33" s="298">
        <f>-'Income Statement &amp; Segments'!Y30*'Income Statement &amp; Segments'!Y35</f>
        <v>-610.74872536957218</v>
      </c>
      <c r="Z33" s="298">
        <f>-'Income Statement &amp; Segments'!Z30*'Income Statement &amp; Segments'!Z35</f>
        <v>-611.97022282031128</v>
      </c>
      <c r="AA33" s="298">
        <f>-'Income Statement &amp; Segments'!AA30*'Income Statement &amp; Segments'!AA35</f>
        <v>-643.85387142924958</v>
      </c>
      <c r="AB33" s="299">
        <f t="shared" si="28"/>
        <v>-2476.1024856566301</v>
      </c>
      <c r="AC33" s="298">
        <f>-'Income Statement &amp; Segments'!AC30*'Income Statement &amp; Segments'!AC35</f>
        <v>-645.1415791721081</v>
      </c>
      <c r="AD33" s="298">
        <f>-'Income Statement &amp; Segments'!AD30*'Income Statement &amp; Segments'!AD35</f>
        <v>-646.4318623304523</v>
      </c>
      <c r="AE33" s="298">
        <f>-'Income Statement &amp; Segments'!AE30*'Income Statement &amp; Segments'!AE35</f>
        <v>-647.23089889461949</v>
      </c>
      <c r="AF33" s="298">
        <f>-'Income Statement &amp; Segments'!AF30*'Income Statement &amp; Segments'!AF35</f>
        <v>-680.4331102085107</v>
      </c>
      <c r="AG33" s="299">
        <f t="shared" si="29"/>
        <v>-2619.2374506056904</v>
      </c>
      <c r="AH33" s="298">
        <f>-'Income Statement &amp; Segments'!AH30*'Income Statement &amp; Segments'!AH35</f>
        <v>-681.30014926843398</v>
      </c>
      <c r="AI33" s="298">
        <f>-'Income Statement &amp; Segments'!AI30*'Income Statement &amp; Segments'!AI35</f>
        <v>-682.16892240647701</v>
      </c>
      <c r="AJ33" s="298">
        <f>-'Income Statement &amp; Segments'!AJ30*'Income Statement &amp; Segments'!AJ35</f>
        <v>-655.9882796303807</v>
      </c>
      <c r="AK33" s="298">
        <f>-'Income Statement &amp; Segments'!AK30*'Income Statement &amp; Segments'!AK35</f>
        <v>-661.24303934716875</v>
      </c>
      <c r="AL33" s="299">
        <f t="shared" si="30"/>
        <v>-2680.7003906524606</v>
      </c>
      <c r="AM33" s="298">
        <f>-'Income Statement &amp; Segments'!AM30*'Income Statement &amp; Segments'!AM35</f>
        <v>-662.56552542586303</v>
      </c>
      <c r="AN33" s="298">
        <f>-'Income Statement &amp; Segments'!AN30*'Income Statement &amp; Segments'!AN35</f>
        <v>-663.89065647671475</v>
      </c>
      <c r="AO33" s="298">
        <f>-'Income Statement &amp; Segments'!AO30*'Income Statement &amp; Segments'!AO35</f>
        <v>-665.2184377896682</v>
      </c>
      <c r="AP33" s="298">
        <f>-'Income Statement &amp; Segments'!AP30*'Income Statement &amp; Segments'!AP35</f>
        <v>-699.87631839850997</v>
      </c>
      <c r="AQ33" s="299">
        <f t="shared" si="31"/>
        <v>-2691.5509380907561</v>
      </c>
      <c r="AR33" s="298">
        <f>-'Income Statement &amp; Segments'!AR30*'Income Statement &amp; Segments'!AR35</f>
        <v>-701.27607103530704</v>
      </c>
      <c r="AS33" s="298">
        <f>-'Income Statement &amp; Segments'!AS30*'Income Statement &amp; Segments'!AS35</f>
        <v>-702.67862317737763</v>
      </c>
      <c r="AT33" s="298">
        <f>-'Income Statement &amp; Segments'!AT30*'Income Statement &amp; Segments'!AT35</f>
        <v>-704.08398042373233</v>
      </c>
      <c r="AU33" s="298">
        <f>-'Income Statement &amp; Segments'!AU30*'Income Statement &amp; Segments'!AU35</f>
        <v>-740.76675580380879</v>
      </c>
      <c r="AV33" s="299">
        <f t="shared" si="32"/>
        <v>-2848.8054304402258</v>
      </c>
    </row>
    <row r="34" spans="2:48" outlineLevel="1" x14ac:dyDescent="0.3">
      <c r="B34" s="296" t="s">
        <v>288</v>
      </c>
      <c r="C34" s="309"/>
      <c r="D34" s="298">
        <v>-5114.7</v>
      </c>
      <c r="E34" s="298">
        <f>-7827.9-D34</f>
        <v>-2713.2</v>
      </c>
      <c r="F34" s="298">
        <f>-7972.9-E34-D34</f>
        <v>-145</v>
      </c>
      <c r="G34" s="298">
        <f>-10222.3-F34-E34-D34</f>
        <v>-2249.3999999999996</v>
      </c>
      <c r="H34" s="299">
        <f t="shared" si="24"/>
        <v>-10222.299999999999</v>
      </c>
      <c r="I34" s="298">
        <v>-1091.4000000000001</v>
      </c>
      <c r="J34" s="298">
        <f>-1698.9-I34</f>
        <v>-607.5</v>
      </c>
      <c r="K34" s="298">
        <f>-1698.9-J34-I34</f>
        <v>0</v>
      </c>
      <c r="L34" s="298">
        <f>-1698.9-K34-J34-I34</f>
        <v>0</v>
      </c>
      <c r="M34" s="299">
        <f t="shared" si="25"/>
        <v>-1698.9</v>
      </c>
      <c r="N34" s="298">
        <v>0</v>
      </c>
      <c r="O34" s="298">
        <f>0-N34</f>
        <v>0</v>
      </c>
      <c r="P34" s="298">
        <f>0-O34-N34</f>
        <v>0</v>
      </c>
      <c r="Q34" s="298">
        <f>0-P34-O34-N34</f>
        <v>0</v>
      </c>
      <c r="R34" s="299">
        <f t="shared" si="26"/>
        <v>0</v>
      </c>
      <c r="S34" s="298">
        <v>-3520.9</v>
      </c>
      <c r="T34" s="298">
        <f>-3997.5-S34</f>
        <v>-476.59999999999991</v>
      </c>
      <c r="U34" s="298">
        <f>-4013-T34-S34</f>
        <v>-15.5</v>
      </c>
      <c r="V34" s="298">
        <f>-4013-U34-T34-S34</f>
        <v>0</v>
      </c>
      <c r="W34" s="299">
        <f t="shared" si="27"/>
        <v>-4013</v>
      </c>
      <c r="X34" s="298">
        <f>-'Income Statement &amp; Segments'!X154</f>
        <v>0</v>
      </c>
      <c r="Y34" s="298">
        <f>-'Income Statement &amp; Segments'!Y154</f>
        <v>0</v>
      </c>
      <c r="Z34" s="298">
        <f>-'Income Statement &amp; Segments'!Z154</f>
        <v>0</v>
      </c>
      <c r="AA34" s="298">
        <f>-'Income Statement &amp; Segments'!AA154</f>
        <v>0</v>
      </c>
      <c r="AB34" s="299">
        <f t="shared" si="28"/>
        <v>0</v>
      </c>
      <c r="AC34" s="298">
        <f>-'Income Statement &amp; Segments'!AC154</f>
        <v>0</v>
      </c>
      <c r="AD34" s="298">
        <f>-'Income Statement &amp; Segments'!AD154</f>
        <v>0</v>
      </c>
      <c r="AE34" s="298">
        <f>-'Income Statement &amp; Segments'!AE154</f>
        <v>-100</v>
      </c>
      <c r="AF34" s="298">
        <f>-'Income Statement &amp; Segments'!AF154</f>
        <v>-100</v>
      </c>
      <c r="AG34" s="299">
        <f t="shared" si="29"/>
        <v>-200</v>
      </c>
      <c r="AH34" s="298">
        <f>-'Income Statement &amp; Segments'!AH154</f>
        <v>-100</v>
      </c>
      <c r="AI34" s="298">
        <f>-'Income Statement &amp; Segments'!AI154</f>
        <v>-100</v>
      </c>
      <c r="AJ34" s="298">
        <f>-'Income Statement &amp; Segments'!AJ154</f>
        <v>-5577.8585757341261</v>
      </c>
      <c r="AK34" s="298">
        <f>-'Income Statement &amp; Segments'!AK154</f>
        <v>-5577.8585757341261</v>
      </c>
      <c r="AL34" s="299">
        <f t="shared" si="30"/>
        <v>-11355.717151468252</v>
      </c>
      <c r="AM34" s="298">
        <f>-'Income Statement &amp; Segments'!AM154</f>
        <v>0</v>
      </c>
      <c r="AN34" s="298">
        <f>-'Income Statement &amp; Segments'!AN154</f>
        <v>0</v>
      </c>
      <c r="AO34" s="298">
        <f>-'Income Statement &amp; Segments'!AO154</f>
        <v>0</v>
      </c>
      <c r="AP34" s="298">
        <f>-'Income Statement &amp; Segments'!AP154</f>
        <v>0</v>
      </c>
      <c r="AQ34" s="299">
        <f t="shared" si="31"/>
        <v>0</v>
      </c>
      <c r="AR34" s="298">
        <f>-'Income Statement &amp; Segments'!AR154</f>
        <v>0</v>
      </c>
      <c r="AS34" s="298">
        <f>-'Income Statement &amp; Segments'!AS154</f>
        <v>0</v>
      </c>
      <c r="AT34" s="298">
        <f>-'Income Statement &amp; Segments'!AT154</f>
        <v>0</v>
      </c>
      <c r="AU34" s="298">
        <f>-'Income Statement &amp; Segments'!AU154</f>
        <v>0</v>
      </c>
      <c r="AV34" s="299">
        <f t="shared" si="32"/>
        <v>0</v>
      </c>
    </row>
    <row r="35" spans="2:48" outlineLevel="1" x14ac:dyDescent="0.3">
      <c r="B35" s="296" t="s">
        <v>289</v>
      </c>
      <c r="C35" s="310"/>
      <c r="D35" s="298">
        <v>-55.3</v>
      </c>
      <c r="E35" s="298">
        <f>-56.3-D35</f>
        <v>-1</v>
      </c>
      <c r="F35" s="298">
        <f>-106.1-E35-D35</f>
        <v>-49.8</v>
      </c>
      <c r="G35" s="298">
        <f>-111.6-F35-E35-D35</f>
        <v>-5.5</v>
      </c>
      <c r="H35" s="299">
        <f t="shared" si="24"/>
        <v>-111.6</v>
      </c>
      <c r="I35" s="298">
        <v>-78.400000000000006</v>
      </c>
      <c r="J35" s="298">
        <f>-87.6-I35</f>
        <v>-9.1999999999999886</v>
      </c>
      <c r="K35" s="298">
        <f>-89.1-J35-I35</f>
        <v>-1.5</v>
      </c>
      <c r="L35" s="298">
        <f>-91.9-K35-J35-I35</f>
        <v>-2.8000000000000114</v>
      </c>
      <c r="M35" s="299">
        <f t="shared" si="25"/>
        <v>-91.9</v>
      </c>
      <c r="N35" s="298">
        <v>-88.6</v>
      </c>
      <c r="O35" s="298">
        <f>-90.1-N35</f>
        <v>-1.5</v>
      </c>
      <c r="P35" s="298">
        <f>-94.2-O35-N35</f>
        <v>-4.1000000000000085</v>
      </c>
      <c r="Q35" s="298">
        <f>-97-P35-O35-N35</f>
        <v>-2.7999999999999972</v>
      </c>
      <c r="R35" s="299">
        <f t="shared" si="26"/>
        <v>-97</v>
      </c>
      <c r="S35" s="298">
        <v>-113.6</v>
      </c>
      <c r="T35" s="298">
        <f>-122.1-S35</f>
        <v>-8.5</v>
      </c>
      <c r="U35" s="298">
        <f>-123.5-T35-S35</f>
        <v>-1.4000000000000057</v>
      </c>
      <c r="V35" s="298">
        <f>-127.2-U35-T35-S35</f>
        <v>-3.7000000000000028</v>
      </c>
      <c r="W35" s="299">
        <f t="shared" si="27"/>
        <v>-127.2</v>
      </c>
      <c r="X35" s="298">
        <f>(V35/V12)*X12</f>
        <v>-4.186049954078416</v>
      </c>
      <c r="Y35" s="437">
        <f>(X35/X12)*Y12</f>
        <v>-3.6343482328881489</v>
      </c>
      <c r="Z35" s="437">
        <f>(Y35/Y12)*Z12</f>
        <v>-4.0535981025390955</v>
      </c>
      <c r="AA35" s="437">
        <f>(Z35/Z12)*AA12</f>
        <v>-4.2745691680942661</v>
      </c>
      <c r="AB35" s="299">
        <f t="shared" si="28"/>
        <v>-16.148565457599926</v>
      </c>
      <c r="AC35" s="437">
        <f>(AA35/AA12)*AC12</f>
        <v>-4.4108106816489414</v>
      </c>
      <c r="AD35" s="437">
        <f>(AC35/AC12)*AD12</f>
        <v>-4.099005072986226</v>
      </c>
      <c r="AE35" s="437">
        <f>(AD35/AD12)*AE12</f>
        <v>-4.5218901135674932</v>
      </c>
      <c r="AF35" s="437">
        <f>(AE35/AE12)*AF12</f>
        <v>-4.6970992032119021</v>
      </c>
      <c r="AG35" s="299">
        <f t="shared" si="29"/>
        <v>-17.728805071414563</v>
      </c>
      <c r="AH35" s="437">
        <f>(AF35/AF12)*AH12</f>
        <v>-4.864394188867835</v>
      </c>
      <c r="AI35" s="437">
        <f>(AH35/AH12)*AI12</f>
        <v>-4.5853686334308463</v>
      </c>
      <c r="AJ35" s="437">
        <f>(AI35/AI12)*AJ12</f>
        <v>-5.0383135217279191</v>
      </c>
      <c r="AK35" s="437">
        <f>(AJ35/AJ12)*AK12</f>
        <v>-5.2276364212194295</v>
      </c>
      <c r="AL35" s="299">
        <f t="shared" si="30"/>
        <v>-19.715712765246028</v>
      </c>
      <c r="AM35" s="437">
        <f>(AK35/AK12)*AM12</f>
        <v>-5.3636089975470114</v>
      </c>
      <c r="AN35" s="437">
        <f>(AM35/AM12)*AN12</f>
        <v>-5.0274306331424921</v>
      </c>
      <c r="AO35" s="437">
        <f>(AN35/AN12)*AO12</f>
        <v>-5.4828418754495614</v>
      </c>
      <c r="AP35" s="437">
        <f>(AO35/AO12)*AP12</f>
        <v>-5.6367129586326108</v>
      </c>
      <c r="AQ35" s="299">
        <f t="shared" si="31"/>
        <v>-21.510594464771675</v>
      </c>
      <c r="AR35" s="437">
        <f>(AP35/AP12)*AR12</f>
        <v>-5.6615163518524758</v>
      </c>
      <c r="AS35" s="437">
        <f>(AR35/AR12)*AS12</f>
        <v>-5.3065239663078003</v>
      </c>
      <c r="AT35" s="437">
        <f>(AS35/AS12)*AT12</f>
        <v>-5.7859463442646932</v>
      </c>
      <c r="AU35" s="437">
        <f>(AT35/AT12)*AU12</f>
        <v>-5.9498301807844012</v>
      </c>
      <c r="AV35" s="299">
        <f t="shared" si="32"/>
        <v>-22.703816843209374</v>
      </c>
    </row>
    <row r="36" spans="2:48" ht="16.2" outlineLevel="1" x14ac:dyDescent="0.45">
      <c r="B36" s="556" t="s">
        <v>290</v>
      </c>
      <c r="C36" s="557"/>
      <c r="D36" s="300">
        <v>-0.3</v>
      </c>
      <c r="E36" s="300">
        <f>0.1-D36</f>
        <v>0.4</v>
      </c>
      <c r="F36" s="300">
        <f>-17.6-E36-D36</f>
        <v>-17.7</v>
      </c>
      <c r="G36" s="300">
        <f>-17.5-F36-E36-D36</f>
        <v>9.9999999999999256E-2</v>
      </c>
      <c r="H36" s="301">
        <f t="shared" si="24"/>
        <v>-17.5</v>
      </c>
      <c r="I36" s="300">
        <v>0</v>
      </c>
      <c r="J36" s="300">
        <f>-10.4-I36</f>
        <v>-10.4</v>
      </c>
      <c r="K36" s="300">
        <f>-37.8-J36-I36</f>
        <v>-27.4</v>
      </c>
      <c r="L36" s="300">
        <f>-37.7-K36-J36-I36</f>
        <v>9.9999999999996092E-2</v>
      </c>
      <c r="M36" s="301">
        <f t="shared" si="25"/>
        <v>-37.700000000000003</v>
      </c>
      <c r="N36" s="300">
        <v>0</v>
      </c>
      <c r="O36" s="300">
        <f>0-N36</f>
        <v>0</v>
      </c>
      <c r="P36" s="300">
        <f>0-O36-N36</f>
        <v>0</v>
      </c>
      <c r="Q36" s="300">
        <f>0-P36-O36-N36</f>
        <v>0</v>
      </c>
      <c r="R36" s="301">
        <f t="shared" si="26"/>
        <v>0</v>
      </c>
      <c r="S36" s="300">
        <v>0</v>
      </c>
      <c r="T36" s="300">
        <f>-9.2-S36</f>
        <v>-9.1999999999999993</v>
      </c>
      <c r="U36" s="300">
        <f>-9.2-T36-S36</f>
        <v>0</v>
      </c>
      <c r="V36" s="300">
        <f>-9.2-U36-T36-S36</f>
        <v>0</v>
      </c>
      <c r="W36" s="301">
        <f t="shared" si="27"/>
        <v>-9.1999999999999993</v>
      </c>
      <c r="X36" s="300">
        <v>0</v>
      </c>
      <c r="Y36" s="300">
        <v>0</v>
      </c>
      <c r="Z36" s="300">
        <v>0</v>
      </c>
      <c r="AA36" s="300">
        <v>0</v>
      </c>
      <c r="AB36" s="301">
        <f t="shared" si="28"/>
        <v>0</v>
      </c>
      <c r="AC36" s="300">
        <v>0</v>
      </c>
      <c r="AD36" s="300">
        <v>0</v>
      </c>
      <c r="AE36" s="300">
        <v>0</v>
      </c>
      <c r="AF36" s="300">
        <v>0</v>
      </c>
      <c r="AG36" s="301">
        <f t="shared" si="29"/>
        <v>0</v>
      </c>
      <c r="AH36" s="300">
        <v>0</v>
      </c>
      <c r="AI36" s="300">
        <v>0</v>
      </c>
      <c r="AJ36" s="300">
        <v>0</v>
      </c>
      <c r="AK36" s="300">
        <v>0</v>
      </c>
      <c r="AL36" s="301">
        <f t="shared" si="30"/>
        <v>0</v>
      </c>
      <c r="AM36" s="300">
        <v>0</v>
      </c>
      <c r="AN36" s="300">
        <v>0</v>
      </c>
      <c r="AO36" s="300">
        <v>0</v>
      </c>
      <c r="AP36" s="300">
        <v>0</v>
      </c>
      <c r="AQ36" s="301">
        <f t="shared" si="31"/>
        <v>0</v>
      </c>
      <c r="AR36" s="300">
        <v>0</v>
      </c>
      <c r="AS36" s="300">
        <v>0</v>
      </c>
      <c r="AT36" s="300">
        <v>0</v>
      </c>
      <c r="AU36" s="300">
        <v>0</v>
      </c>
      <c r="AV36" s="301">
        <f t="shared" si="32"/>
        <v>0</v>
      </c>
    </row>
    <row r="37" spans="2:48" outlineLevel="1" x14ac:dyDescent="0.3">
      <c r="B37" s="560" t="s">
        <v>291</v>
      </c>
      <c r="C37" s="561"/>
      <c r="D37" s="302">
        <f t="shared" ref="D37:AU37" si="35">SUM(D29:D36)</f>
        <v>-5858.6</v>
      </c>
      <c r="E37" s="302">
        <f t="shared" si="35"/>
        <v>-2919.2999999999997</v>
      </c>
      <c r="F37" s="302">
        <f t="shared" si="35"/>
        <v>1355.1</v>
      </c>
      <c r="G37" s="302">
        <f t="shared" si="35"/>
        <v>-2634.1</v>
      </c>
      <c r="H37" s="303">
        <f t="shared" si="35"/>
        <v>-10056.9</v>
      </c>
      <c r="I37" s="302">
        <f t="shared" si="35"/>
        <v>-1123.0000000000002</v>
      </c>
      <c r="J37" s="302">
        <f t="shared" si="35"/>
        <v>1273.1000000000001</v>
      </c>
      <c r="K37" s="302">
        <f t="shared" si="35"/>
        <v>2342.9000000000005</v>
      </c>
      <c r="L37" s="302">
        <f t="shared" si="35"/>
        <v>-779.69999999999948</v>
      </c>
      <c r="M37" s="303">
        <f t="shared" si="35"/>
        <v>1713.3000000000009</v>
      </c>
      <c r="N37" s="302">
        <f t="shared" si="35"/>
        <v>-965.80000000000007</v>
      </c>
      <c r="O37" s="302">
        <f t="shared" si="35"/>
        <v>-1711.6</v>
      </c>
      <c r="P37" s="302">
        <f t="shared" si="35"/>
        <v>-490.50000000000011</v>
      </c>
      <c r="Q37" s="302">
        <f t="shared" si="35"/>
        <v>-483.09999999999991</v>
      </c>
      <c r="R37" s="303">
        <f t="shared" si="35"/>
        <v>-3651</v>
      </c>
      <c r="S37" s="302">
        <f t="shared" si="35"/>
        <v>-3969.2</v>
      </c>
      <c r="T37" s="302">
        <f t="shared" si="35"/>
        <v>260.40000000000015</v>
      </c>
      <c r="U37" s="302">
        <f t="shared" si="35"/>
        <v>-1364.4</v>
      </c>
      <c r="V37" s="302">
        <f t="shared" si="35"/>
        <v>-564.8000000000003</v>
      </c>
      <c r="W37" s="303">
        <f t="shared" si="35"/>
        <v>-5638</v>
      </c>
      <c r="X37" s="302">
        <f>SUM(X29:X36)</f>
        <v>-613.71571599157551</v>
      </c>
      <c r="Y37" s="302">
        <f t="shared" si="35"/>
        <v>-614.38307360246029</v>
      </c>
      <c r="Z37" s="302">
        <f t="shared" si="35"/>
        <v>-616.02382092284859</v>
      </c>
      <c r="AA37" s="302">
        <f t="shared" si="35"/>
        <v>-648.12844059734198</v>
      </c>
      <c r="AB37" s="303">
        <f t="shared" ref="AB37" si="36">SUM(AB29:AB36)</f>
        <v>-2492.2510511142264</v>
      </c>
      <c r="AC37" s="302">
        <f t="shared" si="35"/>
        <v>-649.55238985375524</v>
      </c>
      <c r="AD37" s="302">
        <f t="shared" si="35"/>
        <v>-650.83086740343958</v>
      </c>
      <c r="AE37" s="302">
        <f t="shared" si="35"/>
        <v>-751.75278900818694</v>
      </c>
      <c r="AF37" s="302">
        <f t="shared" si="35"/>
        <v>-685.1302094117226</v>
      </c>
      <c r="AG37" s="303">
        <f t="shared" ref="AG37" si="37">SUM(AG29:AG36)</f>
        <v>-2737.2662556771043</v>
      </c>
      <c r="AH37" s="302">
        <f t="shared" si="35"/>
        <v>-786.16454345730187</v>
      </c>
      <c r="AI37" s="302">
        <f t="shared" si="35"/>
        <v>-786.75429103990791</v>
      </c>
      <c r="AJ37" s="302">
        <f t="shared" si="35"/>
        <v>-561.02659315210883</v>
      </c>
      <c r="AK37" s="302">
        <f t="shared" si="35"/>
        <v>-6244.3292515025141</v>
      </c>
      <c r="AL37" s="303">
        <f t="shared" ref="AL37" si="38">SUM(AL29:AL36)</f>
        <v>-8378.274679151833</v>
      </c>
      <c r="AM37" s="302">
        <f t="shared" si="35"/>
        <v>-667.92913442341001</v>
      </c>
      <c r="AN37" s="302">
        <f t="shared" si="35"/>
        <v>-668.9180871098572</v>
      </c>
      <c r="AO37" s="302">
        <f t="shared" si="35"/>
        <v>-670.7012796651178</v>
      </c>
      <c r="AP37" s="302">
        <f t="shared" si="35"/>
        <v>-705.51303135714261</v>
      </c>
      <c r="AQ37" s="303">
        <f t="shared" ref="AQ37" si="39">SUM(AQ29:AQ36)</f>
        <v>-2713.0615325555277</v>
      </c>
      <c r="AR37" s="302">
        <f t="shared" si="35"/>
        <v>-706.93758738715951</v>
      </c>
      <c r="AS37" s="302">
        <f t="shared" si="35"/>
        <v>-707.98514714368548</v>
      </c>
      <c r="AT37" s="302">
        <f t="shared" si="35"/>
        <v>-709.86992676799707</v>
      </c>
      <c r="AU37" s="302">
        <f t="shared" si="35"/>
        <v>-746.71658598459317</v>
      </c>
      <c r="AV37" s="303">
        <f t="shared" ref="AV37" si="40">SUM(AV29:AV36)</f>
        <v>-2871.5092472834353</v>
      </c>
    </row>
    <row r="38" spans="2:48" outlineLevel="1" x14ac:dyDescent="0.3">
      <c r="B38" s="233" t="s">
        <v>292</v>
      </c>
      <c r="C38" s="234"/>
      <c r="D38" s="304">
        <f>-4.7-0.1</f>
        <v>-4.8</v>
      </c>
      <c r="E38" s="311">
        <f>18.3-0.1-D38</f>
        <v>23</v>
      </c>
      <c r="F38" s="311">
        <f>-2.5-E38-D38</f>
        <v>-20.7</v>
      </c>
      <c r="G38" s="311">
        <f>-49-F38-E38-D38</f>
        <v>-46.5</v>
      </c>
      <c r="H38" s="308">
        <f>SUM(D38:G38)</f>
        <v>-49</v>
      </c>
      <c r="I38" s="311">
        <v>27.1</v>
      </c>
      <c r="J38" s="311">
        <f>8.7-I38</f>
        <v>-18.400000000000002</v>
      </c>
      <c r="K38" s="311">
        <f>10.9-J38-I38</f>
        <v>2.2000000000000028</v>
      </c>
      <c r="L38" s="311">
        <f>64.7-K38-J38-I38</f>
        <v>53.800000000000004</v>
      </c>
      <c r="M38" s="308">
        <f>SUM(I38:L38)</f>
        <v>64.7</v>
      </c>
      <c r="N38" s="311">
        <v>79.8</v>
      </c>
      <c r="O38" s="311">
        <f>66.7-N38</f>
        <v>-13.099999999999994</v>
      </c>
      <c r="P38" s="311">
        <f>87.9-O38-N38</f>
        <v>21.200000000000003</v>
      </c>
      <c r="Q38" s="311">
        <f>86.2-P38-O38-N38</f>
        <v>-1.7000000000000028</v>
      </c>
      <c r="R38" s="386">
        <f>SUM(N38:Q38)</f>
        <v>86.2</v>
      </c>
      <c r="S38" s="311">
        <v>13</v>
      </c>
      <c r="T38" s="311">
        <f>14.6-S38</f>
        <v>1.5999999999999996</v>
      </c>
      <c r="U38" s="311">
        <f>-126.3-T38-S38</f>
        <v>-140.89999999999998</v>
      </c>
      <c r="V38" s="311">
        <f>-250.3-U38-T38-S38</f>
        <v>-124.00000000000003</v>
      </c>
      <c r="W38" s="386">
        <f>SUM(S38:V38)</f>
        <v>-250.3</v>
      </c>
      <c r="X38" s="452">
        <v>0</v>
      </c>
      <c r="Y38" s="452">
        <v>0</v>
      </c>
      <c r="Z38" s="452">
        <v>0</v>
      </c>
      <c r="AA38" s="452">
        <v>0</v>
      </c>
      <c r="AB38" s="453">
        <f>SUM(X38:AA38)</f>
        <v>0</v>
      </c>
      <c r="AC38" s="452"/>
      <c r="AD38" s="452"/>
      <c r="AE38" s="452"/>
      <c r="AF38" s="452"/>
      <c r="AG38" s="453">
        <f>SUM(AC38:AF38)</f>
        <v>0</v>
      </c>
      <c r="AH38" s="452"/>
      <c r="AI38" s="452"/>
      <c r="AJ38" s="452"/>
      <c r="AK38" s="452"/>
      <c r="AL38" s="453">
        <f>SUM(AH38:AK38)</f>
        <v>0</v>
      </c>
      <c r="AM38" s="452"/>
      <c r="AN38" s="452"/>
      <c r="AO38" s="452"/>
      <c r="AP38" s="452"/>
      <c r="AQ38" s="453">
        <f>SUM(AM38:AP38)</f>
        <v>0</v>
      </c>
      <c r="AR38" s="452"/>
      <c r="AS38" s="452"/>
      <c r="AT38" s="452"/>
      <c r="AU38" s="452"/>
      <c r="AV38" s="453">
        <f>SUM(AR38:AU38)</f>
        <v>0</v>
      </c>
    </row>
    <row r="39" spans="2:48" ht="16.2" outlineLevel="1" x14ac:dyDescent="0.45">
      <c r="B39" s="511" t="s">
        <v>293</v>
      </c>
      <c r="C39" s="512"/>
      <c r="D39" s="244">
        <f t="shared" ref="D39:AU39" si="41">D37+D27+D22+D38</f>
        <v>-3994.7999999999997</v>
      </c>
      <c r="E39" s="244">
        <f t="shared" si="41"/>
        <v>-2706.5</v>
      </c>
      <c r="F39" s="244">
        <f t="shared" si="41"/>
        <v>2708.3000000000011</v>
      </c>
      <c r="G39" s="244">
        <f t="shared" si="41"/>
        <v>-2076.7999999999993</v>
      </c>
      <c r="H39" s="245">
        <f t="shared" si="41"/>
        <v>-6069.7999999999938</v>
      </c>
      <c r="I39" s="244">
        <f t="shared" si="41"/>
        <v>353.89999999999839</v>
      </c>
      <c r="J39" s="244">
        <f t="shared" si="41"/>
        <v>-468.20000000000061</v>
      </c>
      <c r="K39" s="244">
        <f t="shared" si="41"/>
        <v>1393.600000000001</v>
      </c>
      <c r="L39" s="244">
        <f t="shared" si="41"/>
        <v>385.0000000000021</v>
      </c>
      <c r="M39" s="245">
        <f t="shared" si="41"/>
        <v>1664.3000000000052</v>
      </c>
      <c r="N39" s="102">
        <f t="shared" si="41"/>
        <v>677.2</v>
      </c>
      <c r="O39" s="102">
        <f t="shared" si="41"/>
        <v>-1147.3999999999996</v>
      </c>
      <c r="P39" s="102">
        <f t="shared" si="41"/>
        <v>872.49999999999909</v>
      </c>
      <c r="Q39" s="102">
        <f t="shared" si="41"/>
        <v>1702.5999999999997</v>
      </c>
      <c r="R39" s="246">
        <f t="shared" si="41"/>
        <v>2104.8999999999978</v>
      </c>
      <c r="S39" s="102">
        <f t="shared" si="41"/>
        <v>-2486.3000000000002</v>
      </c>
      <c r="T39" s="102">
        <f t="shared" si="41"/>
        <v>-55.999999999999567</v>
      </c>
      <c r="U39" s="102">
        <f t="shared" si="41"/>
        <v>-735.90000000000089</v>
      </c>
      <c r="V39" s="102">
        <f t="shared" si="41"/>
        <v>-359.20000000000118</v>
      </c>
      <c r="W39" s="246">
        <f>W37+W27+W22+W38</f>
        <v>-3637.4000000000005</v>
      </c>
      <c r="X39" s="102">
        <f>X37+X27+X22+X38</f>
        <v>1283.1482397020104</v>
      </c>
      <c r="Y39" s="102">
        <f t="shared" si="41"/>
        <v>-475.3431959559507</v>
      </c>
      <c r="Z39" s="102">
        <f t="shared" si="41"/>
        <v>-445.41348503213362</v>
      </c>
      <c r="AA39" s="102">
        <f t="shared" si="41"/>
        <v>494.94572127119909</v>
      </c>
      <c r="AB39" s="246">
        <f>AB37+AB27+AB22+AB38</f>
        <v>857.33727998512495</v>
      </c>
      <c r="AC39" s="102">
        <f t="shared" si="41"/>
        <v>1203.5187877904286</v>
      </c>
      <c r="AD39" s="102">
        <f t="shared" si="41"/>
        <v>-164.23461730123404</v>
      </c>
      <c r="AE39" s="102">
        <f t="shared" si="41"/>
        <v>-66.304050348254805</v>
      </c>
      <c r="AF39" s="102">
        <f t="shared" si="41"/>
        <v>285.67691509817223</v>
      </c>
      <c r="AG39" s="246">
        <f>AG37+AG27+AG22+AG38</f>
        <v>1258.6570352391127</v>
      </c>
      <c r="AH39" s="102">
        <f t="shared" si="41"/>
        <v>855.57703452060173</v>
      </c>
      <c r="AI39" s="102">
        <f t="shared" si="41"/>
        <v>-453.5004766902689</v>
      </c>
      <c r="AJ39" s="102">
        <f t="shared" si="41"/>
        <v>253.79687060072774</v>
      </c>
      <c r="AK39" s="102">
        <f t="shared" si="41"/>
        <v>-4794.5102568897983</v>
      </c>
      <c r="AL39" s="246">
        <f>AL37+AL27+AL22+AL38</f>
        <v>-4138.6368284587388</v>
      </c>
      <c r="AM39" s="102">
        <f t="shared" si="41"/>
        <v>1480.4310644748416</v>
      </c>
      <c r="AN39" s="102">
        <f t="shared" si="41"/>
        <v>-340.90985581571977</v>
      </c>
      <c r="AO39" s="102">
        <f t="shared" si="41"/>
        <v>144.71517323730905</v>
      </c>
      <c r="AP39" s="102">
        <f t="shared" si="41"/>
        <v>595.05472037283835</v>
      </c>
      <c r="AQ39" s="246">
        <f>AQ37+AQ27+AQ22+AQ38</f>
        <v>1879.2911022692697</v>
      </c>
      <c r="AR39" s="102">
        <f t="shared" si="41"/>
        <v>1603.6803251607439</v>
      </c>
      <c r="AS39" s="102">
        <f t="shared" si="41"/>
        <v>-205.72867155602717</v>
      </c>
      <c r="AT39" s="102">
        <f t="shared" si="41"/>
        <v>110.24145152366395</v>
      </c>
      <c r="AU39" s="102">
        <f t="shared" si="41"/>
        <v>607.38452197564197</v>
      </c>
      <c r="AV39" s="246">
        <f>AV37+AV27+AV22+AV38</f>
        <v>2115.5776271040249</v>
      </c>
    </row>
    <row r="40" spans="2:48" ht="16.2" outlineLevel="1" x14ac:dyDescent="0.45">
      <c r="B40" s="511" t="s">
        <v>294</v>
      </c>
      <c r="C40" s="512"/>
      <c r="D40" s="244">
        <v>8756.2999999999993</v>
      </c>
      <c r="E40" s="244">
        <f>D41</f>
        <v>4761.6000000000004</v>
      </c>
      <c r="F40" s="244">
        <f>E41</f>
        <v>2055.1000000000004</v>
      </c>
      <c r="G40" s="244">
        <f>F41</f>
        <v>4763.4000000000015</v>
      </c>
      <c r="H40" s="245">
        <f>D40</f>
        <v>8756.2999999999993</v>
      </c>
      <c r="I40" s="102">
        <f>H41</f>
        <v>2686.5000000000055</v>
      </c>
      <c r="J40" s="244">
        <f>I41</f>
        <v>3040.5000000000036</v>
      </c>
      <c r="K40" s="244">
        <f>J41</f>
        <v>2572.3000000000029</v>
      </c>
      <c r="L40" s="244">
        <f>K41</f>
        <v>3965.9000000000042</v>
      </c>
      <c r="M40" s="245">
        <f>H41</f>
        <v>2686.5000000000055</v>
      </c>
      <c r="N40" s="102">
        <f>+M41</f>
        <v>4350.8000000000102</v>
      </c>
      <c r="O40" s="102">
        <f>N41</f>
        <v>5028.00000000001</v>
      </c>
      <c r="P40" s="102">
        <f>O41</f>
        <v>3880.6000000000104</v>
      </c>
      <c r="Q40" s="102">
        <f>P41</f>
        <v>4753.1000000000095</v>
      </c>
      <c r="R40" s="246">
        <f>M41</f>
        <v>4350.8000000000102</v>
      </c>
      <c r="S40" s="102">
        <f>+R41</f>
        <v>6455.700000000008</v>
      </c>
      <c r="T40" s="102">
        <f>S41</f>
        <v>3969.4000000000078</v>
      </c>
      <c r="U40" s="102">
        <f>T41</f>
        <v>3913.4000000000083</v>
      </c>
      <c r="V40" s="102">
        <f>U41</f>
        <v>3177.5000000000073</v>
      </c>
      <c r="W40" s="246">
        <f>R41</f>
        <v>6455.700000000008</v>
      </c>
      <c r="X40" s="102">
        <f>V41</f>
        <v>2818.3000000000061</v>
      </c>
      <c r="Y40" s="102">
        <f>X41</f>
        <v>4101.4482397020165</v>
      </c>
      <c r="Z40" s="102">
        <f>Y41</f>
        <v>3626.1050437460658</v>
      </c>
      <c r="AA40" s="102">
        <f>Z41</f>
        <v>3180.691558713932</v>
      </c>
      <c r="AB40" s="246">
        <f>W41</f>
        <v>2818.3000000000075</v>
      </c>
      <c r="AC40" s="102">
        <f>AA41</f>
        <v>3675.637279985131</v>
      </c>
      <c r="AD40" s="102">
        <f>AC41</f>
        <v>4879.1560677755597</v>
      </c>
      <c r="AE40" s="102">
        <f>AD41</f>
        <v>4714.9214504743259</v>
      </c>
      <c r="AF40" s="102">
        <f>AE41</f>
        <v>4648.6174001260715</v>
      </c>
      <c r="AG40" s="246">
        <f>AB41</f>
        <v>3675.637279985131</v>
      </c>
      <c r="AH40" s="102">
        <f>AF41</f>
        <v>4934.2943152242442</v>
      </c>
      <c r="AI40" s="102">
        <f>AH41</f>
        <v>5789.8713497448462</v>
      </c>
      <c r="AJ40" s="102">
        <f>AI41</f>
        <v>5336.3708730545768</v>
      </c>
      <c r="AK40" s="102">
        <f>AJ41</f>
        <v>5590.1677436553045</v>
      </c>
      <c r="AL40" s="246">
        <f>AG41</f>
        <v>4934.2943152242442</v>
      </c>
      <c r="AM40" s="102">
        <f>AK41</f>
        <v>795.65748676550629</v>
      </c>
      <c r="AN40" s="102">
        <f>AM41</f>
        <v>2276.0885512403479</v>
      </c>
      <c r="AO40" s="102">
        <f>AN41</f>
        <v>1935.1786954246281</v>
      </c>
      <c r="AP40" s="102">
        <f>AO41</f>
        <v>2079.8938686619372</v>
      </c>
      <c r="AQ40" s="246">
        <f>AL41</f>
        <v>795.65748676550538</v>
      </c>
      <c r="AR40" s="102">
        <f>AP41</f>
        <v>2674.9485890347755</v>
      </c>
      <c r="AS40" s="102">
        <f>AR41</f>
        <v>4278.6289141955194</v>
      </c>
      <c r="AT40" s="102">
        <f>AS41</f>
        <v>4072.9002426394923</v>
      </c>
      <c r="AU40" s="102">
        <f>AT41</f>
        <v>4183.141694163156</v>
      </c>
      <c r="AV40" s="246">
        <f>AQ41</f>
        <v>2674.948589034776</v>
      </c>
    </row>
    <row r="41" spans="2:48" outlineLevel="1" x14ac:dyDescent="0.3">
      <c r="B41" s="540" t="s">
        <v>295</v>
      </c>
      <c r="C41" s="541"/>
      <c r="D41" s="106">
        <f>+D40+D39+0.1</f>
        <v>4761.6000000000004</v>
      </c>
      <c r="E41" s="106">
        <f>+E40+E39</f>
        <v>2055.1000000000004</v>
      </c>
      <c r="F41" s="106">
        <f>+F40+F39</f>
        <v>4763.4000000000015</v>
      </c>
      <c r="G41" s="106">
        <f>+G40+G39</f>
        <v>2686.6000000000022</v>
      </c>
      <c r="H41" s="140">
        <f>+D40+H39</f>
        <v>2686.5000000000055</v>
      </c>
      <c r="I41" s="106">
        <f>+I40+I39+0.1</f>
        <v>3040.5000000000036</v>
      </c>
      <c r="J41" s="106">
        <f>+J40+J39</f>
        <v>2572.3000000000029</v>
      </c>
      <c r="K41" s="106">
        <f>+K40+K39</f>
        <v>3965.9000000000042</v>
      </c>
      <c r="L41" s="21">
        <f>+L40+L39</f>
        <v>4350.900000000006</v>
      </c>
      <c r="M41" s="22">
        <f>+I40+M39</f>
        <v>4350.8000000000102</v>
      </c>
      <c r="N41" s="21">
        <f>+N40+N39</f>
        <v>5028.00000000001</v>
      </c>
      <c r="O41" s="21">
        <f>+O40+O39</f>
        <v>3880.6000000000104</v>
      </c>
      <c r="P41" s="21">
        <f>+P40+P39</f>
        <v>4753.1000000000095</v>
      </c>
      <c r="Q41" s="21">
        <f>+Q40+Q39</f>
        <v>6455.7000000000089</v>
      </c>
      <c r="R41" s="22">
        <f>+N40+R39</f>
        <v>6455.700000000008</v>
      </c>
      <c r="S41" s="21">
        <f>+S40+S39</f>
        <v>3969.4000000000078</v>
      </c>
      <c r="T41" s="21">
        <f>+T40+T39</f>
        <v>3913.4000000000083</v>
      </c>
      <c r="U41" s="21">
        <f>+U40+U39</f>
        <v>3177.5000000000073</v>
      </c>
      <c r="V41" s="21">
        <f>+V40+V39</f>
        <v>2818.3000000000061</v>
      </c>
      <c r="W41" s="22">
        <f>+S40+W39</f>
        <v>2818.3000000000075</v>
      </c>
      <c r="X41" s="21">
        <f>+X40+X39</f>
        <v>4101.4482397020165</v>
      </c>
      <c r="Y41" s="21">
        <f>+Y40+Y39</f>
        <v>3626.1050437460658</v>
      </c>
      <c r="Z41" s="21">
        <f>+Z40+Z39</f>
        <v>3180.691558713932</v>
      </c>
      <c r="AA41" s="21">
        <f>+AA40+AA39</f>
        <v>3675.637279985131</v>
      </c>
      <c r="AB41" s="22">
        <f>+X40+AB39</f>
        <v>3675.637279985131</v>
      </c>
      <c r="AC41" s="21">
        <f>+AC40+AC39</f>
        <v>4879.1560677755597</v>
      </c>
      <c r="AD41" s="21">
        <f>+AD40+AD39</f>
        <v>4714.9214504743259</v>
      </c>
      <c r="AE41" s="21">
        <f>+AE40+AE39</f>
        <v>4648.6174001260715</v>
      </c>
      <c r="AF41" s="21">
        <f>+AF40+AF39</f>
        <v>4934.2943152242442</v>
      </c>
      <c r="AG41" s="22">
        <f>+AC40+AG39</f>
        <v>4934.2943152242442</v>
      </c>
      <c r="AH41" s="21">
        <f>+AH40+AH39</f>
        <v>5789.8713497448462</v>
      </c>
      <c r="AI41" s="21">
        <f>+AI40+AI39</f>
        <v>5336.3708730545768</v>
      </c>
      <c r="AJ41" s="21">
        <f>+AJ40+AJ39</f>
        <v>5590.1677436553045</v>
      </c>
      <c r="AK41" s="21">
        <f>+AK40+AK39</f>
        <v>795.65748676550629</v>
      </c>
      <c r="AL41" s="22">
        <f>+AH40+AL39</f>
        <v>795.65748676550538</v>
      </c>
      <c r="AM41" s="21">
        <f>+AM40+AM39</f>
        <v>2276.0885512403479</v>
      </c>
      <c r="AN41" s="21">
        <f>+AN40+AN39</f>
        <v>1935.1786954246281</v>
      </c>
      <c r="AO41" s="21">
        <f>+AO40+AO39</f>
        <v>2079.8938686619372</v>
      </c>
      <c r="AP41" s="21">
        <f>+AP40+AP39</f>
        <v>2674.9485890347755</v>
      </c>
      <c r="AQ41" s="22">
        <f>+AM40+AQ39</f>
        <v>2674.948589034776</v>
      </c>
      <c r="AR41" s="21">
        <f>+AR40+AR39</f>
        <v>4278.6289141955194</v>
      </c>
      <c r="AS41" s="21">
        <f>+AS40+AS39</f>
        <v>4072.9002426394923</v>
      </c>
      <c r="AT41" s="21">
        <f>+AT40+AT39</f>
        <v>4183.141694163156</v>
      </c>
      <c r="AU41" s="21">
        <f>+AU40+AU39</f>
        <v>4790.5262161387982</v>
      </c>
      <c r="AV41" s="22">
        <f>+AR40+AV39</f>
        <v>4790.5262161388</v>
      </c>
    </row>
    <row r="42" spans="2:48" s="23" customFormat="1" outlineLevel="1" x14ac:dyDescent="0.3">
      <c r="B42" s="562" t="s">
        <v>296</v>
      </c>
      <c r="C42" s="563"/>
      <c r="D42" s="292">
        <f>D22+D25+(-'Income Statement &amp; Segments'!D22*(1-'Income Statement &amp; Segments'!D143))</f>
        <v>2006.6678404971522</v>
      </c>
      <c r="E42" s="292">
        <f>E22+E25+(-'Income Statement &amp; Segments'!E22*(1-'Income Statement &amp; Segments'!E143))</f>
        <v>35.572341463414283</v>
      </c>
      <c r="F42" s="292">
        <f>F22+F25+(-'Income Statement &amp; Segments'!F22*(1-'Income Statement &amp; Segments'!F143))</f>
        <v>805.05226906792393</v>
      </c>
      <c r="G42" s="292">
        <f>G22+G25+(-'Income Statement &amp; Segments'!G22*(1-'Income Statement &amp; Segments'!G143))</f>
        <v>658.67991631799248</v>
      </c>
      <c r="H42" s="312">
        <f>SUM(D42:G42)</f>
        <v>3505.9723673464828</v>
      </c>
      <c r="I42" s="292">
        <f>I22+I25+(-'Income Statement &amp; Segments'!I22*(1-'Income Statement &amp; Segments'!I143))</f>
        <v>1512.9305035845414</v>
      </c>
      <c r="J42" s="292">
        <f>J22+J25+(-'Income Statement &amp; Segments'!J22*(1-'Income Statement &amp; Segments'!J143))</f>
        <v>-1642.7265504869306</v>
      </c>
      <c r="K42" s="292">
        <f>K22+K25+(-'Income Statement &amp; Segments'!K22*(1-'Income Statement &amp; Segments'!K143))</f>
        <v>-646.92009852216677</v>
      </c>
      <c r="L42" s="292">
        <f>L22+L25+(-'Income Statement &amp; Segments'!L22*(1-'Income Statement &amp; Segments'!L143))</f>
        <v>1239.2500000000016</v>
      </c>
      <c r="M42" s="312">
        <f>SUM(I42:L42)</f>
        <v>462.53385457544562</v>
      </c>
      <c r="N42" s="292">
        <f>N22+N25+(-'Income Statement &amp; Segments'!N22*(1-'Income Statement &amp; Segments'!N143))</f>
        <v>1604.4104787826304</v>
      </c>
      <c r="O42" s="292">
        <f>O22+O25+(-'Income Statement &amp; Segments'!O22*(1-'Income Statement &amp; Segments'!O143))</f>
        <v>645.31294527475006</v>
      </c>
      <c r="P42" s="292">
        <f>P22+P25+(-'Income Statement &amp; Segments'!P22*(1-'Income Statement &amp; Segments'!P143))</f>
        <v>1503.941642457308</v>
      </c>
      <c r="Q42" s="292">
        <f>Q22+Q25+(-'Income Statement &amp; Segments'!Q22*(1-'Income Statement &amp; Segments'!Q143))</f>
        <v>1131.0835557928453</v>
      </c>
      <c r="R42" s="312">
        <f>SUM(N42:Q42)</f>
        <v>4884.7486223075339</v>
      </c>
      <c r="S42" s="292">
        <f>S22+S25+(-'Income Statement &amp; Segments'!S22*(1-'Income Statement &amp; Segments'!S143))</f>
        <v>1542.6695877259035</v>
      </c>
      <c r="T42" s="292">
        <f>T22+T25+(-'Income Statement &amp; Segments'!T22*(1-'Income Statement &amp; Segments'!T143))</f>
        <v>-201.43821481566007</v>
      </c>
      <c r="U42" s="292">
        <f>U22+U25+(-'Income Statement &amp; Segments'!U22*(1-'Income Statement &amp; Segments'!U143))</f>
        <v>935.64362523066507</v>
      </c>
      <c r="V42" s="292">
        <f>V22+V25+(-'Income Statement &amp; Segments'!V22*(1-'Income Statement &amp; Segments'!V143))</f>
        <v>653.66008899382405</v>
      </c>
      <c r="W42" s="312">
        <f>SUM(S42:V42)</f>
        <v>2930.5350871347323</v>
      </c>
      <c r="X42" s="292">
        <f>X22+X25+(-'Income Statement &amp; Segments'!X22*(1-'Income Statement &amp; Segments'!X143))</f>
        <v>1642.6174333845411</v>
      </c>
      <c r="Y42" s="292">
        <f>Y22+Y25+(-'Income Statement &amp; Segments'!Y22*(1-'Income Statement &amp; Segments'!Y143))</f>
        <v>225.63517570723982</v>
      </c>
      <c r="Z42" s="292">
        <f>Z22+Z25+(-'Income Statement &amp; Segments'!Z22*(1-'Income Statement &amp; Segments'!Z143))</f>
        <v>281.41293769599849</v>
      </c>
      <c r="AA42" s="292">
        <f>AA22+AA25+(-'Income Statement &amp; Segments'!AA22*(1-'Income Statement &amp; Segments'!AA143))</f>
        <v>1246.8068589870168</v>
      </c>
      <c r="AB42" s="312">
        <f>SUM(X42:AA42)</f>
        <v>3396.4724057747962</v>
      </c>
      <c r="AC42" s="292">
        <f>AC22+AC25+(-'Income Statement &amp; Segments'!AC22*(1-'Income Statement &amp; Segments'!AC143))</f>
        <v>1979.0026809799383</v>
      </c>
      <c r="AD42" s="292">
        <f>AD22+AD25+(-'Income Statement &amp; Segments'!AD22*(1-'Income Statement &amp; Segments'!AD143))</f>
        <v>580.0898171357079</v>
      </c>
      <c r="AE42" s="292">
        <f>AE22+AE25+(-'Income Statement &amp; Segments'!AE22*(1-'Income Statement &amp; Segments'!AE143))</f>
        <v>801.83115789841781</v>
      </c>
      <c r="AF42" s="292">
        <f>AF22+AF25+(-'Income Statement &amp; Segments'!AF22*(1-'Income Statement &amp; Segments'!AF143))</f>
        <v>1083.6992880947157</v>
      </c>
      <c r="AG42" s="312">
        <f>SUM(AC42:AF42)</f>
        <v>4444.6229441087798</v>
      </c>
      <c r="AH42" s="292">
        <f>AH22+AH25+(-'Income Statement &amp; Segments'!AH22*(1-'Income Statement &amp; Segments'!AH143))</f>
        <v>1776.7830674845659</v>
      </c>
      <c r="AI42" s="292">
        <f>AI22+AI25+(-'Income Statement &amp; Segments'!AI22*(1-'Income Statement &amp; Segments'!AI143))</f>
        <v>434.01480745193453</v>
      </c>
      <c r="AJ42" s="292">
        <f>AJ22+AJ25+(-'Income Statement &amp; Segments'!AJ22*(1-'Income Statement &amp; Segments'!AJ143))</f>
        <v>952.45152709932972</v>
      </c>
      <c r="AK42" s="292">
        <f>AK22+AK25+(-'Income Statement &amp; Segments'!AK22*(1-'Income Statement &amp; Segments'!AK143))</f>
        <v>1451.1107657015386</v>
      </c>
      <c r="AL42" s="312">
        <f>SUM(AH42:AK42)</f>
        <v>4614.3601677373681</v>
      </c>
      <c r="AM42" s="292">
        <f>AM22+AM25+(-'Income Statement &amp; Segments'!AM22*(1-'Income Statement &amp; Segments'!AM143))</f>
        <v>2336.9852588118238</v>
      </c>
      <c r="AN42" s="292">
        <f>AN22+AN25+(-'Income Statement &amp; Segments'!AN22*(1-'Income Statement &amp; Segments'!AN143))</f>
        <v>478.27706879331026</v>
      </c>
      <c r="AO42" s="292">
        <f>AO22+AO25+(-'Income Statement &amp; Segments'!AO22*(1-'Income Statement &amp; Segments'!AO143))</f>
        <v>996.84966019324918</v>
      </c>
      <c r="AP42" s="292">
        <f>AP22+AP25+(-'Income Statement &amp; Segments'!AP22*(1-'Income Statement &amp; Segments'!AP143))</f>
        <v>1469.6603547446416</v>
      </c>
      <c r="AQ42" s="312">
        <f>SUM(AM42:AP42)</f>
        <v>5281.7723425430249</v>
      </c>
      <c r="AR42" s="292">
        <f>AR22+AR25+(-'Income Statement &amp; Segments'!AR22*(1-'Income Statement &amp; Segments'!AR143))</f>
        <v>2502.6759349551844</v>
      </c>
      <c r="AS42" s="292">
        <f>AS22+AS25+(-'Income Statement &amp; Segments'!AS22*(1-'Income Statement &amp; Segments'!AS143))</f>
        <v>654.10522656351236</v>
      </c>
      <c r="AT42" s="292">
        <f>AT22+AT25+(-'Income Statement &amp; Segments'!AT22*(1-'Income Statement &amp; Segments'!AT143))</f>
        <v>1004.7543183608453</v>
      </c>
      <c r="AU42" s="292">
        <f>AU22+AU25+(-'Income Statement &amp; Segments'!AU22*(1-'Income Statement &amp; Segments'!AU143))</f>
        <v>1526.2280563681848</v>
      </c>
      <c r="AV42" s="312">
        <f>SUM(AR42:AU42)</f>
        <v>5687.7635362477267</v>
      </c>
    </row>
    <row r="43" spans="2:48" s="23" customFormat="1" outlineLevel="1" x14ac:dyDescent="0.3">
      <c r="B43" s="296" t="s">
        <v>297</v>
      </c>
      <c r="C43" s="297"/>
      <c r="D43" s="298"/>
      <c r="E43" s="298"/>
      <c r="F43" s="313"/>
      <c r="G43" s="298"/>
      <c r="H43" s="299"/>
      <c r="I43" s="298"/>
      <c r="J43" s="298"/>
      <c r="K43" s="298"/>
      <c r="L43" s="298"/>
      <c r="M43" s="299"/>
      <c r="N43" s="298"/>
      <c r="O43" s="298"/>
      <c r="P43" s="298"/>
      <c r="Q43" s="298"/>
      <c r="R43" s="299"/>
      <c r="S43" s="298"/>
      <c r="T43" s="298"/>
      <c r="U43" s="298"/>
      <c r="V43" s="298"/>
      <c r="W43" s="299"/>
      <c r="X43" s="298"/>
      <c r="Y43" s="298"/>
      <c r="Z43" s="298"/>
      <c r="AA43" s="298"/>
      <c r="AB43" s="299">
        <v>1</v>
      </c>
      <c r="AC43" s="298"/>
      <c r="AD43" s="298"/>
      <c r="AE43" s="298"/>
      <c r="AF43" s="298"/>
      <c r="AG43" s="299">
        <v>2</v>
      </c>
      <c r="AH43" s="298"/>
      <c r="AI43" s="298"/>
      <c r="AJ43" s="298"/>
      <c r="AK43" s="298"/>
      <c r="AL43" s="299">
        <v>3</v>
      </c>
      <c r="AM43" s="298"/>
      <c r="AN43" s="298"/>
      <c r="AO43" s="298"/>
      <c r="AP43" s="298"/>
      <c r="AQ43" s="299">
        <v>4</v>
      </c>
      <c r="AR43" s="298"/>
      <c r="AS43" s="298"/>
      <c r="AT43" s="298"/>
      <c r="AU43" s="298"/>
      <c r="AV43" s="299">
        <v>5</v>
      </c>
    </row>
    <row r="44" spans="2:48" s="23" customFormat="1" outlineLevel="1" x14ac:dyDescent="0.3">
      <c r="B44" s="564" t="s">
        <v>298</v>
      </c>
      <c r="C44" s="565"/>
      <c r="D44" s="314"/>
      <c r="E44" s="314"/>
      <c r="F44" s="314"/>
      <c r="G44" s="314"/>
      <c r="H44" s="315"/>
      <c r="I44" s="314"/>
      <c r="J44" s="314"/>
      <c r="K44" s="314"/>
      <c r="L44" s="314"/>
      <c r="M44" s="315"/>
      <c r="N44" s="314"/>
      <c r="O44" s="314"/>
      <c r="P44" s="314"/>
      <c r="Q44" s="314"/>
      <c r="R44" s="315"/>
      <c r="S44" s="314"/>
      <c r="T44" s="314"/>
      <c r="U44" s="314"/>
      <c r="V44" s="314"/>
      <c r="W44" s="315"/>
      <c r="X44" s="314"/>
      <c r="Y44" s="314"/>
      <c r="Z44" s="314"/>
      <c r="AA44" s="314"/>
      <c r="AB44" s="315">
        <f>AB42/(1+Valuation!$F$20)^AB43</f>
        <v>3040.4609202386846</v>
      </c>
      <c r="AC44" s="314"/>
      <c r="AD44" s="314"/>
      <c r="AE44" s="314"/>
      <c r="AF44" s="314"/>
      <c r="AG44" s="315">
        <f>AG42/(1+Valuation!$F$20)^AG43</f>
        <v>3561.7021144499527</v>
      </c>
      <c r="AH44" s="314"/>
      <c r="AI44" s="314"/>
      <c r="AJ44" s="314"/>
      <c r="AK44" s="314"/>
      <c r="AL44" s="315">
        <f>AL42/(1+Valuation!$F$20)^AL43</f>
        <v>3310.1333905185929</v>
      </c>
      <c r="AM44" s="314"/>
      <c r="AN44" s="314"/>
      <c r="AO44" s="314"/>
      <c r="AP44" s="314"/>
      <c r="AQ44" s="315">
        <f>AQ42/(1+Valuation!$F$20)^AQ43</f>
        <v>3391.7592541576805</v>
      </c>
      <c r="AR44" s="314"/>
      <c r="AS44" s="314"/>
      <c r="AT44" s="314"/>
      <c r="AU44" s="314"/>
      <c r="AV44" s="315">
        <f>AV42/(1+Valuation!$F$20)^AV43</f>
        <v>3269.6269794813929</v>
      </c>
    </row>
    <row r="45" spans="2:48" outlineLevel="1" x14ac:dyDescent="0.3">
      <c r="B45" s="235" t="s">
        <v>299</v>
      </c>
      <c r="C45" s="234"/>
      <c r="D45" s="305"/>
      <c r="E45" s="305"/>
      <c r="F45" s="305"/>
      <c r="G45" s="305"/>
      <c r="H45" s="306"/>
      <c r="I45" s="305"/>
      <c r="J45" s="305"/>
      <c r="K45" s="305"/>
      <c r="L45" s="305"/>
      <c r="M45" s="306"/>
      <c r="N45" s="305"/>
      <c r="O45" s="305"/>
      <c r="P45" s="305"/>
      <c r="Q45" s="305"/>
      <c r="R45" s="306"/>
      <c r="S45" s="305"/>
      <c r="T45" s="305"/>
      <c r="U45" s="305"/>
      <c r="V45" s="305"/>
      <c r="W45" s="306"/>
      <c r="X45" s="305"/>
      <c r="Y45" s="305"/>
      <c r="Z45" s="305"/>
      <c r="AA45" s="305"/>
      <c r="AB45" s="306"/>
      <c r="AC45" s="305"/>
      <c r="AD45" s="305"/>
      <c r="AE45" s="305"/>
      <c r="AF45" s="305"/>
      <c r="AG45" s="306"/>
      <c r="AH45" s="305"/>
      <c r="AI45" s="305"/>
      <c r="AJ45" s="305"/>
      <c r="AK45" s="305"/>
      <c r="AL45" s="306"/>
      <c r="AM45" s="305"/>
      <c r="AN45" s="305"/>
      <c r="AO45" s="305"/>
      <c r="AP45" s="305"/>
      <c r="AQ45" s="306"/>
      <c r="AR45" s="305"/>
      <c r="AS45" s="305"/>
      <c r="AT45" s="305"/>
      <c r="AU45" s="305"/>
      <c r="AV45" s="306"/>
    </row>
    <row r="46" spans="2:48" outlineLevel="1" x14ac:dyDescent="0.3">
      <c r="B46" s="188" t="s">
        <v>300</v>
      </c>
      <c r="C46" s="189"/>
      <c r="D46" s="16">
        <f>+'Balance Sheet'!D6+'Balance Sheet'!D7+'Balance Sheet'!D12</f>
        <v>5256.8</v>
      </c>
      <c r="E46" s="16">
        <f>+'Balance Sheet'!E6+'Balance Sheet'!E7+'Balance Sheet'!E12</f>
        <v>2383.6000000000004</v>
      </c>
      <c r="F46" s="16">
        <f>+'Balance Sheet'!F6+'Balance Sheet'!F7+'Balance Sheet'!F12</f>
        <v>5058.1000000000022</v>
      </c>
      <c r="G46" s="16">
        <f>+'Balance Sheet'!G6+'Balance Sheet'!G7+'Balance Sheet'!G12</f>
        <v>2977.1000000000022</v>
      </c>
      <c r="H46" s="17">
        <f>+'Balance Sheet'!H6+'Balance Sheet'!H7+'Balance Sheet'!H12</f>
        <v>2977.1000000000022</v>
      </c>
      <c r="I46" s="16">
        <f>+'Balance Sheet'!I6+'Balance Sheet'!I7+'Balance Sheet'!I12</f>
        <v>3308.7000000000039</v>
      </c>
      <c r="J46" s="16">
        <f>+'Balance Sheet'!J6+'Balance Sheet'!J7+'Balance Sheet'!J12</f>
        <v>2824.0000000000032</v>
      </c>
      <c r="K46" s="16">
        <f>+'Balance Sheet'!K6+'Balance Sheet'!K7+'Balance Sheet'!K12</f>
        <v>4419.2000000000035</v>
      </c>
      <c r="L46" s="16">
        <f>+'Balance Sheet'!L6+'Balance Sheet'!L7+'Balance Sheet'!L12</f>
        <v>4838.2000000000062</v>
      </c>
      <c r="M46" s="17">
        <f>+'Balance Sheet'!M6+'Balance Sheet'!M7+'Balance Sheet'!M12</f>
        <v>4838.2000000000062</v>
      </c>
      <c r="N46" s="16">
        <f>+'Balance Sheet'!N6+'Balance Sheet'!N7+'Balance Sheet'!N12</f>
        <v>5454.4000000000096</v>
      </c>
      <c r="O46" s="16">
        <f>+'Balance Sheet'!O6+'Balance Sheet'!O7+'Balance Sheet'!O12</f>
        <v>4288.4000000000106</v>
      </c>
      <c r="P46" s="16">
        <f>+'Balance Sheet'!P6+'Balance Sheet'!P7+'Balance Sheet'!P12</f>
        <v>5192.6000000000095</v>
      </c>
      <c r="Q46" s="16">
        <f>+'Balance Sheet'!Q6+'Balance Sheet'!Q7+'Balance Sheet'!Q12</f>
        <v>6899.6000000000085</v>
      </c>
      <c r="R46" s="17">
        <f>+'Balance Sheet'!R6+'Balance Sheet'!R7+'Balance Sheet'!R12</f>
        <v>6899.6000000000085</v>
      </c>
      <c r="S46" s="16">
        <f>+'Balance Sheet'!S6+'Balance Sheet'!S7+'Balance Sheet'!S12</f>
        <v>4356.4000000000078</v>
      </c>
      <c r="T46" s="16">
        <f>+'Balance Sheet'!T6+'Balance Sheet'!T7+'Balance Sheet'!T12</f>
        <v>4281.1000000000085</v>
      </c>
      <c r="U46" s="16">
        <f>+'Balance Sheet'!U6+'Balance Sheet'!U7+'Balance Sheet'!U12</f>
        <v>3546.9000000000074</v>
      </c>
      <c r="V46" s="16">
        <f>+'Balance Sheet'!V6+'Balance Sheet'!V7+'Balance Sheet'!V12</f>
        <v>3461.900000000006</v>
      </c>
      <c r="W46" s="17">
        <f>+'Balance Sheet'!W6+'Balance Sheet'!W7+'Balance Sheet'!W12</f>
        <v>3461.900000000006</v>
      </c>
      <c r="X46" s="16"/>
      <c r="Y46" s="16"/>
      <c r="Z46" s="16"/>
      <c r="AA46" s="16"/>
      <c r="AB46" s="17"/>
      <c r="AC46" s="16"/>
      <c r="AD46" s="16"/>
      <c r="AE46" s="16"/>
      <c r="AF46" s="16"/>
      <c r="AG46" s="17"/>
      <c r="AH46" s="16"/>
      <c r="AI46" s="16"/>
      <c r="AJ46" s="16"/>
      <c r="AK46" s="16"/>
      <c r="AL46" s="17"/>
      <c r="AM46" s="16"/>
      <c r="AN46" s="16"/>
      <c r="AO46" s="16"/>
      <c r="AP46" s="16"/>
      <c r="AQ46" s="17"/>
      <c r="AR46" s="16"/>
      <c r="AS46" s="16"/>
      <c r="AT46" s="16"/>
      <c r="AU46" s="16"/>
      <c r="AV46" s="17"/>
    </row>
    <row r="47" spans="2:48" outlineLevel="1" x14ac:dyDescent="0.3">
      <c r="B47" s="188" t="s">
        <v>301</v>
      </c>
      <c r="C47" s="189"/>
      <c r="D47" s="16">
        <f>'Balance Sheet'!D28+'Balance Sheet'!D31</f>
        <v>9130.7000000000007</v>
      </c>
      <c r="E47" s="16">
        <f>'Balance Sheet'!E28+'Balance Sheet'!E31</f>
        <v>9216.5</v>
      </c>
      <c r="F47" s="16">
        <f>'Balance Sheet'!F28+'Balance Sheet'!F31</f>
        <v>11159.1</v>
      </c>
      <c r="G47" s="16">
        <f>'Balance Sheet'!G28+'Balance Sheet'!G31</f>
        <v>11167</v>
      </c>
      <c r="H47" s="17">
        <f>'Balance Sheet'!H28+'Balance Sheet'!H31</f>
        <v>11167</v>
      </c>
      <c r="I47" s="16">
        <f>'Balance Sheet'!I28+'Balance Sheet'!I31</f>
        <v>11649.800000000001</v>
      </c>
      <c r="J47" s="16">
        <f>'Balance Sheet'!J28+'Balance Sheet'!J31</f>
        <v>14015.2</v>
      </c>
      <c r="K47" s="16">
        <f>'Balance Sheet'!K28+'Balance Sheet'!K31</f>
        <v>16831.7</v>
      </c>
      <c r="L47" s="16">
        <f>'Balance Sheet'!L28+'Balance Sheet'!L31</f>
        <v>16348.300000000001</v>
      </c>
      <c r="M47" s="17">
        <f>'Balance Sheet'!M28+'Balance Sheet'!M31</f>
        <v>16348.300000000001</v>
      </c>
      <c r="N47" s="16">
        <f>'Balance Sheet'!N28+'Balance Sheet'!N31</f>
        <v>15916.1</v>
      </c>
      <c r="O47" s="16">
        <f>'Balance Sheet'!O28+'Balance Sheet'!O31</f>
        <v>14648.599999999999</v>
      </c>
      <c r="P47" s="16">
        <f>'Balance Sheet'!P28+'Balance Sheet'!P31</f>
        <v>14618.1</v>
      </c>
      <c r="Q47" s="16">
        <f>'Balance Sheet'!Q28+'Balance Sheet'!Q31</f>
        <v>14615.8</v>
      </c>
      <c r="R47" s="17">
        <f>'Balance Sheet'!R28+'Balance Sheet'!R31</f>
        <v>14615.8</v>
      </c>
      <c r="S47" s="16">
        <f>'Balance Sheet'!S28+'Balance Sheet'!S31</f>
        <v>14785.599999999999</v>
      </c>
      <c r="T47" s="16">
        <f>'Balance Sheet'!T28+'Balance Sheet'!T31</f>
        <v>16013</v>
      </c>
      <c r="U47" s="16">
        <f>'Balance Sheet'!U28+'Balance Sheet'!U31</f>
        <v>15129.9</v>
      </c>
      <c r="V47" s="16">
        <f>'Balance Sheet'!V28+'Balance Sheet'!V31</f>
        <v>15043.9</v>
      </c>
      <c r="W47" s="17">
        <f>'Balance Sheet'!W28+'Balance Sheet'!W31</f>
        <v>15043.9</v>
      </c>
      <c r="X47" s="16"/>
      <c r="Y47" s="16"/>
      <c r="Z47" s="16"/>
      <c r="AA47" s="16"/>
      <c r="AB47" s="17"/>
      <c r="AC47" s="16"/>
      <c r="AD47" s="16"/>
      <c r="AE47" s="16"/>
      <c r="AF47" s="16"/>
      <c r="AG47" s="17"/>
      <c r="AH47" s="16"/>
      <c r="AI47" s="16"/>
      <c r="AJ47" s="16"/>
      <c r="AK47" s="16"/>
      <c r="AL47" s="17"/>
      <c r="AM47" s="16"/>
      <c r="AN47" s="16"/>
      <c r="AO47" s="16"/>
      <c r="AP47" s="16"/>
      <c r="AQ47" s="17"/>
      <c r="AR47" s="16"/>
      <c r="AS47" s="16"/>
      <c r="AT47" s="16"/>
      <c r="AU47" s="16"/>
      <c r="AV47" s="17"/>
    </row>
    <row r="48" spans="2:48" outlineLevel="1" x14ac:dyDescent="0.3">
      <c r="B48" s="566" t="s">
        <v>302</v>
      </c>
      <c r="C48" s="567"/>
      <c r="D48" s="316">
        <f>(D46-D47)/'Income Statement &amp; Segments'!D31</f>
        <v>-3.0907132599329823</v>
      </c>
      <c r="E48" s="316">
        <f>(E46-E47)/'Income Statement &amp; Segments'!E31</f>
        <v>-5.4632605740785154</v>
      </c>
      <c r="F48" s="316">
        <f>(F46-F47)/'Income Statement &amp; Segments'!F31</f>
        <v>-4.9885527391659839</v>
      </c>
      <c r="G48" s="316">
        <f>(G46-G47)/'Income Statement &amp; Segments'!G31</f>
        <v>-6.6975821179389685</v>
      </c>
      <c r="H48" s="317">
        <f>(H46-H47)/'Income Statement &amp; Segments'!H31</f>
        <v>-6.6411774245864397</v>
      </c>
      <c r="I48" s="316">
        <f>(I46-I47)/'Income Statement &amp; Segments'!I31</f>
        <v>-7.0034424853064623</v>
      </c>
      <c r="J48" s="316">
        <f>(J46-J47)/'Income Statement &amp; Segments'!J31</f>
        <v>-9.4784449902600123</v>
      </c>
      <c r="K48" s="316">
        <f>(K46-K47)/'Income Statement &amp; Segments'!K31</f>
        <v>-10.62259306803594</v>
      </c>
      <c r="L48" s="316">
        <f>(L46-L47)/'Income Statement &amp; Segments'!L31</f>
        <v>-9.7625954198473242</v>
      </c>
      <c r="M48" s="317">
        <f>(M46-M47)/'Income Statement &amp; Segments'!M31</f>
        <v>-9.6019593007244595</v>
      </c>
      <c r="N48" s="316">
        <f>(N46-N47)/'Income Statement &amp; Segments'!N31</f>
        <v>-8.8433643279797032</v>
      </c>
      <c r="O48" s="316">
        <f>(O46-O47)/'Income Statement &amp; Segments'!O31</f>
        <v>-8.7442606347062704</v>
      </c>
      <c r="P48" s="316">
        <f>(P46-P47)/'Income Statement &amp; Segments'!P31</f>
        <v>-7.9459618951272892</v>
      </c>
      <c r="Q48" s="316">
        <f>(Q46-Q47)/'Income Statement &amp; Segments'!Q31</f>
        <v>-6.4956646182338496</v>
      </c>
      <c r="R48" s="317">
        <f>(R46-R47)/'Income Statement &amp; Segments'!R31</f>
        <v>-6.504862503325251</v>
      </c>
      <c r="S48" s="316">
        <f>(S46-S47)/'Income Statement &amp; Segments'!S31</f>
        <v>-8.8638449770525156</v>
      </c>
      <c r="T48" s="316">
        <f>(T46-T47)/'Income Statement &amp; Segments'!T31</f>
        <v>-10.167172198630722</v>
      </c>
      <c r="U48" s="316">
        <f>(U46-U47)/'Income Statement &amp; Segments'!U31</f>
        <v>-10.06342311033883</v>
      </c>
      <c r="V48" s="316">
        <f>(V46-V47)/'Income Statement &amp; Segments'!V31</f>
        <v>-10.049457700650754</v>
      </c>
      <c r="W48" s="317">
        <f>(W46-W47)/'Income Statement &amp; Segments'!W31</f>
        <v>-9.9986001362846704</v>
      </c>
      <c r="X48" s="316"/>
      <c r="Y48" s="316"/>
      <c r="Z48" s="316"/>
      <c r="AA48" s="316"/>
      <c r="AB48" s="317"/>
      <c r="AC48" s="316"/>
      <c r="AD48" s="316"/>
      <c r="AE48" s="316"/>
      <c r="AF48" s="316"/>
      <c r="AG48" s="317"/>
      <c r="AH48" s="316"/>
      <c r="AI48" s="316"/>
      <c r="AJ48" s="316"/>
      <c r="AK48" s="316"/>
      <c r="AL48" s="317"/>
      <c r="AM48" s="316"/>
      <c r="AN48" s="316"/>
      <c r="AO48" s="316"/>
      <c r="AP48" s="316"/>
      <c r="AQ48" s="317"/>
      <c r="AR48" s="316"/>
      <c r="AS48" s="316"/>
      <c r="AT48" s="316"/>
      <c r="AU48" s="316"/>
      <c r="AV48" s="317"/>
    </row>
    <row r="49" spans="2:48" x14ac:dyDescent="0.3">
      <c r="B49" s="568"/>
      <c r="C49" s="56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row>
    <row r="50" spans="2:48" ht="15.6" x14ac:dyDescent="0.3">
      <c r="B50" s="514" t="s">
        <v>303</v>
      </c>
      <c r="C50" s="515"/>
      <c r="D50" s="13" t="s">
        <v>15</v>
      </c>
      <c r="E50" s="13" t="s">
        <v>79</v>
      </c>
      <c r="F50" s="13" t="s">
        <v>81</v>
      </c>
      <c r="G50" s="13" t="s">
        <v>144</v>
      </c>
      <c r="H50" s="36" t="s">
        <v>144</v>
      </c>
      <c r="I50" s="13" t="s">
        <v>143</v>
      </c>
      <c r="J50" s="13" t="s">
        <v>142</v>
      </c>
      <c r="K50" s="13" t="s">
        <v>141</v>
      </c>
      <c r="L50" s="13" t="s">
        <v>138</v>
      </c>
      <c r="M50" s="36" t="s">
        <v>138</v>
      </c>
      <c r="N50" s="13" t="s">
        <v>145</v>
      </c>
      <c r="O50" s="13" t="s">
        <v>153</v>
      </c>
      <c r="P50" s="13" t="s">
        <v>155</v>
      </c>
      <c r="Q50" s="13" t="s">
        <v>168</v>
      </c>
      <c r="R50" s="36" t="s">
        <v>168</v>
      </c>
      <c r="S50" s="13" t="s">
        <v>184</v>
      </c>
      <c r="T50" s="13" t="s">
        <v>187</v>
      </c>
      <c r="U50" s="13" t="s">
        <v>200</v>
      </c>
      <c r="V50" s="13" t="s">
        <v>323</v>
      </c>
      <c r="W50" s="36" t="s">
        <v>323</v>
      </c>
      <c r="X50" s="15" t="s">
        <v>20</v>
      </c>
      <c r="Y50" s="15" t="s">
        <v>21</v>
      </c>
      <c r="Z50" s="15" t="s">
        <v>22</v>
      </c>
      <c r="AA50" s="15" t="s">
        <v>23</v>
      </c>
      <c r="AB50" s="38" t="s">
        <v>23</v>
      </c>
      <c r="AC50" s="15" t="s">
        <v>83</v>
      </c>
      <c r="AD50" s="15" t="s">
        <v>84</v>
      </c>
      <c r="AE50" s="15" t="s">
        <v>85</v>
      </c>
      <c r="AF50" s="15" t="s">
        <v>86</v>
      </c>
      <c r="AG50" s="38" t="s">
        <v>86</v>
      </c>
      <c r="AH50" s="15" t="s">
        <v>102</v>
      </c>
      <c r="AI50" s="15" t="s">
        <v>103</v>
      </c>
      <c r="AJ50" s="15" t="s">
        <v>104</v>
      </c>
      <c r="AK50" s="15" t="s">
        <v>105</v>
      </c>
      <c r="AL50" s="38" t="s">
        <v>105</v>
      </c>
      <c r="AM50" s="15" t="s">
        <v>157</v>
      </c>
      <c r="AN50" s="15" t="s">
        <v>158</v>
      </c>
      <c r="AO50" s="15" t="s">
        <v>159</v>
      </c>
      <c r="AP50" s="15" t="s">
        <v>160</v>
      </c>
      <c r="AQ50" s="38" t="s">
        <v>160</v>
      </c>
      <c r="AR50" s="15" t="s">
        <v>188</v>
      </c>
      <c r="AS50" s="15" t="s">
        <v>189</v>
      </c>
      <c r="AT50" s="15" t="s">
        <v>190</v>
      </c>
      <c r="AU50" s="15" t="s">
        <v>191</v>
      </c>
      <c r="AV50" s="38" t="s">
        <v>191</v>
      </c>
    </row>
    <row r="51" spans="2:48" ht="16.2" x14ac:dyDescent="0.45">
      <c r="B51" s="516"/>
      <c r="C51" s="517"/>
      <c r="D51" s="14" t="s">
        <v>19</v>
      </c>
      <c r="E51" s="14" t="s">
        <v>78</v>
      </c>
      <c r="F51" s="14" t="s">
        <v>82</v>
      </c>
      <c r="G51" s="14" t="s">
        <v>92</v>
      </c>
      <c r="H51" s="37" t="s">
        <v>93</v>
      </c>
      <c r="I51" s="14" t="s">
        <v>94</v>
      </c>
      <c r="J51" s="14" t="s">
        <v>95</v>
      </c>
      <c r="K51" s="14" t="s">
        <v>96</v>
      </c>
      <c r="L51" s="14" t="s">
        <v>139</v>
      </c>
      <c r="M51" s="37" t="s">
        <v>140</v>
      </c>
      <c r="N51" s="14" t="s">
        <v>146</v>
      </c>
      <c r="O51" s="14" t="s">
        <v>154</v>
      </c>
      <c r="P51" s="14" t="s">
        <v>156</v>
      </c>
      <c r="Q51" s="14" t="s">
        <v>169</v>
      </c>
      <c r="R51" s="37" t="s">
        <v>170</v>
      </c>
      <c r="S51" s="14" t="s">
        <v>185</v>
      </c>
      <c r="T51" s="14" t="s">
        <v>186</v>
      </c>
      <c r="U51" s="14" t="s">
        <v>201</v>
      </c>
      <c r="V51" s="14" t="s">
        <v>324</v>
      </c>
      <c r="W51" s="37" t="s">
        <v>325</v>
      </c>
      <c r="X51" s="12" t="s">
        <v>24</v>
      </c>
      <c r="Y51" s="12" t="s">
        <v>25</v>
      </c>
      <c r="Z51" s="12" t="s">
        <v>26</v>
      </c>
      <c r="AA51" s="12" t="s">
        <v>27</v>
      </c>
      <c r="AB51" s="39" t="s">
        <v>28</v>
      </c>
      <c r="AC51" s="12" t="s">
        <v>87</v>
      </c>
      <c r="AD51" s="12" t="s">
        <v>88</v>
      </c>
      <c r="AE51" s="12" t="s">
        <v>89</v>
      </c>
      <c r="AF51" s="12" t="s">
        <v>90</v>
      </c>
      <c r="AG51" s="39" t="s">
        <v>91</v>
      </c>
      <c r="AH51" s="12" t="s">
        <v>106</v>
      </c>
      <c r="AI51" s="12" t="s">
        <v>107</v>
      </c>
      <c r="AJ51" s="12" t="s">
        <v>108</v>
      </c>
      <c r="AK51" s="12" t="s">
        <v>109</v>
      </c>
      <c r="AL51" s="39" t="s">
        <v>110</v>
      </c>
      <c r="AM51" s="12" t="s">
        <v>161</v>
      </c>
      <c r="AN51" s="12" t="s">
        <v>162</v>
      </c>
      <c r="AO51" s="12" t="s">
        <v>163</v>
      </c>
      <c r="AP51" s="12" t="s">
        <v>164</v>
      </c>
      <c r="AQ51" s="39" t="s">
        <v>165</v>
      </c>
      <c r="AR51" s="12" t="s">
        <v>192</v>
      </c>
      <c r="AS51" s="12" t="s">
        <v>193</v>
      </c>
      <c r="AT51" s="12" t="s">
        <v>194</v>
      </c>
      <c r="AU51" s="12" t="s">
        <v>195</v>
      </c>
      <c r="AV51" s="39" t="s">
        <v>196</v>
      </c>
    </row>
    <row r="52" spans="2:48" ht="16.2" outlineLevel="1" x14ac:dyDescent="0.45">
      <c r="B52" s="532" t="s">
        <v>304</v>
      </c>
      <c r="C52" s="533"/>
      <c r="D52" s="319"/>
      <c r="E52" s="319"/>
      <c r="F52" s="319"/>
      <c r="G52" s="319"/>
      <c r="H52" s="320"/>
      <c r="I52" s="319"/>
      <c r="J52" s="319"/>
      <c r="K52" s="319"/>
      <c r="L52" s="319"/>
      <c r="M52" s="320"/>
      <c r="N52" s="319"/>
      <c r="O52" s="319"/>
      <c r="P52" s="319"/>
      <c r="Q52" s="319"/>
      <c r="R52" s="320"/>
      <c r="S52" s="319"/>
      <c r="T52" s="319"/>
      <c r="U52" s="319"/>
      <c r="V52" s="319"/>
      <c r="W52" s="320"/>
      <c r="X52" s="319"/>
      <c r="Y52" s="319"/>
      <c r="Z52" s="319"/>
      <c r="AA52" s="319"/>
      <c r="AB52" s="320"/>
      <c r="AC52" s="319"/>
      <c r="AD52" s="319"/>
      <c r="AE52" s="319"/>
      <c r="AF52" s="319"/>
      <c r="AG52" s="320"/>
      <c r="AH52" s="319"/>
      <c r="AI52" s="319"/>
      <c r="AJ52" s="319"/>
      <c r="AK52" s="319"/>
      <c r="AL52" s="320"/>
      <c r="AM52" s="319"/>
      <c r="AN52" s="319"/>
      <c r="AO52" s="319"/>
      <c r="AP52" s="319"/>
      <c r="AQ52" s="320"/>
      <c r="AR52" s="319"/>
      <c r="AS52" s="319"/>
      <c r="AT52" s="319"/>
      <c r="AU52" s="319"/>
      <c r="AV52" s="320"/>
    </row>
    <row r="53" spans="2:48" s="23" customFormat="1" outlineLevel="1" x14ac:dyDescent="0.3">
      <c r="B53" s="188" t="s">
        <v>305</v>
      </c>
      <c r="C53" s="189"/>
      <c r="D53" s="321">
        <f>D12/'Income Statement &amp; Segments'!D8</f>
        <v>1.4669742337208073E-2</v>
      </c>
      <c r="E53" s="262">
        <f>E12/'Income Statement &amp; Segments'!E8</f>
        <v>1.5033540018078308E-2</v>
      </c>
      <c r="F53" s="103">
        <f>F12/'Income Statement &amp; Segments'!F8</f>
        <v>9.2774439396160081E-3</v>
      </c>
      <c r="G53" s="103">
        <f>G12/'Income Statement &amp; Segments'!G8</f>
        <v>7.7960575070401619E-3</v>
      </c>
      <c r="H53" s="115">
        <f>H12/'Income Statement &amp; Segments'!H8</f>
        <v>1.1618870857004896E-2</v>
      </c>
      <c r="I53" s="103">
        <f>I12/'Income Statement &amp; Segments'!I8</f>
        <v>1.2723506784461259E-2</v>
      </c>
      <c r="J53" s="103">
        <f>J12/'Income Statement &amp; Segments'!J8</f>
        <v>9.3900628783961833E-3</v>
      </c>
      <c r="K53" s="103">
        <f>K12/'Income Statement &amp; Segments'!K8</f>
        <v>9.8055470026763899E-3</v>
      </c>
      <c r="L53" s="103">
        <f>L12/'Income Statement &amp; Segments'!L8</f>
        <v>9.7693088939401224E-3</v>
      </c>
      <c r="M53" s="263">
        <f>M12/'Income Statement &amp; Segments'!M8</f>
        <v>1.0570626753975675E-2</v>
      </c>
      <c r="N53" s="103">
        <f>N12/'Income Statement &amp; Segments'!N8</f>
        <v>1.4712418881678371E-2</v>
      </c>
      <c r="O53" s="103">
        <f>O12/'Income Statement &amp; Segments'!O8</f>
        <v>1.1397720455908821E-2</v>
      </c>
      <c r="P53" s="103">
        <f>P12/'Income Statement &amp; Segments'!P8</f>
        <v>1.0671646768491964E-2</v>
      </c>
      <c r="Q53" s="103">
        <f>Q12/'Income Statement &amp; Segments'!Q8</f>
        <v>7.8313918519155035E-3</v>
      </c>
      <c r="R53" s="263">
        <f>R12/'Income Statement &amp; Segments'!R8</f>
        <v>1.0980502811366593E-2</v>
      </c>
      <c r="S53" s="103">
        <f>S12/'Income Statement &amp; Segments'!S8</f>
        <v>1.1900029812183245E-2</v>
      </c>
      <c r="T53" s="103">
        <f>T12/'Income Statement &amp; Segments'!T8</f>
        <v>6.9935564985069932E-3</v>
      </c>
      <c r="U53" s="103">
        <f>U12/'Income Statement &amp; Segments'!U8</f>
        <v>7.0428583698359517E-3</v>
      </c>
      <c r="V53" s="103">
        <f>V12/'Income Statement &amp; Segments'!V8</f>
        <v>7.7131515770958682E-3</v>
      </c>
      <c r="W53" s="263"/>
      <c r="X53" s="32">
        <f>AVERAGE(S53:V53)</f>
        <v>8.4123990644055149E-3</v>
      </c>
      <c r="Y53" s="32">
        <f>AVERAGE(X53,V53,U53,T53)</f>
        <v>7.5404913774610822E-3</v>
      </c>
      <c r="Z53" s="32">
        <f>AVERAGE(Y53,X53,V53,U53)</f>
        <v>7.6772250971996045E-3</v>
      </c>
      <c r="AA53" s="32">
        <f>AVERAGE(Z53,Y53,X53,V53)</f>
        <v>7.8358167790405168E-3</v>
      </c>
      <c r="AB53" s="428"/>
      <c r="AC53" s="32">
        <f>AVERAGE(X53:AA53)</f>
        <v>7.8664830795266791E-3</v>
      </c>
      <c r="AD53" s="32">
        <f>AVERAGE(AC53,AA53,Z53,Y53)</f>
        <v>7.7300040833069711E-3</v>
      </c>
      <c r="AE53" s="32">
        <f>AVERAGE(AD53,AC53,AA53,Z53)</f>
        <v>7.7773822597684431E-3</v>
      </c>
      <c r="AF53" s="32">
        <f>AVERAGE(AE53,AD53,AC53,AA53)</f>
        <v>7.8024215504106514E-3</v>
      </c>
      <c r="AG53" s="428"/>
      <c r="AH53" s="32">
        <f>AVERAGE(AC53:AF53)</f>
        <v>7.7940727432531864E-3</v>
      </c>
      <c r="AI53" s="32">
        <f>AVERAGE(AH53,AF53,AE53,AD53)</f>
        <v>7.775970159184813E-3</v>
      </c>
      <c r="AJ53" s="32">
        <f>AVERAGE(AI53,AH53,AF53,AE53)</f>
        <v>7.7874616781542731E-3</v>
      </c>
      <c r="AK53" s="32">
        <f>AVERAGE(AJ53,AI53,AH53,AF53)</f>
        <v>7.7899815327507312E-3</v>
      </c>
      <c r="AL53" s="428"/>
      <c r="AM53" s="32">
        <f>AVERAGE(AH53:AK53)</f>
        <v>7.78687152833575E-3</v>
      </c>
      <c r="AN53" s="32">
        <f>AVERAGE(AM53,AK53,AJ53,AI53)</f>
        <v>7.7850712246063918E-3</v>
      </c>
      <c r="AO53" s="32">
        <f>AVERAGE(AN53,AM53,AK53,AJ53)</f>
        <v>7.7873464909617857E-3</v>
      </c>
      <c r="AP53" s="32">
        <f>AVERAGE(AO53,AN53,AM53,AK53)</f>
        <v>7.7873176941636642E-3</v>
      </c>
      <c r="AQ53" s="428"/>
      <c r="AR53" s="32">
        <f>AVERAGE(AM53:AP53)</f>
        <v>7.7866517345168973E-3</v>
      </c>
      <c r="AS53" s="32">
        <f>AVERAGE(AR53,AP53,AO53,AN53)</f>
        <v>7.7865967860621856E-3</v>
      </c>
      <c r="AT53" s="32">
        <f>AVERAGE(AS53,AR53,AP53,AO53)</f>
        <v>7.7869781764261332E-3</v>
      </c>
      <c r="AU53" s="32">
        <f>AVERAGE(AT53,AS53,AR53,AP53)</f>
        <v>7.7868860977922203E-3</v>
      </c>
      <c r="AV53" s="428"/>
    </row>
    <row r="54" spans="2:48" s="23" customFormat="1" outlineLevel="1" x14ac:dyDescent="0.3">
      <c r="B54" s="188" t="s">
        <v>306</v>
      </c>
      <c r="C54" s="189"/>
      <c r="D54" s="321">
        <f t="shared" ref="D54:U54" si="42">+D10/-D9</f>
        <v>1.1581818181818182</v>
      </c>
      <c r="E54" s="321">
        <f t="shared" si="42"/>
        <v>0.55639097744360888</v>
      </c>
      <c r="F54" s="103">
        <f t="shared" si="42"/>
        <v>1.0682852807283763</v>
      </c>
      <c r="G54" s="103">
        <f t="shared" si="42"/>
        <v>0.69411764705882406</v>
      </c>
      <c r="H54" s="115">
        <f t="shared" si="42"/>
        <v>0.86512370311252995</v>
      </c>
      <c r="I54" s="103">
        <f t="shared" si="42"/>
        <v>1.0222575516693164</v>
      </c>
      <c r="J54" s="103">
        <f t="shared" si="42"/>
        <v>0.63295880149812733</v>
      </c>
      <c r="K54" s="103">
        <f t="shared" si="42"/>
        <v>1.0227272727272729</v>
      </c>
      <c r="L54" s="103">
        <f t="shared" si="42"/>
        <v>0.63109756097560987</v>
      </c>
      <c r="M54" s="263">
        <f t="shared" si="42"/>
        <v>0.81118631991449952</v>
      </c>
      <c r="N54" s="103">
        <f t="shared" si="42"/>
        <v>1.1188405797101451</v>
      </c>
      <c r="O54" s="103">
        <f t="shared" si="42"/>
        <v>0.85072231139646837</v>
      </c>
      <c r="P54" s="103">
        <f t="shared" si="42"/>
        <v>0.9018691588785045</v>
      </c>
      <c r="Q54" s="103">
        <f t="shared" si="42"/>
        <v>1.0027522935779816</v>
      </c>
      <c r="R54" s="263">
        <f t="shared" si="42"/>
        <v>0.96746328822343797</v>
      </c>
      <c r="S54" s="103">
        <f t="shared" si="42"/>
        <v>0.96351931330472096</v>
      </c>
      <c r="T54" s="103">
        <f t="shared" si="42"/>
        <v>0.77531206657420249</v>
      </c>
      <c r="U54" s="103">
        <f t="shared" si="42"/>
        <v>0.80106571936056836</v>
      </c>
      <c r="V54" s="103">
        <f t="shared" ref="V54" si="43">+V10/-V9</f>
        <v>0.91035218783351113</v>
      </c>
      <c r="W54" s="263"/>
      <c r="X54" s="32">
        <v>1</v>
      </c>
      <c r="Y54" s="32">
        <v>1</v>
      </c>
      <c r="Z54" s="32">
        <v>1</v>
      </c>
      <c r="AA54" s="32">
        <v>1</v>
      </c>
      <c r="AB54" s="428"/>
      <c r="AC54" s="32">
        <v>1</v>
      </c>
      <c r="AD54" s="32">
        <v>1</v>
      </c>
      <c r="AE54" s="32">
        <v>1</v>
      </c>
      <c r="AF54" s="32">
        <v>1</v>
      </c>
      <c r="AG54" s="428"/>
      <c r="AH54" s="32">
        <v>1</v>
      </c>
      <c r="AI54" s="32">
        <v>1</v>
      </c>
      <c r="AJ54" s="32">
        <v>1</v>
      </c>
      <c r="AK54" s="32">
        <v>1</v>
      </c>
      <c r="AL54" s="428"/>
      <c r="AM54" s="32">
        <v>1</v>
      </c>
      <c r="AN54" s="32">
        <v>1</v>
      </c>
      <c r="AO54" s="32">
        <v>1</v>
      </c>
      <c r="AP54" s="32">
        <v>1</v>
      </c>
      <c r="AQ54" s="428"/>
      <c r="AR54" s="32">
        <v>1</v>
      </c>
      <c r="AS54" s="32">
        <v>1</v>
      </c>
      <c r="AT54" s="32">
        <v>1</v>
      </c>
      <c r="AU54" s="32">
        <v>1</v>
      </c>
      <c r="AV54" s="428"/>
    </row>
    <row r="55" spans="2:48" s="23" customFormat="1" outlineLevel="1" x14ac:dyDescent="0.3">
      <c r="B55" s="511" t="s">
        <v>307</v>
      </c>
      <c r="C55" s="512"/>
      <c r="D55" s="322"/>
      <c r="E55" s="322"/>
      <c r="F55" s="322"/>
      <c r="G55" s="322"/>
      <c r="H55" s="323"/>
      <c r="I55" s="322">
        <f t="shared" ref="I55:X55" si="44">I22/D22-1</f>
        <v>-0.22820512820512895</v>
      </c>
      <c r="J55" s="322">
        <f t="shared" si="44"/>
        <v>-4.4869364754098413</v>
      </c>
      <c r="K55" s="322">
        <f t="shared" si="44"/>
        <v>-1.314434752864716</v>
      </c>
      <c r="L55" s="322">
        <f t="shared" si="44"/>
        <v>0.34527569713924766</v>
      </c>
      <c r="M55" s="323">
        <f t="shared" si="44"/>
        <v>-0.68340961778517451</v>
      </c>
      <c r="N55" s="322">
        <f t="shared" si="44"/>
        <v>-2.1785305811139466E-4</v>
      </c>
      <c r="O55" s="322">
        <f t="shared" si="44"/>
        <v>-1.649232351428781</v>
      </c>
      <c r="P55" s="322">
        <f t="shared" si="44"/>
        <v>-5.7565950503127619</v>
      </c>
      <c r="Q55" s="322">
        <f t="shared" si="44"/>
        <v>2.012477359629572E-2</v>
      </c>
      <c r="R55" s="323">
        <f t="shared" si="44"/>
        <v>2.7484040555764064</v>
      </c>
      <c r="S55" s="322">
        <f t="shared" si="44"/>
        <v>1.9175246499972598E-2</v>
      </c>
      <c r="T55" s="322">
        <f t="shared" si="44"/>
        <v>-0.81681375876895213</v>
      </c>
      <c r="U55" s="322">
        <f t="shared" si="44"/>
        <v>-0.27684391080617499</v>
      </c>
      <c r="V55" s="322">
        <f t="shared" si="44"/>
        <v>-0.27691194844479561</v>
      </c>
      <c r="W55" s="323">
        <f t="shared" si="44"/>
        <v>-0.26581179456354764</v>
      </c>
      <c r="X55" s="322">
        <f t="shared" si="44"/>
        <v>0.14635903384357762</v>
      </c>
      <c r="Y55" s="322">
        <f t="shared" ref="Y55" si="45">Y22/T22-1</f>
        <v>3.3774686220102037</v>
      </c>
      <c r="Z55" s="322">
        <f t="shared" ref="Z55" si="46">Z22/U22-1</f>
        <v>-0.35125423233591624</v>
      </c>
      <c r="AA55" s="322">
        <f t="shared" ref="AA55:AB55" si="47">AA22/V22-1</f>
        <v>0.66531022047086497</v>
      </c>
      <c r="AB55" s="323">
        <f t="shared" si="47"/>
        <v>0.25196580817172221</v>
      </c>
      <c r="AC55" s="322">
        <f t="shared" ref="AC55" si="48">AC22/X22-1</f>
        <v>0.20184238052617864</v>
      </c>
      <c r="AD55" s="322">
        <f t="shared" ref="AD55" si="49">AD22/Y22-1</f>
        <v>0.60767443911506436</v>
      </c>
      <c r="AE55" s="322">
        <f t="shared" ref="AE55" si="50">AE22/Z22-1</f>
        <v>0.7356504799520367</v>
      </c>
      <c r="AF55" s="322">
        <f t="shared" ref="AF55:AG55" si="51">AF22/AA22-1</f>
        <v>-5.4854109463349898E-2</v>
      </c>
      <c r="AG55" s="323">
        <f t="shared" si="51"/>
        <v>0.24826612486254751</v>
      </c>
      <c r="AH55" s="322">
        <f t="shared" ref="AH55" si="52">AH22/AC22-1</f>
        <v>-7.8676808515258378E-2</v>
      </c>
      <c r="AI55" s="322">
        <f t="shared" ref="AI55" si="53">AI22/AD22-1</f>
        <v>-0.12949301203040642</v>
      </c>
      <c r="AJ55" s="322">
        <f t="shared" ref="AJ55" si="54">AJ22/AE22-1</f>
        <v>0.10531671536996545</v>
      </c>
      <c r="AK55" s="322">
        <f t="shared" ref="AK55:AL55" si="55">AK22/AF22-1</f>
        <v>0.18816811852372095</v>
      </c>
      <c r="AL55" s="323">
        <f t="shared" si="55"/>
        <v>1.8235925992287294E-2</v>
      </c>
      <c r="AM55" s="322">
        <f t="shared" ref="AM55" si="56">AM22/AH22-1</f>
        <v>0.24741646301598763</v>
      </c>
      <c r="AN55" s="322">
        <f t="shared" ref="AN55" si="57">AN22/AI22-1</f>
        <v>6.3540215161068891E-2</v>
      </c>
      <c r="AO55" s="322">
        <f t="shared" ref="AO55" si="58">AO22/AJ22-1</f>
        <v>4.1568208260295947E-2</v>
      </c>
      <c r="AP55" s="322">
        <f t="shared" ref="AP55:AQ55" si="59">AP22/AK22-1</f>
        <v>3.8136239483629764E-2</v>
      </c>
      <c r="AQ55" s="323">
        <f t="shared" si="59"/>
        <v>0.11353810663894759</v>
      </c>
      <c r="AR55" s="322">
        <f t="shared" ref="AR55" si="60">AR22/AM22-1</f>
        <v>7.0594793640985865E-2</v>
      </c>
      <c r="AS55" s="322">
        <f t="shared" ref="AS55" si="61">AS22/AN22-1</f>
        <v>0.2051076234397311</v>
      </c>
      <c r="AT55" s="322">
        <f t="shared" ref="AT55" si="62">AT22/AO22-1</f>
        <v>3.1785287345792668E-2</v>
      </c>
      <c r="AU55" s="322">
        <f t="shared" ref="AU55:AV55" si="63">AU22/AP22-1</f>
        <v>4.7894038816779672E-2</v>
      </c>
      <c r="AV55" s="323">
        <f t="shared" si="63"/>
        <v>7.4419225923109344E-2</v>
      </c>
    </row>
    <row r="56" spans="2:48" outlineLevel="1" x14ac:dyDescent="0.3">
      <c r="B56" s="188" t="s">
        <v>308</v>
      </c>
      <c r="C56" s="325"/>
      <c r="D56" s="321">
        <f>-D25/'Income Statement &amp; Segments'!D8</f>
        <v>6.5041385860961587E-2</v>
      </c>
      <c r="E56" s="321">
        <f>-E25/'Income Statement &amp; Segments'!E8</f>
        <v>6.5684517673924428E-2</v>
      </c>
      <c r="F56" s="103">
        <f>-F25/'Income Statement &amp; Segments'!F8</f>
        <v>6.3769602814011436E-2</v>
      </c>
      <c r="G56" s="103">
        <f>-G25/'Income Statement &amp; Segments'!G8</f>
        <v>7.7945753668297008E-2</v>
      </c>
      <c r="H56" s="330">
        <f>-H25/'Income Statement &amp; Segments'!H8</f>
        <v>6.8151467825535855E-2</v>
      </c>
      <c r="I56" s="324">
        <f>-I25/'Income Statement &amp; Segments'!I8</f>
        <v>5.555790393259219E-2</v>
      </c>
      <c r="J56" s="108">
        <f>-J25/'Income Statement &amp; Segments'!J8</f>
        <v>6.0710175625865198E-2</v>
      </c>
      <c r="K56" s="108">
        <f>-K25/'Income Statement &amp; Segments'!K8</f>
        <v>9.0026290234717338E-2</v>
      </c>
      <c r="L56" s="103">
        <f>-L25/'Income Statement &amp; Segments'!L8</f>
        <v>5.5649594557559891E-2</v>
      </c>
      <c r="M56" s="323">
        <f>-M25/'Income Statement &amp; Segments'!M8</f>
        <v>6.3083595543838744E-2</v>
      </c>
      <c r="N56" s="324">
        <f>-N25/'Income Statement &amp; Segments'!N8</f>
        <v>4.8033899309568251E-2</v>
      </c>
      <c r="O56" s="108">
        <f>-O25/'Income Statement &amp; Segments'!O8</f>
        <v>4.8545290941811634E-2</v>
      </c>
      <c r="P56" s="108">
        <f>-P25/'Income Statement &amp; Segments'!P8</f>
        <v>4.5061028479957313E-2</v>
      </c>
      <c r="Q56" s="108">
        <f>-Q25/'Income Statement &amp; Segments'!Q8</f>
        <v>5.9447383603176751E-2</v>
      </c>
      <c r="R56" s="323">
        <f>-R25/'Income Statement &amp; Segments'!R8</f>
        <v>5.058395215515165E-2</v>
      </c>
      <c r="S56" s="324">
        <f>-S25/'Income Statement &amp; Segments'!S8</f>
        <v>5.1773824903110409E-2</v>
      </c>
      <c r="T56" s="108">
        <f>-T25/'Income Statement &amp; Segments'!T8</f>
        <v>5.9602388810309603E-2</v>
      </c>
      <c r="U56" s="108">
        <f>-U25/'Income Statement &amp; Segments'!U8</f>
        <v>5.1962552606716499E-2</v>
      </c>
      <c r="V56" s="108">
        <f>-V25/'Income Statement &amp; Segments'!V8</f>
        <v>6.4878419814123733E-2</v>
      </c>
      <c r="W56" s="323">
        <f>-W25/'Income Statement &amp; Segments'!W8</f>
        <v>5.7094042536038427E-2</v>
      </c>
      <c r="X56" s="425">
        <v>6.9420297813597001E-2</v>
      </c>
      <c r="Y56" s="425">
        <f>X56</f>
        <v>6.9420297813597001E-2</v>
      </c>
      <c r="Z56" s="425">
        <f>X56</f>
        <v>6.9420297813597001E-2</v>
      </c>
      <c r="AA56" s="425">
        <f>X56+0.25%</f>
        <v>7.1920297813597003E-2</v>
      </c>
      <c r="AB56" s="323">
        <f>-AB25/'[1]IS (Before Changes)'!AB8</f>
        <v>7.0155595268541163E-2</v>
      </c>
      <c r="AC56" s="425">
        <f>6.90357783178116%+0.25%</f>
        <v>7.1535778317811605E-2</v>
      </c>
      <c r="AD56" s="425">
        <f>AC56</f>
        <v>7.1535778317811605E-2</v>
      </c>
      <c r="AE56" s="425">
        <f>AC56</f>
        <v>7.1535778317811605E-2</v>
      </c>
      <c r="AF56" s="425">
        <f>AC56</f>
        <v>7.1535778317811605E-2</v>
      </c>
      <c r="AG56" s="323">
        <f>-AG25/'[1]IS (Before Changes)'!AG8</f>
        <v>7.1852440956027858E-2</v>
      </c>
      <c r="AH56" s="425">
        <f>6.21966832847035%+0.25%</f>
        <v>6.4696683284703502E-2</v>
      </c>
      <c r="AI56" s="425">
        <f>AH56</f>
        <v>6.4696683284703502E-2</v>
      </c>
      <c r="AJ56" s="425">
        <f>AH56</f>
        <v>6.4696683284703502E-2</v>
      </c>
      <c r="AK56" s="425">
        <f>AH56</f>
        <v>6.4696683284703502E-2</v>
      </c>
      <c r="AL56" s="323">
        <f>-AL25/'[1]IS (Before Changes)'!AL8</f>
        <v>6.4870429744716185E-2</v>
      </c>
      <c r="AM56" s="425">
        <f>6.21966832847035%+0.25%</f>
        <v>6.4696683284703502E-2</v>
      </c>
      <c r="AN56" s="425">
        <f>AM56</f>
        <v>6.4696683284703502E-2</v>
      </c>
      <c r="AO56" s="425">
        <f>AM56</f>
        <v>6.4696683284703502E-2</v>
      </c>
      <c r="AP56" s="425">
        <f>AM56</f>
        <v>6.4696683284703502E-2</v>
      </c>
      <c r="AQ56" s="323">
        <f>-AQ25/'[1]IS (Before Changes)'!AQ8</f>
        <v>6.4780920292868499E-2</v>
      </c>
      <c r="AR56" s="425">
        <f>AVERAGE(AM56,AN56,AO56,AP56)</f>
        <v>6.4696683284703502E-2</v>
      </c>
      <c r="AS56" s="32">
        <f>AVERAGE(AN56,AO56,AP56,AR56)</f>
        <v>6.4696683284703502E-2</v>
      </c>
      <c r="AT56" s="32">
        <f>AVERAGE(AS56,AR56,AP56,AO56)</f>
        <v>6.4696683284703502E-2</v>
      </c>
      <c r="AU56" s="32">
        <f>AVERAGE(AT56,AS56,AR56,AP56)</f>
        <v>6.4696683284703502E-2</v>
      </c>
      <c r="AV56" s="323">
        <f>-AV25/'[1]IS (Before Changes)'!AV8</f>
        <v>6.425288344078714E-2</v>
      </c>
    </row>
    <row r="57" spans="2:48" outlineLevel="1" x14ac:dyDescent="0.3">
      <c r="B57" s="188" t="s">
        <v>309</v>
      </c>
      <c r="C57" s="325"/>
      <c r="D57" s="275">
        <f>-D34-D33</f>
        <v>5561.4</v>
      </c>
      <c r="E57" s="275">
        <f t="shared" ref="E57:AV57" si="64">-E34-E33</f>
        <v>3161</v>
      </c>
      <c r="F57" s="136">
        <f t="shared" si="64"/>
        <v>581.20000000000005</v>
      </c>
      <c r="G57" s="136">
        <f t="shared" si="64"/>
        <v>2679.9999999999995</v>
      </c>
      <c r="H57" s="112">
        <f t="shared" si="64"/>
        <v>11983.599999999999</v>
      </c>
      <c r="I57" s="275">
        <f t="shared" si="64"/>
        <v>1575.6000000000001</v>
      </c>
      <c r="J57" s="136">
        <f t="shared" si="64"/>
        <v>1088.5</v>
      </c>
      <c r="K57" s="136">
        <f t="shared" si="64"/>
        <v>479.00000000000006</v>
      </c>
      <c r="L57" s="136">
        <f t="shared" si="64"/>
        <v>479.3</v>
      </c>
      <c r="M57" s="112">
        <f t="shared" si="64"/>
        <v>3622.4</v>
      </c>
      <c r="N57" s="275">
        <f t="shared" si="64"/>
        <v>528.20000000000005</v>
      </c>
      <c r="O57" s="136">
        <f t="shared" si="64"/>
        <v>529.79999999999995</v>
      </c>
      <c r="P57" s="136">
        <f t="shared" si="64"/>
        <v>530.20000000000005</v>
      </c>
      <c r="Q57" s="136">
        <f t="shared" si="64"/>
        <v>530.79999999999995</v>
      </c>
      <c r="R57" s="112">
        <f t="shared" si="64"/>
        <v>2119</v>
      </c>
      <c r="S57" s="275">
        <f t="shared" si="64"/>
        <v>4096.8999999999996</v>
      </c>
      <c r="T57" s="136">
        <f t="shared" si="64"/>
        <v>1039.8</v>
      </c>
      <c r="U57" s="136">
        <f t="shared" si="64"/>
        <v>577.39999999999986</v>
      </c>
      <c r="V57" s="136">
        <f t="shared" si="64"/>
        <v>562.20000000000027</v>
      </c>
      <c r="W57" s="112">
        <f>-W34-W33</f>
        <v>6276.3</v>
      </c>
      <c r="X57" s="275">
        <f t="shared" si="64"/>
        <v>609.52966603749712</v>
      </c>
      <c r="Y57" s="136">
        <f t="shared" si="64"/>
        <v>610.74872536957218</v>
      </c>
      <c r="Z57" s="136">
        <f t="shared" si="64"/>
        <v>611.97022282031128</v>
      </c>
      <c r="AA57" s="136">
        <f t="shared" si="64"/>
        <v>643.85387142924958</v>
      </c>
      <c r="AB57" s="156">
        <f t="shared" si="64"/>
        <v>2476.1024856566301</v>
      </c>
      <c r="AC57" s="275">
        <f t="shared" si="64"/>
        <v>645.1415791721081</v>
      </c>
      <c r="AD57" s="136">
        <f t="shared" si="64"/>
        <v>646.4318623304523</v>
      </c>
      <c r="AE57" s="136">
        <f t="shared" si="64"/>
        <v>747.23089889461949</v>
      </c>
      <c r="AF57" s="136">
        <f t="shared" si="64"/>
        <v>780.4331102085107</v>
      </c>
      <c r="AG57" s="156">
        <f t="shared" ref="AG57" si="65">-AG34-AG33</f>
        <v>2819.2374506056904</v>
      </c>
      <c r="AH57" s="275">
        <f t="shared" si="64"/>
        <v>781.30014926843398</v>
      </c>
      <c r="AI57" s="136">
        <f t="shared" si="64"/>
        <v>782.16892240647701</v>
      </c>
      <c r="AJ57" s="136">
        <f t="shared" si="64"/>
        <v>6233.8468553645071</v>
      </c>
      <c r="AK57" s="136">
        <f>-AK34-AK33</f>
        <v>6239.1016150812948</v>
      </c>
      <c r="AL57" s="156">
        <f>-AL34-AL33</f>
        <v>14036.417542120713</v>
      </c>
      <c r="AM57" s="275">
        <f t="shared" si="64"/>
        <v>662.56552542586303</v>
      </c>
      <c r="AN57" s="136">
        <f t="shared" si="64"/>
        <v>663.89065647671475</v>
      </c>
      <c r="AO57" s="136">
        <f t="shared" si="64"/>
        <v>665.2184377896682</v>
      </c>
      <c r="AP57" s="136">
        <f t="shared" si="64"/>
        <v>699.87631839850997</v>
      </c>
      <c r="AQ57" s="156">
        <f t="shared" si="64"/>
        <v>2691.5509380907561</v>
      </c>
      <c r="AR57" s="275">
        <f t="shared" si="64"/>
        <v>701.27607103530704</v>
      </c>
      <c r="AS57" s="136">
        <f t="shared" si="64"/>
        <v>702.67862317737763</v>
      </c>
      <c r="AT57" s="136">
        <f t="shared" si="64"/>
        <v>704.08398042373233</v>
      </c>
      <c r="AU57" s="136">
        <f t="shared" si="64"/>
        <v>740.76675580380879</v>
      </c>
      <c r="AV57" s="156">
        <f t="shared" si="64"/>
        <v>2848.8054304402258</v>
      </c>
    </row>
    <row r="58" spans="2:48" outlineLevel="1" x14ac:dyDescent="0.3">
      <c r="B58" s="191" t="s">
        <v>310</v>
      </c>
      <c r="C58" s="331"/>
      <c r="D58" s="332"/>
      <c r="E58" s="332"/>
      <c r="F58" s="333"/>
      <c r="G58" s="333"/>
      <c r="H58" s="334"/>
      <c r="I58" s="332"/>
      <c r="J58" s="333"/>
      <c r="K58" s="333"/>
      <c r="L58" s="333"/>
      <c r="M58" s="334"/>
      <c r="N58" s="332"/>
      <c r="O58" s="333"/>
      <c r="P58" s="333"/>
      <c r="Q58" s="333"/>
      <c r="R58" s="334"/>
      <c r="S58" s="332"/>
      <c r="T58" s="333"/>
      <c r="U58" s="333"/>
      <c r="V58" s="333"/>
      <c r="W58" s="334"/>
      <c r="X58" s="332">
        <f>X57</f>
        <v>609.52966603749712</v>
      </c>
      <c r="Y58" s="332">
        <f>+Y57+X58</f>
        <v>1220.2783914070692</v>
      </c>
      <c r="Z58" s="332">
        <f t="shared" ref="Z58:AA58" si="66">+Z57+Y58</f>
        <v>1832.2486142273806</v>
      </c>
      <c r="AA58" s="332">
        <f t="shared" si="66"/>
        <v>2476.1024856566301</v>
      </c>
      <c r="AB58" s="335">
        <f>AA58</f>
        <v>2476.1024856566301</v>
      </c>
      <c r="AC58" s="332">
        <f>AA58+AC57</f>
        <v>3121.2440648287384</v>
      </c>
      <c r="AD58" s="332">
        <f>AC58+AD57</f>
        <v>3767.6759271591909</v>
      </c>
      <c r="AE58" s="332">
        <f t="shared" ref="AE58:AF58" si="67">AD58+AE57</f>
        <v>4514.9068260538106</v>
      </c>
      <c r="AF58" s="332">
        <f t="shared" si="67"/>
        <v>5295.3399362623213</v>
      </c>
      <c r="AG58" s="335">
        <f>AF58</f>
        <v>5295.3399362623213</v>
      </c>
      <c r="AH58" s="332">
        <f>AF58+AH57</f>
        <v>6076.6400855307556</v>
      </c>
      <c r="AI58" s="332">
        <f>AH58+AI57</f>
        <v>6858.8090079372323</v>
      </c>
      <c r="AJ58" s="332">
        <f t="shared" ref="AJ58" si="68">AI58+AJ57</f>
        <v>13092.655863301739</v>
      </c>
      <c r="AK58" s="332">
        <f>AJ58+AK57</f>
        <v>19331.757478383035</v>
      </c>
      <c r="AL58" s="442">
        <f>+AK58</f>
        <v>19331.757478383035</v>
      </c>
      <c r="AM58" s="332"/>
      <c r="AN58" s="332"/>
      <c r="AO58" s="332"/>
      <c r="AP58" s="332"/>
      <c r="AQ58" s="335">
        <f>AP58</f>
        <v>0</v>
      </c>
      <c r="AR58" s="332"/>
      <c r="AS58" s="332"/>
      <c r="AT58" s="332"/>
      <c r="AU58" s="332"/>
      <c r="AV58" s="335">
        <f>AU58</f>
        <v>0</v>
      </c>
    </row>
    <row r="59" spans="2:48" x14ac:dyDescent="0.3">
      <c r="B59" s="354" t="s">
        <v>315</v>
      </c>
      <c r="C59" s="355"/>
      <c r="D59" s="356"/>
      <c r="E59" s="356"/>
      <c r="F59" s="357"/>
      <c r="G59" s="357"/>
      <c r="H59" s="357"/>
      <c r="I59" s="356"/>
      <c r="J59" s="356"/>
      <c r="K59" s="357"/>
      <c r="L59" s="357"/>
      <c r="M59" s="357"/>
      <c r="N59" s="356"/>
      <c r="O59" s="356"/>
      <c r="P59" s="357"/>
      <c r="Q59" s="357"/>
      <c r="R59" s="357"/>
      <c r="S59" s="356"/>
      <c r="T59" s="356"/>
      <c r="U59" s="357"/>
      <c r="V59" s="357"/>
      <c r="W59" s="357"/>
      <c r="X59" s="356"/>
      <c r="Y59" s="356"/>
      <c r="Z59" s="357"/>
      <c r="AA59" s="357"/>
      <c r="AB59" s="357"/>
      <c r="AC59" s="356"/>
      <c r="AD59" s="356"/>
      <c r="AE59" s="357"/>
      <c r="AF59" s="357"/>
      <c r="AG59" s="357"/>
      <c r="AH59" s="356"/>
      <c r="AI59" s="356"/>
      <c r="AJ59" s="357"/>
      <c r="AK59" s="357"/>
      <c r="AL59" s="362">
        <f>('Income Statement &amp; Segments'!AL34/'Income Statement &amp; Segments'!W34)^(1/3)-1</f>
        <v>0.15740443054640707</v>
      </c>
      <c r="AM59" s="448"/>
    </row>
    <row r="60" spans="2:48" x14ac:dyDescent="0.3">
      <c r="B60" s="281" t="s">
        <v>316</v>
      </c>
      <c r="D60" s="358"/>
      <c r="E60" s="358"/>
      <c r="I60" s="358"/>
      <c r="J60" s="358"/>
      <c r="N60" s="358"/>
      <c r="O60" s="358"/>
      <c r="S60" s="358"/>
      <c r="T60" s="358"/>
      <c r="X60" s="358"/>
      <c r="Y60" s="358"/>
      <c r="AC60" s="358"/>
      <c r="AD60" s="358"/>
      <c r="AH60" s="358"/>
      <c r="AI60" s="358"/>
      <c r="AL60" s="362">
        <v>0.14817630035351304</v>
      </c>
    </row>
    <row r="61" spans="2:48" x14ac:dyDescent="0.3">
      <c r="B61" s="283" t="s">
        <v>317</v>
      </c>
      <c r="C61" s="359"/>
      <c r="D61" s="360"/>
      <c r="E61" s="360"/>
      <c r="F61" s="361"/>
      <c r="G61" s="361"/>
      <c r="H61" s="361"/>
      <c r="I61" s="360"/>
      <c r="J61" s="360"/>
      <c r="K61" s="361"/>
      <c r="L61" s="361"/>
      <c r="M61" s="361"/>
      <c r="N61" s="360"/>
      <c r="O61" s="360"/>
      <c r="P61" s="361"/>
      <c r="Q61" s="361"/>
      <c r="R61" s="361"/>
      <c r="S61" s="360"/>
      <c r="T61" s="360"/>
      <c r="U61" s="361"/>
      <c r="V61" s="361"/>
      <c r="W61" s="361"/>
      <c r="X61" s="360"/>
      <c r="Y61" s="360"/>
      <c r="Z61" s="361"/>
      <c r="AA61" s="361"/>
      <c r="AB61" s="361"/>
      <c r="AC61" s="360"/>
      <c r="AD61" s="360"/>
      <c r="AE61" s="361"/>
      <c r="AF61" s="361"/>
      <c r="AG61" s="361"/>
      <c r="AH61" s="360"/>
      <c r="AI61" s="360"/>
      <c r="AJ61" s="361"/>
      <c r="AK61" s="361"/>
      <c r="AL61" s="441">
        <f>AL59-AL60</f>
        <v>9.2281301928940351E-3</v>
      </c>
    </row>
    <row r="62" spans="2:48" s="23" customFormat="1" x14ac:dyDescent="0.3">
      <c r="B62" s="354" t="s">
        <v>318</v>
      </c>
      <c r="C62" s="365"/>
      <c r="D62" s="366"/>
      <c r="E62" s="366"/>
      <c r="F62" s="367"/>
      <c r="G62" s="367"/>
      <c r="H62" s="367"/>
      <c r="I62" s="366"/>
      <c r="J62" s="366"/>
      <c r="K62" s="367"/>
      <c r="L62" s="367"/>
      <c r="M62" s="367"/>
      <c r="N62" s="366"/>
      <c r="O62" s="366"/>
      <c r="P62" s="367"/>
      <c r="Q62" s="367"/>
      <c r="R62" s="367"/>
      <c r="S62" s="366"/>
      <c r="T62" s="366"/>
      <c r="U62" s="367"/>
      <c r="V62" s="367"/>
      <c r="W62" s="367"/>
      <c r="X62" s="366"/>
      <c r="Y62" s="366"/>
      <c r="Z62" s="367"/>
      <c r="AA62" s="367"/>
      <c r="AB62" s="367"/>
      <c r="AC62" s="366"/>
      <c r="AD62" s="366"/>
      <c r="AE62" s="367"/>
      <c r="AF62" s="367"/>
      <c r="AG62" s="367"/>
      <c r="AH62" s="366"/>
      <c r="AI62" s="366"/>
      <c r="AJ62" s="367"/>
      <c r="AK62" s="387"/>
      <c r="AL62" s="449">
        <f>(0.15+1)^3*2.88</f>
        <v>4.3801199999999989</v>
      </c>
      <c r="AM62" s="364"/>
      <c r="AN62" s="45"/>
      <c r="AO62" s="282"/>
      <c r="AP62" s="282"/>
      <c r="AQ62" s="282"/>
      <c r="AR62" s="45"/>
      <c r="AS62" s="45"/>
      <c r="AT62" s="282"/>
      <c r="AU62" s="282"/>
      <c r="AV62" s="282"/>
    </row>
    <row r="63" spans="2:48" s="23" customFormat="1" x14ac:dyDescent="0.3">
      <c r="B63" s="283" t="s">
        <v>319</v>
      </c>
      <c r="C63" s="368"/>
      <c r="D63" s="285"/>
      <c r="E63" s="285"/>
      <c r="F63" s="286"/>
      <c r="G63" s="286"/>
      <c r="H63" s="286"/>
      <c r="I63" s="285"/>
      <c r="J63" s="285"/>
      <c r="K63" s="286"/>
      <c r="L63" s="286"/>
      <c r="M63" s="286"/>
      <c r="N63" s="285"/>
      <c r="O63" s="285"/>
      <c r="P63" s="286"/>
      <c r="Q63" s="286"/>
      <c r="R63" s="286"/>
      <c r="S63" s="285"/>
      <c r="T63" s="285"/>
      <c r="U63" s="286"/>
      <c r="V63" s="286"/>
      <c r="W63" s="286"/>
      <c r="X63" s="285"/>
      <c r="Y63" s="285"/>
      <c r="Z63" s="286"/>
      <c r="AA63" s="286"/>
      <c r="AB63" s="286"/>
      <c r="AC63" s="285"/>
      <c r="AD63" s="285"/>
      <c r="AE63" s="286"/>
      <c r="AF63" s="286"/>
      <c r="AG63" s="286"/>
      <c r="AH63" s="285"/>
      <c r="AI63" s="285"/>
      <c r="AJ63" s="286"/>
      <c r="AK63" s="388"/>
      <c r="AL63" s="450">
        <f>(0.2+1)^3*2.88</f>
        <v>4.9766399999999997</v>
      </c>
      <c r="AM63" s="203"/>
      <c r="AN63" s="363"/>
      <c r="AO63" s="282"/>
      <c r="AP63" s="282"/>
      <c r="AQ63" s="282"/>
      <c r="AR63" s="45"/>
      <c r="AS63" s="45"/>
      <c r="AT63" s="282"/>
      <c r="AU63" s="282"/>
      <c r="AV63" s="282"/>
    </row>
    <row r="64" spans="2:48" s="23" customFormat="1" x14ac:dyDescent="0.3">
      <c r="B64" s="354" t="s">
        <v>321</v>
      </c>
      <c r="C64" s="365"/>
      <c r="D64" s="366"/>
      <c r="E64" s="366"/>
      <c r="F64" s="367"/>
      <c r="G64" s="367"/>
      <c r="H64" s="367"/>
      <c r="I64" s="366"/>
      <c r="J64" s="366"/>
      <c r="K64" s="367"/>
      <c r="L64" s="367"/>
      <c r="M64" s="367"/>
      <c r="N64" s="366"/>
      <c r="O64" s="366"/>
      <c r="P64" s="367"/>
      <c r="Q64" s="367"/>
      <c r="R64" s="367"/>
      <c r="S64" s="366"/>
      <c r="T64" s="366"/>
      <c r="U64" s="367"/>
      <c r="V64" s="367"/>
      <c r="W64" s="367"/>
      <c r="X64" s="366"/>
      <c r="Y64" s="366"/>
      <c r="Z64" s="367"/>
      <c r="AA64" s="367"/>
      <c r="AB64" s="367"/>
      <c r="AC64" s="366"/>
      <c r="AD64" s="366"/>
      <c r="AE64" s="367"/>
      <c r="AF64" s="367"/>
      <c r="AG64" s="367"/>
      <c r="AH64" s="366"/>
      <c r="AI64" s="366"/>
      <c r="AJ64" s="367"/>
      <c r="AK64" s="367"/>
      <c r="AL64" s="362">
        <f>(('Income Statement &amp; Segments'!AK57+'Income Statement &amp; Segments'!AK90)/('Income Statement &amp; Segments'!V57+'Income Statement &amp; Segments'!V90))^(1/3)-1</f>
        <v>6.9994436200693677E-2</v>
      </c>
      <c r="AM64" s="16"/>
      <c r="AN64" s="45"/>
      <c r="AO64" s="282"/>
      <c r="AP64" s="282"/>
      <c r="AQ64" s="282"/>
      <c r="AR64" s="45"/>
      <c r="AS64" s="45"/>
      <c r="AT64" s="282"/>
      <c r="AU64" s="282"/>
      <c r="AV64" s="282"/>
    </row>
    <row r="65" spans="2:48" s="23" customFormat="1" x14ac:dyDescent="0.3">
      <c r="B65" s="283" t="s">
        <v>322</v>
      </c>
      <c r="C65" s="368"/>
      <c r="D65" s="285"/>
      <c r="E65" s="285"/>
      <c r="F65" s="286"/>
      <c r="G65" s="286"/>
      <c r="H65" s="286"/>
      <c r="I65" s="285"/>
      <c r="J65" s="285"/>
      <c r="K65" s="286"/>
      <c r="L65" s="286"/>
      <c r="M65" s="286"/>
      <c r="N65" s="285"/>
      <c r="O65" s="285"/>
      <c r="P65" s="286"/>
      <c r="Q65" s="286"/>
      <c r="R65" s="286"/>
      <c r="S65" s="285"/>
      <c r="T65" s="285"/>
      <c r="U65" s="286"/>
      <c r="V65" s="286"/>
      <c r="W65" s="286"/>
      <c r="X65" s="285"/>
      <c r="Y65" s="285"/>
      <c r="Z65" s="286"/>
      <c r="AA65" s="286"/>
      <c r="AB65" s="286"/>
      <c r="AC65" s="285"/>
      <c r="AD65" s="285"/>
      <c r="AE65" s="286"/>
      <c r="AF65" s="286"/>
      <c r="AG65" s="286"/>
      <c r="AH65" s="285"/>
      <c r="AI65" s="285"/>
      <c r="AJ65" s="286"/>
      <c r="AK65" s="286"/>
      <c r="AL65" s="451">
        <f>('Income Statement &amp; Segments'!AL8/'Income Statement &amp; Segments'!W8)^(1/3)-1</f>
        <v>0.11254000103247841</v>
      </c>
      <c r="AM65" s="45"/>
      <c r="AN65" s="45"/>
      <c r="AO65" s="282"/>
      <c r="AP65" s="282"/>
      <c r="AQ65" s="282"/>
      <c r="AR65" s="45"/>
      <c r="AS65" s="45"/>
      <c r="AT65" s="282"/>
      <c r="AU65" s="282"/>
      <c r="AV65" s="282"/>
    </row>
  </sheetData>
  <dataConsolidate/>
  <mergeCells count="27">
    <mergeCell ref="B51:C51"/>
    <mergeCell ref="B52:C52"/>
    <mergeCell ref="B55:C55"/>
    <mergeCell ref="B41:C41"/>
    <mergeCell ref="B42:C42"/>
    <mergeCell ref="B44:C44"/>
    <mergeCell ref="B48:C48"/>
    <mergeCell ref="B49:C49"/>
    <mergeCell ref="B50:C50"/>
    <mergeCell ref="B40:C40"/>
    <mergeCell ref="B21:C21"/>
    <mergeCell ref="B22:C22"/>
    <mergeCell ref="B23:C23"/>
    <mergeCell ref="B25:C25"/>
    <mergeCell ref="B26:C26"/>
    <mergeCell ref="B27:C27"/>
    <mergeCell ref="B28:C28"/>
    <mergeCell ref="B29:C29"/>
    <mergeCell ref="B36:C36"/>
    <mergeCell ref="B37:C37"/>
    <mergeCell ref="B39:C39"/>
    <mergeCell ref="B18:C18"/>
    <mergeCell ref="B3:C3"/>
    <mergeCell ref="B5:C5"/>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B8BB5-108E-4962-8985-47A3F6DADF90}">
  <dimension ref="B1:G38"/>
  <sheetViews>
    <sheetView topLeftCell="B7" zoomScale="70" zoomScaleNormal="70" workbookViewId="0">
      <selection activeCell="K35" sqref="K35"/>
    </sheetView>
  </sheetViews>
  <sheetFormatPr defaultColWidth="11.5546875" defaultRowHeight="14.4" x14ac:dyDescent="0.3"/>
  <cols>
    <col min="1" max="1" width="2.44140625" customWidth="1"/>
    <col min="2" max="2" width="28.33203125" bestFit="1" customWidth="1"/>
    <col min="3" max="3" width="18.5546875" customWidth="1"/>
    <col min="4" max="4" width="2.5546875" customWidth="1"/>
    <col min="5" max="5" width="28.21875" customWidth="1"/>
    <col min="6" max="6" width="20" customWidth="1"/>
  </cols>
  <sheetData>
    <row r="1" spans="2:7" ht="9" customHeight="1" x14ac:dyDescent="0.3"/>
    <row r="2" spans="2:7" ht="9" customHeight="1" x14ac:dyDescent="0.3"/>
    <row r="3" spans="2:7" ht="9" customHeight="1" x14ac:dyDescent="0.3"/>
    <row r="4" spans="2:7" ht="15.6" x14ac:dyDescent="0.3">
      <c r="B4" s="514" t="s">
        <v>337</v>
      </c>
      <c r="C4" s="570"/>
      <c r="E4" s="514" t="s">
        <v>378</v>
      </c>
      <c r="F4" s="570"/>
      <c r="G4" s="475" t="s">
        <v>379</v>
      </c>
    </row>
    <row r="5" spans="2:7" x14ac:dyDescent="0.3">
      <c r="B5" s="281" t="s">
        <v>338</v>
      </c>
      <c r="C5" s="467">
        <v>27.5</v>
      </c>
      <c r="E5" s="476" t="s">
        <v>380</v>
      </c>
      <c r="F5" s="358"/>
      <c r="G5" s="477"/>
    </row>
    <row r="6" spans="2:7" x14ac:dyDescent="0.3">
      <c r="B6" s="281" t="s">
        <v>339</v>
      </c>
      <c r="C6" s="463">
        <v>30.8</v>
      </c>
      <c r="E6" s="478" t="s">
        <v>381</v>
      </c>
      <c r="F6" s="479">
        <v>107</v>
      </c>
      <c r="G6" s="477" t="s">
        <v>382</v>
      </c>
    </row>
    <row r="7" spans="2:7" ht="16.2" x14ac:dyDescent="0.45">
      <c r="B7" s="281" t="s">
        <v>340</v>
      </c>
      <c r="C7" s="463">
        <v>24.7</v>
      </c>
      <c r="E7" s="478" t="s">
        <v>383</v>
      </c>
      <c r="F7" s="480">
        <f>'Income Statement &amp; Segments'!V31</f>
        <v>1152.5</v>
      </c>
      <c r="G7" s="477" t="s">
        <v>384</v>
      </c>
    </row>
    <row r="8" spans="2:7" x14ac:dyDescent="0.3">
      <c r="B8" s="281" t="s">
        <v>341</v>
      </c>
      <c r="C8" s="463" t="s">
        <v>366</v>
      </c>
      <c r="E8" s="481" t="s">
        <v>385</v>
      </c>
      <c r="F8" s="482">
        <f>F7*F6</f>
        <v>123317.5</v>
      </c>
      <c r="G8" s="477"/>
    </row>
    <row r="9" spans="2:7" x14ac:dyDescent="0.3">
      <c r="B9" s="170" t="s">
        <v>342</v>
      </c>
      <c r="C9" s="468">
        <v>32</v>
      </c>
      <c r="E9" s="483" t="s">
        <v>386</v>
      </c>
      <c r="F9" s="484"/>
      <c r="G9" s="477"/>
    </row>
    <row r="10" spans="2:7" ht="16.2" x14ac:dyDescent="0.45">
      <c r="B10" s="170" t="s">
        <v>343</v>
      </c>
      <c r="C10" s="464">
        <v>0</v>
      </c>
      <c r="E10" s="478" t="s">
        <v>387</v>
      </c>
      <c r="F10" s="485">
        <v>0.95311396673105397</v>
      </c>
      <c r="G10" s="477" t="s">
        <v>388</v>
      </c>
    </row>
    <row r="11" spans="2:7" x14ac:dyDescent="0.3">
      <c r="B11" s="465" t="s">
        <v>344</v>
      </c>
      <c r="C11" s="466">
        <f>C9*('Income Statement &amp; Segments'!X34+'Income Statement &amp; Segments'!Y34+'Income Statement &amp; Segments'!Z34+'Income Statement &amp; Segments'!AA34)</f>
        <v>108.7613045255905</v>
      </c>
      <c r="E11" s="478" t="s">
        <v>389</v>
      </c>
      <c r="F11" s="486">
        <v>0.34712977870360096</v>
      </c>
      <c r="G11" s="477" t="s">
        <v>390</v>
      </c>
    </row>
    <row r="12" spans="2:7" x14ac:dyDescent="0.3">
      <c r="E12" s="478" t="s">
        <v>391</v>
      </c>
      <c r="F12" s="487">
        <v>0.237614689367634</v>
      </c>
      <c r="G12" s="477" t="s">
        <v>392</v>
      </c>
    </row>
    <row r="13" spans="2:7" x14ac:dyDescent="0.3">
      <c r="B13" s="571" t="s">
        <v>367</v>
      </c>
      <c r="C13" s="572"/>
      <c r="E13" s="488" t="s">
        <v>393</v>
      </c>
      <c r="F13" s="489">
        <f>F11*F12</f>
        <v>8.2483134536911668E-2</v>
      </c>
      <c r="G13" s="477" t="s">
        <v>394</v>
      </c>
    </row>
    <row r="14" spans="2:7" x14ac:dyDescent="0.3">
      <c r="B14" s="573"/>
      <c r="C14" s="574"/>
      <c r="E14" s="478" t="s">
        <v>395</v>
      </c>
      <c r="F14" s="490">
        <v>4.9700000000000001E-2</v>
      </c>
      <c r="G14" s="477" t="s">
        <v>396</v>
      </c>
    </row>
    <row r="15" spans="2:7" x14ac:dyDescent="0.3">
      <c r="B15" s="573"/>
      <c r="C15" s="574"/>
      <c r="E15" s="481" t="s">
        <v>397</v>
      </c>
      <c r="F15" s="491">
        <f>F14+(F10*F13)</f>
        <v>0.12831582754688708</v>
      </c>
      <c r="G15" s="477"/>
    </row>
    <row r="16" spans="2:7" x14ac:dyDescent="0.3">
      <c r="B16" s="573"/>
      <c r="C16" s="574"/>
      <c r="E16" s="281" t="s">
        <v>398</v>
      </c>
      <c r="F16" s="492">
        <f>F8/(F8+'Balance Sheet'!V28+'Balance Sheet'!V31)</f>
        <v>0.89127097586465598</v>
      </c>
      <c r="G16" s="477"/>
    </row>
    <row r="17" spans="2:7" x14ac:dyDescent="0.3">
      <c r="B17" s="573"/>
      <c r="C17" s="574"/>
      <c r="E17" s="281" t="s">
        <v>399</v>
      </c>
      <c r="F17" s="492">
        <f>'Income Statement &amp; Segments'!V145*4</f>
        <v>3.322087373814369E-2</v>
      </c>
      <c r="G17" s="477"/>
    </row>
    <row r="18" spans="2:7" x14ac:dyDescent="0.3">
      <c r="B18" s="573"/>
      <c r="C18" s="574"/>
      <c r="E18" s="281" t="s">
        <v>2</v>
      </c>
      <c r="F18" s="493">
        <f>'Income Statement &amp; Segments'!AB143</f>
        <v>0.24499999999999994</v>
      </c>
      <c r="G18" s="477"/>
    </row>
    <row r="19" spans="2:7" x14ac:dyDescent="0.3">
      <c r="B19" s="573"/>
      <c r="C19" s="574"/>
      <c r="E19" s="281" t="s">
        <v>400</v>
      </c>
      <c r="F19" s="494">
        <f>F17*(1-F18)</f>
        <v>2.508175967229849E-2</v>
      </c>
      <c r="G19" s="477"/>
    </row>
    <row r="20" spans="2:7" x14ac:dyDescent="0.3">
      <c r="B20" s="573"/>
      <c r="C20" s="574"/>
      <c r="E20" s="495" t="s">
        <v>401</v>
      </c>
      <c r="F20" s="496">
        <f>(F16*F15)+((1-F16)*F19)</f>
        <v>0.1170912880893612</v>
      </c>
      <c r="G20" s="477"/>
    </row>
    <row r="21" spans="2:7" x14ac:dyDescent="0.3">
      <c r="B21" s="573"/>
      <c r="C21" s="574"/>
      <c r="E21" s="577" t="s">
        <v>402</v>
      </c>
      <c r="F21" s="578"/>
      <c r="G21" s="477"/>
    </row>
    <row r="22" spans="2:7" x14ac:dyDescent="0.3">
      <c r="B22" s="573"/>
      <c r="C22" s="574"/>
      <c r="E22" s="281" t="s">
        <v>403</v>
      </c>
      <c r="F22" s="498">
        <v>4.4999999999999998E-2</v>
      </c>
      <c r="G22" s="569" t="s">
        <v>382</v>
      </c>
    </row>
    <row r="23" spans="2:7" x14ac:dyDescent="0.3">
      <c r="B23" s="573"/>
      <c r="C23" s="574"/>
      <c r="E23" s="281" t="s">
        <v>404</v>
      </c>
      <c r="F23" s="498">
        <v>0.04</v>
      </c>
      <c r="G23" s="569"/>
    </row>
    <row r="24" spans="2:7" x14ac:dyDescent="0.3">
      <c r="B24" s="573"/>
      <c r="C24" s="574"/>
      <c r="E24" s="281" t="s">
        <v>405</v>
      </c>
      <c r="F24" s="498">
        <v>0.03</v>
      </c>
      <c r="G24" s="569"/>
    </row>
    <row r="25" spans="2:7" x14ac:dyDescent="0.3">
      <c r="B25" s="573"/>
      <c r="C25" s="574"/>
      <c r="E25" s="497" t="s">
        <v>406</v>
      </c>
      <c r="F25" s="499"/>
      <c r="G25" s="477"/>
    </row>
    <row r="26" spans="2:7" x14ac:dyDescent="0.3">
      <c r="B26" s="575"/>
      <c r="C26" s="576"/>
      <c r="E26" s="478" t="s">
        <v>407</v>
      </c>
      <c r="F26" s="500">
        <v>0.83684685242226597</v>
      </c>
      <c r="G26" s="477" t="s">
        <v>408</v>
      </c>
    </row>
    <row r="27" spans="2:7" x14ac:dyDescent="0.3">
      <c r="E27" s="478" t="s">
        <v>409</v>
      </c>
      <c r="F27" s="486">
        <v>0.34238900934693073</v>
      </c>
      <c r="G27" s="477" t="s">
        <v>410</v>
      </c>
    </row>
    <row r="28" spans="2:7" ht="15.6" x14ac:dyDescent="0.3">
      <c r="B28" s="514" t="s">
        <v>368</v>
      </c>
      <c r="C28" s="570"/>
      <c r="E28" s="478" t="s">
        <v>411</v>
      </c>
      <c r="F28" s="487">
        <v>0.19500000000000001</v>
      </c>
      <c r="G28" s="477" t="s">
        <v>412</v>
      </c>
    </row>
    <row r="29" spans="2:7" x14ac:dyDescent="0.3">
      <c r="B29" s="354" t="s">
        <v>369</v>
      </c>
      <c r="C29" s="469">
        <f>C11</f>
        <v>108.7613045255905</v>
      </c>
      <c r="E29" s="488" t="s">
        <v>413</v>
      </c>
      <c r="F29" s="489">
        <f>F27*F28</f>
        <v>6.6765856822651501E-2</v>
      </c>
      <c r="G29" s="477"/>
    </row>
    <row r="30" spans="2:7" x14ac:dyDescent="0.3">
      <c r="B30" s="281" t="s">
        <v>370</v>
      </c>
      <c r="C30" s="470">
        <f>F37</f>
        <v>107.35362103815638</v>
      </c>
      <c r="E30" s="478" t="s">
        <v>414</v>
      </c>
      <c r="F30" s="501">
        <v>3.9E-2</v>
      </c>
      <c r="G30" s="477" t="s">
        <v>415</v>
      </c>
    </row>
    <row r="31" spans="2:7" x14ac:dyDescent="0.3">
      <c r="B31" s="582" t="s">
        <v>371</v>
      </c>
      <c r="C31" s="583">
        <f>(C29+C30)/2</f>
        <v>108.05746278187344</v>
      </c>
      <c r="E31" s="488" t="s">
        <v>416</v>
      </c>
      <c r="F31" s="489">
        <f>F30+(F26*F29)</f>
        <v>9.4872797131311581E-2</v>
      </c>
      <c r="G31" s="477"/>
    </row>
    <row r="32" spans="2:7" x14ac:dyDescent="0.3">
      <c r="E32" s="290" t="s">
        <v>417</v>
      </c>
      <c r="F32" s="502">
        <f>(F16*(F30+(F26*(F27*F28))))+((1-F16)*F19)</f>
        <v>8.7284485734999848E-2</v>
      </c>
      <c r="G32" s="477"/>
    </row>
    <row r="33" spans="2:7" ht="15.6" x14ac:dyDescent="0.3">
      <c r="B33" s="514" t="s">
        <v>372</v>
      </c>
      <c r="C33" s="570"/>
      <c r="E33" s="503" t="s">
        <v>418</v>
      </c>
      <c r="F33" s="358"/>
      <c r="G33" s="477"/>
    </row>
    <row r="34" spans="2:7" x14ac:dyDescent="0.3">
      <c r="B34" s="354" t="s">
        <v>373</v>
      </c>
      <c r="C34" s="471">
        <v>2.2000000000000001E-3</v>
      </c>
      <c r="E34" s="281" t="s">
        <v>419</v>
      </c>
      <c r="F34" s="504">
        <f>'Cash Flow Statement'!AB44+'Cash Flow Statement'!AG44+'Cash Flow Statement'!AL44+'Cash Flow Statement'!AQ44+'Cash Flow Statement'!AV44</f>
        <v>16573.682658846305</v>
      </c>
      <c r="G34" s="477"/>
    </row>
    <row r="35" spans="2:7" x14ac:dyDescent="0.3">
      <c r="B35" s="281" t="s">
        <v>374</v>
      </c>
      <c r="C35" s="472">
        <v>8.7400000000000005E-2</v>
      </c>
      <c r="E35" s="281" t="s">
        <v>420</v>
      </c>
      <c r="F35" s="504">
        <f>(((('Cash Flow Statement'!AV22*(1+F23))-(F24*'Income Statement &amp; Segments'!AV8*(1+F22))+(F19*('Balance Sheet'!AV28+'Balance Sheet'!AV31))))/(F32-F22))/(1+F32)^5</f>
        <v>118674.75224469698</v>
      </c>
      <c r="G35" s="477" t="s">
        <v>382</v>
      </c>
    </row>
    <row r="36" spans="2:7" ht="16.2" x14ac:dyDescent="0.45">
      <c r="B36" s="281" t="s">
        <v>375</v>
      </c>
      <c r="C36" s="473">
        <f>C31</f>
        <v>108.05746278187344</v>
      </c>
      <c r="E36" s="281" t="s">
        <v>421</v>
      </c>
      <c r="F36" s="505">
        <f>'Cash Flow Statement'!W48</f>
        <v>-9.9986001362846704</v>
      </c>
      <c r="G36" s="477" t="s">
        <v>382</v>
      </c>
    </row>
    <row r="37" spans="2:7" x14ac:dyDescent="0.3">
      <c r="B37" s="281" t="s">
        <v>376</v>
      </c>
      <c r="C37" s="473">
        <f>C36*(1+(C34+(2*C35)))</f>
        <v>127.18363369426504</v>
      </c>
      <c r="E37" s="506" t="s">
        <v>422</v>
      </c>
      <c r="F37" s="507">
        <f>(F35+F34)/F7+F36</f>
        <v>107.35362103815638</v>
      </c>
      <c r="G37" s="477"/>
    </row>
    <row r="38" spans="2:7" x14ac:dyDescent="0.3">
      <c r="B38" s="283" t="s">
        <v>377</v>
      </c>
      <c r="C38" s="474">
        <f>C36*(1+(C34-(2*C35)))</f>
        <v>89.40674470572209</v>
      </c>
      <c r="E38" s="508" t="s">
        <v>423</v>
      </c>
      <c r="F38" s="509">
        <f>ROUND((F6-F37),0)</f>
        <v>0</v>
      </c>
      <c r="G38" s="510"/>
    </row>
  </sheetData>
  <mergeCells count="7">
    <mergeCell ref="G22:G24"/>
    <mergeCell ref="B4:C4"/>
    <mergeCell ref="B13:C26"/>
    <mergeCell ref="B28:C28"/>
    <mergeCell ref="B33:C33"/>
    <mergeCell ref="E4:F4"/>
    <mergeCell ref="E21:F21"/>
  </mergeCell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146A5-2A44-401C-8E5C-AAEDA19A53F3}">
  <dimension ref="A1:C14"/>
  <sheetViews>
    <sheetView zoomScale="70" zoomScaleNormal="70" workbookViewId="0">
      <selection activeCell="B5" sqref="B5"/>
    </sheetView>
  </sheetViews>
  <sheetFormatPr defaultColWidth="11.5546875" defaultRowHeight="14.4" x14ac:dyDescent="0.3"/>
  <cols>
    <col min="1" max="1" width="41.88671875" customWidth="1"/>
    <col min="2" max="2" width="52.5546875" customWidth="1"/>
    <col min="3" max="3" width="61" customWidth="1"/>
  </cols>
  <sheetData>
    <row r="1" spans="1:3" ht="30" customHeight="1" x14ac:dyDescent="0.3">
      <c r="A1" s="580" t="s">
        <v>349</v>
      </c>
      <c r="B1" s="580"/>
      <c r="C1" s="580"/>
    </row>
    <row r="2" spans="1:3" x14ac:dyDescent="0.3">
      <c r="A2" s="461" t="s">
        <v>345</v>
      </c>
      <c r="B2" s="461" t="s">
        <v>346</v>
      </c>
      <c r="C2" s="461" t="s">
        <v>347</v>
      </c>
    </row>
    <row r="3" spans="1:3" ht="115.2" x14ac:dyDescent="0.3">
      <c r="A3" s="457" t="s">
        <v>348</v>
      </c>
      <c r="B3" s="455" t="s">
        <v>352</v>
      </c>
      <c r="C3" s="456" t="s">
        <v>361</v>
      </c>
    </row>
    <row r="4" spans="1:3" ht="74.400000000000006" customHeight="1" x14ac:dyDescent="0.3">
      <c r="A4" s="457" t="s">
        <v>350</v>
      </c>
      <c r="B4" s="455" t="s">
        <v>351</v>
      </c>
      <c r="C4" s="456" t="s">
        <v>355</v>
      </c>
    </row>
    <row r="5" spans="1:3" ht="117.6" customHeight="1" x14ac:dyDescent="0.3">
      <c r="A5" s="457" t="s">
        <v>353</v>
      </c>
      <c r="B5" s="455" t="s">
        <v>354</v>
      </c>
      <c r="C5" s="456" t="s">
        <v>356</v>
      </c>
    </row>
    <row r="6" spans="1:3" x14ac:dyDescent="0.3">
      <c r="A6" s="579" t="s">
        <v>357</v>
      </c>
      <c r="B6" s="579"/>
      <c r="C6" s="579"/>
    </row>
    <row r="7" spans="1:3" ht="60.6" customHeight="1" x14ac:dyDescent="0.3">
      <c r="A7" s="455" t="s">
        <v>358</v>
      </c>
      <c r="B7" s="580" t="s">
        <v>363</v>
      </c>
      <c r="C7" s="580"/>
    </row>
    <row r="8" spans="1:3" ht="62.4" customHeight="1" x14ac:dyDescent="0.3">
      <c r="A8" s="455" t="s">
        <v>359</v>
      </c>
      <c r="B8" s="580" t="s">
        <v>362</v>
      </c>
      <c r="C8" s="580"/>
    </row>
    <row r="9" spans="1:3" ht="43.2" customHeight="1" x14ac:dyDescent="0.3">
      <c r="A9" s="455" t="s">
        <v>360</v>
      </c>
      <c r="B9" s="581" t="s">
        <v>364</v>
      </c>
      <c r="C9" s="581"/>
    </row>
    <row r="10" spans="1:3" x14ac:dyDescent="0.3">
      <c r="A10" s="579" t="s">
        <v>365</v>
      </c>
      <c r="B10" s="579"/>
      <c r="C10" s="579"/>
    </row>
    <row r="11" spans="1:3" ht="60" customHeight="1" x14ac:dyDescent="0.3">
      <c r="A11" s="455" t="s">
        <v>424</v>
      </c>
      <c r="B11" s="580" t="s">
        <v>426</v>
      </c>
      <c r="C11" s="580"/>
    </row>
    <row r="12" spans="1:3" ht="61.8" customHeight="1" x14ac:dyDescent="0.3">
      <c r="A12" s="455" t="s">
        <v>425</v>
      </c>
      <c r="B12" s="580" t="s">
        <v>427</v>
      </c>
      <c r="C12" s="580"/>
    </row>
    <row r="13" spans="1:3" x14ac:dyDescent="0.3">
      <c r="A13" s="579" t="s">
        <v>428</v>
      </c>
      <c r="B13" s="579"/>
      <c r="C13" s="579"/>
    </row>
    <row r="14" spans="1:3" ht="30.6" customHeight="1" x14ac:dyDescent="0.3">
      <c r="A14" s="584" t="s">
        <v>429</v>
      </c>
      <c r="B14" s="584"/>
      <c r="C14" s="584"/>
    </row>
  </sheetData>
  <mergeCells count="10">
    <mergeCell ref="B11:C11"/>
    <mergeCell ref="B12:C12"/>
    <mergeCell ref="A13:C13"/>
    <mergeCell ref="A14:C14"/>
    <mergeCell ref="A10:C10"/>
    <mergeCell ref="A1:C1"/>
    <mergeCell ref="A6:C6"/>
    <mergeCell ref="B7:C7"/>
    <mergeCell ref="B8:C8"/>
    <mergeCell ref="B9:C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Income Statement &amp; Segments</vt:lpstr>
      <vt:lpstr>Balance Sheet</vt:lpstr>
      <vt:lpstr>Cash Flow Statement</vt:lpstr>
      <vt:lpstr>Valuation</vt:lpstr>
      <vt:lpstr>Forecast Thesis</vt:lpstr>
      <vt:lpstr>'Balance Sheet'!Print_Area</vt:lpstr>
      <vt:lpstr>'Cash Flow Statement'!Print_Area</vt:lpstr>
      <vt:lpstr>'Income Statement &amp; Segments'!Print_Area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Sarah Königs</cp:lastModifiedBy>
  <cp:lastPrinted>2015-01-03T01:11:29Z</cp:lastPrinted>
  <dcterms:created xsi:type="dcterms:W3CDTF">2014-10-18T18:34:10Z</dcterms:created>
  <dcterms:modified xsi:type="dcterms:W3CDTF">2023-01-30T10:15:49Z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