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5C605B5E-18E5-4A55-ACDC-B8F91F20A6A3}" xr6:coauthVersionLast="43" xr6:coauthVersionMax="43" xr10:uidLastSave="{00000000-0000-0000-0000-000000000000}"/>
  <bookViews>
    <workbookView xWindow="3075" yWindow="3075" windowWidth="38700" windowHeight="15885"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Model'!$B$2:$AB$216</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16" i="3" l="1"/>
  <c r="G101" i="3"/>
  <c r="AB69" i="3"/>
  <c r="AA69" i="3"/>
  <c r="X89" i="3" l="1"/>
  <c r="Y89" i="3" s="1"/>
  <c r="U55" i="3"/>
  <c r="V55" i="3"/>
  <c r="X55" i="3" s="1"/>
  <c r="Y55" i="3" s="1"/>
  <c r="Z55" i="3" s="1"/>
  <c r="AA55" i="3" s="1"/>
  <c r="X50" i="3"/>
  <c r="Y50" i="3" s="1"/>
  <c r="X61" i="3"/>
  <c r="Y61" i="3" s="1"/>
  <c r="G67" i="3"/>
  <c r="T69" i="3"/>
  <c r="S69" i="3"/>
  <c r="R69" i="3"/>
  <c r="Q69" i="3"/>
  <c r="P69" i="3"/>
  <c r="O69" i="3"/>
  <c r="N69" i="3"/>
  <c r="M69" i="3"/>
  <c r="L69" i="3"/>
  <c r="K69" i="3"/>
  <c r="J69" i="3"/>
  <c r="I69" i="3"/>
  <c r="Z50" i="3" l="1"/>
  <c r="AA50" i="3" s="1"/>
  <c r="U83" i="3" l="1"/>
  <c r="O86" i="3"/>
  <c r="N51" i="3" l="1"/>
  <c r="U49" i="3"/>
  <c r="I51" i="3"/>
  <c r="P51" i="3"/>
  <c r="U21" i="3" l="1"/>
  <c r="D16" i="3"/>
  <c r="D24" i="3"/>
  <c r="D26" i="3" s="1"/>
  <c r="D32" i="3" s="1"/>
  <c r="D34" i="3" s="1"/>
  <c r="E16" i="3"/>
  <c r="E24" i="3"/>
  <c r="F16" i="3"/>
  <c r="F24" i="3"/>
  <c r="G16" i="3"/>
  <c r="G19" i="3"/>
  <c r="G20" i="3"/>
  <c r="G21" i="3"/>
  <c r="G22" i="3"/>
  <c r="G17" i="3"/>
  <c r="G25" i="3"/>
  <c r="G30" i="3"/>
  <c r="H30" i="3" s="1"/>
  <c r="G31" i="3"/>
  <c r="H31" i="3" s="1"/>
  <c r="G33" i="3"/>
  <c r="M13" i="3"/>
  <c r="M14" i="3"/>
  <c r="M15" i="3"/>
  <c r="M19" i="3"/>
  <c r="M20" i="3"/>
  <c r="M21" i="3"/>
  <c r="M22" i="3"/>
  <c r="M23" i="3"/>
  <c r="M17" i="3"/>
  <c r="M25" i="3"/>
  <c r="L30" i="3"/>
  <c r="M30" i="3" s="1"/>
  <c r="L31" i="3"/>
  <c r="M31" i="3" s="1"/>
  <c r="M29" i="3"/>
  <c r="L33" i="3"/>
  <c r="M33" i="3" s="1"/>
  <c r="R13" i="3"/>
  <c r="R14" i="3"/>
  <c r="R15" i="3"/>
  <c r="R19" i="3"/>
  <c r="R20" i="3"/>
  <c r="R21" i="3"/>
  <c r="R22" i="3"/>
  <c r="R23" i="3"/>
  <c r="R17" i="3"/>
  <c r="R25" i="3"/>
  <c r="N30" i="3"/>
  <c r="Q30" i="3"/>
  <c r="R31" i="3"/>
  <c r="N29" i="3"/>
  <c r="O29" i="3"/>
  <c r="R33" i="3"/>
  <c r="S16" i="3"/>
  <c r="S24" i="3"/>
  <c r="T16" i="3"/>
  <c r="T24" i="3"/>
  <c r="U51" i="3"/>
  <c r="P52" i="3"/>
  <c r="U52" i="3" s="1"/>
  <c r="T51" i="3"/>
  <c r="T58" i="3"/>
  <c r="S51" i="3"/>
  <c r="S56" i="3" s="1"/>
  <c r="S58" i="3"/>
  <c r="Q51" i="3"/>
  <c r="Q58" i="3"/>
  <c r="P58" i="3"/>
  <c r="P56" i="3" s="1"/>
  <c r="U85" i="3"/>
  <c r="P86" i="3"/>
  <c r="Z89" i="3"/>
  <c r="T85" i="3"/>
  <c r="T92" i="3"/>
  <c r="S85" i="3"/>
  <c r="S92" i="3"/>
  <c r="U120" i="3"/>
  <c r="P121" i="3"/>
  <c r="U124" i="3"/>
  <c r="T120" i="3"/>
  <c r="T127" i="3"/>
  <c r="S120" i="3"/>
  <c r="S127" i="3"/>
  <c r="Q120" i="3"/>
  <c r="Q127" i="3"/>
  <c r="P120" i="3"/>
  <c r="P127" i="3"/>
  <c r="U166" i="3"/>
  <c r="Z166" i="3" s="1"/>
  <c r="U60" i="3"/>
  <c r="V60" i="3" s="1"/>
  <c r="P62" i="3"/>
  <c r="P63" i="3" s="1"/>
  <c r="U63" i="3" s="1"/>
  <c r="Z63" i="3" s="1"/>
  <c r="U94" i="3"/>
  <c r="U96" i="3" s="1"/>
  <c r="P96" i="3"/>
  <c r="P97" i="3" s="1"/>
  <c r="U97" i="3" s="1"/>
  <c r="Z97" i="3" s="1"/>
  <c r="U129" i="3"/>
  <c r="U131" i="3" s="1"/>
  <c r="P131" i="3"/>
  <c r="P132" i="3" s="1"/>
  <c r="U132" i="3" s="1"/>
  <c r="Z132" i="3" s="1"/>
  <c r="S169" i="3"/>
  <c r="Q169" i="3"/>
  <c r="P169" i="3"/>
  <c r="U65" i="3"/>
  <c r="U99" i="3"/>
  <c r="Z99" i="3" s="1"/>
  <c r="T135" i="3"/>
  <c r="S135" i="3"/>
  <c r="T152" i="3"/>
  <c r="S152" i="3"/>
  <c r="Q152" i="3"/>
  <c r="P152" i="3"/>
  <c r="T171" i="3"/>
  <c r="S171" i="3"/>
  <c r="Q171" i="3"/>
  <c r="P171" i="3"/>
  <c r="T77" i="3"/>
  <c r="T80" i="3" s="1"/>
  <c r="T111" i="3"/>
  <c r="T115" i="3" s="1"/>
  <c r="T145" i="3"/>
  <c r="T148" i="3" s="1"/>
  <c r="T159" i="3"/>
  <c r="T163" i="3" s="1"/>
  <c r="T164" i="3" s="1"/>
  <c r="Y164" i="3" s="1"/>
  <c r="U173" i="3"/>
  <c r="U174" i="3"/>
  <c r="V174" i="3" s="1"/>
  <c r="X174" i="3" s="1"/>
  <c r="U176" i="3"/>
  <c r="V176" i="3" s="1"/>
  <c r="X176" i="3" s="1"/>
  <c r="Y176" i="3" s="1"/>
  <c r="Z176" i="3" s="1"/>
  <c r="AA176" i="3" s="1"/>
  <c r="U177" i="3"/>
  <c r="V177" i="3" s="1"/>
  <c r="X177" i="3" s="1"/>
  <c r="Y177" i="3" s="1"/>
  <c r="Z177" i="3" s="1"/>
  <c r="AA177" i="3" s="1"/>
  <c r="U172" i="3"/>
  <c r="V172" i="3" s="1"/>
  <c r="X172" i="3" s="1"/>
  <c r="Y172" i="3" s="1"/>
  <c r="Z172" i="3" s="1"/>
  <c r="AA172" i="3" s="1"/>
  <c r="U112" i="3"/>
  <c r="U160" i="3"/>
  <c r="V160" i="3" s="1"/>
  <c r="X160" i="3" s="1"/>
  <c r="Y160" i="3" s="1"/>
  <c r="Z160" i="3" s="1"/>
  <c r="AA160" i="3" s="1"/>
  <c r="V51" i="3"/>
  <c r="Q52" i="3"/>
  <c r="V52" i="3"/>
  <c r="V85" i="3"/>
  <c r="Q86" i="3"/>
  <c r="V120" i="3"/>
  <c r="Q121" i="3"/>
  <c r="V124" i="3"/>
  <c r="X124" i="3" s="1"/>
  <c r="Y124" i="3" s="1"/>
  <c r="Z124" i="3" s="1"/>
  <c r="AA124" i="3" s="1"/>
  <c r="V166" i="3"/>
  <c r="AA166" i="3" s="1"/>
  <c r="Q62" i="3"/>
  <c r="Q63" i="3" s="1"/>
  <c r="V63" i="3"/>
  <c r="AA63" i="3" s="1"/>
  <c r="Q96" i="3"/>
  <c r="Q97" i="3" s="1"/>
  <c r="V97" i="3" s="1"/>
  <c r="AA97" i="3" s="1"/>
  <c r="Q131" i="3"/>
  <c r="Q132" i="3" s="1"/>
  <c r="V132" i="3" s="1"/>
  <c r="AA132" i="3" s="1"/>
  <c r="V65" i="3"/>
  <c r="V99" i="3"/>
  <c r="V151" i="3"/>
  <c r="AA151" i="3" s="1"/>
  <c r="V173" i="3"/>
  <c r="X173" i="3" s="1"/>
  <c r="Y173" i="3" s="1"/>
  <c r="Z173" i="3" s="1"/>
  <c r="AA173" i="3" s="1"/>
  <c r="V21" i="3"/>
  <c r="U196" i="3"/>
  <c r="U39" i="3" s="1"/>
  <c r="Q16" i="3"/>
  <c r="P16" i="3"/>
  <c r="P18" i="3" s="1"/>
  <c r="N16" i="3"/>
  <c r="N24" i="3"/>
  <c r="O16" i="3"/>
  <c r="O24" i="3"/>
  <c r="P24" i="3"/>
  <c r="Q24" i="3"/>
  <c r="W21" i="3"/>
  <c r="W30" i="3"/>
  <c r="W31" i="3"/>
  <c r="W29" i="3"/>
  <c r="Y51" i="3"/>
  <c r="O52" i="3"/>
  <c r="T52" i="3" s="1"/>
  <c r="Y85" i="3"/>
  <c r="T86" i="3"/>
  <c r="Y120" i="3"/>
  <c r="O121" i="3"/>
  <c r="T121" i="3" s="1"/>
  <c r="Y166" i="3"/>
  <c r="S61" i="3"/>
  <c r="T62" i="3"/>
  <c r="T63" i="3" s="1"/>
  <c r="Y63" i="3" s="1"/>
  <c r="S95" i="3"/>
  <c r="T96" i="3"/>
  <c r="T97" i="3" s="1"/>
  <c r="Y97" i="3" s="1"/>
  <c r="T131" i="3"/>
  <c r="T132" i="3" s="1"/>
  <c r="Y132" i="3" s="1"/>
  <c r="Y65" i="3"/>
  <c r="Y99" i="3"/>
  <c r="Y151" i="3"/>
  <c r="T70" i="3"/>
  <c r="T78" i="3" s="1"/>
  <c r="T79" i="3" s="1"/>
  <c r="X65" i="3"/>
  <c r="S62" i="3"/>
  <c r="S63" i="3" s="1"/>
  <c r="X63" i="3" s="1"/>
  <c r="X51" i="3"/>
  <c r="N52" i="3"/>
  <c r="S52" i="3" s="1"/>
  <c r="T104" i="3"/>
  <c r="X99" i="3"/>
  <c r="S96" i="3"/>
  <c r="S97" i="3" s="1"/>
  <c r="X97" i="3" s="1"/>
  <c r="X85" i="3"/>
  <c r="N86" i="3"/>
  <c r="S86" i="3" s="1"/>
  <c r="S111" i="3"/>
  <c r="S115" i="3" s="1"/>
  <c r="S104" i="3"/>
  <c r="T138" i="3"/>
  <c r="S131" i="3"/>
  <c r="S132" i="3" s="1"/>
  <c r="X132" i="3" s="1"/>
  <c r="X120" i="3"/>
  <c r="N121" i="3"/>
  <c r="S121" i="3" s="1"/>
  <c r="S145" i="3"/>
  <c r="S148" i="3" s="1"/>
  <c r="S138" i="3"/>
  <c r="S146" i="3" s="1"/>
  <c r="S147" i="3" s="1"/>
  <c r="X151" i="3"/>
  <c r="S159" i="3"/>
  <c r="S163" i="3" s="1"/>
  <c r="S164" i="3" s="1"/>
  <c r="X164" i="3" s="1"/>
  <c r="X166" i="3"/>
  <c r="Y21" i="3"/>
  <c r="Y209" i="3"/>
  <c r="Z209" i="3" s="1"/>
  <c r="AA209" i="3" s="1"/>
  <c r="V44" i="3"/>
  <c r="X44" i="3" s="1"/>
  <c r="Y44" i="3" s="1"/>
  <c r="Z44" i="3" s="1"/>
  <c r="AA44" i="3" s="1"/>
  <c r="V194" i="3"/>
  <c r="X194" i="3" s="1"/>
  <c r="X21" i="3"/>
  <c r="U35" i="3"/>
  <c r="V35" i="3" s="1"/>
  <c r="O120" i="3"/>
  <c r="O127" i="3"/>
  <c r="J120" i="3"/>
  <c r="J127" i="3"/>
  <c r="K120" i="3"/>
  <c r="K127" i="3"/>
  <c r="I120" i="3"/>
  <c r="I127" i="3"/>
  <c r="U118" i="3"/>
  <c r="V118" i="3" s="1"/>
  <c r="AA120" i="3" s="1"/>
  <c r="N120" i="3"/>
  <c r="L120" i="3"/>
  <c r="S84" i="3"/>
  <c r="O51" i="3"/>
  <c r="O58" i="3"/>
  <c r="K51" i="3"/>
  <c r="K58" i="3"/>
  <c r="J51" i="3"/>
  <c r="J58" i="3"/>
  <c r="I58" i="3"/>
  <c r="N58" i="3"/>
  <c r="N56" i="3" s="1"/>
  <c r="Z51" i="3"/>
  <c r="S50" i="3"/>
  <c r="L51" i="3"/>
  <c r="L85" i="3"/>
  <c r="L92" i="3"/>
  <c r="K85" i="3"/>
  <c r="K92" i="3"/>
  <c r="O85" i="3"/>
  <c r="O92" i="3"/>
  <c r="J85" i="3"/>
  <c r="J92" i="3"/>
  <c r="N85" i="3"/>
  <c r="N92" i="3"/>
  <c r="I85" i="3"/>
  <c r="I92" i="3"/>
  <c r="Q85" i="3"/>
  <c r="P85" i="3"/>
  <c r="T66" i="3"/>
  <c r="T213" i="3"/>
  <c r="T37" i="3" s="1"/>
  <c r="T210" i="3"/>
  <c r="T212" i="3" s="1"/>
  <c r="T195" i="3"/>
  <c r="T196" i="3" s="1"/>
  <c r="T193" i="3" s="1"/>
  <c r="T167" i="3"/>
  <c r="T100" i="3"/>
  <c r="T67" i="3"/>
  <c r="T68" i="3"/>
  <c r="I16" i="3"/>
  <c r="I187" i="3" s="1"/>
  <c r="I24" i="3"/>
  <c r="J16" i="3"/>
  <c r="J187" i="3" s="1"/>
  <c r="J24" i="3"/>
  <c r="K16" i="3"/>
  <c r="K187" i="3" s="1"/>
  <c r="K24" i="3"/>
  <c r="L16" i="3"/>
  <c r="L24" i="3"/>
  <c r="Q92" i="3"/>
  <c r="P92" i="3"/>
  <c r="P90" i="3" s="1"/>
  <c r="P93" i="3" s="1"/>
  <c r="S167" i="3"/>
  <c r="Q167" i="3"/>
  <c r="P167" i="3"/>
  <c r="O167" i="3"/>
  <c r="O96" i="3"/>
  <c r="O97" i="3" s="1"/>
  <c r="O131" i="3"/>
  <c r="O132" i="3" s="1"/>
  <c r="O169" i="3"/>
  <c r="O62" i="3"/>
  <c r="O63" i="3" s="1"/>
  <c r="O171" i="3"/>
  <c r="O152" i="3"/>
  <c r="O196" i="3"/>
  <c r="O193" i="3" s="1"/>
  <c r="P196" i="3"/>
  <c r="P192" i="3" s="1"/>
  <c r="Q196" i="3"/>
  <c r="Q192" i="3" s="1"/>
  <c r="S195" i="3"/>
  <c r="S196" i="3" s="1"/>
  <c r="S192" i="3" s="1"/>
  <c r="S77" i="3"/>
  <c r="S119" i="3"/>
  <c r="W119" i="3" s="1"/>
  <c r="S70" i="3"/>
  <c r="Z65" i="3"/>
  <c r="Z192" i="3"/>
  <c r="AA192" i="3" s="1"/>
  <c r="Z116" i="3"/>
  <c r="Z149" i="3"/>
  <c r="Z164" i="3"/>
  <c r="AA99" i="3"/>
  <c r="AA116" i="3"/>
  <c r="AA149" i="3"/>
  <c r="AA164" i="3"/>
  <c r="AB31" i="3"/>
  <c r="AB29" i="3"/>
  <c r="S193" i="3"/>
  <c r="Z193" i="3"/>
  <c r="AA193" i="3" s="1"/>
  <c r="D36" i="3"/>
  <c r="D41" i="3" s="1"/>
  <c r="H13" i="3"/>
  <c r="H14" i="3"/>
  <c r="H15" i="3"/>
  <c r="H19" i="3"/>
  <c r="H20" i="3"/>
  <c r="H21" i="3"/>
  <c r="H22" i="3"/>
  <c r="H23" i="3"/>
  <c r="H17" i="3"/>
  <c r="H25" i="3"/>
  <c r="H29" i="3"/>
  <c r="H33" i="3"/>
  <c r="G35" i="3"/>
  <c r="H35" i="3" s="1"/>
  <c r="M35" i="3"/>
  <c r="M151" i="3"/>
  <c r="R151" i="3"/>
  <c r="M57" i="3"/>
  <c r="R57" i="3"/>
  <c r="R195" i="3"/>
  <c r="R35" i="3"/>
  <c r="W210" i="3"/>
  <c r="O200" i="3"/>
  <c r="O198" i="3"/>
  <c r="P200" i="3"/>
  <c r="P199" i="3"/>
  <c r="P198" i="3"/>
  <c r="Q200" i="3"/>
  <c r="Q199" i="3"/>
  <c r="Q198" i="3"/>
  <c r="N200" i="3"/>
  <c r="N198" i="3"/>
  <c r="S200" i="3"/>
  <c r="S199" i="3"/>
  <c r="S198" i="3"/>
  <c r="G37" i="3"/>
  <c r="E37" i="3"/>
  <c r="F37" i="3"/>
  <c r="I37" i="3"/>
  <c r="J37" i="3"/>
  <c r="K37" i="3"/>
  <c r="L37" i="3"/>
  <c r="P37" i="3"/>
  <c r="Q37" i="3"/>
  <c r="S37" i="3"/>
  <c r="D37" i="3"/>
  <c r="O213" i="3"/>
  <c r="O37" i="3" s="1"/>
  <c r="D210" i="3"/>
  <c r="D212" i="3" s="1"/>
  <c r="D27" i="3" s="1"/>
  <c r="D28" i="3" s="1"/>
  <c r="D189" i="3" s="1"/>
  <c r="E210" i="3"/>
  <c r="E212" i="3" s="1"/>
  <c r="F210" i="3"/>
  <c r="F212" i="3" s="1"/>
  <c r="G210" i="3"/>
  <c r="G212" i="3" s="1"/>
  <c r="G215" i="3" s="1"/>
  <c r="I210" i="3"/>
  <c r="I212" i="3" s="1"/>
  <c r="I27" i="3" s="1"/>
  <c r="J210" i="3"/>
  <c r="J212" i="3" s="1"/>
  <c r="J215" i="3" s="1"/>
  <c r="K210" i="3"/>
  <c r="K212" i="3" s="1"/>
  <c r="K215" i="3" s="1"/>
  <c r="L210" i="3"/>
  <c r="L212" i="3" s="1"/>
  <c r="L215" i="3" s="1"/>
  <c r="N213" i="3"/>
  <c r="N37" i="3" s="1"/>
  <c r="E61" i="3"/>
  <c r="F61" i="3"/>
  <c r="G61" i="3"/>
  <c r="E62" i="3"/>
  <c r="F62" i="3"/>
  <c r="G62" i="3"/>
  <c r="R44" i="3"/>
  <c r="M44" i="3"/>
  <c r="H44" i="3"/>
  <c r="I184" i="3"/>
  <c r="J184" i="3"/>
  <c r="K184" i="3"/>
  <c r="L184" i="3"/>
  <c r="N184" i="3"/>
  <c r="O184" i="3"/>
  <c r="P184" i="3"/>
  <c r="Q184" i="3"/>
  <c r="S184" i="3"/>
  <c r="T184" i="3"/>
  <c r="I181" i="3"/>
  <c r="J181" i="3"/>
  <c r="K181" i="3"/>
  <c r="L181" i="3"/>
  <c r="N181" i="3"/>
  <c r="O181" i="3"/>
  <c r="P181" i="3"/>
  <c r="Q181" i="3"/>
  <c r="I182" i="3"/>
  <c r="J182" i="3"/>
  <c r="K182" i="3"/>
  <c r="L182" i="3"/>
  <c r="N182" i="3"/>
  <c r="O182" i="3"/>
  <c r="P182" i="3"/>
  <c r="Q182" i="3"/>
  <c r="I183" i="3"/>
  <c r="J183" i="3"/>
  <c r="K183" i="3"/>
  <c r="L183" i="3"/>
  <c r="N183" i="3"/>
  <c r="O183" i="3"/>
  <c r="P183" i="3"/>
  <c r="Q183" i="3"/>
  <c r="S183" i="3"/>
  <c r="S182" i="3"/>
  <c r="S181" i="3"/>
  <c r="M179" i="3"/>
  <c r="N167" i="3"/>
  <c r="N169" i="3"/>
  <c r="I138" i="3"/>
  <c r="I146" i="3" s="1"/>
  <c r="I147" i="3" s="1"/>
  <c r="J138" i="3"/>
  <c r="K138" i="3"/>
  <c r="L138" i="3"/>
  <c r="N138" i="3"/>
  <c r="O138" i="3"/>
  <c r="P138" i="3"/>
  <c r="Q138" i="3"/>
  <c r="Q146" i="3" s="1"/>
  <c r="Q147" i="3" s="1"/>
  <c r="S178" i="3"/>
  <c r="S179" i="3" s="1"/>
  <c r="Q178" i="3"/>
  <c r="Q179" i="3" s="1"/>
  <c r="P178" i="3"/>
  <c r="O178" i="3"/>
  <c r="O179" i="3" s="1"/>
  <c r="N178" i="3"/>
  <c r="N179" i="3" s="1"/>
  <c r="L178" i="3"/>
  <c r="L179" i="3" s="1"/>
  <c r="K178" i="3"/>
  <c r="K179" i="3" s="1"/>
  <c r="J178" i="3"/>
  <c r="J179" i="3" s="1"/>
  <c r="I178" i="3"/>
  <c r="I179" i="3" s="1"/>
  <c r="N171" i="3"/>
  <c r="Q159" i="3"/>
  <c r="Q161" i="3" s="1"/>
  <c r="Q162" i="3" s="1"/>
  <c r="P159" i="3"/>
  <c r="P163" i="3" s="1"/>
  <c r="P164" i="3" s="1"/>
  <c r="O159" i="3"/>
  <c r="O161" i="3" s="1"/>
  <c r="O162" i="3" s="1"/>
  <c r="N159" i="3"/>
  <c r="L159" i="3"/>
  <c r="L163" i="3" s="1"/>
  <c r="L164" i="3" s="1"/>
  <c r="K159" i="3"/>
  <c r="K161" i="3" s="1"/>
  <c r="K162" i="3" s="1"/>
  <c r="J159" i="3"/>
  <c r="J163" i="3" s="1"/>
  <c r="J164" i="3" s="1"/>
  <c r="I159" i="3"/>
  <c r="I161" i="3" s="1"/>
  <c r="I162" i="3" s="1"/>
  <c r="I163" i="3"/>
  <c r="I164" i="3" s="1"/>
  <c r="N152" i="3"/>
  <c r="Q145" i="3"/>
  <c r="Q148" i="3" s="1"/>
  <c r="P145" i="3"/>
  <c r="P148" i="3" s="1"/>
  <c r="O145" i="3"/>
  <c r="O148" i="3" s="1"/>
  <c r="N145" i="3"/>
  <c r="N148" i="3" s="1"/>
  <c r="L145" i="3"/>
  <c r="L148" i="3" s="1"/>
  <c r="K145" i="3"/>
  <c r="K148" i="3"/>
  <c r="K149" i="3" s="1"/>
  <c r="J145" i="3"/>
  <c r="J148" i="3" s="1"/>
  <c r="I145" i="3"/>
  <c r="I148" i="3" s="1"/>
  <c r="V137" i="3"/>
  <c r="U137" i="3"/>
  <c r="T137" i="3"/>
  <c r="S136" i="3"/>
  <c r="Q136" i="3"/>
  <c r="P136" i="3"/>
  <c r="O136" i="3"/>
  <c r="N136" i="3"/>
  <c r="L136" i="3"/>
  <c r="K136" i="3"/>
  <c r="J136" i="3"/>
  <c r="I136" i="3"/>
  <c r="N131" i="3"/>
  <c r="N132" i="3" s="1"/>
  <c r="L131" i="3"/>
  <c r="L132" i="3" s="1"/>
  <c r="K131" i="3"/>
  <c r="K132" i="3" s="1"/>
  <c r="J131" i="3"/>
  <c r="J132" i="3" s="1"/>
  <c r="I131" i="3"/>
  <c r="I132" i="3" s="1"/>
  <c r="G131" i="3"/>
  <c r="F131" i="3"/>
  <c r="E131" i="3"/>
  <c r="AB130" i="3"/>
  <c r="S130" i="3"/>
  <c r="Q130" i="3"/>
  <c r="P130" i="3"/>
  <c r="O130" i="3"/>
  <c r="N130" i="3"/>
  <c r="L130" i="3"/>
  <c r="K130" i="3"/>
  <c r="J130" i="3"/>
  <c r="I130" i="3"/>
  <c r="G130" i="3"/>
  <c r="F130" i="3"/>
  <c r="E130" i="3"/>
  <c r="N127" i="3"/>
  <c r="L127" i="3"/>
  <c r="Q119" i="3"/>
  <c r="P119" i="3"/>
  <c r="O119" i="3"/>
  <c r="N119" i="3"/>
  <c r="L119" i="3"/>
  <c r="K119" i="3"/>
  <c r="J119" i="3"/>
  <c r="I119" i="3"/>
  <c r="Q111" i="3"/>
  <c r="Q115" i="3" s="1"/>
  <c r="P111" i="3"/>
  <c r="O111" i="3"/>
  <c r="O115" i="3" s="1"/>
  <c r="N111" i="3"/>
  <c r="N115" i="3" s="1"/>
  <c r="L111" i="3"/>
  <c r="L115" i="3" s="1"/>
  <c r="K111" i="3"/>
  <c r="K115" i="3" s="1"/>
  <c r="J111" i="3"/>
  <c r="J115" i="3" s="1"/>
  <c r="I111" i="3"/>
  <c r="I115" i="3" s="1"/>
  <c r="Q104" i="3"/>
  <c r="P104" i="3"/>
  <c r="O104" i="3"/>
  <c r="N104" i="3"/>
  <c r="L104" i="3"/>
  <c r="K104" i="3"/>
  <c r="K113" i="3" s="1"/>
  <c r="K114" i="3" s="1"/>
  <c r="J104" i="3"/>
  <c r="I104" i="3"/>
  <c r="I113" i="3" s="1"/>
  <c r="I114" i="3" s="1"/>
  <c r="V102" i="3"/>
  <c r="U102" i="3"/>
  <c r="T102" i="3"/>
  <c r="S101" i="3"/>
  <c r="Q101" i="3"/>
  <c r="P101" i="3"/>
  <c r="O101" i="3"/>
  <c r="N101" i="3"/>
  <c r="L101" i="3"/>
  <c r="K101" i="3"/>
  <c r="J101" i="3"/>
  <c r="I101" i="3"/>
  <c r="S100" i="3"/>
  <c r="Q100" i="3"/>
  <c r="P100" i="3"/>
  <c r="O100" i="3"/>
  <c r="N100" i="3"/>
  <c r="N96" i="3"/>
  <c r="N97" i="3" s="1"/>
  <c r="L96" i="3"/>
  <c r="L97" i="3" s="1"/>
  <c r="K96" i="3"/>
  <c r="K97" i="3" s="1"/>
  <c r="J96" i="3"/>
  <c r="J97" i="3" s="1"/>
  <c r="I96" i="3"/>
  <c r="I97" i="3" s="1"/>
  <c r="G96" i="3"/>
  <c r="F96" i="3"/>
  <c r="E96" i="3"/>
  <c r="Q95" i="3"/>
  <c r="P95" i="3"/>
  <c r="O95" i="3"/>
  <c r="N95" i="3"/>
  <c r="L95" i="3"/>
  <c r="K95" i="3"/>
  <c r="J95" i="3"/>
  <c r="I95" i="3"/>
  <c r="G95" i="3"/>
  <c r="F95" i="3"/>
  <c r="E95" i="3"/>
  <c r="Q84" i="3"/>
  <c r="P84" i="3"/>
  <c r="O84" i="3"/>
  <c r="N84" i="3"/>
  <c r="N102" i="3" s="1"/>
  <c r="L84" i="3"/>
  <c r="K84" i="3"/>
  <c r="J84" i="3"/>
  <c r="I84" i="3"/>
  <c r="Q77" i="3"/>
  <c r="I77" i="3"/>
  <c r="I80" i="3" s="1"/>
  <c r="J77" i="3"/>
  <c r="J80" i="3" s="1"/>
  <c r="K77" i="3"/>
  <c r="K80" i="3" s="1"/>
  <c r="L77" i="3"/>
  <c r="L80" i="3" s="1"/>
  <c r="O77" i="3"/>
  <c r="O80" i="3" s="1"/>
  <c r="P77" i="3"/>
  <c r="P80" i="3" s="1"/>
  <c r="N77" i="3"/>
  <c r="N80" i="3" s="1"/>
  <c r="I70" i="3"/>
  <c r="I78" i="3" s="1"/>
  <c r="I79" i="3" s="1"/>
  <c r="J67" i="3"/>
  <c r="K67" i="3"/>
  <c r="L67" i="3"/>
  <c r="N67" i="3"/>
  <c r="O67" i="3"/>
  <c r="P67" i="3"/>
  <c r="Q67" i="3"/>
  <c r="S67" i="3"/>
  <c r="U68" i="3"/>
  <c r="V68" i="3"/>
  <c r="J70" i="3"/>
  <c r="K70" i="3"/>
  <c r="L70" i="3"/>
  <c r="N70" i="3"/>
  <c r="N78" i="3" s="1"/>
  <c r="N79" i="3" s="1"/>
  <c r="O70" i="3"/>
  <c r="P70" i="3"/>
  <c r="Q70" i="3"/>
  <c r="I67" i="3"/>
  <c r="S66" i="3"/>
  <c r="O66" i="3"/>
  <c r="P66" i="3"/>
  <c r="Q66" i="3"/>
  <c r="N66" i="3"/>
  <c r="L62" i="3"/>
  <c r="L63" i="3" s="1"/>
  <c r="K62" i="3"/>
  <c r="K63" i="3" s="1"/>
  <c r="J62" i="3"/>
  <c r="J63" i="3" s="1"/>
  <c r="I62" i="3"/>
  <c r="I63" i="3" s="1"/>
  <c r="N62" i="3"/>
  <c r="N63" i="3" s="1"/>
  <c r="Q61" i="3"/>
  <c r="P61" i="3"/>
  <c r="O61" i="3"/>
  <c r="N61" i="3"/>
  <c r="R61" i="3" s="1"/>
  <c r="L61" i="3"/>
  <c r="K61" i="3"/>
  <c r="J61" i="3"/>
  <c r="I61" i="3"/>
  <c r="L58" i="3"/>
  <c r="Q50" i="3"/>
  <c r="Q68" i="3" s="1"/>
  <c r="P50" i="3"/>
  <c r="O50" i="3"/>
  <c r="N50" i="3"/>
  <c r="L50" i="3"/>
  <c r="K50" i="3"/>
  <c r="J50" i="3"/>
  <c r="I50" i="3"/>
  <c r="W61" i="3"/>
  <c r="K27" i="3"/>
  <c r="P179" i="3"/>
  <c r="L161" i="3"/>
  <c r="L162" i="3" s="1"/>
  <c r="J113" i="3"/>
  <c r="J114" i="3" s="1"/>
  <c r="T136" i="3"/>
  <c r="L137" i="3"/>
  <c r="P78" i="3"/>
  <c r="P79" i="3" s="1"/>
  <c r="L116" i="3"/>
  <c r="T101" i="3"/>
  <c r="T103" i="3" s="1"/>
  <c r="S68" i="3"/>
  <c r="D188" i="3"/>
  <c r="T182" i="3"/>
  <c r="T183" i="3"/>
  <c r="D190" i="3"/>
  <c r="O18" i="3"/>
  <c r="Q18" i="3"/>
  <c r="I18" i="3"/>
  <c r="L18" i="3"/>
  <c r="D18" i="3"/>
  <c r="E18" i="3"/>
  <c r="F18" i="3"/>
  <c r="N196" i="3"/>
  <c r="N193" i="3" s="1"/>
  <c r="I196" i="3"/>
  <c r="I193" i="3" s="1"/>
  <c r="K196" i="3"/>
  <c r="K192" i="3" s="1"/>
  <c r="L196" i="3"/>
  <c r="L193" i="3" s="1"/>
  <c r="W195" i="3"/>
  <c r="O187" i="3"/>
  <c r="Q187" i="3"/>
  <c r="N192" i="3"/>
  <c r="M195" i="3"/>
  <c r="J196" i="3"/>
  <c r="J193" i="3" s="1"/>
  <c r="AB195" i="3"/>
  <c r="T178" i="3"/>
  <c r="T179" i="3" s="1"/>
  <c r="T187" i="3"/>
  <c r="U178" i="3"/>
  <c r="T18" i="3"/>
  <c r="Z21" i="3"/>
  <c r="AA21" i="3"/>
  <c r="AB30" i="3"/>
  <c r="T181" i="3"/>
  <c r="J18" i="3" l="1"/>
  <c r="Q149" i="3"/>
  <c r="P59" i="3"/>
  <c r="N103" i="3"/>
  <c r="I192" i="3"/>
  <c r="U67" i="3"/>
  <c r="U69" i="3" s="1"/>
  <c r="D42" i="3"/>
  <c r="S113" i="3"/>
  <c r="S114" i="3" s="1"/>
  <c r="K103" i="3"/>
  <c r="L103" i="3"/>
  <c r="S187" i="3"/>
  <c r="L56" i="3"/>
  <c r="L59" i="3" s="1"/>
  <c r="O103" i="3"/>
  <c r="I81" i="3"/>
  <c r="P103" i="3"/>
  <c r="R103" i="3"/>
  <c r="Q103" i="3"/>
  <c r="I149" i="3"/>
  <c r="S103" i="3"/>
  <c r="N137" i="3"/>
  <c r="J102" i="3"/>
  <c r="J103" i="3"/>
  <c r="I68" i="3"/>
  <c r="J56" i="3"/>
  <c r="J59" i="3" s="1"/>
  <c r="O56" i="3"/>
  <c r="O59" i="3" s="1"/>
  <c r="U136" i="3"/>
  <c r="T161" i="3"/>
  <c r="T162" i="3" s="1"/>
  <c r="N113" i="3"/>
  <c r="N114" i="3" s="1"/>
  <c r="O78" i="3"/>
  <c r="O79" i="3" s="1"/>
  <c r="J27" i="3"/>
  <c r="S125" i="3"/>
  <c r="W50" i="3"/>
  <c r="W68" i="3" s="1"/>
  <c r="Q193" i="3"/>
  <c r="N81" i="3"/>
  <c r="N210" i="3"/>
  <c r="N212" i="3" s="1"/>
  <c r="O210" i="3"/>
  <c r="O212" i="3" s="1"/>
  <c r="S18" i="3"/>
  <c r="P146" i="3"/>
  <c r="P147" i="3" s="1"/>
  <c r="H37" i="3"/>
  <c r="S59" i="3"/>
  <c r="K68" i="3"/>
  <c r="L125" i="3"/>
  <c r="L128" i="3" s="1"/>
  <c r="D215" i="3"/>
  <c r="T90" i="3"/>
  <c r="T93" i="3" s="1"/>
  <c r="R50" i="3"/>
  <c r="X86" i="3"/>
  <c r="X35" i="3"/>
  <c r="W35" i="3"/>
  <c r="J192" i="3"/>
  <c r="J81" i="3"/>
  <c r="M95" i="3"/>
  <c r="X119" i="3"/>
  <c r="X137" i="3" s="1"/>
  <c r="V196" i="3"/>
  <c r="W196" i="3" s="1"/>
  <c r="L187" i="3"/>
  <c r="U121" i="3"/>
  <c r="T56" i="3"/>
  <c r="T59" i="3" s="1"/>
  <c r="I215" i="3"/>
  <c r="O125" i="3"/>
  <c r="O128" i="3" s="1"/>
  <c r="K116" i="3"/>
  <c r="P149" i="3"/>
  <c r="O146" i="3"/>
  <c r="O147" i="3" s="1"/>
  <c r="S149" i="3"/>
  <c r="X149" i="3" s="1"/>
  <c r="Q125" i="3"/>
  <c r="R196" i="3"/>
  <c r="P68" i="3"/>
  <c r="K56" i="3"/>
  <c r="K59" i="3" s="1"/>
  <c r="I125" i="3"/>
  <c r="I128" i="3" s="1"/>
  <c r="U40" i="3"/>
  <c r="R30" i="3"/>
  <c r="L146" i="3"/>
  <c r="L147" i="3" s="1"/>
  <c r="K125" i="3"/>
  <c r="K128" i="3" s="1"/>
  <c r="I137" i="3"/>
  <c r="N187" i="3"/>
  <c r="L81" i="3"/>
  <c r="K102" i="3"/>
  <c r="J137" i="3"/>
  <c r="K146" i="3"/>
  <c r="K147" i="3" s="1"/>
  <c r="T149" i="3"/>
  <c r="Y149" i="3" s="1"/>
  <c r="T113" i="3"/>
  <c r="T114" i="3" s="1"/>
  <c r="V178" i="3"/>
  <c r="N18" i="3"/>
  <c r="R29" i="3"/>
  <c r="W44" i="3"/>
  <c r="J26" i="3"/>
  <c r="J32" i="3" s="1"/>
  <c r="F26" i="3"/>
  <c r="D38" i="3"/>
  <c r="D43" i="3" s="1"/>
  <c r="O149" i="3"/>
  <c r="L68" i="3"/>
  <c r="K18" i="3"/>
  <c r="J116" i="3"/>
  <c r="S161" i="3"/>
  <c r="S162" i="3" s="1"/>
  <c r="P210" i="3"/>
  <c r="P212" i="3" s="1"/>
  <c r="L90" i="3"/>
  <c r="L93" i="3" s="1"/>
  <c r="N125" i="3"/>
  <c r="N128" i="3" s="1"/>
  <c r="S116" i="3"/>
  <c r="X116" i="3" s="1"/>
  <c r="Q26" i="3"/>
  <c r="S90" i="3"/>
  <c r="S93" i="3" s="1"/>
  <c r="G18" i="3"/>
  <c r="I102" i="3"/>
  <c r="P187" i="3"/>
  <c r="O113" i="3"/>
  <c r="O114" i="3" s="1"/>
  <c r="O68" i="3"/>
  <c r="N149" i="3"/>
  <c r="M138" i="3"/>
  <c r="P193" i="3"/>
  <c r="Q90" i="3"/>
  <c r="Q93" i="3" s="1"/>
  <c r="Z120" i="3"/>
  <c r="J125" i="3"/>
  <c r="J128" i="3" s="1"/>
  <c r="T26" i="3"/>
  <c r="T32" i="3" s="1"/>
  <c r="E26" i="3"/>
  <c r="K90" i="3"/>
  <c r="K93" i="3" s="1"/>
  <c r="J78" i="3"/>
  <c r="J79" i="3" s="1"/>
  <c r="Q102" i="3"/>
  <c r="K137" i="3"/>
  <c r="R130" i="3"/>
  <c r="M37" i="3"/>
  <c r="K81" i="3"/>
  <c r="L192" i="3"/>
  <c r="P81" i="3"/>
  <c r="U152" i="3"/>
  <c r="U151" i="3" s="1"/>
  <c r="U158" i="3" s="1"/>
  <c r="S26" i="3"/>
  <c r="U171" i="3"/>
  <c r="U170" i="3" s="1"/>
  <c r="R68" i="3"/>
  <c r="S102" i="3"/>
  <c r="P161" i="3"/>
  <c r="P162" i="3" s="1"/>
  <c r="J68" i="3"/>
  <c r="O81" i="3"/>
  <c r="M84" i="3"/>
  <c r="R95" i="3"/>
  <c r="O116" i="3"/>
  <c r="N116" i="3"/>
  <c r="O163" i="3"/>
  <c r="O164" i="3" s="1"/>
  <c r="O90" i="3"/>
  <c r="O93" i="3" s="1"/>
  <c r="N59" i="3"/>
  <c r="N26" i="3"/>
  <c r="N188" i="3" s="1"/>
  <c r="V94" i="3"/>
  <c r="V96" i="3" s="1"/>
  <c r="V98" i="3" s="1"/>
  <c r="U135" i="3"/>
  <c r="U134" i="3" s="1"/>
  <c r="U133" i="3"/>
  <c r="Y174" i="3"/>
  <c r="X178" i="3"/>
  <c r="F27" i="3"/>
  <c r="F28" i="3" s="1"/>
  <c r="F215" i="3"/>
  <c r="T215" i="3"/>
  <c r="T27" i="3"/>
  <c r="S128" i="3"/>
  <c r="F32" i="3"/>
  <c r="F188" i="3"/>
  <c r="X121" i="3"/>
  <c r="K78" i="3"/>
  <c r="K79" i="3" s="1"/>
  <c r="M119" i="3"/>
  <c r="J161" i="3"/>
  <c r="V216" i="3"/>
  <c r="P137" i="3"/>
  <c r="K163" i="3"/>
  <c r="K164" i="3" s="1"/>
  <c r="I90" i="3"/>
  <c r="I93" i="3" s="1"/>
  <c r="V39" i="3"/>
  <c r="P125" i="3"/>
  <c r="P128" i="3" s="1"/>
  <c r="T125" i="3"/>
  <c r="O137" i="3"/>
  <c r="U216" i="3"/>
  <c r="T116" i="3"/>
  <c r="Y116" i="3" s="1"/>
  <c r="G24" i="3"/>
  <c r="G26" i="3" s="1"/>
  <c r="N68" i="3"/>
  <c r="N216" i="3" s="1"/>
  <c r="L78" i="3"/>
  <c r="L79" i="3" s="1"/>
  <c r="R70" i="3"/>
  <c r="M70" i="3"/>
  <c r="H16" i="3"/>
  <c r="H18" i="3" s="1"/>
  <c r="I26" i="3"/>
  <c r="I28" i="3" s="1"/>
  <c r="N90" i="3"/>
  <c r="N93" i="3" s="1"/>
  <c r="O26" i="3"/>
  <c r="O185" i="3" s="1"/>
  <c r="U98" i="3"/>
  <c r="AB21" i="3"/>
  <c r="M50" i="3"/>
  <c r="O102" i="3"/>
  <c r="P113" i="3"/>
  <c r="P114" i="3" s="1"/>
  <c r="M130" i="3"/>
  <c r="J149" i="3"/>
  <c r="Q210" i="3"/>
  <c r="Q212" i="3" s="1"/>
  <c r="T216" i="3"/>
  <c r="J90" i="3"/>
  <c r="J93" i="3" s="1"/>
  <c r="V40" i="3"/>
  <c r="M61" i="3"/>
  <c r="M68" i="3" s="1"/>
  <c r="L102" i="3"/>
  <c r="Q116" i="3"/>
  <c r="Q137" i="3"/>
  <c r="Q216" i="3" s="1"/>
  <c r="Y121" i="3"/>
  <c r="K193" i="3"/>
  <c r="Q78" i="3"/>
  <c r="W95" i="3"/>
  <c r="L113" i="3"/>
  <c r="M113" i="3" s="1"/>
  <c r="W84" i="3"/>
  <c r="P26" i="3"/>
  <c r="P188" i="3" s="1"/>
  <c r="V129" i="3"/>
  <c r="V136" i="3" s="1"/>
  <c r="R16" i="3"/>
  <c r="R18" i="3" s="1"/>
  <c r="U62" i="3"/>
  <c r="U64" i="3" s="1"/>
  <c r="X68" i="3"/>
  <c r="U101" i="3"/>
  <c r="U103" i="3" s="1"/>
  <c r="Z85" i="3"/>
  <c r="V83" i="3"/>
  <c r="X83" i="3" s="1"/>
  <c r="S32" i="3"/>
  <c r="S190" i="3" s="1"/>
  <c r="S188" i="3"/>
  <c r="H24" i="3"/>
  <c r="R24" i="3"/>
  <c r="M24" i="3"/>
  <c r="P27" i="3"/>
  <c r="P215" i="3"/>
  <c r="R119" i="3"/>
  <c r="Q80" i="3"/>
  <c r="Q81" i="3" s="1"/>
  <c r="R84" i="3"/>
  <c r="R102" i="3" s="1"/>
  <c r="P115" i="3"/>
  <c r="P116" i="3" s="1"/>
  <c r="S137" i="3"/>
  <c r="W130" i="3"/>
  <c r="W137" i="3" s="1"/>
  <c r="Q163" i="3"/>
  <c r="Q164" i="3" s="1"/>
  <c r="O215" i="3"/>
  <c r="O27" i="3"/>
  <c r="X102" i="3"/>
  <c r="X196" i="3"/>
  <c r="X40" i="3" s="1"/>
  <c r="Y194" i="3"/>
  <c r="Q113" i="3"/>
  <c r="Q114" i="3" s="1"/>
  <c r="AB44" i="3"/>
  <c r="P102" i="3"/>
  <c r="R104" i="3"/>
  <c r="R37" i="3"/>
  <c r="I56" i="3"/>
  <c r="I59" i="3" s="1"/>
  <c r="T146" i="3"/>
  <c r="T185" i="3" s="1"/>
  <c r="M196" i="3"/>
  <c r="N163" i="3"/>
  <c r="N164" i="3" s="1"/>
  <c r="N161" i="3"/>
  <c r="L27" i="3"/>
  <c r="E27" i="3"/>
  <c r="E215" i="3"/>
  <c r="J146" i="3"/>
  <c r="L149" i="3"/>
  <c r="S78" i="3"/>
  <c r="S80" i="3"/>
  <c r="S81" i="3" s="1"/>
  <c r="Y35" i="3"/>
  <c r="Z35" i="3" s="1"/>
  <c r="AA35" i="3" s="1"/>
  <c r="Q128" i="3"/>
  <c r="V121" i="3"/>
  <c r="AA121" i="3" s="1"/>
  <c r="I116" i="3"/>
  <c r="M104" i="3"/>
  <c r="G27" i="3"/>
  <c r="O192" i="3"/>
  <c r="K26" i="3"/>
  <c r="S210" i="3"/>
  <c r="S212" i="3" s="1"/>
  <c r="U169" i="3"/>
  <c r="Q56" i="3"/>
  <c r="Q59" i="3" s="1"/>
  <c r="U25" i="3"/>
  <c r="V112" i="3"/>
  <c r="V135" i="3"/>
  <c r="M16" i="3"/>
  <c r="R138" i="3"/>
  <c r="N146" i="3"/>
  <c r="AA65" i="3"/>
  <c r="L26" i="3"/>
  <c r="T192" i="3"/>
  <c r="V86" i="3"/>
  <c r="U86" i="3"/>
  <c r="Z86" i="3" s="1"/>
  <c r="Y119" i="3"/>
  <c r="X118" i="3"/>
  <c r="Y86" i="3"/>
  <c r="X60" i="3"/>
  <c r="V62" i="3"/>
  <c r="V64" i="3" s="1"/>
  <c r="V49" i="3"/>
  <c r="T81" i="3"/>
  <c r="Z121" i="3"/>
  <c r="AA89" i="3"/>
  <c r="AA52" i="3"/>
  <c r="Y52" i="3"/>
  <c r="X52" i="3"/>
  <c r="R137" i="3" l="1"/>
  <c r="R216" i="3" s="1"/>
  <c r="M102" i="3"/>
  <c r="M27" i="3"/>
  <c r="AA86" i="3"/>
  <c r="H26" i="3"/>
  <c r="H28" i="3" s="1"/>
  <c r="H189" i="3" s="1"/>
  <c r="M103" i="3"/>
  <c r="I103" i="3"/>
  <c r="X129" i="3"/>
  <c r="X131" i="3" s="1"/>
  <c r="X133" i="3" s="1"/>
  <c r="J188" i="3"/>
  <c r="V131" i="3"/>
  <c r="V133" i="3" s="1"/>
  <c r="S34" i="3"/>
  <c r="S36" i="3" s="1"/>
  <c r="S41" i="3" s="1"/>
  <c r="S216" i="3"/>
  <c r="J28" i="3"/>
  <c r="U154" i="3"/>
  <c r="U157" i="3"/>
  <c r="M78" i="3"/>
  <c r="M79" i="3" s="1"/>
  <c r="Z151" i="3"/>
  <c r="AB151" i="3" s="1"/>
  <c r="M114" i="3"/>
  <c r="U153" i="3"/>
  <c r="U159" i="3" s="1"/>
  <c r="U90" i="3"/>
  <c r="V90" i="3" s="1"/>
  <c r="X90" i="3" s="1"/>
  <c r="W151" i="3"/>
  <c r="U155" i="3"/>
  <c r="N27" i="3"/>
  <c r="N28" i="3" s="1"/>
  <c r="N215" i="3"/>
  <c r="Y118" i="3"/>
  <c r="E28" i="3"/>
  <c r="E38" i="3" s="1"/>
  <c r="E43" i="3" s="1"/>
  <c r="N32" i="3"/>
  <c r="N34" i="3" s="1"/>
  <c r="N36" i="3" s="1"/>
  <c r="T34" i="3"/>
  <c r="T36" i="3" s="1"/>
  <c r="T41" i="3" s="1"/>
  <c r="T190" i="3"/>
  <c r="X190" i="3" s="1"/>
  <c r="Y190" i="3" s="1"/>
  <c r="Z190" i="3" s="1"/>
  <c r="AA190" i="3" s="1"/>
  <c r="T28" i="3"/>
  <c r="X216" i="3"/>
  <c r="O216" i="3"/>
  <c r="AB35" i="3"/>
  <c r="T188" i="3"/>
  <c r="P216" i="3"/>
  <c r="P28" i="3"/>
  <c r="P38" i="3" s="1"/>
  <c r="P43" i="3" s="1"/>
  <c r="X94" i="3"/>
  <c r="X96" i="3" s="1"/>
  <c r="X98" i="3" s="1"/>
  <c r="U15" i="3"/>
  <c r="E32" i="3"/>
  <c r="E188" i="3"/>
  <c r="V171" i="3"/>
  <c r="X171" i="3" s="1"/>
  <c r="P32" i="3"/>
  <c r="P34" i="3" s="1"/>
  <c r="P36" i="3" s="1"/>
  <c r="M137" i="3"/>
  <c r="Q32" i="3"/>
  <c r="Q188" i="3"/>
  <c r="R26" i="3"/>
  <c r="J34" i="3"/>
  <c r="J36" i="3" s="1"/>
  <c r="J190" i="3"/>
  <c r="I32" i="3"/>
  <c r="I185" i="3"/>
  <c r="I188" i="3"/>
  <c r="F38" i="3"/>
  <c r="F43" i="3" s="1"/>
  <c r="F189" i="3"/>
  <c r="J162" i="3"/>
  <c r="M161" i="3"/>
  <c r="M162" i="3" s="1"/>
  <c r="L185" i="3"/>
  <c r="U125" i="3"/>
  <c r="T128" i="3"/>
  <c r="Q79" i="3"/>
  <c r="R78" i="3"/>
  <c r="R79" i="3" s="1"/>
  <c r="F34" i="3"/>
  <c r="F36" i="3" s="1"/>
  <c r="F190" i="3"/>
  <c r="H27" i="3"/>
  <c r="Y83" i="3"/>
  <c r="Q27" i="3"/>
  <c r="Q28" i="3" s="1"/>
  <c r="Q215" i="3"/>
  <c r="L114" i="3"/>
  <c r="W102" i="3"/>
  <c r="W216" i="3" s="1"/>
  <c r="O32" i="3"/>
  <c r="O188" i="3"/>
  <c r="P185" i="3"/>
  <c r="J38" i="3"/>
  <c r="J43" i="3" s="1"/>
  <c r="J189" i="3"/>
  <c r="Z174" i="3"/>
  <c r="Y178" i="3"/>
  <c r="AA85" i="3"/>
  <c r="V101" i="3"/>
  <c r="R32" i="3"/>
  <c r="R188" i="3"/>
  <c r="P190" i="3"/>
  <c r="T38" i="3"/>
  <c r="T43" i="3" s="1"/>
  <c r="T189" i="3"/>
  <c r="Y129" i="3"/>
  <c r="X136" i="3"/>
  <c r="M26" i="3"/>
  <c r="M18" i="3"/>
  <c r="R187" i="3"/>
  <c r="M187" i="3"/>
  <c r="G32" i="3"/>
  <c r="G188" i="3"/>
  <c r="G28" i="3"/>
  <c r="V134" i="3"/>
  <c r="X135" i="3"/>
  <c r="J185" i="3"/>
  <c r="J147" i="3"/>
  <c r="M146" i="3"/>
  <c r="M147" i="3" s="1"/>
  <c r="Q185" i="3"/>
  <c r="U183" i="3"/>
  <c r="Y137" i="3"/>
  <c r="X112" i="3"/>
  <c r="V25" i="3"/>
  <c r="V184" i="3" s="1"/>
  <c r="R113" i="3"/>
  <c r="R114" i="3" s="1"/>
  <c r="L32" i="3"/>
  <c r="L188" i="3"/>
  <c r="L28" i="3"/>
  <c r="U168" i="3"/>
  <c r="U14" i="3" s="1"/>
  <c r="V169" i="3"/>
  <c r="U56" i="3"/>
  <c r="AB84" i="3"/>
  <c r="X49" i="3"/>
  <c r="Y49" i="3" s="1"/>
  <c r="AA51" i="3"/>
  <c r="V67" i="3"/>
  <c r="Y102" i="3"/>
  <c r="Z119" i="3"/>
  <c r="Z137" i="3" s="1"/>
  <c r="X62" i="3"/>
  <c r="X64" i="3" s="1"/>
  <c r="Y60" i="3"/>
  <c r="I38" i="3"/>
  <c r="I43" i="3" s="1"/>
  <c r="I189" i="3"/>
  <c r="O28" i="3"/>
  <c r="R146" i="3"/>
  <c r="R147" i="3" s="1"/>
  <c r="N185" i="3"/>
  <c r="N147" i="3"/>
  <c r="S27" i="3"/>
  <c r="S28" i="3" s="1"/>
  <c r="S215" i="3"/>
  <c r="S185" i="3"/>
  <c r="S79" i="3"/>
  <c r="Y196" i="3"/>
  <c r="Y40" i="3" s="1"/>
  <c r="Z194" i="3"/>
  <c r="K32" i="3"/>
  <c r="K185" i="3"/>
  <c r="K188" i="3"/>
  <c r="K28" i="3"/>
  <c r="Z61" i="3"/>
  <c r="Y68" i="3"/>
  <c r="U184" i="3"/>
  <c r="N162" i="3"/>
  <c r="R161" i="3"/>
  <c r="R162" i="3" s="1"/>
  <c r="T147" i="3"/>
  <c r="X39" i="3"/>
  <c r="Z52" i="3"/>
  <c r="V69" i="3" l="1"/>
  <c r="W69" i="3"/>
  <c r="X101" i="3"/>
  <c r="X103" i="3" s="1"/>
  <c r="S42" i="3"/>
  <c r="E189" i="3"/>
  <c r="H32" i="3"/>
  <c r="H34" i="3" s="1"/>
  <c r="H36" i="3" s="1"/>
  <c r="H188" i="3"/>
  <c r="P189" i="3"/>
  <c r="W103" i="3"/>
  <c r="V103" i="3"/>
  <c r="U91" i="3"/>
  <c r="T42" i="3"/>
  <c r="Y39" i="3"/>
  <c r="N189" i="3"/>
  <c r="N38" i="3"/>
  <c r="N43" i="3" s="1"/>
  <c r="Y90" i="3"/>
  <c r="X91" i="3"/>
  <c r="X104" i="3" s="1"/>
  <c r="N190" i="3"/>
  <c r="V91" i="3"/>
  <c r="Y94" i="3"/>
  <c r="Y96" i="3" s="1"/>
  <c r="Y98" i="3" s="1"/>
  <c r="Q34" i="3"/>
  <c r="Q36" i="3" s="1"/>
  <c r="Q190" i="3"/>
  <c r="Y216" i="3"/>
  <c r="V170" i="3"/>
  <c r="V15" i="3" s="1"/>
  <c r="W15" i="3" s="1"/>
  <c r="E34" i="3"/>
  <c r="E36" i="3" s="1"/>
  <c r="E190" i="3"/>
  <c r="AA174" i="3"/>
  <c r="AA178" i="3" s="1"/>
  <c r="Z178" i="3"/>
  <c r="N41" i="3"/>
  <c r="N42" i="3"/>
  <c r="R27" i="3"/>
  <c r="R28" i="3" s="1"/>
  <c r="R38" i="3" s="1"/>
  <c r="R43" i="3" s="1"/>
  <c r="Q38" i="3"/>
  <c r="Q43" i="3" s="1"/>
  <c r="Q189" i="3"/>
  <c r="F42" i="3"/>
  <c r="F41" i="3"/>
  <c r="O34" i="3"/>
  <c r="O36" i="3" s="1"/>
  <c r="O190" i="3"/>
  <c r="V125" i="3"/>
  <c r="U126" i="3"/>
  <c r="Y171" i="3"/>
  <c r="X170" i="3"/>
  <c r="J42" i="3"/>
  <c r="J41" i="3"/>
  <c r="I34" i="3"/>
  <c r="I36" i="3" s="1"/>
  <c r="I190" i="3"/>
  <c r="AA119" i="3"/>
  <c r="AA137" i="3" s="1"/>
  <c r="Z118" i="3"/>
  <c r="AA118" i="3" s="1"/>
  <c r="AB50" i="3"/>
  <c r="Z83" i="3"/>
  <c r="AA83" i="3" s="1"/>
  <c r="H38" i="3"/>
  <c r="P41" i="3"/>
  <c r="P42" i="3"/>
  <c r="R34" i="3"/>
  <c r="R36" i="3" s="1"/>
  <c r="R190" i="3"/>
  <c r="K34" i="3"/>
  <c r="K36" i="3" s="1"/>
  <c r="K190" i="3"/>
  <c r="S38" i="3"/>
  <c r="S43" i="3" s="1"/>
  <c r="S189" i="3"/>
  <c r="U182" i="3"/>
  <c r="Z102" i="3"/>
  <c r="Z94" i="3"/>
  <c r="W25" i="3"/>
  <c r="M32" i="3"/>
  <c r="M28" i="3"/>
  <c r="M188" i="3"/>
  <c r="Z68" i="3"/>
  <c r="AA61" i="3"/>
  <c r="X67" i="3"/>
  <c r="X69" i="3" s="1"/>
  <c r="X25" i="3"/>
  <c r="X184" i="3" s="1"/>
  <c r="Y112" i="3"/>
  <c r="L189" i="3"/>
  <c r="L38" i="3"/>
  <c r="L43" i="3" s="1"/>
  <c r="Y62" i="3"/>
  <c r="Y64" i="3" s="1"/>
  <c r="Z60" i="3"/>
  <c r="Y67" i="3"/>
  <c r="Z49" i="3"/>
  <c r="L190" i="3"/>
  <c r="L34" i="3"/>
  <c r="L36" i="3" s="1"/>
  <c r="O189" i="3"/>
  <c r="O38" i="3"/>
  <c r="O43" i="3" s="1"/>
  <c r="AA102" i="3"/>
  <c r="G38" i="3"/>
  <c r="G43" i="3" s="1"/>
  <c r="G189" i="3"/>
  <c r="Y131" i="3"/>
  <c r="Y133" i="3" s="1"/>
  <c r="Z129" i="3"/>
  <c r="Y136" i="3"/>
  <c r="U179" i="3"/>
  <c r="K38" i="3"/>
  <c r="K43" i="3" s="1"/>
  <c r="K189" i="3"/>
  <c r="V56" i="3"/>
  <c r="U57" i="3"/>
  <c r="U163" i="3"/>
  <c r="U161" i="3"/>
  <c r="Y135" i="3"/>
  <c r="X134" i="3"/>
  <c r="AA194" i="3"/>
  <c r="AA196" i="3" s="1"/>
  <c r="Z196" i="3"/>
  <c r="X169" i="3"/>
  <c r="V168" i="3"/>
  <c r="G34" i="3"/>
  <c r="G36" i="3" s="1"/>
  <c r="G190" i="3"/>
  <c r="Y101" i="3" l="1"/>
  <c r="Y103" i="3" s="1"/>
  <c r="Y69" i="3"/>
  <c r="H190" i="3"/>
  <c r="Z39" i="3"/>
  <c r="AB119" i="3"/>
  <c r="AB137" i="3" s="1"/>
  <c r="U93" i="3"/>
  <c r="U104" i="3"/>
  <c r="U92" i="3"/>
  <c r="V93" i="3"/>
  <c r="V104" i="3"/>
  <c r="V92" i="3"/>
  <c r="AA39" i="3"/>
  <c r="X93" i="3"/>
  <c r="X92" i="3"/>
  <c r="Z90" i="3"/>
  <c r="Y91" i="3"/>
  <c r="R189" i="3"/>
  <c r="E41" i="3"/>
  <c r="E42" i="3"/>
  <c r="Q42" i="3"/>
  <c r="Q41" i="3"/>
  <c r="Y170" i="3"/>
  <c r="Z171" i="3"/>
  <c r="U127" i="3"/>
  <c r="U138" i="3"/>
  <c r="U128" i="3"/>
  <c r="AB95" i="3"/>
  <c r="AB102" i="3" s="1"/>
  <c r="Z216" i="3"/>
  <c r="X125" i="3"/>
  <c r="V126" i="3"/>
  <c r="AA49" i="3"/>
  <c r="I42" i="3"/>
  <c r="I41" i="3"/>
  <c r="O41" i="3"/>
  <c r="O42" i="3"/>
  <c r="R42" i="3"/>
  <c r="R39" i="3"/>
  <c r="R41" i="3" s="1"/>
  <c r="L42" i="3"/>
  <c r="L41" i="3"/>
  <c r="V179" i="3"/>
  <c r="V14" i="3"/>
  <c r="W14" i="3" s="1"/>
  <c r="AB196" i="3"/>
  <c r="V157" i="3"/>
  <c r="V153" i="3"/>
  <c r="V154" i="3"/>
  <c r="V158" i="3"/>
  <c r="V155" i="3"/>
  <c r="U162" i="3"/>
  <c r="U59" i="3"/>
  <c r="U13" i="3"/>
  <c r="U16" i="3" s="1"/>
  <c r="U58" i="3"/>
  <c r="U70" i="3"/>
  <c r="X56" i="3"/>
  <c r="V57" i="3"/>
  <c r="W57" i="3" s="1"/>
  <c r="M38" i="3"/>
  <c r="M189" i="3"/>
  <c r="Y169" i="3"/>
  <c r="X168" i="3"/>
  <c r="G42" i="3"/>
  <c r="G41" i="3"/>
  <c r="H40" i="3"/>
  <c r="H39" i="3"/>
  <c r="H41" i="3" s="1"/>
  <c r="Z62" i="3"/>
  <c r="Z64" i="3" s="1"/>
  <c r="AA60" i="3"/>
  <c r="Z67" i="3"/>
  <c r="Z69" i="3" s="1"/>
  <c r="M34" i="3"/>
  <c r="M36" i="3" s="1"/>
  <c r="M190" i="3"/>
  <c r="K41" i="3"/>
  <c r="K42" i="3"/>
  <c r="AA68" i="3"/>
  <c r="AA216" i="3" s="1"/>
  <c r="AB61" i="3"/>
  <c r="AB68" i="3" s="1"/>
  <c r="Z131" i="3"/>
  <c r="Z133" i="3" s="1"/>
  <c r="AA129" i="3"/>
  <c r="Z136" i="3"/>
  <c r="Y25" i="3"/>
  <c r="Y184" i="3" s="1"/>
  <c r="Z112" i="3"/>
  <c r="V183" i="3"/>
  <c r="X15" i="3"/>
  <c r="X183" i="3" s="1"/>
  <c r="Z101" i="3"/>
  <c r="Z103" i="3" s="1"/>
  <c r="AA94" i="3"/>
  <c r="Z96" i="3"/>
  <c r="Z98" i="3" s="1"/>
  <c r="Z40" i="3"/>
  <c r="AA40" i="3" s="1"/>
  <c r="Z135" i="3"/>
  <c r="Y134" i="3"/>
  <c r="W104" i="3" l="1"/>
  <c r="AB216" i="3"/>
  <c r="U110" i="3"/>
  <c r="U106" i="3"/>
  <c r="U105" i="3"/>
  <c r="U109" i="3"/>
  <c r="U107" i="3"/>
  <c r="Y93" i="3"/>
  <c r="Y92" i="3"/>
  <c r="AA90" i="3"/>
  <c r="AA91" i="3" s="1"/>
  <c r="AA93" i="3" s="1"/>
  <c r="Z91" i="3"/>
  <c r="Z104" i="3" s="1"/>
  <c r="Y104" i="3"/>
  <c r="V182" i="3"/>
  <c r="U141" i="3"/>
  <c r="U139" i="3"/>
  <c r="U143" i="3"/>
  <c r="U140" i="3"/>
  <c r="U144" i="3"/>
  <c r="V138" i="3"/>
  <c r="W138" i="3" s="1"/>
  <c r="V128" i="3"/>
  <c r="V127" i="3"/>
  <c r="AA171" i="3"/>
  <c r="AA170" i="3" s="1"/>
  <c r="Z170" i="3"/>
  <c r="Y125" i="3"/>
  <c r="X126" i="3"/>
  <c r="AA62" i="3"/>
  <c r="AA64" i="3" s="1"/>
  <c r="AA67" i="3"/>
  <c r="AA112" i="3"/>
  <c r="Z25" i="3"/>
  <c r="Z184" i="3" s="1"/>
  <c r="V58" i="3"/>
  <c r="V13" i="3"/>
  <c r="W13" i="3" s="1"/>
  <c r="W16" i="3" s="1"/>
  <c r="W187" i="3" s="1"/>
  <c r="V59" i="3"/>
  <c r="V70" i="3"/>
  <c r="W70" i="3" s="1"/>
  <c r="H42" i="3"/>
  <c r="H43" i="3"/>
  <c r="Y56" i="3"/>
  <c r="X57" i="3"/>
  <c r="Y168" i="3"/>
  <c r="Z169" i="3"/>
  <c r="AA135" i="3"/>
  <c r="AA134" i="3" s="1"/>
  <c r="Z134" i="3"/>
  <c r="U75" i="3"/>
  <c r="U71" i="3"/>
  <c r="U72" i="3"/>
  <c r="U76" i="3"/>
  <c r="U73" i="3"/>
  <c r="Y15" i="3"/>
  <c r="Y183" i="3" s="1"/>
  <c r="AA101" i="3"/>
  <c r="AA103" i="3" s="1"/>
  <c r="AA96" i="3"/>
  <c r="AA98" i="3" s="1"/>
  <c r="AA131" i="3"/>
  <c r="AA133" i="3" s="1"/>
  <c r="AA136" i="3"/>
  <c r="M40" i="3"/>
  <c r="M42" i="3" s="1"/>
  <c r="M39" i="3"/>
  <c r="M41" i="3" s="1"/>
  <c r="X179" i="3"/>
  <c r="X14" i="3"/>
  <c r="X182" i="3" s="1"/>
  <c r="U181" i="3"/>
  <c r="U187" i="3"/>
  <c r="V159" i="3"/>
  <c r="AB103" i="3" l="1"/>
  <c r="AA92" i="3"/>
  <c r="U111" i="3"/>
  <c r="AA104" i="3"/>
  <c r="AB104" i="3" s="1"/>
  <c r="Z93" i="3"/>
  <c r="Z92" i="3"/>
  <c r="U20" i="3"/>
  <c r="U19" i="3"/>
  <c r="U23" i="3"/>
  <c r="U198" i="3" s="1"/>
  <c r="U210" i="3" s="1"/>
  <c r="U212" i="3" s="1"/>
  <c r="U27" i="3" s="1"/>
  <c r="U22" i="3"/>
  <c r="X128" i="3"/>
  <c r="X127" i="3"/>
  <c r="X138" i="3"/>
  <c r="Z125" i="3"/>
  <c r="Y126" i="3"/>
  <c r="U145" i="3"/>
  <c r="M43" i="3"/>
  <c r="Z15" i="3"/>
  <c r="AA169" i="3"/>
  <c r="AA168" i="3" s="1"/>
  <c r="AA179" i="3" s="1"/>
  <c r="Z168" i="3"/>
  <c r="AA25" i="3"/>
  <c r="AA184" i="3" s="1"/>
  <c r="AA15" i="3"/>
  <c r="AA183" i="3" s="1"/>
  <c r="Y179" i="3"/>
  <c r="Y14" i="3"/>
  <c r="Y182" i="3" s="1"/>
  <c r="V181" i="3"/>
  <c r="V16" i="3"/>
  <c r="V187" i="3" s="1"/>
  <c r="U77" i="3"/>
  <c r="U17" i="3"/>
  <c r="U18" i="3" s="1"/>
  <c r="V163" i="3"/>
  <c r="V161" i="3"/>
  <c r="X58" i="3"/>
  <c r="X13" i="3"/>
  <c r="X59" i="3"/>
  <c r="X70" i="3"/>
  <c r="Z56" i="3"/>
  <c r="Y57" i="3"/>
  <c r="U113" i="3" l="1"/>
  <c r="U114" i="3" s="1"/>
  <c r="U115" i="3"/>
  <c r="AA14" i="3"/>
  <c r="AA182" i="3" s="1"/>
  <c r="U214" i="3"/>
  <c r="U37" i="3" s="1"/>
  <c r="AB25" i="3"/>
  <c r="U148" i="3"/>
  <c r="U146" i="3"/>
  <c r="U147" i="3" s="1"/>
  <c r="Y127" i="3"/>
  <c r="Y128" i="3"/>
  <c r="Y138" i="3"/>
  <c r="AA125" i="3"/>
  <c r="AA126" i="3" s="1"/>
  <c r="Z126" i="3"/>
  <c r="AB15" i="3"/>
  <c r="U24" i="3"/>
  <c r="U26" i="3" s="1"/>
  <c r="Y59" i="3"/>
  <c r="Y58" i="3"/>
  <c r="Y13" i="3"/>
  <c r="Y70" i="3"/>
  <c r="X16" i="3"/>
  <c r="X187" i="3" s="1"/>
  <c r="U78" i="3"/>
  <c r="U80" i="3"/>
  <c r="AA56" i="3"/>
  <c r="AA57" i="3" s="1"/>
  <c r="Z57" i="3"/>
  <c r="Z179" i="3"/>
  <c r="Z14" i="3"/>
  <c r="Z183" i="3"/>
  <c r="V162" i="3"/>
  <c r="W161" i="3"/>
  <c r="W162" i="3" s="1"/>
  <c r="X181" i="3"/>
  <c r="X155" i="3"/>
  <c r="X153" i="3"/>
  <c r="X158" i="3"/>
  <c r="X157" i="3"/>
  <c r="X154" i="3"/>
  <c r="AB14" i="3" l="1"/>
  <c r="V110" i="3"/>
  <c r="V109" i="3"/>
  <c r="V105" i="3"/>
  <c r="V106" i="3"/>
  <c r="V107" i="3"/>
  <c r="AA128" i="3"/>
  <c r="AA127" i="3"/>
  <c r="AA138" i="3"/>
  <c r="Z128" i="3"/>
  <c r="Z127" i="3"/>
  <c r="Z138" i="3"/>
  <c r="V141" i="3"/>
  <c r="V143" i="3"/>
  <c r="V140" i="3"/>
  <c r="V144" i="3"/>
  <c r="V139" i="3"/>
  <c r="AB57" i="3"/>
  <c r="Z13" i="3"/>
  <c r="Y181" i="3"/>
  <c r="Y16" i="3"/>
  <c r="Y187" i="3" s="1"/>
  <c r="Z182" i="3"/>
  <c r="Z58" i="3"/>
  <c r="Z59" i="3"/>
  <c r="Z70" i="3"/>
  <c r="V76" i="3"/>
  <c r="V72" i="3"/>
  <c r="V71" i="3"/>
  <c r="V75" i="3"/>
  <c r="V73" i="3"/>
  <c r="U79" i="3"/>
  <c r="U185" i="3"/>
  <c r="U32" i="3"/>
  <c r="U33" i="3" s="1"/>
  <c r="U34" i="3" s="1"/>
  <c r="U36" i="3" s="1"/>
  <c r="U188" i="3"/>
  <c r="U28" i="3"/>
  <c r="X159" i="3"/>
  <c r="AA59" i="3"/>
  <c r="AA58" i="3"/>
  <c r="AA13" i="3"/>
  <c r="AA70" i="3"/>
  <c r="V20" i="3" l="1"/>
  <c r="W20" i="3" s="1"/>
  <c r="AB138" i="3"/>
  <c r="V111" i="3"/>
  <c r="V22" i="3"/>
  <c r="W22" i="3" s="1"/>
  <c r="V19" i="3"/>
  <c r="W19" i="3" s="1"/>
  <c r="V23" i="3"/>
  <c r="W23" i="3" s="1"/>
  <c r="V145" i="3"/>
  <c r="U38" i="3"/>
  <c r="U43" i="3" s="1"/>
  <c r="U189" i="3"/>
  <c r="Z181" i="3"/>
  <c r="Z16" i="3"/>
  <c r="Z187" i="3" s="1"/>
  <c r="AB13" i="3"/>
  <c r="AB16" i="3" s="1"/>
  <c r="AB187" i="3" s="1"/>
  <c r="U41" i="3"/>
  <c r="U42" i="3"/>
  <c r="AB70" i="3"/>
  <c r="V77" i="3"/>
  <c r="V17" i="3"/>
  <c r="X163" i="3"/>
  <c r="X161" i="3"/>
  <c r="AA181" i="3"/>
  <c r="AA16" i="3"/>
  <c r="AA187" i="3" s="1"/>
  <c r="V115" i="3" l="1"/>
  <c r="V113" i="3"/>
  <c r="V146" i="3"/>
  <c r="V148" i="3"/>
  <c r="V198" i="3"/>
  <c r="V210" i="3" s="1"/>
  <c r="V212" i="3" s="1"/>
  <c r="V214" i="3" s="1"/>
  <c r="V37" i="3" s="1"/>
  <c r="W37" i="3" s="1"/>
  <c r="Y158" i="3"/>
  <c r="Y157" i="3"/>
  <c r="Y153" i="3"/>
  <c r="Y154" i="3"/>
  <c r="Y155" i="3"/>
  <c r="V24" i="3"/>
  <c r="V26" i="3" s="1"/>
  <c r="V18" i="3"/>
  <c r="W17" i="3"/>
  <c r="V80" i="3"/>
  <c r="V78" i="3"/>
  <c r="X162" i="3"/>
  <c r="W113" i="3" l="1"/>
  <c r="W114" i="3" s="1"/>
  <c r="V114" i="3"/>
  <c r="V27" i="3"/>
  <c r="W27" i="3" s="1"/>
  <c r="X107" i="3"/>
  <c r="X110" i="3"/>
  <c r="X106" i="3"/>
  <c r="X109" i="3"/>
  <c r="X105" i="3"/>
  <c r="X139" i="3"/>
  <c r="X143" i="3"/>
  <c r="X141" i="3"/>
  <c r="X140" i="3"/>
  <c r="X144" i="3"/>
  <c r="W146" i="3"/>
  <c r="W147" i="3" s="1"/>
  <c r="V147" i="3"/>
  <c r="V32" i="3"/>
  <c r="V188" i="3"/>
  <c r="X73" i="3"/>
  <c r="X71" i="3"/>
  <c r="X76" i="3"/>
  <c r="X72" i="3"/>
  <c r="X75" i="3"/>
  <c r="Y159" i="3"/>
  <c r="W78" i="3"/>
  <c r="W79" i="3" s="1"/>
  <c r="V185" i="3"/>
  <c r="V79" i="3"/>
  <c r="V28" i="3"/>
  <c r="V189" i="3" s="1"/>
  <c r="W18" i="3"/>
  <c r="W24" i="3"/>
  <c r="W26" i="3" s="1"/>
  <c r="X111" i="3" l="1"/>
  <c r="X22" i="3"/>
  <c r="X19" i="3"/>
  <c r="X23" i="3"/>
  <c r="X198" i="3" s="1"/>
  <c r="X210" i="3" s="1"/>
  <c r="X212" i="3" s="1"/>
  <c r="X214" i="3" s="1"/>
  <c r="X37" i="3" s="1"/>
  <c r="X20" i="3"/>
  <c r="X145" i="3"/>
  <c r="W188" i="3"/>
  <c r="W32" i="3"/>
  <c r="X77" i="3"/>
  <c r="X17" i="3"/>
  <c r="Y161" i="3"/>
  <c r="Y163" i="3"/>
  <c r="W28" i="3"/>
  <c r="V33" i="3"/>
  <c r="X27" i="3" l="1"/>
  <c r="X115" i="3"/>
  <c r="X113" i="3"/>
  <c r="X114" i="3" s="1"/>
  <c r="X148" i="3"/>
  <c r="X146" i="3"/>
  <c r="X147" i="3" s="1"/>
  <c r="Y162" i="3"/>
  <c r="X18" i="3"/>
  <c r="X24" i="3"/>
  <c r="X26" i="3" s="1"/>
  <c r="X80" i="3"/>
  <c r="X78" i="3"/>
  <c r="W33" i="3"/>
  <c r="W190" i="3" s="1"/>
  <c r="V38" i="3"/>
  <c r="V43" i="3" s="1"/>
  <c r="W189" i="3"/>
  <c r="V34" i="3"/>
  <c r="V36" i="3" s="1"/>
  <c r="Z158" i="3"/>
  <c r="Z153" i="3"/>
  <c r="Z157" i="3"/>
  <c r="Z154" i="3"/>
  <c r="Z155" i="3"/>
  <c r="Y105" i="3" l="1"/>
  <c r="Y110" i="3"/>
  <c r="Y107" i="3"/>
  <c r="Y106" i="3"/>
  <c r="Y109" i="3"/>
  <c r="Y141" i="3"/>
  <c r="Y139" i="3"/>
  <c r="Y143" i="3"/>
  <c r="Y140" i="3"/>
  <c r="Y144" i="3"/>
  <c r="Y71" i="3"/>
  <c r="Y72" i="3"/>
  <c r="Y76" i="3"/>
  <c r="Y23" i="3" s="1"/>
  <c r="Y198" i="3" s="1"/>
  <c r="Y210" i="3" s="1"/>
  <c r="Y212" i="3" s="1"/>
  <c r="Y27" i="3" s="1"/>
  <c r="Y73" i="3"/>
  <c r="Y20" i="3" s="1"/>
  <c r="Y75" i="3"/>
  <c r="X32" i="3"/>
  <c r="X28" i="3"/>
  <c r="X188" i="3"/>
  <c r="Z159" i="3"/>
  <c r="W38" i="3"/>
  <c r="V41" i="3"/>
  <c r="V42" i="3"/>
  <c r="X185" i="3"/>
  <c r="X79" i="3"/>
  <c r="W34" i="3"/>
  <c r="W36" i="3" s="1"/>
  <c r="Y111" i="3" l="1"/>
  <c r="Y19" i="3"/>
  <c r="Y145" i="3"/>
  <c r="Y22" i="3"/>
  <c r="Y214" i="3"/>
  <c r="Y37" i="3" s="1"/>
  <c r="X189" i="3"/>
  <c r="W40" i="3"/>
  <c r="W42" i="3" s="1"/>
  <c r="W39" i="3"/>
  <c r="W41" i="3" s="1"/>
  <c r="Y17" i="3"/>
  <c r="Y77" i="3"/>
  <c r="X33" i="3"/>
  <c r="X38" i="3" s="1"/>
  <c r="X43" i="3" s="1"/>
  <c r="Z163" i="3"/>
  <c r="Z161" i="3"/>
  <c r="Y115" i="3" l="1"/>
  <c r="Y113" i="3"/>
  <c r="Y114" i="3" s="1"/>
  <c r="Y146" i="3"/>
  <c r="Y147" i="3" s="1"/>
  <c r="Y148" i="3"/>
  <c r="X34" i="3"/>
  <c r="X36" i="3" s="1"/>
  <c r="X41" i="3" s="1"/>
  <c r="W43" i="3"/>
  <c r="AA154" i="3"/>
  <c r="AA153" i="3"/>
  <c r="AA155" i="3"/>
  <c r="AA157" i="3"/>
  <c r="AA158" i="3"/>
  <c r="Y80" i="3"/>
  <c r="Y78" i="3"/>
  <c r="Y18" i="3"/>
  <c r="Y24" i="3"/>
  <c r="Y26" i="3" s="1"/>
  <c r="Z162" i="3"/>
  <c r="Z105" i="3" l="1"/>
  <c r="Z106" i="3"/>
  <c r="Z109" i="3"/>
  <c r="Z110" i="3"/>
  <c r="Z107" i="3"/>
  <c r="X42" i="3"/>
  <c r="Z143" i="3"/>
  <c r="Z141" i="3"/>
  <c r="Z139" i="3"/>
  <c r="Z144" i="3"/>
  <c r="Z140" i="3"/>
  <c r="AA159" i="3"/>
  <c r="Y185" i="3"/>
  <c r="Y79" i="3"/>
  <c r="Y28" i="3"/>
  <c r="Y189" i="3" s="1"/>
  <c r="Y32" i="3"/>
  <c r="Y33" i="3" s="1"/>
  <c r="Y38" i="3" s="1"/>
  <c r="Y43" i="3" s="1"/>
  <c r="Y188" i="3"/>
  <c r="Z73" i="3"/>
  <c r="Z72" i="3"/>
  <c r="Z71" i="3"/>
  <c r="Z76" i="3"/>
  <c r="Z75" i="3"/>
  <c r="Z19" i="3" l="1"/>
  <c r="Z20" i="3"/>
  <c r="Z111" i="3"/>
  <c r="Z22" i="3"/>
  <c r="Z145" i="3"/>
  <c r="Z23" i="3"/>
  <c r="Z198" i="3" s="1"/>
  <c r="Z210" i="3" s="1"/>
  <c r="Z212" i="3" s="1"/>
  <c r="Z214" i="3" s="1"/>
  <c r="Z37" i="3" s="1"/>
  <c r="Z77" i="3"/>
  <c r="Z17" i="3"/>
  <c r="Z18" i="3" s="1"/>
  <c r="Y34" i="3"/>
  <c r="Y36" i="3" s="1"/>
  <c r="Y41" i="3" s="1"/>
  <c r="AA163" i="3"/>
  <c r="AA161" i="3"/>
  <c r="Z115" i="3" l="1"/>
  <c r="Z113" i="3"/>
  <c r="Z114" i="3" s="1"/>
  <c r="Z27" i="3"/>
  <c r="Z148" i="3"/>
  <c r="Z146" i="3"/>
  <c r="Z147" i="3" s="1"/>
  <c r="Z24" i="3"/>
  <c r="Z26" i="3" s="1"/>
  <c r="Y42" i="3"/>
  <c r="Z78" i="3"/>
  <c r="Z80" i="3"/>
  <c r="AA162" i="3"/>
  <c r="AB161" i="3"/>
  <c r="AB162" i="3" s="1"/>
  <c r="AA109" i="3" l="1"/>
  <c r="AA106" i="3"/>
  <c r="AA105" i="3"/>
  <c r="AA107" i="3"/>
  <c r="AA110" i="3"/>
  <c r="Z28" i="3"/>
  <c r="Z189" i="3" s="1"/>
  <c r="AA139" i="3"/>
  <c r="AA143" i="3"/>
  <c r="AA144" i="3"/>
  <c r="AA140" i="3"/>
  <c r="AA141" i="3"/>
  <c r="Z32" i="3"/>
  <c r="Z33" i="3" s="1"/>
  <c r="Z34" i="3" s="1"/>
  <c r="Z36" i="3" s="1"/>
  <c r="Z41" i="3" s="1"/>
  <c r="Z188" i="3"/>
  <c r="AA71" i="3"/>
  <c r="AA72" i="3"/>
  <c r="AA73" i="3"/>
  <c r="AA75" i="3"/>
  <c r="AA76" i="3"/>
  <c r="Z185" i="3"/>
  <c r="Z79" i="3"/>
  <c r="AA111" i="3" l="1"/>
  <c r="AA115" i="3" s="1"/>
  <c r="AA23" i="3"/>
  <c r="AA198" i="3" s="1"/>
  <c r="AA210" i="3" s="1"/>
  <c r="AA212" i="3" s="1"/>
  <c r="AA22" i="3"/>
  <c r="AB22" i="3" s="1"/>
  <c r="AA19" i="3"/>
  <c r="AB19" i="3" s="1"/>
  <c r="AA20" i="3"/>
  <c r="AB20" i="3" s="1"/>
  <c r="AA145" i="3"/>
  <c r="Z42" i="3"/>
  <c r="Z38" i="3"/>
  <c r="Z43" i="3" s="1"/>
  <c r="AA17" i="3"/>
  <c r="AA77" i="3"/>
  <c r="AB23" i="3" l="1"/>
  <c r="AA113" i="3"/>
  <c r="AA114" i="3" s="1"/>
  <c r="AA146" i="3"/>
  <c r="AA148" i="3"/>
  <c r="AA80" i="3"/>
  <c r="AA78" i="3"/>
  <c r="AA214" i="3"/>
  <c r="AA37" i="3" s="1"/>
  <c r="AB37" i="3" s="1"/>
  <c r="AA27" i="3"/>
  <c r="AB27" i="3" s="1"/>
  <c r="AB17" i="3"/>
  <c r="AA18" i="3"/>
  <c r="AA24" i="3"/>
  <c r="AA26" i="3" s="1"/>
  <c r="AB113" i="3" l="1"/>
  <c r="AB114" i="3" s="1"/>
  <c r="AB146" i="3"/>
  <c r="AB147" i="3" s="1"/>
  <c r="AA147" i="3"/>
  <c r="AA188" i="3"/>
  <c r="AA32" i="3"/>
  <c r="AA28" i="3"/>
  <c r="AB18" i="3"/>
  <c r="AB24" i="3"/>
  <c r="AB26" i="3" s="1"/>
  <c r="AA185" i="3"/>
  <c r="AA79" i="3"/>
  <c r="AB78" i="3"/>
  <c r="AB79" i="3" s="1"/>
  <c r="AB188" i="3" l="1"/>
  <c r="AB28" i="3"/>
  <c r="AB32" i="3"/>
  <c r="AA189" i="3"/>
  <c r="AA33" i="3"/>
  <c r="AB33" i="3" s="1"/>
  <c r="AB190" i="3" l="1"/>
  <c r="AA38" i="3"/>
  <c r="AA43" i="3" s="1"/>
  <c r="AA34" i="3"/>
  <c r="AA36" i="3" s="1"/>
  <c r="AB34" i="3"/>
  <c r="AB36" i="3" s="1"/>
  <c r="AB189" i="3"/>
  <c r="AB38" i="3"/>
  <c r="AA41" i="3" l="1"/>
  <c r="AA42" i="3"/>
  <c r="AB39" i="3"/>
  <c r="AB41" i="3" s="1"/>
  <c r="AB40" i="3"/>
  <c r="AB42" i="3" s="1"/>
  <c r="A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tc={0D3178EC-53A5-4985-AEB1-C953E385430A}</author>
    <author>tc={3EC7C850-AF3E-4D67-B152-5719F716A6EA}</author>
    <author>tc={E45D435F-37A6-4324-8019-81852A7A7949}</author>
    <author>tc={1032008D-FA02-40A3-94CF-EDD95AD92296}</author>
    <author>tc={DF99F8C2-FBCC-42FD-BAF6-25EAF3B098BE}</author>
    <author>tc={FBC577E8-32DD-49F3-A41A-C340F8D42CF0}</author>
    <author>tc={9E9FF2D9-6140-4D12-AFAB-46BC71B61FEF}</author>
    <author>tc={05572162-D824-4BA6-8259-F2EB1B7C241A}</author>
    <author>tc={B6B244F3-9605-4CEA-A04A-CC09EA90F005}</author>
    <author>tc={06C4DA31-D1AC-4878-8B23-327563DDF1D4}</author>
    <author>tc={BEB10A6E-B98A-4C18-9CC5-48ED643ADEC1}</author>
    <author>tc={3BEA97C4-3113-4C2E-8BC2-5DD44EDC6A91}</author>
  </authors>
  <commentList>
    <comment ref="U50" authorId="0" shapeId="0" xr:uid="{0D3178EC-53A5-4985-AEB1-C953E385430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Michael Pesenti: While we expect Starbucks to place a larger than anticipated focus on store expansion in the CAP regiion, we combine consensus estimates with management targets for net new stores in the Americas region for this forecast</t>
        </r>
      </text>
    </comment>
    <comment ref="W68" authorId="1" shapeId="0" xr:uid="{3EC7C850-AF3E-4D67-B152-5719F716A6E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1Q2019 Earnings call guidance for FY2019: ~2,100 net new Starbucks stores globally
Americas over 600
CAP ~1,100 (nearly 600 in China)
EMEA ~400 (virtually all license)</t>
        </r>
      </text>
    </comment>
    <comment ref="W79" authorId="2" shapeId="0" xr:uid="{E45D435F-37A6-4324-8019-81852A7A794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
        </r>
      </text>
    </comment>
    <comment ref="U84" authorId="3" shapeId="0" xr:uid="{1032008D-FA02-40A3-94CF-EDD95AD9229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Michael Pesenti: In efforts to capture market share in a Chinese market that is rapidly becoming hooked on coffee, it is reasonable to assume an more aggressive store expansion strategy in CAP, increasing their net store growth in the region.</t>
        </r>
      </text>
    </comment>
    <comment ref="U89" authorId="4" shapeId="0" xr:uid="{DF99F8C2-FBCC-42FD-BAF6-25EAF3B098B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Michael Pesenti:
We anticipate strong comp sales growth in the CAP region as the Chinese consumer becomes more acustomed to drinking coffee products in addition to tea products. We also anticipate new consumers of lower end coffee brands in CAP to switch to premium brands like Starbucks as they begin to drink coffee more frequently, and begin to try different, more expensive beverages.</t>
        </r>
      </text>
    </comment>
    <comment ref="W102" authorId="5" shapeId="0" xr:uid="{FBC577E8-32DD-49F3-A41A-C340F8D42CF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Michael Pesenti: A key assumption in this forecast is that Net New Starbucks Stores in the CAP region will beat management targets in 2019, and continue to beat historical trends in 2020.</t>
        </r>
      </text>
    </comment>
    <comment ref="W114" authorId="6" shapeId="0" xr:uid="{9E9FF2D9-6140-4D12-AFAB-46BC71B61FE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
        </r>
      </text>
    </comment>
    <comment ref="W137" authorId="7" shapeId="0" xr:uid="{05572162-D824-4BA6-8259-F2EB1B7C24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1Q2019 Earnings call guidance for FY2019: ~2,100 net new Starbucks stores globally
Americas over 600
CAP ~1,100 (nearly 600 in China)
EMEA ~400 (virtually all license)</t>
        </r>
      </text>
    </comment>
    <comment ref="W147" authorId="8" shapeId="0" xr:uid="{B6B244F3-9605-4CEA-A04A-CC09EA90F00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
        </r>
      </text>
    </comment>
    <comment ref="W162" authorId="9" shapeId="0" xr:uid="{06C4DA31-D1AC-4878-8B23-327563DDF1D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
        </r>
      </text>
    </comment>
    <comment ref="W187" authorId="10" shapeId="0" xr:uid="{BEB10A6E-B98A-4C18-9CC5-48ED643ADE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2Q2019 Earnings call guidance for FY2019: 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W190" authorId="11" shapeId="0" xr:uid="{3BEA97C4-3113-4C2E-8BC2-5DD44EDC6A9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F2Q2019 Earnings call guidance for FY2019: 20% to 22%, Non-GAAP tax rate in the range of 19% to 21%.
Past Guidance (F1Q2019 Earnings call guidance for FY2019): 21% to 23%</t>
        </r>
      </text>
    </comment>
  </commentList>
</comments>
</file>

<file path=xl/sharedStrings.xml><?xml version="1.0" encoding="utf-8"?>
<sst xmlns="http://schemas.openxmlformats.org/spreadsheetml/2006/main" count="522" uniqueCount="191">
  <si>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</si>
  <si>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</si>
  <si>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</si>
  <si>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</si>
  <si>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</si>
  <si>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</si>
  <si>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</si>
  <si>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</si>
  <si>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</si>
  <si>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</si>
  <si>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</si>
  <si>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</si>
  <si>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</si>
  <si>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</si>
  <si>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</si>
  <si>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</si>
  <si>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</si>
  <si>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</si>
  <si>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</si>
  <si>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</si>
  <si>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</si>
  <si>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</si>
  <si>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</si>
  <si>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</si>
  <si>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</si>
  <si>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</si>
  <si>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</si>
  <si>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</si>
  <si>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</si>
  <si>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</si>
  <si>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</si>
  <si>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</si>
  <si>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</si>
  <si>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</si>
  <si>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</si>
  <si>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</si>
  <si>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</si>
  <si>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</si>
  <si>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</si>
  <si>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</si>
  <si>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</si>
  <si>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</si>
  <si>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</si>
  <si>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</si>
  <si>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</si>
  <si>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</si>
  <si>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</si>
  <si>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</si>
  <si>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</si>
  <si>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</si>
  <si>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</si>
  <si>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</si>
  <si>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</si>
  <si>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</si>
  <si>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</si>
  <si>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</si>
  <si>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</si>
  <si>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</si>
  <si>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</si>
  <si>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</si>
  <si>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</si>
  <si>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</si>
  <si>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</si>
  <si>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</si>
  <si>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</si>
  <si>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</si>
  <si>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</si>
  <si>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</si>
  <si>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</si>
  <si>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</si>
  <si>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</si>
  <si>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</si>
  <si>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</si>
  <si>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</si>
  <si>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</si>
  <si>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</si>
  <si>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</si>
  <si>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</si>
  <si>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</si>
  <si>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</si>
  <si>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</si>
  <si>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</si>
  <si>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</si>
  <si>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</si>
  <si>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</si>
  <si>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</si>
  <si>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</si>
  <si>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</si>
  <si>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</si>
  <si>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</si>
  <si>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</si>
  <si>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</si>
  <si>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</si>
  <si>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</si>
  <si>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</si>
  <si>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</si>
  <si>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</si>
  <si>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</si>
  <si>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</si>
  <si>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</si>
  <si>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</si>
  <si>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</si>
  <si>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</si>
  <si>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</si>
  <si>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</si>
  <si>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</si>
  <si>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</si>
  <si>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</si>
  <si>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</si>
  <si>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</si>
  <si>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</si>
  <si>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</si>
  <si>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</si>
  <si>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</si>
  <si>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</si>
  <si>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</si>
  <si>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</si>
  <si>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</si>
  <si>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</si>
  <si>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</si>
  <si>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</si>
  <si>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</si>
  <si>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</si>
  <si>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</si>
  <si>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</si>
  <si>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</si>
  <si>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</si>
  <si>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</si>
  <si>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</si>
  <si>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</si>
  <si>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</si>
  <si>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</si>
  <si>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</si>
  <si>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</si>
  <si>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</si>
  <si>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</si>
  <si>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</si>
  <si>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</si>
  <si>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</si>
  <si>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</si>
  <si>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</si>
  <si>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</si>
  <si>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</si>
  <si>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</si>
  <si>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</si>
  <si>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</si>
  <si>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</si>
  <si>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</si>
  <si>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</si>
  <si>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</si>
  <si>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</si>
  <si>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</si>
  <si>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</si>
  <si>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</si>
  <si>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</si>
  <si>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</si>
  <si>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</si>
  <si>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</si>
  <si>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</si>
  <si>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</si>
  <si>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</si>
  <si>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</si>
  <si>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</si>
  <si>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</si>
  <si>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</si>
  <si>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</si>
  <si>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</si>
  <si>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</si>
  <si>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</si>
  <si>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</si>
  <si>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</si>
  <si>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</si>
  <si>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</si>
  <si>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</si>
  <si>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</si>
  <si>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</si>
  <si>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</si>
  <si>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</si>
  <si>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</si>
  <si>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</si>
  <si>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</si>
  <si>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</si>
  <si>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</si>
  <si>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</si>
  <si>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</si>
  <si>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r>
      <t xml:space="preserve">Last updated: </t>
    </r>
    <r>
      <rPr>
        <sz val="11"/>
        <color theme="1"/>
        <rFont val="Calibri"/>
        <family val="2"/>
        <scheme val="minor"/>
      </rPr>
      <t>5/19/2019</t>
    </r>
  </si>
  <si>
    <t>-</t>
  </si>
  <si>
    <t>Net new stores</t>
  </si>
  <si>
    <t>CAP Net Total store growth</t>
  </si>
  <si>
    <t>Americas total store growth</t>
  </si>
  <si>
    <t>Blue cells = Primary estimates (last updated 7/23/2019)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</si>
</sst>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i/>
      <sz val="8"/>
      <color theme="0"/>
      <name val="Calibri"/>
      <family val="2"/>
      <scheme val="minor"/>
    </font>
    <font>
      <sz val="11"/>
      <color theme="4" tint="-0.499984740745262"/>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FF00"/>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5" applyNumberFormat="0" applyFill="0" applyAlignment="0" applyProtection="0"/>
    <xf numFmtId="0" fontId="10" fillId="0" borderId="16"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4"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7">
      <protection hidden="1"/>
    </xf>
    <xf numFmtId="199" fontId="3" fillId="0" borderId="0" applyFont="0" applyFill="0" applyBorder="0" applyAlignment="0" applyProtection="0"/>
    <xf numFmtId="38" fontId="30" fillId="5" borderId="0" applyNumberFormat="0" applyBorder="0" applyAlignment="0" applyProtection="0"/>
    <xf numFmtId="0" fontId="31" fillId="0" borderId="18"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7">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4"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19" applyNumberFormat="0" applyBorder="0"/>
    <xf numFmtId="204" fontId="14" fillId="0" borderId="0"/>
    <xf numFmtId="0" fontId="44" fillId="8" borderId="20"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1"/>
    <xf numFmtId="0" fontId="46" fillId="0" borderId="0"/>
    <xf numFmtId="0" fontId="20" fillId="0" borderId="0"/>
    <xf numFmtId="0" fontId="37" fillId="0" borderId="0"/>
    <xf numFmtId="37" fontId="47" fillId="0" borderId="17">
      <alignment horizontal="right"/>
      <protection locked="0"/>
    </xf>
    <xf numFmtId="37" fontId="48" fillId="0" borderId="17">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xf numFmtId="0" fontId="3" fillId="0" borderId="0"/>
    <xf numFmtId="0" fontId="3" fillId="0" borderId="0"/>
  </cellStyleXfs>
  <cellXfs count="30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4"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53"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2" fillId="3" borderId="0" xfId="1" quotePrefix="1" applyNumberFormat="1" applyFont="1" applyFill="1" applyAlignment="1">
      <alignment horizontal="right"/>
    </xf>
    <xf numFmtId="164" fontId="55" fillId="2" borderId="2" xfId="1" quotePrefix="1" applyNumberFormat="1" applyFont="1" applyFill="1" applyBorder="1" applyAlignment="1">
      <alignment horizontal="right"/>
    </xf>
    <xf numFmtId="164" fontId="56"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9" fillId="0" borderId="0" xfId="1" applyNumberFormat="1" applyFont="1" applyAlignment="1">
      <alignment horizontal="right"/>
    </xf>
    <xf numFmtId="165" fontId="59" fillId="0" borderId="5" xfId="1" applyNumberFormat="1" applyFont="1" applyBorder="1" applyAlignment="1">
      <alignment horizontal="right"/>
    </xf>
    <xf numFmtId="0" fontId="4" fillId="0" borderId="4" xfId="0" applyFont="1" applyBorder="1"/>
    <xf numFmtId="0" fontId="53" fillId="0" borderId="4" xfId="0" applyFont="1" applyBorder="1"/>
    <xf numFmtId="165" fontId="61" fillId="0" borderId="5" xfId="1" applyNumberFormat="1" applyFont="1" applyBorder="1" applyAlignment="1">
      <alignment horizontal="right"/>
    </xf>
    <xf numFmtId="0" fontId="60" fillId="0" borderId="4" xfId="0" applyFont="1" applyBorder="1"/>
    <xf numFmtId="0" fontId="60" fillId="0" borderId="0" xfId="0" applyFont="1"/>
    <xf numFmtId="165" fontId="60" fillId="0" borderId="0" xfId="1" applyNumberFormat="1" applyFont="1" applyAlignment="1">
      <alignment horizontal="right"/>
    </xf>
    <xf numFmtId="165" fontId="60" fillId="0" borderId="5" xfId="1" applyNumberFormat="1" applyFont="1" applyBorder="1" applyAlignment="1">
      <alignment horizontal="right"/>
    </xf>
    <xf numFmtId="0" fontId="59" fillId="0" borderId="0" xfId="0" applyFont="1"/>
    <xf numFmtId="43" fontId="60" fillId="0" borderId="0" xfId="1" applyFont="1" applyAlignment="1">
      <alignment horizontal="right"/>
    </xf>
    <xf numFmtId="43" fontId="60" fillId="0" borderId="5" xfId="1" applyFont="1" applyBorder="1" applyAlignment="1">
      <alignment horizontal="right"/>
    </xf>
    <xf numFmtId="43" fontId="59" fillId="0" borderId="0" xfId="1" applyFont="1" applyAlignment="1">
      <alignment horizontal="right"/>
    </xf>
    <xf numFmtId="0" fontId="59" fillId="0" borderId="3" xfId="0" applyFont="1" applyBorder="1" applyAlignment="1">
      <alignment horizontal="left" indent="1"/>
    </xf>
    <xf numFmtId="165" fontId="59" fillId="0" borderId="5" xfId="1" quotePrefix="1" applyNumberFormat="1" applyFont="1" applyBorder="1" applyAlignment="1">
      <alignment horizontal="right"/>
    </xf>
    <xf numFmtId="165" fontId="63" fillId="0" borderId="5" xfId="1" quotePrefix="1" applyNumberFormat="1" applyFont="1" applyBorder="1" applyAlignment="1">
      <alignment horizontal="right"/>
    </xf>
    <xf numFmtId="165" fontId="63" fillId="0" borderId="0" xfId="2" applyNumberFormat="1" applyFont="1" applyAlignment="1">
      <alignment horizontal="right"/>
    </xf>
    <xf numFmtId="166" fontId="59" fillId="0" borderId="0" xfId="2" applyNumberFormat="1" applyFont="1" applyAlignment="1">
      <alignment horizontal="right"/>
    </xf>
    <xf numFmtId="9" fontId="59" fillId="0" borderId="5" xfId="2" applyFont="1" applyBorder="1" applyAlignment="1">
      <alignment horizontal="right"/>
    </xf>
    <xf numFmtId="166" fontId="59" fillId="0" borderId="5" xfId="2" applyNumberFormat="1" applyFont="1" applyBorder="1" applyAlignment="1">
      <alignment horizontal="right"/>
    </xf>
    <xf numFmtId="9" fontId="59" fillId="0" borderId="0" xfId="2" applyFont="1" applyAlignment="1">
      <alignment horizontal="right"/>
    </xf>
    <xf numFmtId="164" fontId="59" fillId="0" borderId="5" xfId="1" quotePrefix="1" applyNumberFormat="1" applyFont="1" applyBorder="1" applyAlignment="1">
      <alignment horizontal="right"/>
    </xf>
    <xf numFmtId="165" fontId="61" fillId="10" borderId="0" xfId="1" applyNumberFormat="1" applyFont="1" applyFill="1" applyAlignment="1">
      <alignment horizontal="right"/>
    </xf>
    <xf numFmtId="165" fontId="59" fillId="10" borderId="0" xfId="1" applyNumberFormat="1" applyFont="1" applyFill="1" applyAlignment="1">
      <alignment horizontal="right"/>
    </xf>
    <xf numFmtId="9" fontId="59" fillId="10" borderId="0" xfId="2" applyFont="1" applyFill="1" applyAlignment="1">
      <alignment horizontal="right"/>
    </xf>
    <xf numFmtId="166" fontId="59" fillId="10" borderId="0" xfId="2" applyNumberFormat="1" applyFont="1" applyFill="1" applyAlignment="1">
      <alignment horizontal="right"/>
    </xf>
    <xf numFmtId="7" fontId="59" fillId="0" borderId="0" xfId="1" applyNumberFormat="1" applyFont="1" applyAlignment="1">
      <alignment horizontal="right"/>
    </xf>
    <xf numFmtId="7" fontId="4" fillId="0" borderId="5" xfId="1" applyNumberFormat="1" applyFont="1" applyBorder="1" applyAlignment="1">
      <alignment horizontal="right"/>
    </xf>
    <xf numFmtId="7" fontId="59" fillId="10" borderId="0" xfId="1" applyNumberFormat="1" applyFont="1" applyFill="1" applyAlignment="1">
      <alignment horizontal="right"/>
    </xf>
    <xf numFmtId="7" fontId="59" fillId="0" borderId="5" xfId="1" applyNumberFormat="1" applyFont="1" applyBorder="1" applyAlignment="1">
      <alignment horizontal="right"/>
    </xf>
    <xf numFmtId="164" fontId="59" fillId="0" borderId="7" xfId="1" applyNumberFormat="1" applyFont="1" applyBorder="1" applyAlignment="1">
      <alignment horizontal="right"/>
    </xf>
    <xf numFmtId="43" fontId="59" fillId="0" borderId="7" xfId="1" applyFont="1" applyBorder="1" applyAlignment="1">
      <alignment horizontal="right"/>
    </xf>
    <xf numFmtId="165" fontId="59" fillId="0" borderId="8" xfId="1" applyNumberFormat="1" applyFont="1" applyBorder="1" applyAlignment="1">
      <alignment horizontal="right"/>
    </xf>
    <xf numFmtId="0" fontId="4" fillId="0" borderId="4" xfId="0" applyFont="1" applyBorder="1" applyAlignment="1">
      <alignment horizontal="left"/>
    </xf>
    <xf numFmtId="0" fontId="59" fillId="0" borderId="3" xfId="0" applyFont="1" applyBorder="1" applyAlignment="1">
      <alignment horizontal="left"/>
    </xf>
    <xf numFmtId="0" fontId="59" fillId="0" borderId="4" xfId="0" applyFont="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60" fillId="0" borderId="3" xfId="0" applyFont="1" applyBorder="1" applyAlignment="1">
      <alignment horizontal="left"/>
    </xf>
    <xf numFmtId="0" fontId="60" fillId="0" borderId="4" xfId="0" applyFont="1" applyBorder="1" applyAlignment="1">
      <alignment horizontal="left"/>
    </xf>
    <xf numFmtId="0" fontId="59" fillId="0" borderId="3" xfId="0" applyFont="1" applyBorder="1" applyAlignment="1">
      <alignment horizontal="left" indent="2"/>
    </xf>
    <xf numFmtId="0" fontId="59" fillId="0" borderId="6" xfId="0" applyFont="1" applyBorder="1" applyAlignment="1">
      <alignment horizontal="left"/>
    </xf>
    <xf numFmtId="166" fontId="59" fillId="0" borderId="5" xfId="2" quotePrefix="1" applyNumberFormat="1" applyFont="1" applyBorder="1" applyAlignment="1">
      <alignment horizontal="right"/>
    </xf>
    <xf numFmtId="0" fontId="60" fillId="0" borderId="3" xfId="0" applyFont="1" applyBorder="1" applyAlignment="1">
      <alignment horizontal="left" indent="2"/>
    </xf>
    <xf numFmtId="164" fontId="55" fillId="2" borderId="33" xfId="1" quotePrefix="1" applyNumberFormat="1" applyFont="1" applyFill="1" applyBorder="1" applyAlignment="1">
      <alignment horizontal="right"/>
    </xf>
    <xf numFmtId="164" fontId="56"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6" fontId="63" fillId="0" borderId="0" xfId="2" applyNumberFormat="1" applyFont="1" applyAlignment="1">
      <alignment horizontal="right"/>
    </xf>
    <xf numFmtId="166" fontId="4" fillId="0" borderId="0" xfId="2" applyNumberFormat="1" applyFont="1" applyAlignment="1">
      <alignment horizontal="right"/>
    </xf>
    <xf numFmtId="5" fontId="62" fillId="0" borderId="4" xfId="1" applyNumberFormat="1" applyFont="1" applyBorder="1" applyAlignment="1">
      <alignment horizontal="right"/>
    </xf>
    <xf numFmtId="167" fontId="59" fillId="0" borderId="0" xfId="1" applyNumberFormat="1" applyFont="1" applyAlignment="1">
      <alignment horizontal="right"/>
    </xf>
    <xf numFmtId="5" fontId="60" fillId="0" borderId="4" xfId="1" applyNumberFormat="1" applyFont="1" applyBorder="1" applyAlignment="1">
      <alignment horizontal="right"/>
    </xf>
    <xf numFmtId="0" fontId="60" fillId="0" borderId="23" xfId="0" applyFont="1" applyBorder="1" applyAlignment="1">
      <alignment horizontal="left"/>
    </xf>
    <xf numFmtId="5" fontId="60" fillId="0" borderId="24" xfId="1" applyNumberFormat="1" applyFont="1" applyBorder="1" applyAlignment="1">
      <alignment horizontal="right"/>
    </xf>
    <xf numFmtId="0" fontId="60" fillId="0" borderId="1" xfId="0" applyFont="1" applyBorder="1" applyAlignment="1">
      <alignment horizontal="left"/>
    </xf>
    <xf numFmtId="5" fontId="60" fillId="0" borderId="11" xfId="1" applyNumberFormat="1" applyFont="1" applyBorder="1" applyAlignment="1">
      <alignment horizontal="right"/>
    </xf>
    <xf numFmtId="165" fontId="59" fillId="0" borderId="0" xfId="1" applyNumberFormat="1" applyFont="1" applyAlignment="1">
      <alignment horizontal="left"/>
    </xf>
    <xf numFmtId="43" fontId="59" fillId="0" borderId="0" xfId="1" applyFont="1" applyAlignment="1">
      <alignment horizontal="left"/>
    </xf>
    <xf numFmtId="0" fontId="2" fillId="0" borderId="0" xfId="0" applyFont="1"/>
    <xf numFmtId="166" fontId="59" fillId="0" borderId="0" xfId="2" applyNumberFormat="1" applyFont="1" applyAlignment="1">
      <alignment horizontal="left"/>
    </xf>
    <xf numFmtId="9" fontId="59" fillId="0" borderId="0" xfId="1" applyNumberFormat="1" applyFont="1" applyAlignment="1">
      <alignment horizontal="left"/>
    </xf>
    <xf numFmtId="0" fontId="59" fillId="0" borderId="10" xfId="0" applyFont="1" applyBorder="1" applyAlignment="1">
      <alignment horizontal="left"/>
    </xf>
    <xf numFmtId="0" fontId="59" fillId="0" borderId="4" xfId="0" applyFont="1" applyBorder="1"/>
    <xf numFmtId="165" fontId="64" fillId="0" borderId="5" xfId="1" quotePrefix="1" applyNumberFormat="1" applyFont="1" applyBorder="1" applyAlignment="1">
      <alignment horizontal="right"/>
    </xf>
    <xf numFmtId="164" fontId="59" fillId="0" borderId="8" xfId="1" applyNumberFormat="1" applyFont="1" applyBorder="1" applyAlignment="1">
      <alignment horizontal="right"/>
    </xf>
    <xf numFmtId="43" fontId="60"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59" fillId="0" borderId="0" xfId="1" applyNumberFormat="1" applyFont="1" applyAlignment="1">
      <alignment horizontal="right" wrapText="1"/>
    </xf>
    <xf numFmtId="0" fontId="59" fillId="0" borderId="4" xfId="0" applyFont="1" applyBorder="1" applyAlignment="1">
      <alignment horizontal="left" indent="1"/>
    </xf>
    <xf numFmtId="0" fontId="59" fillId="0" borderId="3" xfId="0" applyFont="1" applyBorder="1" applyAlignment="1">
      <alignment horizontal="left" indent="3"/>
    </xf>
    <xf numFmtId="0" fontId="60" fillId="0" borderId="3" xfId="0" applyFont="1" applyBorder="1" applyAlignment="1">
      <alignment horizontal="left" indent="4"/>
    </xf>
    <xf numFmtId="0" fontId="59" fillId="0" borderId="3" xfId="0" applyFont="1" applyBorder="1" applyAlignment="1">
      <alignment horizontal="left" indent="5"/>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1" fillId="10" borderId="0" xfId="1" applyNumberFormat="1" applyFont="1" applyFill="1" applyAlignment="1">
      <alignment horizontal="right"/>
    </xf>
    <xf numFmtId="0" fontId="64" fillId="0" borderId="0" xfId="0" applyFont="1"/>
    <xf numFmtId="165" fontId="65" fillId="0" borderId="5" xfId="1" quotePrefix="1" applyNumberFormat="1" applyFont="1" applyBorder="1" applyAlignment="1">
      <alignment horizontal="right"/>
    </xf>
    <xf numFmtId="165" fontId="53" fillId="0" borderId="5" xfId="1" quotePrefix="1" applyNumberFormat="1" applyFont="1" applyBorder="1" applyAlignment="1">
      <alignment horizontal="right"/>
    </xf>
    <xf numFmtId="165" fontId="59" fillId="0" borderId="30" xfId="1" applyNumberFormat="1" applyFont="1" applyBorder="1" applyAlignment="1">
      <alignment horizontal="right"/>
    </xf>
    <xf numFmtId="165" fontId="63"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0" fillId="0" borderId="0" xfId="2" applyFont="1" applyAlignment="1">
      <alignment horizontal="right"/>
    </xf>
    <xf numFmtId="9" fontId="66" fillId="0" borderId="0" xfId="2" applyFont="1" applyAlignment="1">
      <alignment horizontal="right"/>
    </xf>
    <xf numFmtId="9" fontId="66" fillId="0" borderId="5" xfId="2" applyFont="1" applyBorder="1" applyAlignment="1">
      <alignment horizontal="right"/>
    </xf>
    <xf numFmtId="9" fontId="60" fillId="0" borderId="5" xfId="2" applyFont="1" applyBorder="1" applyAlignment="1">
      <alignment horizontal="right"/>
    </xf>
    <xf numFmtId="164" fontId="65" fillId="0" borderId="5" xfId="1" quotePrefix="1" applyNumberFormat="1" applyFont="1" applyBorder="1" applyAlignment="1">
      <alignment horizontal="right"/>
    </xf>
    <xf numFmtId="164" fontId="53" fillId="0" borderId="5" xfId="1" quotePrefix="1" applyNumberFormat="1" applyFont="1" applyBorder="1" applyAlignment="1">
      <alignment horizontal="right"/>
    </xf>
    <xf numFmtId="9" fontId="60" fillId="10" borderId="0" xfId="2" applyFont="1" applyFill="1" applyAlignment="1">
      <alignment horizontal="right"/>
    </xf>
    <xf numFmtId="167" fontId="59" fillId="10" borderId="0" xfId="1" applyNumberFormat="1" applyFont="1" applyFill="1" applyAlignment="1">
      <alignment horizontal="right"/>
    </xf>
    <xf numFmtId="0" fontId="67" fillId="0" borderId="0" xfId="0" applyFont="1"/>
    <xf numFmtId="0" fontId="67" fillId="0" borderId="3" xfId="0" applyFont="1" applyBorder="1" applyAlignment="1">
      <alignment horizontal="left"/>
    </xf>
    <xf numFmtId="0" fontId="67" fillId="0" borderId="4" xfId="0" applyFont="1" applyBorder="1" applyAlignment="1">
      <alignment horizontal="left"/>
    </xf>
    <xf numFmtId="165" fontId="67" fillId="0" borderId="0" xfId="1" applyNumberFormat="1" applyFont="1" applyAlignment="1">
      <alignment horizontal="right"/>
    </xf>
    <xf numFmtId="165" fontId="68" fillId="0" borderId="5" xfId="1" quotePrefix="1" applyNumberFormat="1" applyFont="1" applyBorder="1" applyAlignment="1">
      <alignment horizontal="right"/>
    </xf>
    <xf numFmtId="165" fontId="67" fillId="10" borderId="0" xfId="1" applyNumberFormat="1" applyFont="1" applyFill="1" applyAlignment="1">
      <alignment horizontal="right"/>
    </xf>
    <xf numFmtId="165" fontId="67" fillId="0" borderId="5" xfId="1" quotePrefix="1" applyNumberFormat="1" applyFont="1" applyBorder="1" applyAlignment="1">
      <alignment horizontal="right"/>
    </xf>
    <xf numFmtId="167" fontId="67" fillId="10" borderId="0" xfId="1" applyNumberFormat="1" applyFont="1" applyFill="1" applyAlignment="1">
      <alignment horizontal="right"/>
    </xf>
    <xf numFmtId="0" fontId="67" fillId="0" borderId="3" xfId="0" applyFont="1" applyBorder="1" applyAlignment="1">
      <alignment horizontal="left" indent="2"/>
    </xf>
    <xf numFmtId="0" fontId="67" fillId="0" borderId="4" xfId="0" applyFont="1" applyBorder="1" applyAlignment="1">
      <alignment horizontal="left" indent="1"/>
    </xf>
    <xf numFmtId="164" fontId="67" fillId="0" borderId="0" xfId="1" applyNumberFormat="1" applyFont="1" applyAlignment="1">
      <alignment horizontal="right"/>
    </xf>
    <xf numFmtId="164" fontId="68" fillId="0" borderId="5" xfId="1" quotePrefix="1" applyNumberFormat="1" applyFont="1" applyBorder="1" applyAlignment="1">
      <alignment horizontal="right"/>
    </xf>
    <xf numFmtId="164" fontId="67" fillId="0" borderId="5" xfId="1" quotePrefix="1" applyNumberFormat="1" applyFont="1" applyBorder="1" applyAlignment="1">
      <alignment horizontal="right"/>
    </xf>
    <xf numFmtId="167" fontId="67" fillId="0" borderId="0" xfId="1" applyNumberFormat="1" applyFont="1" applyAlignment="1">
      <alignment horizontal="right"/>
    </xf>
    <xf numFmtId="167" fontId="67" fillId="0" borderId="5" xfId="1" quotePrefix="1" applyNumberFormat="1" applyFont="1" applyBorder="1" applyAlignment="1">
      <alignment horizontal="right"/>
    </xf>
    <xf numFmtId="165" fontId="60" fillId="0" borderId="31" xfId="1" applyNumberFormat="1" applyFont="1" applyBorder="1" applyAlignment="1">
      <alignment horizontal="right"/>
    </xf>
    <xf numFmtId="165" fontId="65" fillId="0" borderId="32" xfId="1" quotePrefix="1" applyNumberFormat="1" applyFont="1" applyBorder="1" applyAlignment="1">
      <alignment horizontal="right"/>
    </xf>
    <xf numFmtId="165" fontId="53" fillId="0" borderId="32" xfId="1" quotePrefix="1" applyNumberFormat="1" applyFont="1" applyBorder="1" applyAlignment="1">
      <alignment horizontal="right"/>
    </xf>
    <xf numFmtId="0" fontId="59" fillId="0" borderId="12" xfId="0" applyFont="1" applyBorder="1" applyAlignment="1">
      <alignment horizontal="left" indent="2"/>
    </xf>
    <xf numFmtId="0" fontId="59" fillId="0" borderId="13" xfId="0" applyFont="1" applyBorder="1" applyAlignment="1">
      <alignment horizontal="left" indent="1"/>
    </xf>
    <xf numFmtId="9" fontId="59" fillId="0" borderId="30" xfId="2" applyFont="1" applyBorder="1" applyAlignment="1">
      <alignment horizontal="right"/>
    </xf>
    <xf numFmtId="9" fontId="59" fillId="10" borderId="30" xfId="2" applyFont="1" applyFill="1" applyBorder="1" applyAlignment="1">
      <alignment horizontal="right"/>
    </xf>
    <xf numFmtId="165" fontId="60" fillId="0" borderId="30" xfId="1" applyNumberFormat="1" applyFont="1" applyBorder="1" applyAlignment="1">
      <alignment horizontal="right"/>
    </xf>
    <xf numFmtId="165" fontId="65" fillId="0" borderId="29" xfId="1" quotePrefix="1" applyNumberFormat="1" applyFont="1" applyBorder="1" applyAlignment="1">
      <alignment horizontal="right"/>
    </xf>
    <xf numFmtId="164" fontId="60" fillId="0" borderId="30" xfId="1" applyNumberFormat="1" applyFont="1" applyBorder="1" applyAlignment="1">
      <alignment horizontal="right"/>
    </xf>
    <xf numFmtId="164" fontId="65" fillId="0" borderId="29" xfId="1" quotePrefix="1" applyNumberFormat="1" applyFont="1" applyBorder="1" applyAlignment="1">
      <alignment horizontal="right"/>
    </xf>
    <xf numFmtId="164" fontId="53" fillId="0" borderId="29" xfId="1" quotePrefix="1" applyNumberFormat="1" applyFont="1" applyBorder="1" applyAlignment="1">
      <alignment horizontal="right"/>
    </xf>
    <xf numFmtId="164" fontId="60" fillId="0" borderId="29" xfId="1" quotePrefix="1" applyNumberFormat="1" applyFont="1" applyBorder="1" applyAlignment="1">
      <alignment horizontal="right"/>
    </xf>
    <xf numFmtId="164" fontId="59" fillId="0" borderId="0" xfId="2" applyNumberFormat="1" applyFont="1" applyAlignment="1">
      <alignment horizontal="right"/>
    </xf>
    <xf numFmtId="164" fontId="61" fillId="0" borderId="0" xfId="2" applyNumberFormat="1" applyFont="1" applyAlignment="1">
      <alignment horizontal="right"/>
    </xf>
    <xf numFmtId="164" fontId="60" fillId="0" borderId="0" xfId="2" applyNumberFormat="1" applyFont="1" applyAlignment="1">
      <alignment horizontal="right"/>
    </xf>
    <xf numFmtId="166" fontId="60" fillId="0" borderId="0" xfId="2" applyNumberFormat="1" applyFont="1" applyAlignment="1">
      <alignment horizontal="right"/>
    </xf>
    <xf numFmtId="164" fontId="53" fillId="0" borderId="5" xfId="2" quotePrefix="1" applyNumberFormat="1" applyFont="1" applyBorder="1" applyAlignment="1">
      <alignment horizontal="right"/>
    </xf>
    <xf numFmtId="43" fontId="67" fillId="0" borderId="0" xfId="1" applyFont="1"/>
    <xf numFmtId="43" fontId="67" fillId="0" borderId="4" xfId="1" applyFont="1" applyBorder="1"/>
    <xf numFmtId="43" fontId="67" fillId="0" borderId="0" xfId="1" applyFont="1" applyAlignment="1">
      <alignment horizontal="right"/>
    </xf>
    <xf numFmtId="43" fontId="67" fillId="0" borderId="5" xfId="1" quotePrefix="1" applyFont="1" applyBorder="1" applyAlignment="1">
      <alignment horizontal="right"/>
    </xf>
    <xf numFmtId="43" fontId="67" fillId="0" borderId="3" xfId="1" applyFont="1" applyBorder="1" applyAlignment="1">
      <alignment horizontal="left" indent="4"/>
    </xf>
    <xf numFmtId="165" fontId="67" fillId="0" borderId="5" xfId="1" applyNumberFormat="1" applyFont="1" applyBorder="1" applyAlignment="1">
      <alignment horizontal="right"/>
    </xf>
    <xf numFmtId="166" fontId="67" fillId="0" borderId="0" xfId="2" applyNumberFormat="1" applyFont="1" applyAlignment="1">
      <alignment horizontal="right"/>
    </xf>
    <xf numFmtId="166" fontId="67" fillId="0" borderId="5" xfId="2" applyNumberFormat="1" applyFont="1" applyBorder="1" applyAlignment="1">
      <alignment horizontal="right"/>
    </xf>
    <xf numFmtId="166" fontId="67" fillId="10" borderId="0" xfId="2" applyNumberFormat="1" applyFont="1" applyFill="1" applyAlignment="1">
      <alignment horizontal="right"/>
    </xf>
    <xf numFmtId="225" fontId="4" fillId="0" borderId="5" xfId="1" quotePrefix="1" applyNumberFormat="1" applyFont="1" applyBorder="1" applyAlignment="1">
      <alignment horizontal="right"/>
    </xf>
    <xf numFmtId="164" fontId="59" fillId="0" borderId="32" xfId="1" applyNumberFormat="1" applyFont="1" applyBorder="1" applyAlignment="1">
      <alignment horizontal="right"/>
    </xf>
    <xf numFmtId="164" fontId="61" fillId="0" borderId="5" xfId="2" applyNumberFormat="1" applyFont="1" applyBorder="1" applyAlignment="1">
      <alignment horizontal="right"/>
    </xf>
    <xf numFmtId="9" fontId="59" fillId="0" borderId="3" xfId="2" applyFont="1" applyBorder="1" applyAlignment="1">
      <alignment horizontal="right"/>
    </xf>
    <xf numFmtId="164" fontId="59" fillId="0" borderId="3" xfId="1" applyNumberFormat="1" applyFont="1" applyBorder="1" applyAlignment="1">
      <alignment horizontal="right"/>
    </xf>
    <xf numFmtId="0" fontId="70" fillId="0" borderId="0" xfId="0" applyFont="1"/>
    <xf numFmtId="0" fontId="71" fillId="0" borderId="4" xfId="0" applyFont="1" applyBorder="1" applyAlignment="1">
      <alignment horizontal="left"/>
    </xf>
    <xf numFmtId="0" fontId="69" fillId="0" borderId="13" xfId="0" applyFont="1" applyBorder="1"/>
    <xf numFmtId="164" fontId="69" fillId="0" borderId="30" xfId="1" applyNumberFormat="1" applyFont="1" applyBorder="1" applyAlignment="1">
      <alignment horizontal="right"/>
    </xf>
    <xf numFmtId="164" fontId="69" fillId="0" borderId="29" xfId="1" applyNumberFormat="1" applyFont="1" applyBorder="1" applyAlignment="1">
      <alignment horizontal="right"/>
    </xf>
    <xf numFmtId="43" fontId="69" fillId="0" borderId="36" xfId="1" applyFont="1" applyBorder="1" applyAlignment="1">
      <alignment horizontal="right"/>
    </xf>
    <xf numFmtId="43" fontId="69" fillId="0" borderId="34" xfId="1" applyFont="1" applyBorder="1" applyAlignment="1">
      <alignment horizontal="right"/>
    </xf>
    <xf numFmtId="43" fontId="63" fillId="0" borderId="0" xfId="1" applyFont="1" applyAlignment="1">
      <alignment horizontal="right"/>
    </xf>
    <xf numFmtId="164" fontId="63" fillId="0" borderId="0" xfId="1" applyNumberFormat="1" applyFont="1" applyAlignment="1">
      <alignment horizontal="right"/>
    </xf>
    <xf numFmtId="43" fontId="59" fillId="10" borderId="7" xfId="1" applyFont="1" applyFill="1" applyBorder="1" applyAlignment="1">
      <alignment horizontal="right"/>
    </xf>
    <xf numFmtId="9" fontId="63" fillId="0" borderId="0" xfId="2" applyFont="1" applyAlignment="1">
      <alignment horizontal="right"/>
    </xf>
    <xf numFmtId="0" fontId="69" fillId="0" borderId="26" xfId="0" applyFont="1" applyBorder="1" applyAlignment="1">
      <alignment horizontal="left"/>
    </xf>
    <xf numFmtId="0" fontId="69" fillId="0" borderId="12" xfId="0" applyFont="1" applyBorder="1" applyAlignment="1">
      <alignment horizontal="left" indent="2"/>
    </xf>
    <xf numFmtId="0" fontId="69" fillId="0" borderId="13" xfId="0" applyFont="1" applyBorder="1" applyAlignment="1">
      <alignment horizontal="left"/>
    </xf>
    <xf numFmtId="0" fontId="67" fillId="0" borderId="25" xfId="0" applyFont="1" applyBorder="1" applyAlignment="1">
      <alignment horizontal="left" indent="1"/>
    </xf>
    <xf numFmtId="0" fontId="67" fillId="0" borderId="26" xfId="0" applyFont="1" applyBorder="1"/>
    <xf numFmtId="164" fontId="72" fillId="0" borderId="31" xfId="1" applyNumberFormat="1" applyFont="1" applyBorder="1" applyAlignment="1">
      <alignment horizontal="right"/>
    </xf>
    <xf numFmtId="164" fontId="72" fillId="0" borderId="32" xfId="1" applyNumberFormat="1" applyFont="1" applyBorder="1" applyAlignment="1">
      <alignment horizontal="right"/>
    </xf>
    <xf numFmtId="164" fontId="73" fillId="0" borderId="31" xfId="1" applyNumberFormat="1" applyFont="1" applyBorder="1" applyAlignment="1">
      <alignment horizontal="right"/>
    </xf>
    <xf numFmtId="164" fontId="73" fillId="0" borderId="32" xfId="1" applyNumberFormat="1" applyFont="1" applyBorder="1" applyAlignment="1">
      <alignment horizontal="right"/>
    </xf>
    <xf numFmtId="0" fontId="69" fillId="0" borderId="35" xfId="0" applyFont="1" applyBorder="1" applyAlignment="1">
      <alignment horizontal="left" indent="2"/>
    </xf>
    <xf numFmtId="43" fontId="63" fillId="0" borderId="0" xfId="2" applyNumberFormat="1" applyFont="1" applyAlignment="1">
      <alignment horizontal="right"/>
    </xf>
    <xf numFmtId="9" fontId="59" fillId="0" borderId="7" xfId="2" applyFont="1" applyBorder="1" applyAlignment="1">
      <alignment horizontal="right"/>
    </xf>
    <xf numFmtId="9" fontId="59" fillId="10" borderId="7" xfId="2" applyFont="1" applyFill="1" applyBorder="1" applyAlignment="1">
      <alignment horizontal="right"/>
    </xf>
    <xf numFmtId="164" fontId="59" fillId="10" borderId="0" xfId="1" applyNumberFormat="1" applyFont="1" applyFill="1" applyAlignment="1">
      <alignment horizontal="right"/>
    </xf>
    <xf numFmtId="43" fontId="59" fillId="0" borderId="5" xfId="1" quotePrefix="1" applyFont="1" applyBorder="1" applyAlignment="1">
      <alignment horizontal="right"/>
    </xf>
    <xf numFmtId="165" fontId="59" fillId="11" borderId="5" xfId="1" quotePrefix="1" applyNumberFormat="1" applyFont="1" applyFill="1" applyBorder="1" applyAlignment="1">
      <alignment horizontal="right"/>
    </xf>
    <xf numFmtId="0" fontId="59" fillId="0" borderId="6" xfId="0" applyFont="1" applyBorder="1" applyAlignment="1">
      <alignment horizontal="left" indent="2"/>
    </xf>
    <xf numFmtId="166" fontId="59" fillId="11" borderId="5" xfId="2" applyNumberFormat="1" applyFont="1" applyFill="1" applyBorder="1" applyAlignment="1">
      <alignment horizontal="right"/>
    </xf>
    <xf numFmtId="164" fontId="60" fillId="0" borderId="5" xfId="1" quotePrefix="1" applyNumberFormat="1" applyFont="1" applyBorder="1" applyAlignment="1">
      <alignment horizontal="right"/>
    </xf>
    <xf numFmtId="166" fontId="60" fillId="0" borderId="5" xfId="2" quotePrefix="1" applyNumberFormat="1" applyFont="1" applyBorder="1" applyAlignment="1">
      <alignment horizontal="right"/>
    </xf>
    <xf numFmtId="164" fontId="60" fillId="0" borderId="5" xfId="2" quotePrefix="1" applyNumberFormat="1" applyFont="1" applyBorder="1" applyAlignment="1">
      <alignment horizontal="right"/>
    </xf>
    <xf numFmtId="166" fontId="60" fillId="11" borderId="5" xfId="2" quotePrefix="1" applyNumberFormat="1" applyFont="1" applyFill="1" applyBorder="1" applyAlignment="1">
      <alignment horizontal="right"/>
    </xf>
    <xf numFmtId="166" fontId="59" fillId="11" borderId="5" xfId="2" quotePrefix="1" applyNumberFormat="1" applyFont="1" applyFill="1" applyBorder="1" applyAlignment="1">
      <alignment horizontal="right"/>
    </xf>
    <xf numFmtId="43" fontId="4" fillId="0" borderId="0" xfId="1" applyFont="1" applyAlignment="1">
      <alignment horizontal="left"/>
    </xf>
    <xf numFmtId="0" fontId="74" fillId="0" borderId="0" xfId="0" applyFont="1"/>
    <xf numFmtId="0" fontId="4" fillId="0" borderId="0" xfId="0" applyFont="1" applyFill="1"/>
    <xf numFmtId="0" fontId="69" fillId="0" borderId="37" xfId="0" applyFont="1" applyBorder="1" applyAlignment="1">
      <alignment horizontal="left" indent="1"/>
    </xf>
    <xf numFmtId="0" fontId="59" fillId="0" borderId="10" xfId="0" applyFont="1" applyBorder="1" applyAlignment="1">
      <alignment horizontal="left" indent="1"/>
    </xf>
    <xf numFmtId="165" fontId="59" fillId="0" borderId="0" xfId="1" applyNumberFormat="1" applyFont="1" applyFill="1" applyAlignment="1">
      <alignment horizontal="right"/>
    </xf>
    <xf numFmtId="164" fontId="60" fillId="0" borderId="0" xfId="1" applyNumberFormat="1" applyFont="1" applyFill="1" applyAlignment="1">
      <alignment horizontal="right"/>
    </xf>
    <xf numFmtId="164" fontId="61" fillId="0" borderId="0" xfId="1" applyNumberFormat="1" applyFont="1" applyFill="1" applyAlignment="1">
      <alignment horizontal="right"/>
    </xf>
    <xf numFmtId="164" fontId="59" fillId="0" borderId="0" xfId="1" applyNumberFormat="1" applyFont="1" applyFill="1" applyAlignment="1">
      <alignment horizontal="right"/>
    </xf>
    <xf numFmtId="164" fontId="52" fillId="0" borderId="0" xfId="1" applyNumberFormat="1" applyFont="1" applyFill="1" applyAlignment="1">
      <alignment horizontal="right"/>
    </xf>
    <xf numFmtId="164" fontId="72" fillId="0" borderId="31" xfId="1" applyNumberFormat="1" applyFont="1" applyFill="1" applyBorder="1" applyAlignment="1">
      <alignment horizontal="right"/>
    </xf>
    <xf numFmtId="164" fontId="69" fillId="0" borderId="30" xfId="1" applyNumberFormat="1" applyFont="1" applyFill="1" applyBorder="1" applyAlignment="1">
      <alignment horizontal="right"/>
    </xf>
    <xf numFmtId="164" fontId="73" fillId="0" borderId="31" xfId="1" applyNumberFormat="1" applyFont="1" applyFill="1" applyBorder="1" applyAlignment="1">
      <alignment horizontal="right"/>
    </xf>
    <xf numFmtId="43" fontId="60" fillId="0" borderId="0" xfId="1" applyFont="1" applyFill="1" applyAlignment="1">
      <alignment horizontal="right"/>
    </xf>
    <xf numFmtId="43" fontId="69" fillId="0" borderId="36" xfId="1" applyFont="1" applyFill="1" applyBorder="1" applyAlignment="1">
      <alignment horizontal="right"/>
    </xf>
    <xf numFmtId="43" fontId="59" fillId="0" borderId="7" xfId="1" applyFont="1" applyFill="1" applyBorder="1" applyAlignment="1">
      <alignment horizontal="right"/>
    </xf>
    <xf numFmtId="9" fontId="60" fillId="0" borderId="0" xfId="2" applyFont="1" applyFill="1" applyAlignment="1">
      <alignment horizontal="right"/>
    </xf>
    <xf numFmtId="0" fontId="53" fillId="0" borderId="0" xfId="0" applyFont="1" applyFill="1"/>
    <xf numFmtId="43" fontId="67" fillId="0" borderId="0" xfId="1" applyFont="1" applyFill="1"/>
    <xf numFmtId="0" fontId="59" fillId="0" borderId="0" xfId="2" applyNumberFormat="1" applyFont="1" applyAlignment="1">
      <alignment horizontal="right"/>
    </xf>
    <xf numFmtId="165" fontId="61" fillId="0" borderId="0" xfId="1" applyNumberFormat="1" applyFont="1" applyFill="1" applyAlignment="1">
      <alignment horizontal="right"/>
    </xf>
    <xf numFmtId="7" fontId="59" fillId="0" borderId="0" xfId="1" applyNumberFormat="1" applyFont="1" applyFill="1" applyAlignment="1">
      <alignment horizontal="right"/>
    </xf>
    <xf numFmtId="0" fontId="67" fillId="0" borderId="0" xfId="0" applyFont="1" applyFill="1"/>
    <xf numFmtId="164" fontId="59" fillId="0" borderId="5" xfId="1" applyNumberFormat="1" applyFont="1" applyFill="1" applyBorder="1" applyAlignment="1">
      <alignment horizontal="right"/>
    </xf>
    <xf numFmtId="164" fontId="60" fillId="0" borderId="5" xfId="1" applyNumberFormat="1" applyFont="1" applyFill="1" applyBorder="1" applyAlignment="1">
      <alignment horizontal="right"/>
    </xf>
    <xf numFmtId="164" fontId="67" fillId="0" borderId="0" xfId="1" applyNumberFormat="1" applyFont="1" applyFill="1" applyAlignment="1">
      <alignment horizontal="right"/>
    </xf>
    <xf numFmtId="9" fontId="60" fillId="10" borderId="0" xfId="2" applyNumberFormat="1" applyFont="1" applyFill="1" applyAlignment="1">
      <alignment horizontal="right"/>
    </xf>
    <xf numFmtId="165" fontId="59" fillId="0" borderId="0" xfId="1" quotePrefix="1" applyNumberFormat="1" applyFont="1" applyFill="1" applyAlignment="1">
      <alignment horizontal="right"/>
    </xf>
    <xf numFmtId="164" fontId="59" fillId="10" borderId="0" xfId="2" applyNumberFormat="1" applyFont="1" applyFill="1" applyAlignment="1">
      <alignment horizontal="right"/>
    </xf>
    <xf numFmtId="0" fontId="59" fillId="0" borderId="4" xfId="0" applyFont="1" applyBorder="1" applyAlignment="1">
      <alignment horizontal="left" indent="1"/>
    </xf>
    <xf numFmtId="165" fontId="59" fillId="12" borderId="0" xfId="1" applyNumberFormat="1" applyFont="1" applyFill="1" applyAlignment="1">
      <alignment horizontal="right"/>
    </xf>
    <xf numFmtId="10" fontId="59" fillId="12" borderId="0" xfId="1" applyNumberFormat="1" applyFont="1" applyFill="1" applyAlignment="1">
      <alignment horizontal="right"/>
    </xf>
    <xf numFmtId="0" fontId="59" fillId="12" borderId="0" xfId="1" applyNumberFormat="1" applyFont="1" applyFill="1" applyAlignment="1">
      <alignment horizontal="right"/>
    </xf>
    <xf numFmtId="10" fontId="59" fillId="0" borderId="5" xfId="1" quotePrefix="1" applyNumberFormat="1" applyFont="1" applyBorder="1" applyAlignment="1">
      <alignment horizontal="right"/>
    </xf>
    <xf numFmtId="9" fontId="60" fillId="12" borderId="0" xfId="2" applyNumberFormat="1" applyFont="1" applyFill="1" applyAlignment="1">
      <alignment horizontal="right"/>
    </xf>
    <xf numFmtId="9" fontId="60" fillId="12" borderId="0" xfId="2" applyFont="1" applyFill="1" applyAlignment="1">
      <alignment horizontal="right"/>
    </xf>
    <xf numFmtId="166" fontId="60" fillId="12" borderId="0" xfId="2" applyNumberFormat="1" applyFont="1" applyFill="1" applyAlignment="1">
      <alignment horizontal="right"/>
    </xf>
    <xf numFmtId="165" fontId="59" fillId="0" borderId="5" xfId="1" quotePrefix="1" applyNumberFormat="1" applyFont="1" applyFill="1" applyBorder="1" applyAlignment="1">
      <alignment horizontal="right"/>
    </xf>
    <xf numFmtId="10" fontId="59" fillId="0" borderId="5" xfId="1" applyNumberFormat="1" applyFont="1" applyFill="1" applyBorder="1" applyAlignment="1">
      <alignment horizontal="right"/>
    </xf>
    <xf numFmtId="10" fontId="59" fillId="12" borderId="5" xfId="1" applyNumberFormat="1" applyFont="1" applyFill="1" applyBorder="1" applyAlignment="1">
      <alignment horizontal="right"/>
    </xf>
    <xf numFmtId="0" fontId="57" fillId="2" borderId="1" xfId="0" applyFont="1" applyFill="1" applyBorder="1" applyAlignment="1">
      <alignment horizontal="left"/>
    </xf>
    <xf numFmtId="0" fontId="57" fillId="2" borderId="11" xfId="0" applyFont="1" applyFill="1" applyBorder="1" applyAlignment="1">
      <alignment horizontal="left"/>
    </xf>
    <xf numFmtId="0" fontId="59" fillId="0" borderId="3" xfId="0" applyFont="1" applyBorder="1" applyAlignment="1">
      <alignment horizontal="left"/>
    </xf>
    <xf numFmtId="0" fontId="59" fillId="0" borderId="4" xfId="0" applyFont="1" applyBorder="1" applyAlignment="1">
      <alignment horizontal="left"/>
    </xf>
    <xf numFmtId="0" fontId="58" fillId="2" borderId="3" xfId="0" applyFont="1" applyFill="1" applyBorder="1" applyAlignment="1">
      <alignment horizontal="left"/>
    </xf>
    <xf numFmtId="0" fontId="58" fillId="2" borderId="4" xfId="0" applyFont="1" applyFill="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60" fillId="0" borderId="12" xfId="0" applyFont="1" applyBorder="1" applyAlignment="1">
      <alignment horizontal="left"/>
    </xf>
    <xf numFmtId="0" fontId="60" fillId="0" borderId="13"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2" fillId="0" borderId="25" xfId="0" applyFont="1" applyBorder="1" applyAlignment="1">
      <alignment horizontal="left"/>
    </xf>
    <xf numFmtId="0" fontId="62" fillId="0" borderId="26" xfId="0" applyFont="1" applyBorder="1" applyAlignment="1">
      <alignment horizontal="left"/>
    </xf>
    <xf numFmtId="0" fontId="60" fillId="0" borderId="12" xfId="0" applyFont="1" applyBorder="1" applyAlignment="1">
      <alignment horizontal="left" indent="2"/>
    </xf>
    <xf numFmtId="0" fontId="60" fillId="0" borderId="13" xfId="0" applyFont="1" applyBorder="1" applyAlignment="1">
      <alignment horizontal="left" indent="2"/>
    </xf>
    <xf numFmtId="0" fontId="59" fillId="0" borderId="3" xfId="0" applyFont="1" applyBorder="1" applyAlignment="1">
      <alignment horizontal="left" indent="6"/>
    </xf>
    <xf numFmtId="0" fontId="59" fillId="0" borderId="4" xfId="0" applyFont="1" applyBorder="1" applyAlignment="1">
      <alignment horizontal="left" indent="6"/>
    </xf>
    <xf numFmtId="0" fontId="60" fillId="0" borderId="25" xfId="0" applyFont="1" applyBorder="1" applyAlignment="1">
      <alignment horizontal="left" indent="1"/>
    </xf>
    <xf numFmtId="0" fontId="60" fillId="0" borderId="26" xfId="0" applyFont="1" applyBorder="1" applyAlignment="1">
      <alignment horizontal="left" indent="1"/>
    </xf>
    <xf numFmtId="0" fontId="59" fillId="0" borderId="27" xfId="0" applyFont="1" applyBorder="1" applyAlignment="1">
      <alignment horizontal="left" vertical="top" wrapText="1"/>
    </xf>
    <xf numFmtId="0" fontId="59" fillId="0" borderId="28" xfId="0" applyFont="1" applyBorder="1" applyAlignment="1">
      <alignment horizontal="left" vertical="top" wrapText="1"/>
    </xf>
    <xf numFmtId="0" fontId="59" fillId="0" borderId="6" xfId="0" applyFont="1" applyBorder="1" applyAlignment="1">
      <alignment horizontal="left"/>
    </xf>
    <xf numFmtId="0" fontId="59" fillId="0" borderId="10" xfId="0" applyFont="1" applyBorder="1" applyAlignment="1">
      <alignment horizontal="left"/>
    </xf>
    <xf numFmtId="0" fontId="59" fillId="10" borderId="1" xfId="0" applyFont="1" applyFill="1" applyBorder="1" applyAlignment="1">
      <alignment horizontal="left"/>
    </xf>
    <xf numFmtId="0" fontId="59" fillId="10" borderId="11" xfId="0" applyFont="1" applyFill="1" applyBorder="1" applyAlignment="1">
      <alignment horizontal="left"/>
    </xf>
    <xf numFmtId="0" fontId="59" fillId="11" borderId="3" xfId="0" applyFont="1" applyFill="1" applyBorder="1" applyAlignment="1">
      <alignment horizontal="left"/>
    </xf>
    <xf numFmtId="0" fontId="59" fillId="11" borderId="4" xfId="0" applyFont="1" applyFill="1" applyBorder="1" applyAlignment="1">
      <alignment horizontal="left"/>
    </xf>
    <xf numFmtId="0" fontId="59" fillId="9" borderId="6" xfId="0" applyFont="1" applyFill="1" applyBorder="1" applyAlignment="1">
      <alignment horizontal="left"/>
    </xf>
    <xf numFmtId="0" fontId="59" fillId="9" borderId="10" xfId="0" applyFont="1" applyFill="1" applyBorder="1" applyAlignment="1">
      <alignment horizontal="left"/>
    </xf>
    <xf numFmtId="0" fontId="60" fillId="0" borderId="3" xfId="0" applyFont="1" applyBorder="1" applyAlignment="1">
      <alignment horizontal="left" indent="3"/>
    </xf>
    <xf numFmtId="0" fontId="60" fillId="0" borderId="4" xfId="0" applyFont="1" applyBorder="1" applyAlignment="1">
      <alignment horizontal="left" indent="3"/>
    </xf>
    <xf numFmtId="0" fontId="60" fillId="0" borderId="3" xfId="0" applyFont="1" applyBorder="1" applyAlignment="1">
      <alignment horizontal="left"/>
    </xf>
    <xf numFmtId="0" fontId="60" fillId="0" borderId="4" xfId="0" applyFont="1" applyBorder="1" applyAlignment="1">
      <alignment horizontal="left"/>
    </xf>
    <xf numFmtId="0" fontId="58" fillId="0" borderId="4" xfId="0" applyFont="1" applyBorder="1" applyAlignment="1">
      <alignment horizontal="center" wrapText="1"/>
    </xf>
    <xf numFmtId="0" fontId="57" fillId="2" borderId="3" xfId="0" applyFont="1" applyFill="1" applyBorder="1" applyAlignment="1">
      <alignment horizontal="left"/>
    </xf>
    <xf numFmtId="0" fontId="57" fillId="2" borderId="4" xfId="0" applyFont="1" applyFill="1" applyBorder="1" applyAlignment="1">
      <alignment horizontal="left"/>
    </xf>
    <xf numFmtId="0" fontId="2" fillId="0" borderId="0" xfId="0" applyFont="1" applyAlignment="1">
      <alignment horizontal="center" vertical="top" wrapText="1"/>
    </xf>
    <xf numFmtId="0" fontId="76" fillId="0" borderId="3" xfId="0" applyFont="1" applyBorder="1" applyAlignment="1">
      <alignment horizontal="left" indent="1"/>
    </xf>
    <xf numFmtId="165" fontId="4" fillId="0" borderId="5" xfId="0" applyNumberFormat="1" applyFont="1" applyBorder="1"/>
    <xf numFmtId="10" fontId="59" fillId="12" borderId="3" xfId="1" applyNumberFormat="1" applyFont="1" applyFill="1" applyBorder="1" applyAlignment="1">
      <alignment horizontal="right"/>
    </xf>
    <xf numFmtId="10" fontId="59" fillId="12" borderId="0" xfId="1" applyNumberFormat="1" applyFont="1" applyFill="1" applyBorder="1" applyAlignment="1">
      <alignment horizontal="right"/>
    </xf>
    <xf numFmtId="10" fontId="59" fillId="12" borderId="4" xfId="1" applyNumberFormat="1" applyFont="1" applyFill="1" applyBorder="1" applyAlignment="1">
      <alignment horizontal="right"/>
    </xf>
    <xf numFmtId="165" fontId="59" fillId="0" borderId="0" xfId="1" applyNumberFormat="1" applyFont="1" applyBorder="1" applyAlignment="1">
      <alignment horizontal="right"/>
    </xf>
    <xf numFmtId="165" fontId="75" fillId="0" borderId="4" xfId="1" quotePrefix="1" applyNumberFormat="1" applyFont="1" applyBorder="1" applyAlignment="1">
      <alignment horizontal="right"/>
    </xf>
    <xf numFmtId="0" fontId="76" fillId="0" borderId="0" xfId="0" applyFont="1" applyAlignment="1">
      <alignment horizontal="left"/>
    </xf>
    <xf numFmtId="164" fontId="76" fillId="0" borderId="0" xfId="1" applyNumberFormat="1" applyFont="1" applyAlignment="1">
      <alignment horizontal="right"/>
    </xf>
    <xf numFmtId="165" fontId="76" fillId="0" borderId="0" xfId="1" applyNumberFormat="1" applyFont="1" applyAlignment="1">
      <alignment horizontal="right"/>
    </xf>
    <xf numFmtId="43" fontId="69" fillId="0" borderId="34" xfId="1" applyFont="1" applyFill="1" applyBorder="1" applyAlignment="1">
      <alignment horizontal="right"/>
    </xf>
    <xf numFmtId="43" fontId="69" fillId="0" borderId="36" xfId="1" applyNumberFormat="1" applyFont="1" applyFill="1" applyBorder="1" applyAlignment="1">
      <alignment horizontal="right"/>
    </xf>
    <xf numFmtId="43" fontId="60" fillId="0" borderId="5" xfId="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9842</c:v>
                </c:pt>
                <c:pt idx="5">
                  <c:v>9912</c:v>
                </c:pt>
                <c:pt idx="6">
                  <c:v>9969</c:v>
                </c:pt>
                <c:pt idx="7">
                  <c:v>10019.25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Model'!$B$79</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Model'!$P$79,'Earnings Model'!$Q$79,'Earnings Model'!$S$79,'Earnings Model'!$T$79,'Earnings Model'!$U$79,'Earnings Model'!$V$79,'Earnings Model'!$X$79,'Earnings Model'!$Y$79)</c:f>
              <c:numCache>
                <c:formatCode>0.0%</c:formatCode>
                <c:ptCount val="8"/>
                <c:pt idx="0">
                  <c:v>0.21467803030303034</c:v>
                </c:pt>
                <c:pt idx="1">
                  <c:v>0.21825490103897316</c:v>
                </c:pt>
                <c:pt idx="2">
                  <c:v>0.21960486322188449</c:v>
                </c:pt>
                <c:pt idx="3">
                  <c:v>0.20878329733621312</c:v>
                </c:pt>
                <c:pt idx="4">
                  <c:v>0.22070267704343796</c:v>
                </c:pt>
                <c:pt idx="5">
                  <c:v>0.22364088526655038</c:v>
                </c:pt>
                <c:pt idx="6">
                  <c:v>0.2250355551052631</c:v>
                </c:pt>
                <c:pt idx="7">
                  <c:v>0.21448698232394975</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37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Model'!$B$83:$C$83</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Model'!$P$83,'Earnings Model'!$Q$83,'Earnings Model'!$S$83,'Earnings Model'!$T$83,'Earnings Model'!$U$83,'Earnings Model'!$V$83,'Earnings Model'!$X$83,'Earnings Model'!$Y$83)</c:f>
              <c:numCache>
                <c:formatCode>_(* #,##0_);_(* \(#,##0\);_(* "-"??_);_(@_)</c:formatCode>
                <c:ptCount val="8"/>
                <c:pt idx="0">
                  <c:v>4979</c:v>
                </c:pt>
                <c:pt idx="1">
                  <c:v>5159</c:v>
                </c:pt>
                <c:pt idx="2">
                  <c:v>5350</c:v>
                </c:pt>
                <c:pt idx="3">
                  <c:v>5483</c:v>
                </c:pt>
                <c:pt idx="4">
                  <c:v>5753</c:v>
                </c:pt>
                <c:pt idx="5">
                  <c:v>6053</c:v>
                </c:pt>
                <c:pt idx="6">
                  <c:v>6353</c:v>
                </c:pt>
                <c:pt idx="7">
                  <c:v>6623</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Model'!$B$114</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Model'!$P$114,'Earnings Model'!$Q$114,'Earnings Model'!$S$114,'Earnings Model'!$T$114,'Earnings Model'!$U$114,'Earnings Model'!$V$114,'Earnings Model'!$X$114,'Earnings Model'!$Y$114)</c:f>
              <c:numCache>
                <c:formatCode>0.0%</c:formatCode>
                <c:ptCount val="8"/>
                <c:pt idx="0">
                  <c:v>0.19048006509357202</c:v>
                </c:pt>
                <c:pt idx="1">
                  <c:v>0.19117404906965252</c:v>
                </c:pt>
                <c:pt idx="2">
                  <c:v>0.18047747087101762</c:v>
                </c:pt>
                <c:pt idx="3">
                  <c:v>0.17973780156698466</c:v>
                </c:pt>
                <c:pt idx="4">
                  <c:v>0.21639529665481771</c:v>
                </c:pt>
                <c:pt idx="5">
                  <c:v>0.2050003377540367</c:v>
                </c:pt>
                <c:pt idx="6">
                  <c:v>0.17896740199185199</c:v>
                </c:pt>
                <c:pt idx="7">
                  <c:v>0.18080808297954409</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Admin" id="{CC414647-1660-4CF5-9469-0329772E244D}" userId="Adm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50" personId="{CC414647-1660-4CF5-9469-0329772E244D}" id="{0D3178EC-53A5-4985-AEB1-C953E385430A}">
    <text>Michael Pesenti: While we expect Starbucks to place a larger than anticipated focus on store expansion in the CAP regiion, we combine consensus estimates with management targets for net new stores in the Americas region for this forecast</text>
  </threadedComment>
  <threadedComment ref="W68" personId="{CC414647-1660-4CF5-9469-0329772E244D}" id="{3EC7C850-AF3E-4D67-B152-5719F716A6EA}">
    <text>1Q2019 Earnings call guidance for FY2019: ~2,100 net new Starbucks stores globally
Americas over 600
CAP ~1,100 (nearly 600 in China)
EMEA ~400 (virtually all license)</text>
  </threadedComment>
  <threadedComment ref="W79" personId="{CC414647-1660-4CF5-9469-0329772E244D}" id="{E45D435F-37A6-4324-8019-81852A7A7949}">
    <text>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ext>
  </threadedComment>
  <threadedComment ref="U84" personId="{CC414647-1660-4CF5-9469-0329772E244D}" id="{1032008D-FA02-40A3-94CF-EDD95AD92296}">
    <text>Michael Pesenti: In efforts to capture market share in a Chinese market that is rapidly becoming hooked on coffee, it is reasonable to assume an more aggressive store expansion strategy in CAP, increasing their net store growth in the region.</text>
  </threadedComment>
  <threadedComment ref="U89" personId="{CC414647-1660-4CF5-9469-0329772E244D}" id="{DF99F8C2-FBCC-42FD-BAF6-25EAF3B098BE}">
    <text>Michael Pesenti:
We anticipate strong comp sales growth in the CAP region as the Chinese consumer becomes more acustomed to drinking coffee products in addition to tea products. We also anticipate new consumers of lower end coffee brands in CAP to switch to premium brands like Starbucks as they begin to drink coffee more frequently, and begin to try different, more expensive beverages.</text>
  </threadedComment>
  <threadedComment ref="W102" personId="{CC414647-1660-4CF5-9469-0329772E244D}" id="{FBC577E8-32DD-49F3-A41A-C340F8D42CF0}">
    <text>Michael Pesenti: A key assumption in this forecast is that Net New Starbucks Stores in the CAP region will beat management targets in 2019, and continue to beat historical trends in 2020.</text>
  </threadedComment>
  <threadedComment ref="W114" personId="{CC414647-1660-4CF5-9469-0329772E244D}" id="{9E9FF2D9-6140-4D12-AFAB-46BC71B61FEF}">
    <text>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ext>
  </threadedComment>
  <threadedComment ref="W137" personId="{CC414647-1660-4CF5-9469-0329772E244D}" id="{05572162-D824-4BA6-8259-F2EB1B7C241A}">
    <text>1Q2019 Earnings call guidance for FY2019: ~2,100 net new Starbucks stores globally
Americas over 600
CAP ~1,100 (nearly 600 in China)
EMEA ~400 (virtually all license)</text>
  </threadedComment>
  <threadedComment ref="W147" personId="{CC414647-1660-4CF5-9469-0329772E244D}" id="{B6B244F3-9605-4CEA-A04A-CC09EA90F005}">
    <text>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ext>
  </threadedComment>
  <threadedComment ref="W162" personId="{CC414647-1660-4CF5-9469-0329772E244D}" id="{06C4DA31-D1AC-4878-8B23-327563DDF1D4}">
    <text>F2Q2019 Earnings call guidance for FY2019:
Consolidated operating margin down moderately
&gt;Americas operating margin up slightly
&gt;CAP operating margin roughly flat
&gt;EMEA operating margin improving over the course of 2019
&gt;Channel Development operating margin mid-30% range
Past Guidance (F1Q2019 Earnings call guidance for FY2019):
Consolidated operating margin down moderately
&gt;Americas operating margin down slightly
&gt;CAP operating margin roughly flat
&gt;EMEA operating margin improving over the course of 2019
&gt;Channel Development operating margin high 30% range</text>
  </threadedComment>
  <threadedComment ref="W187" personId="{CC414647-1660-4CF5-9469-0329772E244D}" id="{BEB10A6E-B98A-4C18-9CC5-48ED643ADEC1}">
    <text>2Q2019 Earnings call guidance for FY2019: 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ext>
  </threadedComment>
  <threadedComment ref="W190" personId="{CC414647-1660-4CF5-9469-0329772E244D}" id="{3BEA97C4-3113-4C2E-8BC2-5DD44EDC6A91}">
    <text>F2Q2019 Earnings call guidance for FY2019: 20% to 22%, Non-GAAP tax rate in the range of 19% to 21%.
Past Guidance (F1Q2019 Earnings call guidance for FY2019): 21% to 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217"/>
  <sheetViews>
    <sheetView showGridLines="0" tabSelected="1" topLeftCell="A3" zoomScaleNormal="100" workbookViewId="0">
      <pane xSplit="3" ySplit="10" topLeftCell="D13" activePane="bottomRight" state="frozen"/>
      <selection activeCell="A3" sqref="A3"/>
      <selection pane="topRight" activeCell="D3" sqref="D3"/>
      <selection pane="bottomLeft" activeCell="A13" sqref="A13"/>
      <selection pane="bottomRight" activeCell="U43" sqref="U43"/>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5703125" style="3" hidden="1" customWidth="1" outlineLevel="1"/>
    <col min="6" max="7" width="11.5703125" style="11" hidden="1" customWidth="1" outlineLevel="1"/>
    <col min="8" max="8" width="11.5703125" style="11" customWidth="1" collapsed="1"/>
    <col min="9" max="10" width="11.5703125" style="3" hidden="1" customWidth="1" outlineLevel="1"/>
    <col min="11" max="12" width="11.5703125" style="11" hidden="1" customWidth="1" outlineLevel="1"/>
    <col min="13" max="13" width="11.5703125" style="11" customWidth="1" collapsed="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25" width="11.5703125" style="3" customWidth="1" outlineLevel="1"/>
    <col min="26" max="27" width="11.5703125" style="11" customWidth="1" outlineLevel="1"/>
    <col min="28" max="28" width="11.5703125" style="11" customWidth="1"/>
    <col min="29" max="31" width="8.85546875" style="4"/>
    <col min="32" max="32" width="10.42578125" style="4" bestFit="1" customWidth="1"/>
    <col min="33" max="16384" width="8.85546875" style="4"/>
  </cols>
  <sheetData>
    <row r="1" spans="1:56" ht="9" customHeight="1" x14ac:dyDescent="0.25">
      <c r="B1" s="208" t="s">
        <v>14</v>
      </c>
    </row>
    <row r="2" spans="1:56" ht="45" customHeight="1" x14ac:dyDescent="0.25">
      <c r="B2" s="269" t="s">
        <v>13</v>
      </c>
      <c r="C2" s="270"/>
      <c r="K2" s="12"/>
    </row>
    <row r="3" spans="1:56" x14ac:dyDescent="0.25">
      <c r="B3" s="273" t="s">
        <v>190</v>
      </c>
      <c r="C3" s="274"/>
      <c r="D3" s="13"/>
      <c r="G3" s="14"/>
      <c r="H3" s="14"/>
    </row>
    <row r="4" spans="1:56" x14ac:dyDescent="0.25">
      <c r="B4" s="275" t="s">
        <v>181</v>
      </c>
      <c r="C4" s="276"/>
      <c r="D4" s="13"/>
      <c r="G4" s="14"/>
      <c r="H4" s="14"/>
      <c r="BD4" s="4" t="s">
        <v>14</v>
      </c>
    </row>
    <row r="5" spans="1:56" hidden="1" x14ac:dyDescent="0.25">
      <c r="B5" s="277"/>
      <c r="C5" s="278"/>
      <c r="D5" s="207"/>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4"/>
      <c r="C6" s="85"/>
      <c r="D6" s="13"/>
      <c r="E6" s="13"/>
      <c r="F6" s="13"/>
      <c r="G6" s="14"/>
      <c r="H6" s="14"/>
      <c r="I6" s="13"/>
      <c r="J6" s="13"/>
      <c r="K6" s="13"/>
      <c r="L6" s="13"/>
      <c r="M6" s="15"/>
      <c r="N6" s="13"/>
      <c r="O6" s="13"/>
      <c r="P6" s="13"/>
      <c r="Q6" s="13"/>
      <c r="R6" s="13"/>
      <c r="S6" s="13"/>
      <c r="T6" s="87"/>
      <c r="U6" s="86"/>
      <c r="V6" s="13"/>
      <c r="W6" s="87"/>
      <c r="X6" s="13"/>
      <c r="Y6" s="13"/>
      <c r="Z6" s="13"/>
      <c r="AA6" s="13"/>
      <c r="AB6" s="13"/>
    </row>
    <row r="7" spans="1:56" ht="14.45" hidden="1" customHeight="1" x14ac:dyDescent="0.25">
      <c r="B7" s="67"/>
      <c r="C7" s="79"/>
      <c r="D7" s="13"/>
      <c r="E7" s="13"/>
      <c r="F7" s="13"/>
      <c r="G7" s="13"/>
      <c r="H7" s="41"/>
      <c r="I7" s="41"/>
      <c r="J7" s="41"/>
      <c r="K7" s="41"/>
      <c r="L7" s="41"/>
      <c r="M7" s="41"/>
      <c r="N7" s="41"/>
      <c r="O7" s="41"/>
      <c r="P7" s="41"/>
      <c r="Q7" s="41"/>
      <c r="R7" s="41"/>
      <c r="S7" s="41"/>
      <c r="T7" s="87"/>
      <c r="U7" s="86"/>
      <c r="V7" s="41"/>
      <c r="W7" s="87"/>
      <c r="X7" s="41"/>
      <c r="Y7" s="41"/>
      <c r="Z7" s="41"/>
      <c r="AA7" s="41"/>
      <c r="AB7" s="41"/>
    </row>
    <row r="8" spans="1:56" ht="14.45" hidden="1" customHeight="1" x14ac:dyDescent="0.25">
      <c r="B8" s="67"/>
      <c r="C8" s="81"/>
      <c r="D8" s="13"/>
      <c r="E8" s="13"/>
      <c r="F8" s="16"/>
      <c r="G8" s="13"/>
      <c r="H8" s="41"/>
      <c r="I8" s="41"/>
      <c r="J8" s="41"/>
      <c r="K8" s="41"/>
      <c r="L8" s="41"/>
      <c r="M8" s="41"/>
      <c r="N8" s="41"/>
      <c r="O8" s="80"/>
      <c r="P8" s="41"/>
      <c r="Q8" s="41"/>
      <c r="R8" s="41"/>
      <c r="S8" s="29"/>
      <c r="T8" s="87"/>
      <c r="U8" s="89"/>
      <c r="V8" s="89"/>
      <c r="W8" s="29"/>
      <c r="X8" s="89"/>
      <c r="Y8" s="89"/>
      <c r="Z8" s="46"/>
      <c r="AA8" s="29"/>
      <c r="AB8" s="29"/>
    </row>
    <row r="9" spans="1:56" ht="14.45" hidden="1" customHeight="1" x14ac:dyDescent="0.25">
      <c r="B9" s="82"/>
      <c r="C9" s="83"/>
      <c r="D9" s="13"/>
      <c r="E9" s="13"/>
      <c r="F9" s="16"/>
      <c r="G9" s="13"/>
      <c r="H9" s="46"/>
      <c r="I9" s="46"/>
      <c r="J9" s="46"/>
      <c r="K9" s="46"/>
      <c r="L9" s="46"/>
      <c r="M9" s="46"/>
      <c r="N9" s="46"/>
      <c r="O9" s="46"/>
      <c r="P9" s="46"/>
      <c r="Q9" s="46"/>
      <c r="R9" s="46"/>
      <c r="S9" s="98"/>
      <c r="T9" s="234"/>
      <c r="U9" s="90"/>
      <c r="V9" s="90"/>
      <c r="W9" s="41"/>
      <c r="X9" s="90"/>
      <c r="Y9" s="90"/>
      <c r="Z9" s="41"/>
      <c r="AA9" s="90"/>
      <c r="AB9" s="46"/>
    </row>
    <row r="10" spans="1:56" ht="8.25" customHeight="1" x14ac:dyDescent="0.25">
      <c r="B10" s="208" t="s">
        <v>14</v>
      </c>
      <c r="D10" s="18"/>
      <c r="E10" s="18"/>
      <c r="F10" s="18"/>
      <c r="G10" s="18"/>
      <c r="H10" s="19"/>
      <c r="I10" s="18"/>
      <c r="J10" s="18"/>
      <c r="K10" s="18"/>
      <c r="L10" s="18"/>
      <c r="M10" s="18"/>
      <c r="N10" s="18"/>
      <c r="O10" s="18"/>
      <c r="P10" s="18"/>
      <c r="Q10" s="18"/>
      <c r="R10" s="18"/>
      <c r="S10" s="96"/>
      <c r="T10" s="96"/>
      <c r="U10" s="96"/>
      <c r="V10" s="96"/>
      <c r="W10" s="78"/>
      <c r="X10" s="96"/>
      <c r="Y10" s="18"/>
      <c r="Z10" s="18"/>
      <c r="AA10" s="97"/>
      <c r="AB10" s="13"/>
    </row>
    <row r="11" spans="1:56" ht="15.75" x14ac:dyDescent="0.25">
      <c r="A11" s="283"/>
      <c r="B11" s="247" t="s">
        <v>35</v>
      </c>
      <c r="C11" s="248"/>
      <c r="D11" s="26" t="s">
        <v>42</v>
      </c>
      <c r="E11" s="26" t="s">
        <v>43</v>
      </c>
      <c r="F11" s="26" t="s">
        <v>28</v>
      </c>
      <c r="G11" s="26" t="s">
        <v>29</v>
      </c>
      <c r="H11" s="73" t="s">
        <v>29</v>
      </c>
      <c r="I11" s="26" t="s">
        <v>30</v>
      </c>
      <c r="J11" s="26" t="s">
        <v>36</v>
      </c>
      <c r="K11" s="26" t="s">
        <v>25</v>
      </c>
      <c r="L11" s="26" t="s">
        <v>26</v>
      </c>
      <c r="M11" s="73" t="s">
        <v>26</v>
      </c>
      <c r="N11" s="26" t="s">
        <v>27</v>
      </c>
      <c r="O11" s="26" t="s">
        <v>49</v>
      </c>
      <c r="P11" s="26" t="s">
        <v>22</v>
      </c>
      <c r="Q11" s="26" t="s">
        <v>23</v>
      </c>
      <c r="R11" s="73" t="s">
        <v>23</v>
      </c>
      <c r="S11" s="26" t="s">
        <v>24</v>
      </c>
      <c r="T11" s="26" t="s">
        <v>183</v>
      </c>
      <c r="U11" s="28" t="s">
        <v>56</v>
      </c>
      <c r="V11" s="28" t="s">
        <v>57</v>
      </c>
      <c r="W11" s="75" t="s">
        <v>57</v>
      </c>
      <c r="X11" s="28" t="s">
        <v>58</v>
      </c>
      <c r="Y11" s="28" t="s">
        <v>59</v>
      </c>
      <c r="Z11" s="28" t="s">
        <v>60</v>
      </c>
      <c r="AA11" s="28" t="s">
        <v>61</v>
      </c>
      <c r="AB11" s="75" t="s">
        <v>61</v>
      </c>
    </row>
    <row r="12" spans="1:56" ht="17.45" customHeight="1" x14ac:dyDescent="0.4">
      <c r="A12" s="283"/>
      <c r="B12" s="251" t="s">
        <v>3</v>
      </c>
      <c r="C12" s="252"/>
      <c r="D12" s="27" t="s">
        <v>44</v>
      </c>
      <c r="E12" s="27" t="s">
        <v>45</v>
      </c>
      <c r="F12" s="27" t="s">
        <v>46</v>
      </c>
      <c r="G12" s="27" t="s">
        <v>47</v>
      </c>
      <c r="H12" s="74" t="s">
        <v>48</v>
      </c>
      <c r="I12" s="27" t="s">
        <v>37</v>
      </c>
      <c r="J12" s="27" t="s">
        <v>38</v>
      </c>
      <c r="K12" s="27" t="s">
        <v>39</v>
      </c>
      <c r="L12" s="27" t="s">
        <v>40</v>
      </c>
      <c r="M12" s="74" t="s">
        <v>41</v>
      </c>
      <c r="N12" s="27" t="s">
        <v>50</v>
      </c>
      <c r="O12" s="27" t="s">
        <v>51</v>
      </c>
      <c r="P12" s="27" t="s">
        <v>52</v>
      </c>
      <c r="Q12" s="27" t="s">
        <v>53</v>
      </c>
      <c r="R12" s="74" t="s">
        <v>54</v>
      </c>
      <c r="S12" s="27" t="s">
        <v>55</v>
      </c>
      <c r="T12" s="27" t="s">
        <v>182</v>
      </c>
      <c r="U12" s="25" t="s">
        <v>62</v>
      </c>
      <c r="V12" s="25" t="s">
        <v>63</v>
      </c>
      <c r="W12" s="76" t="s">
        <v>64</v>
      </c>
      <c r="X12" s="25" t="s">
        <v>65</v>
      </c>
      <c r="Y12" s="25" t="s">
        <v>66</v>
      </c>
      <c r="Z12" s="25" t="s">
        <v>67</v>
      </c>
      <c r="AA12" s="25" t="s">
        <v>68</v>
      </c>
      <c r="AB12" s="76" t="s">
        <v>69</v>
      </c>
    </row>
    <row r="13" spans="1:56" outlineLevel="1" x14ac:dyDescent="0.25">
      <c r="B13" s="257" t="s">
        <v>70</v>
      </c>
      <c r="C13" s="258"/>
      <c r="D13" s="103">
        <v>4210.6000000000004</v>
      </c>
      <c r="E13" s="103">
        <v>3944.2</v>
      </c>
      <c r="F13" s="103">
        <v>4181.6000000000004</v>
      </c>
      <c r="G13" s="103">
        <v>4507.8</v>
      </c>
      <c r="H13" s="104">
        <f>SUM(D13:G13)</f>
        <v>16844.2</v>
      </c>
      <c r="I13" s="103">
        <v>4469.3</v>
      </c>
      <c r="J13" s="103">
        <v>4195.3999999999996</v>
      </c>
      <c r="K13" s="103">
        <v>4509</v>
      </c>
      <c r="L13" s="103">
        <v>4477</v>
      </c>
      <c r="M13" s="104">
        <f>SUM(I13:L13)</f>
        <v>17650.7</v>
      </c>
      <c r="N13" s="103">
        <v>4741.8</v>
      </c>
      <c r="O13" s="103">
        <v>4828</v>
      </c>
      <c r="P13" s="103">
        <v>5060.3999999999996</v>
      </c>
      <c r="Q13" s="103">
        <v>5060.1400000000003</v>
      </c>
      <c r="R13" s="104">
        <f>SUM(N13:Q13)</f>
        <v>19690.34</v>
      </c>
      <c r="S13" s="103">
        <v>5370.3</v>
      </c>
      <c r="T13" s="103">
        <v>5159</v>
      </c>
      <c r="U13" s="103">
        <f>+U57+U91+U126+U166</f>
        <v>5461.1343729070595</v>
      </c>
      <c r="V13" s="103">
        <f>+V57+V91+V126+V166</f>
        <v>5492.8180957477034</v>
      </c>
      <c r="W13" s="104">
        <f>SUM(S13:V13)</f>
        <v>21483.252468654762</v>
      </c>
      <c r="X13" s="103">
        <f>+X57+X91+X126+X166</f>
        <v>5844.9451865810906</v>
      </c>
      <c r="Y13" s="103">
        <f>+Y57+Y91+Y126+Y166</f>
        <v>5571.3185709628951</v>
      </c>
      <c r="Z13" s="103">
        <f>+Z57+Z91+Z126+Z166</f>
        <v>5920.5079127156932</v>
      </c>
      <c r="AA13" s="103">
        <f>+AA57+AA91+AA126+AA166</f>
        <v>5964.8629030110378</v>
      </c>
      <c r="AB13" s="104">
        <f>SUM(X13:AA13)</f>
        <v>23301.63457327072</v>
      </c>
    </row>
    <row r="14" spans="1:56" outlineLevel="1" x14ac:dyDescent="0.25">
      <c r="B14" s="257" t="s">
        <v>71</v>
      </c>
      <c r="C14" s="258"/>
      <c r="D14" s="103">
        <v>540.6</v>
      </c>
      <c r="E14" s="103">
        <v>493.1</v>
      </c>
      <c r="F14" s="103">
        <v>527.20000000000005</v>
      </c>
      <c r="G14" s="103">
        <v>593.20000000000005</v>
      </c>
      <c r="H14" s="104">
        <f t="shared" ref="H14:H15" si="0">SUM(D14:G14)</f>
        <v>2154.1000000000004</v>
      </c>
      <c r="I14" s="103">
        <v>602.4</v>
      </c>
      <c r="J14" s="103">
        <v>546.70000000000005</v>
      </c>
      <c r="K14" s="103">
        <v>588.29999999999995</v>
      </c>
      <c r="L14" s="103">
        <v>617.6</v>
      </c>
      <c r="M14" s="104">
        <f t="shared" ref="M14:M15" si="1">SUM(I14:L14)</f>
        <v>2355</v>
      </c>
      <c r="N14" s="103">
        <v>682.4</v>
      </c>
      <c r="O14" s="103">
        <v>625.6</v>
      </c>
      <c r="P14" s="103">
        <v>660.6</v>
      </c>
      <c r="Q14" s="103">
        <v>683.61</v>
      </c>
      <c r="R14" s="104">
        <f t="shared" ref="R14:R15" si="2">SUM(N14:Q14)</f>
        <v>2652.21</v>
      </c>
      <c r="S14" s="103">
        <v>737.1</v>
      </c>
      <c r="T14" s="103">
        <v>678.2</v>
      </c>
      <c r="U14" s="103">
        <f>+U64+U98+U133+U168</f>
        <v>729.23116683162345</v>
      </c>
      <c r="V14" s="103">
        <f>+V64+V98+V133+V168</f>
        <v>756.29715315259546</v>
      </c>
      <c r="W14" s="104">
        <f t="shared" ref="W14:W15" si="3">SUM(S14:V14)</f>
        <v>2900.828319984219</v>
      </c>
      <c r="X14" s="103">
        <f>+X64+X98+X133+X168</f>
        <v>813.77916087893163</v>
      </c>
      <c r="Y14" s="103">
        <f>+Y64+Y98+Y133+Y168</f>
        <v>746.27211894772563</v>
      </c>
      <c r="Z14" s="103">
        <f>+Z64+Z98+Z133+Z168</f>
        <v>797.60022826530405</v>
      </c>
      <c r="AA14" s="103">
        <f>+AA64+AA98+AA133+AA168</f>
        <v>819.1955839246574</v>
      </c>
      <c r="AB14" s="104">
        <f t="shared" ref="AB14:AB15" si="4">SUM(X14:AA14)</f>
        <v>3176.8470920166187</v>
      </c>
    </row>
    <row r="15" spans="1:56" ht="17.25" outlineLevel="1" x14ac:dyDescent="0.4">
      <c r="B15" s="257" t="s">
        <v>33</v>
      </c>
      <c r="C15" s="258"/>
      <c r="D15" s="107">
        <v>622.29999999999995</v>
      </c>
      <c r="E15" s="107">
        <v>555.9</v>
      </c>
      <c r="F15" s="107">
        <v>529.20000000000005</v>
      </c>
      <c r="G15" s="107">
        <v>610.20000000000005</v>
      </c>
      <c r="H15" s="108">
        <f t="shared" si="0"/>
        <v>2317.6</v>
      </c>
      <c r="I15" s="107">
        <v>661.2</v>
      </c>
      <c r="J15" s="107">
        <v>551.9</v>
      </c>
      <c r="K15" s="107">
        <v>564.20000000000005</v>
      </c>
      <c r="L15" s="107">
        <v>603.70000000000005</v>
      </c>
      <c r="M15" s="108">
        <f t="shared" si="1"/>
        <v>2381</v>
      </c>
      <c r="N15" s="107">
        <v>649.5</v>
      </c>
      <c r="O15" s="107">
        <v>578.20000000000005</v>
      </c>
      <c r="P15" s="107">
        <v>589.29999999999995</v>
      </c>
      <c r="Q15" s="107">
        <v>559.9</v>
      </c>
      <c r="R15" s="108">
        <f t="shared" si="2"/>
        <v>2376.9</v>
      </c>
      <c r="S15" s="107">
        <v>525.29999999999995</v>
      </c>
      <c r="T15" s="107">
        <v>468.7</v>
      </c>
      <c r="U15" s="107">
        <f>+U65+U99+U134+U151+U170</f>
        <v>532.07189118049439</v>
      </c>
      <c r="V15" s="107">
        <f>+V65+V99+V134+V151+V170</f>
        <v>535.71579042963913</v>
      </c>
      <c r="W15" s="108">
        <f t="shared" si="3"/>
        <v>2061.7876816101334</v>
      </c>
      <c r="X15" s="107">
        <f>+X65+X99+X134+X151+X170</f>
        <v>554.0254013478675</v>
      </c>
      <c r="Y15" s="107">
        <f>+Y65+Y99+Y134+Y151+Y170</f>
        <v>496.62710420077929</v>
      </c>
      <c r="Z15" s="107">
        <f>+Z65+Z99+Z134+Z151+Z170</f>
        <v>562.37198649572201</v>
      </c>
      <c r="AA15" s="107">
        <f>+AA65+AA99+AA134+AA151+AA170</f>
        <v>566.48979114274346</v>
      </c>
      <c r="AB15" s="108">
        <f t="shared" si="4"/>
        <v>2179.5142831871121</v>
      </c>
      <c r="AC15" s="112"/>
    </row>
    <row r="16" spans="1:56" s="21" customFormat="1" x14ac:dyDescent="0.25">
      <c r="B16" s="281" t="s">
        <v>72</v>
      </c>
      <c r="C16" s="282"/>
      <c r="D16" s="105">
        <f>SUM(D13:D15)</f>
        <v>5373.5000000000009</v>
      </c>
      <c r="E16" s="105">
        <f t="shared" ref="E16:AB16" si="5">SUM(E13:E15)</f>
        <v>4993.2</v>
      </c>
      <c r="F16" s="105">
        <f t="shared" si="5"/>
        <v>5238</v>
      </c>
      <c r="G16" s="105">
        <f t="shared" si="5"/>
        <v>5711.2</v>
      </c>
      <c r="H16" s="106">
        <f t="shared" si="5"/>
        <v>21315.9</v>
      </c>
      <c r="I16" s="105">
        <f t="shared" si="5"/>
        <v>5732.9</v>
      </c>
      <c r="J16" s="105">
        <f t="shared" si="5"/>
        <v>5293.9999999999991</v>
      </c>
      <c r="K16" s="105">
        <f t="shared" si="5"/>
        <v>5661.5</v>
      </c>
      <c r="L16" s="105">
        <f t="shared" si="5"/>
        <v>5698.3</v>
      </c>
      <c r="M16" s="106">
        <f t="shared" si="5"/>
        <v>22386.7</v>
      </c>
      <c r="N16" s="105">
        <f t="shared" si="5"/>
        <v>6073.7</v>
      </c>
      <c r="O16" s="105">
        <f t="shared" si="5"/>
        <v>6031.8</v>
      </c>
      <c r="P16" s="105">
        <f t="shared" si="5"/>
        <v>6310.3</v>
      </c>
      <c r="Q16" s="105">
        <f t="shared" si="5"/>
        <v>6303.65</v>
      </c>
      <c r="R16" s="106">
        <f t="shared" si="5"/>
        <v>24719.45</v>
      </c>
      <c r="S16" s="105">
        <f t="shared" si="5"/>
        <v>6632.7000000000007</v>
      </c>
      <c r="T16" s="213">
        <f t="shared" si="5"/>
        <v>6305.9</v>
      </c>
      <c r="U16" s="213">
        <f>SUM(U13:U15)</f>
        <v>6722.4374309191771</v>
      </c>
      <c r="V16" s="213">
        <f t="shared" si="5"/>
        <v>6784.831039329938</v>
      </c>
      <c r="W16" s="231">
        <f t="shared" si="5"/>
        <v>26445.868470249115</v>
      </c>
      <c r="X16" s="213">
        <f t="shared" si="5"/>
        <v>7212.7497488078898</v>
      </c>
      <c r="Y16" s="213">
        <f>SUM(Y13:Y15)</f>
        <v>6814.2177941114005</v>
      </c>
      <c r="Z16" s="213">
        <f t="shared" si="5"/>
        <v>7280.4801274767196</v>
      </c>
      <c r="AA16" s="213">
        <f t="shared" si="5"/>
        <v>7350.5482780784387</v>
      </c>
      <c r="AB16" s="231">
        <f t="shared" si="5"/>
        <v>28657.99594847445</v>
      </c>
    </row>
    <row r="17" spans="2:28" ht="17.25" outlineLevel="1" x14ac:dyDescent="0.4">
      <c r="B17" s="257" t="s">
        <v>73</v>
      </c>
      <c r="C17" s="258"/>
      <c r="D17" s="107">
        <v>2186.1999999999998</v>
      </c>
      <c r="E17" s="107">
        <v>2010.3</v>
      </c>
      <c r="F17" s="107">
        <v>2060.3000000000002</v>
      </c>
      <c r="G17" s="107">
        <f>8509-6256.8</f>
        <v>2252.1999999999998</v>
      </c>
      <c r="H17" s="108">
        <f>SUM(D17:G17)</f>
        <v>8509</v>
      </c>
      <c r="I17" s="107">
        <v>2294</v>
      </c>
      <c r="J17" s="107">
        <v>2140.1999999999998</v>
      </c>
      <c r="K17" s="107">
        <v>2248</v>
      </c>
      <c r="L17" s="107">
        <v>2352.1</v>
      </c>
      <c r="M17" s="108">
        <f>SUM(I17:L17)</f>
        <v>9034.2999999999993</v>
      </c>
      <c r="N17" s="107">
        <v>2501.6999999999998</v>
      </c>
      <c r="O17" s="107">
        <v>2514.6999999999998</v>
      </c>
      <c r="P17" s="107">
        <v>2553.4</v>
      </c>
      <c r="Q17" s="107">
        <v>2604.6</v>
      </c>
      <c r="R17" s="108">
        <f>SUM(N17:Q17)</f>
        <v>10174.4</v>
      </c>
      <c r="S17" s="107">
        <v>2758.7</v>
      </c>
      <c r="T17" s="214">
        <v>2603.8000000000002</v>
      </c>
      <c r="U17" s="107">
        <f>+U71+U105+U139+U153+U172</f>
        <v>2734.3735374975631</v>
      </c>
      <c r="V17" s="107">
        <f>+V71+V105+V139+V153+V172</f>
        <v>2763.7352692154004</v>
      </c>
      <c r="W17" s="108">
        <f>SUM(S17:V17)</f>
        <v>10860.608806712964</v>
      </c>
      <c r="X17" s="107">
        <f>+X71+X105+X139+X153+X172</f>
        <v>2934.4124654341354</v>
      </c>
      <c r="Y17" s="107">
        <f>+Y71+Y105+Y139+Y153+Y172</f>
        <v>2786.5967111563118</v>
      </c>
      <c r="Z17" s="107">
        <f>+Z71+Z105+Z139+Z153+Z172</f>
        <v>2939.9274265696699</v>
      </c>
      <c r="AA17" s="107">
        <f>+AA71+AA105+AA139+AA153+AA172</f>
        <v>2974.3159388655267</v>
      </c>
      <c r="AB17" s="108">
        <f>SUM(X17:AA17)</f>
        <v>11635.252542025642</v>
      </c>
    </row>
    <row r="18" spans="2:28" s="21" customFormat="1" outlineLevel="1" x14ac:dyDescent="0.25">
      <c r="B18" s="65" t="s">
        <v>31</v>
      </c>
      <c r="C18" s="68"/>
      <c r="D18" s="105">
        <f>+D16-D17</f>
        <v>3187.3000000000011</v>
      </c>
      <c r="E18" s="105">
        <f t="shared" ref="E18:G18" si="6">+E16-E17</f>
        <v>2982.8999999999996</v>
      </c>
      <c r="F18" s="105">
        <f t="shared" si="6"/>
        <v>3177.7</v>
      </c>
      <c r="G18" s="105">
        <f t="shared" si="6"/>
        <v>3459</v>
      </c>
      <c r="H18" s="106">
        <f>+H16-H17</f>
        <v>12806.900000000001</v>
      </c>
      <c r="I18" s="105">
        <f>+I16-I17</f>
        <v>3438.8999999999996</v>
      </c>
      <c r="J18" s="105">
        <f t="shared" ref="J18" si="7">+J16-J17</f>
        <v>3153.7999999999993</v>
      </c>
      <c r="K18" s="105">
        <f t="shared" ref="K18" si="8">+K16-K17</f>
        <v>3413.5</v>
      </c>
      <c r="L18" s="105">
        <f t="shared" ref="L18" si="9">+L16-L17</f>
        <v>3346.2000000000003</v>
      </c>
      <c r="M18" s="106">
        <f>+M16-M17</f>
        <v>13352.400000000001</v>
      </c>
      <c r="N18" s="105">
        <f>+N16-N17</f>
        <v>3572</v>
      </c>
      <c r="O18" s="105">
        <f t="shared" ref="O18" si="10">+O16-O17</f>
        <v>3517.1000000000004</v>
      </c>
      <c r="P18" s="105">
        <f t="shared" ref="P18" si="11">+P16-P17</f>
        <v>3756.9</v>
      </c>
      <c r="Q18" s="105">
        <f t="shared" ref="Q18" si="12">+Q16-Q17</f>
        <v>3699.0499999999997</v>
      </c>
      <c r="R18" s="106">
        <f>+R16-R17</f>
        <v>14545.050000000001</v>
      </c>
      <c r="S18" s="105">
        <f>+S16-S17</f>
        <v>3874.0000000000009</v>
      </c>
      <c r="T18" s="213">
        <f t="shared" ref="T18:V18" si="13">+T16-T17</f>
        <v>3702.0999999999995</v>
      </c>
      <c r="U18" s="105">
        <f t="shared" si="13"/>
        <v>3988.063893421614</v>
      </c>
      <c r="V18" s="105">
        <f t="shared" si="13"/>
        <v>4021.0957701145376</v>
      </c>
      <c r="W18" s="106">
        <f>+W16-W17</f>
        <v>15585.259663536151</v>
      </c>
      <c r="X18" s="105">
        <f t="shared" ref="X18:AA18" si="14">+X16-X17</f>
        <v>4278.337283373754</v>
      </c>
      <c r="Y18" s="105">
        <f t="shared" si="14"/>
        <v>4027.6210829550887</v>
      </c>
      <c r="Z18" s="105">
        <f t="shared" si="14"/>
        <v>4340.5527009070502</v>
      </c>
      <c r="AA18" s="105">
        <f t="shared" si="14"/>
        <v>4376.2323392129119</v>
      </c>
      <c r="AB18" s="106">
        <f>+AB16-AB17</f>
        <v>17022.743406448808</v>
      </c>
    </row>
    <row r="19" spans="2:28" outlineLevel="1" x14ac:dyDescent="0.25">
      <c r="B19" s="100" t="s">
        <v>74</v>
      </c>
      <c r="C19" s="31"/>
      <c r="D19" s="103">
        <v>1506.2</v>
      </c>
      <c r="E19" s="103">
        <v>1466.4</v>
      </c>
      <c r="F19" s="103">
        <v>1529.4</v>
      </c>
      <c r="G19" s="103">
        <f>6064.3-4502</f>
        <v>1562.3000000000002</v>
      </c>
      <c r="H19" s="104">
        <f t="shared" ref="H19:H22" si="15">SUM(D19:G19)</f>
        <v>6064.3</v>
      </c>
      <c r="I19" s="103">
        <v>1638.2</v>
      </c>
      <c r="J19" s="103">
        <v>1586.4</v>
      </c>
      <c r="K19" s="103">
        <v>1628.9</v>
      </c>
      <c r="L19" s="103">
        <v>1639.8</v>
      </c>
      <c r="M19" s="104">
        <f t="shared" ref="M19:M22" si="16">SUM(I19:L19)</f>
        <v>6493.3</v>
      </c>
      <c r="N19" s="103">
        <v>1737</v>
      </c>
      <c r="O19" s="103">
        <v>1789.6</v>
      </c>
      <c r="P19" s="103">
        <v>1825</v>
      </c>
      <c r="Q19" s="103">
        <v>1841.6</v>
      </c>
      <c r="R19" s="104">
        <f t="shared" ref="R19:R22" si="17">SUM(N19:Q19)</f>
        <v>7193.2000000000007</v>
      </c>
      <c r="S19" s="103">
        <v>1993</v>
      </c>
      <c r="T19" s="215">
        <v>1949.6</v>
      </c>
      <c r="U19" s="103">
        <f t="shared" ref="U19:V23" si="18">+U72+U106+U140+U154+U173</f>
        <v>2013.9479963641832</v>
      </c>
      <c r="V19" s="103">
        <f t="shared" si="18"/>
        <v>2029.6113233300514</v>
      </c>
      <c r="W19" s="104">
        <f t="shared" ref="W19:W22" si="19">SUM(S19:V19)</f>
        <v>7986.159319694234</v>
      </c>
      <c r="X19" s="103">
        <f t="shared" ref="X19:AA23" si="20">+X72+X106+X140+X154+X173</f>
        <v>2178.4432964573866</v>
      </c>
      <c r="Y19" s="103">
        <f t="shared" si="20"/>
        <v>2084.4752343927025</v>
      </c>
      <c r="Z19" s="103">
        <f t="shared" si="20"/>
        <v>2166.4230151118386</v>
      </c>
      <c r="AA19" s="103">
        <f t="shared" si="20"/>
        <v>2185.2523712220996</v>
      </c>
      <c r="AB19" s="104">
        <f t="shared" ref="AB19:AB22" si="21">SUM(X19:AA19)</f>
        <v>8614.5939171840273</v>
      </c>
    </row>
    <row r="20" spans="2:28" outlineLevel="1" x14ac:dyDescent="0.25">
      <c r="B20" s="100" t="s">
        <v>75</v>
      </c>
      <c r="C20" s="31"/>
      <c r="D20" s="103">
        <v>146.19999999999999</v>
      </c>
      <c r="E20" s="103">
        <v>139.6</v>
      </c>
      <c r="F20" s="103">
        <v>137.5</v>
      </c>
      <c r="G20" s="103">
        <f>499.2-423.3</f>
        <v>75.899999999999977</v>
      </c>
      <c r="H20" s="104">
        <f t="shared" si="15"/>
        <v>499.19999999999993</v>
      </c>
      <c r="I20" s="103">
        <v>133.30000000000001</v>
      </c>
      <c r="J20" s="103">
        <v>123.1</v>
      </c>
      <c r="K20" s="103">
        <v>129.4</v>
      </c>
      <c r="L20" s="103">
        <v>114.4</v>
      </c>
      <c r="M20" s="104">
        <f t="shared" si="16"/>
        <v>500.19999999999993</v>
      </c>
      <c r="N20" s="103">
        <v>129.5</v>
      </c>
      <c r="O20" s="103">
        <v>120.8</v>
      </c>
      <c r="P20" s="103">
        <v>132.30000000000001</v>
      </c>
      <c r="Q20" s="103">
        <v>156.69999999999999</v>
      </c>
      <c r="R20" s="104">
        <f t="shared" si="17"/>
        <v>539.29999999999995</v>
      </c>
      <c r="S20" s="103">
        <v>93.2</v>
      </c>
      <c r="T20" s="215">
        <v>82.3</v>
      </c>
      <c r="U20" s="103">
        <f t="shared" si="18"/>
        <v>88.632183126974454</v>
      </c>
      <c r="V20" s="103">
        <f t="shared" si="18"/>
        <v>90.165127768753678</v>
      </c>
      <c r="W20" s="104">
        <f t="shared" si="19"/>
        <v>354.29731089572812</v>
      </c>
      <c r="X20" s="103">
        <f t="shared" si="20"/>
        <v>92.454396823523908</v>
      </c>
      <c r="Y20" s="103">
        <f t="shared" si="20"/>
        <v>85.146293457852352</v>
      </c>
      <c r="Z20" s="103">
        <f t="shared" si="20"/>
        <v>91.699631365404144</v>
      </c>
      <c r="AA20" s="103">
        <f t="shared" si="20"/>
        <v>92.436871520898066</v>
      </c>
      <c r="AB20" s="104">
        <f t="shared" si="21"/>
        <v>361.73719316767847</v>
      </c>
    </row>
    <row r="21" spans="2:28" outlineLevel="1" x14ac:dyDescent="0.25">
      <c r="B21" s="100" t="s">
        <v>76</v>
      </c>
      <c r="C21" s="31"/>
      <c r="D21" s="103">
        <v>235.5</v>
      </c>
      <c r="E21" s="103">
        <v>247.8</v>
      </c>
      <c r="F21" s="103">
        <v>247.6</v>
      </c>
      <c r="G21" s="103">
        <f>980.8-730.9</f>
        <v>249.89999999999998</v>
      </c>
      <c r="H21" s="104">
        <f t="shared" ref="H21" si="22">SUM(D21:G21)</f>
        <v>980.8</v>
      </c>
      <c r="I21" s="103">
        <v>249.7</v>
      </c>
      <c r="J21" s="103">
        <v>253.6</v>
      </c>
      <c r="K21" s="103">
        <v>252.6</v>
      </c>
      <c r="L21" s="103">
        <v>255.4</v>
      </c>
      <c r="M21" s="104">
        <f t="shared" ref="M21" si="23">SUM(I21:L21)</f>
        <v>1011.3</v>
      </c>
      <c r="N21" s="103">
        <v>258.8</v>
      </c>
      <c r="O21" s="103">
        <v>331.6</v>
      </c>
      <c r="P21" s="103">
        <v>330</v>
      </c>
      <c r="Q21" s="103">
        <v>326.60000000000002</v>
      </c>
      <c r="R21" s="104">
        <f t="shared" ref="R21" si="24">SUM(N21:Q21)</f>
        <v>1247</v>
      </c>
      <c r="S21" s="103">
        <v>333.4</v>
      </c>
      <c r="T21" s="215">
        <v>356.2</v>
      </c>
      <c r="U21" s="103">
        <f t="shared" si="18"/>
        <v>368.40361803305711</v>
      </c>
      <c r="V21" s="103">
        <f t="shared" si="18"/>
        <v>382.60840806221</v>
      </c>
      <c r="W21" s="104">
        <f t="shared" ref="W21" si="25">SUM(S21:V21)</f>
        <v>1440.6120260952671</v>
      </c>
      <c r="X21" s="103">
        <f t="shared" si="20"/>
        <v>391.81671547293575</v>
      </c>
      <c r="Y21" s="103">
        <f t="shared" si="20"/>
        <v>402.68079777523428</v>
      </c>
      <c r="Z21" s="103">
        <f t="shared" si="20"/>
        <v>400.91410425530529</v>
      </c>
      <c r="AA21" s="103">
        <f t="shared" si="20"/>
        <v>401.54769161816705</v>
      </c>
      <c r="AB21" s="104">
        <f t="shared" ref="AB21" si="26">SUM(X21:AA21)</f>
        <v>1596.9593091216425</v>
      </c>
    </row>
    <row r="22" spans="2:28" ht="17.25" customHeight="1" outlineLevel="1" x14ac:dyDescent="0.25">
      <c r="B22" s="100" t="s">
        <v>184</v>
      </c>
      <c r="C22" s="31"/>
      <c r="D22" s="103">
        <v>305.5</v>
      </c>
      <c r="E22" s="103">
        <v>330.5</v>
      </c>
      <c r="F22" s="103">
        <v>323.39999999999998</v>
      </c>
      <c r="G22" s="103">
        <f>1408.9-959.4</f>
        <v>449.50000000000011</v>
      </c>
      <c r="H22" s="104">
        <f t="shared" si="15"/>
        <v>1408.9</v>
      </c>
      <c r="I22" s="103">
        <v>369.5</v>
      </c>
      <c r="J22" s="103">
        <v>339.4</v>
      </c>
      <c r="K22" s="103">
        <v>339.2</v>
      </c>
      <c r="L22" s="103">
        <v>402.7</v>
      </c>
      <c r="M22" s="104">
        <f t="shared" si="16"/>
        <v>1450.8</v>
      </c>
      <c r="N22" s="103">
        <v>392.4</v>
      </c>
      <c r="O22" s="103">
        <v>420.6</v>
      </c>
      <c r="P22" s="103">
        <v>485.9</v>
      </c>
      <c r="Q22" s="103">
        <v>460</v>
      </c>
      <c r="R22" s="104">
        <f t="shared" si="17"/>
        <v>1758.9</v>
      </c>
      <c r="S22" s="103">
        <v>463.3</v>
      </c>
      <c r="T22" s="215">
        <v>475.6</v>
      </c>
      <c r="U22" s="103">
        <f t="shared" si="18"/>
        <v>468.75077300886721</v>
      </c>
      <c r="V22" s="103">
        <f t="shared" si="18"/>
        <v>475.81013748886642</v>
      </c>
      <c r="W22" s="104">
        <f t="shared" si="19"/>
        <v>1883.4609104977339</v>
      </c>
      <c r="X22" s="103">
        <f t="shared" si="20"/>
        <v>484.33518718017581</v>
      </c>
      <c r="Y22" s="103">
        <f t="shared" si="20"/>
        <v>479.61661139993953</v>
      </c>
      <c r="Z22" s="103">
        <f t="shared" si="20"/>
        <v>487.3485094741136</v>
      </c>
      <c r="AA22" s="103">
        <f t="shared" si="20"/>
        <v>490.37783403405456</v>
      </c>
      <c r="AB22" s="230">
        <f t="shared" si="21"/>
        <v>1941.6781420882835</v>
      </c>
    </row>
    <row r="23" spans="2:28" ht="17.25" customHeight="1" outlineLevel="1" x14ac:dyDescent="0.4">
      <c r="B23" s="100" t="s">
        <v>85</v>
      </c>
      <c r="C23" s="31"/>
      <c r="D23" s="107">
        <v>0</v>
      </c>
      <c r="E23" s="107">
        <v>0</v>
      </c>
      <c r="F23" s="107">
        <v>0</v>
      </c>
      <c r="G23" s="107">
        <v>0</v>
      </c>
      <c r="H23" s="108">
        <f t="shared" ref="H23" si="27">SUM(D23:G23)</f>
        <v>0</v>
      </c>
      <c r="I23" s="107">
        <v>0</v>
      </c>
      <c r="J23" s="107">
        <v>0</v>
      </c>
      <c r="K23" s="107">
        <v>120.2</v>
      </c>
      <c r="L23" s="107">
        <v>33.299999999999997</v>
      </c>
      <c r="M23" s="108">
        <f t="shared" ref="M23" si="28">SUM(I23:L23)</f>
        <v>153.5</v>
      </c>
      <c r="N23" s="107">
        <v>27.6</v>
      </c>
      <c r="O23" s="107">
        <v>134.69999999999999</v>
      </c>
      <c r="P23" s="107">
        <v>16.899999999999999</v>
      </c>
      <c r="Q23" s="107">
        <v>45.2</v>
      </c>
      <c r="R23" s="108">
        <f t="shared" ref="R23" si="29">SUM(N23:Q23)</f>
        <v>224.39999999999998</v>
      </c>
      <c r="S23" s="107">
        <v>43.2</v>
      </c>
      <c r="T23" s="214">
        <v>43</v>
      </c>
      <c r="U23" s="107">
        <f t="shared" si="18"/>
        <v>53.170914282240609</v>
      </c>
      <c r="V23" s="107">
        <f t="shared" si="18"/>
        <v>55.568767053342796</v>
      </c>
      <c r="W23" s="108">
        <f t="shared" ref="W23" si="30">SUM(S23:V23)</f>
        <v>194.93968133558343</v>
      </c>
      <c r="X23" s="107">
        <f t="shared" si="20"/>
        <v>54.388137487371836</v>
      </c>
      <c r="Y23" s="107">
        <f t="shared" si="20"/>
        <v>47.452235978800196</v>
      </c>
      <c r="Z23" s="107">
        <f t="shared" si="20"/>
        <v>53.150398290468871</v>
      </c>
      <c r="AA23" s="107">
        <f t="shared" si="20"/>
        <v>52.99580307730308</v>
      </c>
      <c r="AB23" s="108">
        <f t="shared" ref="AB23" si="31">SUM(X23:AA23)</f>
        <v>207.98657483394396</v>
      </c>
    </row>
    <row r="24" spans="2:28" s="35" customFormat="1" ht="17.25" customHeight="1" x14ac:dyDescent="0.4">
      <c r="B24" s="101" t="s">
        <v>10</v>
      </c>
      <c r="C24" s="34"/>
      <c r="D24" s="109">
        <f>SUM(D19:D23)+D17</f>
        <v>4379.6000000000004</v>
      </c>
      <c r="E24" s="109">
        <f t="shared" ref="E24:AB24" si="32">SUM(E19:E23)+E17</f>
        <v>4194.6000000000004</v>
      </c>
      <c r="F24" s="109">
        <f t="shared" si="32"/>
        <v>4298.2000000000007</v>
      </c>
      <c r="G24" s="109">
        <f t="shared" si="32"/>
        <v>4589.8</v>
      </c>
      <c r="H24" s="110">
        <f t="shared" si="32"/>
        <v>17462.2</v>
      </c>
      <c r="I24" s="109">
        <f>SUM(I19:I23)+I17</f>
        <v>4684.7</v>
      </c>
      <c r="J24" s="109">
        <f t="shared" si="32"/>
        <v>4442.7</v>
      </c>
      <c r="K24" s="109">
        <f t="shared" si="32"/>
        <v>4718.2999999999993</v>
      </c>
      <c r="L24" s="109">
        <f t="shared" si="32"/>
        <v>4797.7000000000007</v>
      </c>
      <c r="M24" s="110">
        <f t="shared" si="32"/>
        <v>18643.400000000001</v>
      </c>
      <c r="N24" s="109">
        <f t="shared" si="32"/>
        <v>5047</v>
      </c>
      <c r="O24" s="109">
        <f t="shared" si="32"/>
        <v>5312</v>
      </c>
      <c r="P24" s="109">
        <f t="shared" si="32"/>
        <v>5343.5</v>
      </c>
      <c r="Q24" s="109">
        <f t="shared" si="32"/>
        <v>5434.7</v>
      </c>
      <c r="R24" s="110">
        <f>SUM(R19:R23)+R17</f>
        <v>21137.199999999997</v>
      </c>
      <c r="S24" s="109">
        <f t="shared" si="32"/>
        <v>5684.7999999999993</v>
      </c>
      <c r="T24" s="216">
        <f t="shared" si="32"/>
        <v>5510.5</v>
      </c>
      <c r="U24" s="109">
        <f t="shared" ref="U24:V24" si="33">SUM(U19:U23)+U17</f>
        <v>5727.2790223128859</v>
      </c>
      <c r="V24" s="109">
        <f t="shared" si="33"/>
        <v>5797.4990329186248</v>
      </c>
      <c r="W24" s="110">
        <f t="shared" si="32"/>
        <v>22720.078055231512</v>
      </c>
      <c r="X24" s="109">
        <f t="shared" ref="X24:AA24" si="34">SUM(X19:X23)+X17</f>
        <v>6135.850198855529</v>
      </c>
      <c r="Y24" s="109">
        <f t="shared" si="34"/>
        <v>5885.9678841608402</v>
      </c>
      <c r="Z24" s="109">
        <f t="shared" si="34"/>
        <v>6139.4630850668</v>
      </c>
      <c r="AA24" s="109">
        <f t="shared" si="34"/>
        <v>6196.9265103380494</v>
      </c>
      <c r="AB24" s="110">
        <f t="shared" si="32"/>
        <v>24358.207678421219</v>
      </c>
    </row>
    <row r="25" spans="2:28" s="38" customFormat="1" ht="17.25" customHeight="1" x14ac:dyDescent="0.4">
      <c r="B25" s="265" t="s">
        <v>78</v>
      </c>
      <c r="C25" s="266"/>
      <c r="D25" s="107">
        <v>64.099999999999994</v>
      </c>
      <c r="E25" s="107">
        <v>65.599999999999994</v>
      </c>
      <c r="F25" s="107">
        <v>82.5</v>
      </c>
      <c r="G25" s="107">
        <f>318.2-212.2</f>
        <v>106</v>
      </c>
      <c r="H25" s="108">
        <f t="shared" ref="H25" si="35">SUM(D25:G25)</f>
        <v>318.2</v>
      </c>
      <c r="I25" s="107">
        <v>84.4</v>
      </c>
      <c r="J25" s="107">
        <v>84.1</v>
      </c>
      <c r="K25" s="107">
        <v>101</v>
      </c>
      <c r="L25" s="107">
        <v>121.9</v>
      </c>
      <c r="M25" s="108">
        <f t="shared" ref="M25" si="36">SUM(I25:L25)</f>
        <v>391.4</v>
      </c>
      <c r="N25" s="107">
        <v>89.4</v>
      </c>
      <c r="O25" s="107">
        <v>52.7</v>
      </c>
      <c r="P25" s="107">
        <v>71.400000000000006</v>
      </c>
      <c r="Q25" s="107">
        <v>87.7</v>
      </c>
      <c r="R25" s="108">
        <f t="shared" ref="R25" si="37">SUM(N25:Q25)</f>
        <v>301.20000000000005</v>
      </c>
      <c r="S25" s="107">
        <v>67.8</v>
      </c>
      <c r="T25" s="214">
        <v>62.3</v>
      </c>
      <c r="U25" s="107">
        <f t="shared" ref="U25:V25" si="38">+U112+U160</f>
        <v>72.300000000000011</v>
      </c>
      <c r="V25" s="107">
        <f t="shared" si="38"/>
        <v>72.525000000000006</v>
      </c>
      <c r="W25" s="108">
        <f t="shared" ref="W25" si="39">SUM(S25:V25)</f>
        <v>274.92500000000001</v>
      </c>
      <c r="X25" s="107">
        <f>+X112+X160</f>
        <v>68.731250000000017</v>
      </c>
      <c r="Y25" s="107">
        <f t="shared" ref="Y25:AA25" si="40">+Y112+Y160</f>
        <v>68.964062500000011</v>
      </c>
      <c r="Z25" s="107">
        <f t="shared" si="40"/>
        <v>70.630078125000011</v>
      </c>
      <c r="AA25" s="107">
        <f t="shared" si="40"/>
        <v>70.212597656250011</v>
      </c>
      <c r="AB25" s="108">
        <f t="shared" ref="AB25" si="41">SUM(X25:AA25)</f>
        <v>278.53798828125002</v>
      </c>
    </row>
    <row r="26" spans="2:28" x14ac:dyDescent="0.25">
      <c r="B26" s="67" t="s">
        <v>17</v>
      </c>
      <c r="C26" s="32"/>
      <c r="D26" s="105">
        <f>D16-D24+D25</f>
        <v>1058.0000000000005</v>
      </c>
      <c r="E26" s="105">
        <f t="shared" ref="E26:AB26" si="42">E16-E24+E25</f>
        <v>864.19999999999948</v>
      </c>
      <c r="F26" s="105">
        <f t="shared" si="42"/>
        <v>1022.2999999999993</v>
      </c>
      <c r="G26" s="105">
        <f t="shared" si="42"/>
        <v>1227.3999999999996</v>
      </c>
      <c r="H26" s="106">
        <f t="shared" si="42"/>
        <v>4171.9000000000005</v>
      </c>
      <c r="I26" s="105">
        <f t="shared" si="42"/>
        <v>1132.5999999999999</v>
      </c>
      <c r="J26" s="105">
        <f t="shared" si="42"/>
        <v>935.3999999999993</v>
      </c>
      <c r="K26" s="105">
        <f t="shared" si="42"/>
        <v>1044.2000000000007</v>
      </c>
      <c r="L26" s="105">
        <f t="shared" si="42"/>
        <v>1022.4999999999994</v>
      </c>
      <c r="M26" s="106">
        <f t="shared" si="42"/>
        <v>4134.6999999999989</v>
      </c>
      <c r="N26" s="105">
        <f>N16-N24+N25</f>
        <v>1116.0999999999999</v>
      </c>
      <c r="O26" s="105">
        <f t="shared" si="42"/>
        <v>772.50000000000023</v>
      </c>
      <c r="P26" s="105">
        <f t="shared" si="42"/>
        <v>1038.2000000000003</v>
      </c>
      <c r="Q26" s="105">
        <f t="shared" si="42"/>
        <v>956.64999999999986</v>
      </c>
      <c r="R26" s="106">
        <f>R16-R24+R25</f>
        <v>3883.4500000000035</v>
      </c>
      <c r="S26" s="105">
        <f t="shared" si="42"/>
        <v>1015.7000000000014</v>
      </c>
      <c r="T26" s="213">
        <f t="shared" si="42"/>
        <v>857.69999999999959</v>
      </c>
      <c r="U26" s="105">
        <f t="shared" si="42"/>
        <v>1067.4584086062912</v>
      </c>
      <c r="V26" s="105">
        <f t="shared" si="42"/>
        <v>1059.8570064113133</v>
      </c>
      <c r="W26" s="106">
        <f t="shared" si="42"/>
        <v>4000.7154150176038</v>
      </c>
      <c r="X26" s="105">
        <f t="shared" si="42"/>
        <v>1145.6307999523608</v>
      </c>
      <c r="Y26" s="105">
        <f t="shared" si="42"/>
        <v>997.21397245056028</v>
      </c>
      <c r="Z26" s="105">
        <f t="shared" si="42"/>
        <v>1211.6471205349196</v>
      </c>
      <c r="AA26" s="105">
        <f t="shared" si="42"/>
        <v>1223.8343653966392</v>
      </c>
      <c r="AB26" s="106">
        <f t="shared" si="42"/>
        <v>4578.3262583344822</v>
      </c>
    </row>
    <row r="27" spans="2:28" ht="17.25" x14ac:dyDescent="0.4">
      <c r="B27" s="187" t="s">
        <v>167</v>
      </c>
      <c r="C27" s="188"/>
      <c r="D27" s="189">
        <f>+D212</f>
        <v>12.3</v>
      </c>
      <c r="E27" s="189">
        <f>+E212</f>
        <v>13.9</v>
      </c>
      <c r="F27" s="189">
        <f>+F212</f>
        <v>17.3</v>
      </c>
      <c r="G27" s="189">
        <f>+G212</f>
        <v>-120.60000000000001</v>
      </c>
      <c r="H27" s="190">
        <f>SUM(D27:G27)</f>
        <v>-77.100000000000009</v>
      </c>
      <c r="I27" s="189">
        <f>+I212</f>
        <v>14</v>
      </c>
      <c r="J27" s="189">
        <f>+J212</f>
        <v>13.8</v>
      </c>
      <c r="K27" s="189">
        <f>+K212</f>
        <v>134.19999999999999</v>
      </c>
      <c r="L27" s="189">
        <f>+L212</f>
        <v>115.8</v>
      </c>
      <c r="M27" s="190">
        <f>SUM(I27:L27)</f>
        <v>277.8</v>
      </c>
      <c r="N27" s="189">
        <f>+N212</f>
        <v>51.4</v>
      </c>
      <c r="O27" s="189">
        <f>+O212</f>
        <v>204.6</v>
      </c>
      <c r="P27" s="189">
        <f>+P212</f>
        <v>131.69999999999999</v>
      </c>
      <c r="Q27" s="189">
        <f>+Q212</f>
        <v>186.5</v>
      </c>
      <c r="R27" s="190">
        <f>SUM(N27:Q27)</f>
        <v>574.20000000000005</v>
      </c>
      <c r="S27" s="189">
        <f>+S212</f>
        <v>138</v>
      </c>
      <c r="T27" s="217">
        <f>+T212</f>
        <v>141.4</v>
      </c>
      <c r="U27" s="189">
        <f>+U212</f>
        <v>120.33885419088347</v>
      </c>
      <c r="V27" s="189">
        <f>+V212</f>
        <v>140.45267287910332</v>
      </c>
      <c r="W27" s="190">
        <f>SUM(S27:V27)</f>
        <v>540.19152706998671</v>
      </c>
      <c r="X27" s="189">
        <f>+X212</f>
        <v>135.42664834521531</v>
      </c>
      <c r="Y27" s="189">
        <f>+Y212</f>
        <v>115.7248251268619</v>
      </c>
      <c r="Z27" s="189">
        <f>+Z212</f>
        <v>138.491134725546</v>
      </c>
      <c r="AA27" s="189">
        <f>+AA212</f>
        <v>142.87973864398879</v>
      </c>
      <c r="AB27" s="190">
        <f>SUM(X27:AA27)</f>
        <v>532.52234684161203</v>
      </c>
    </row>
    <row r="28" spans="2:28" x14ac:dyDescent="0.25">
      <c r="B28" s="185" t="s">
        <v>168</v>
      </c>
      <c r="C28" s="175"/>
      <c r="D28" s="176">
        <f>+D26+D27</f>
        <v>1070.3000000000004</v>
      </c>
      <c r="E28" s="176">
        <f t="shared" ref="E28:AA28" si="43">+E26+E27</f>
        <v>878.09999999999945</v>
      </c>
      <c r="F28" s="176">
        <f t="shared" si="43"/>
        <v>1039.5999999999992</v>
      </c>
      <c r="G28" s="176">
        <f t="shared" si="43"/>
        <v>1106.7999999999997</v>
      </c>
      <c r="H28" s="177">
        <f t="shared" si="43"/>
        <v>4094.8000000000006</v>
      </c>
      <c r="I28" s="176">
        <f t="shared" si="43"/>
        <v>1146.5999999999999</v>
      </c>
      <c r="J28" s="176">
        <f t="shared" si="43"/>
        <v>949.19999999999925</v>
      </c>
      <c r="K28" s="176">
        <f t="shared" si="43"/>
        <v>1178.4000000000008</v>
      </c>
      <c r="L28" s="176">
        <f t="shared" si="43"/>
        <v>1138.2999999999995</v>
      </c>
      <c r="M28" s="177">
        <f t="shared" ref="M28" si="44">+M26+M27</f>
        <v>4412.4999999999991</v>
      </c>
      <c r="N28" s="176">
        <f t="shared" si="43"/>
        <v>1167.5</v>
      </c>
      <c r="O28" s="176">
        <f t="shared" si="43"/>
        <v>977.10000000000025</v>
      </c>
      <c r="P28" s="176">
        <f t="shared" si="43"/>
        <v>1169.9000000000003</v>
      </c>
      <c r="Q28" s="176">
        <f t="shared" si="43"/>
        <v>1143.1499999999999</v>
      </c>
      <c r="R28" s="177">
        <f t="shared" ref="R28" si="45">+R26+R27</f>
        <v>4457.6500000000033</v>
      </c>
      <c r="S28" s="176">
        <f t="shared" si="43"/>
        <v>1153.7000000000014</v>
      </c>
      <c r="T28" s="218">
        <f t="shared" si="43"/>
        <v>999.09999999999957</v>
      </c>
      <c r="U28" s="176">
        <f t="shared" si="43"/>
        <v>1187.7972627971747</v>
      </c>
      <c r="V28" s="176">
        <f t="shared" si="43"/>
        <v>1200.3096792904166</v>
      </c>
      <c r="W28" s="177">
        <f t="shared" ref="W28" si="46">+W26+W27</f>
        <v>4540.9069420875903</v>
      </c>
      <c r="X28" s="176">
        <f t="shared" si="43"/>
        <v>1281.0574482975762</v>
      </c>
      <c r="Y28" s="176">
        <f t="shared" si="43"/>
        <v>1112.9387975774221</v>
      </c>
      <c r="Z28" s="176">
        <f t="shared" si="43"/>
        <v>1350.1382552604657</v>
      </c>
      <c r="AA28" s="176">
        <f t="shared" si="43"/>
        <v>1366.7141040406279</v>
      </c>
      <c r="AB28" s="177">
        <f t="shared" ref="AB28" si="47">+AB26+AB27</f>
        <v>5110.8486051760938</v>
      </c>
    </row>
    <row r="29" spans="2:28" x14ac:dyDescent="0.25">
      <c r="B29" s="69" t="s">
        <v>150</v>
      </c>
      <c r="C29" s="31"/>
      <c r="D29" s="103">
        <v>0</v>
      </c>
      <c r="E29" s="103">
        <v>0</v>
      </c>
      <c r="F29" s="103">
        <v>0</v>
      </c>
      <c r="G29" s="103">
        <v>5.4</v>
      </c>
      <c r="H29" s="104">
        <f>SUM(D29:G29)</f>
        <v>5.4</v>
      </c>
      <c r="I29" s="103">
        <v>0</v>
      </c>
      <c r="J29" s="103">
        <v>0</v>
      </c>
      <c r="K29" s="103">
        <v>0</v>
      </c>
      <c r="L29" s="103">
        <v>93.5</v>
      </c>
      <c r="M29" s="104">
        <f>SUM(I29:L29)</f>
        <v>93.5</v>
      </c>
      <c r="N29" s="103">
        <f>1326.3+501.2</f>
        <v>1827.5</v>
      </c>
      <c r="O29" s="103">
        <f>47.6-4.9</f>
        <v>42.7</v>
      </c>
      <c r="P29" s="103">
        <v>2.5</v>
      </c>
      <c r="Q29" s="103">
        <v>2.9</v>
      </c>
      <c r="R29" s="104">
        <f>SUM(N29:Q29)</f>
        <v>1875.6000000000001</v>
      </c>
      <c r="S29" s="103">
        <v>0</v>
      </c>
      <c r="T29" s="215">
        <v>21</v>
      </c>
      <c r="U29" s="197">
        <v>0</v>
      </c>
      <c r="V29" s="197">
        <v>0</v>
      </c>
      <c r="W29" s="104">
        <f>SUM(S29:V29)</f>
        <v>21</v>
      </c>
      <c r="X29" s="197">
        <v>0</v>
      </c>
      <c r="Y29" s="197">
        <v>0</v>
      </c>
      <c r="Z29" s="197">
        <v>0</v>
      </c>
      <c r="AA29" s="197">
        <v>0</v>
      </c>
      <c r="AB29" s="104">
        <f>SUM(X29:AA29)</f>
        <v>0</v>
      </c>
    </row>
    <row r="30" spans="2:28" x14ac:dyDescent="0.25">
      <c r="B30" s="69" t="s">
        <v>79</v>
      </c>
      <c r="C30" s="31"/>
      <c r="D30" s="103">
        <v>8.1</v>
      </c>
      <c r="E30" s="103">
        <v>14.5</v>
      </c>
      <c r="F30" s="103">
        <v>72.900000000000006</v>
      </c>
      <c r="G30" s="103">
        <f>102.6-95.5</f>
        <v>7.0999999999999943</v>
      </c>
      <c r="H30" s="104">
        <f t="shared" ref="H30" si="48">SUM(D30:G30)</f>
        <v>102.6</v>
      </c>
      <c r="I30" s="103">
        <v>24.1</v>
      </c>
      <c r="J30" s="103">
        <v>67.900000000000006</v>
      </c>
      <c r="K30" s="103">
        <v>31.7</v>
      </c>
      <c r="L30" s="103">
        <f>181.8-123.7</f>
        <v>58.100000000000009</v>
      </c>
      <c r="M30" s="104">
        <f t="shared" ref="M30" si="49">SUM(I30:L30)</f>
        <v>181.8</v>
      </c>
      <c r="N30" s="103">
        <f>88.2</f>
        <v>88.2</v>
      </c>
      <c r="O30" s="103">
        <v>35.5</v>
      </c>
      <c r="P30" s="103">
        <v>31.5</v>
      </c>
      <c r="Q30" s="103">
        <f>36.2</f>
        <v>36.200000000000003</v>
      </c>
      <c r="R30" s="104">
        <f t="shared" ref="R30" si="50">SUM(N30:Q30)</f>
        <v>191.39999999999998</v>
      </c>
      <c r="S30" s="103">
        <v>24.8</v>
      </c>
      <c r="T30" s="215">
        <v>15.2</v>
      </c>
      <c r="U30" s="197">
        <v>7.1507700000000112</v>
      </c>
      <c r="V30" s="197">
        <v>3.7680232851217896</v>
      </c>
      <c r="W30" s="104">
        <f t="shared" ref="W30" si="51">SUM(S30:V30)</f>
        <v>50.918793285121801</v>
      </c>
      <c r="X30" s="197">
        <v>3.9825317150279838</v>
      </c>
      <c r="Y30" s="197">
        <v>4.977733280835154</v>
      </c>
      <c r="Z30" s="197">
        <v>4.2477689037100674</v>
      </c>
      <c r="AA30" s="197">
        <v>3.6554888206344516</v>
      </c>
      <c r="AB30" s="104">
        <f t="shared" ref="AB30" si="52">SUM(X30:AA30)</f>
        <v>16.863522720207659</v>
      </c>
    </row>
    <row r="31" spans="2:28" ht="17.25" x14ac:dyDescent="0.4">
      <c r="B31" s="69" t="s">
        <v>80</v>
      </c>
      <c r="C31" s="62"/>
      <c r="D31" s="107">
        <v>-16.5</v>
      </c>
      <c r="E31" s="107">
        <v>-18.3</v>
      </c>
      <c r="F31" s="107">
        <v>-21.8</v>
      </c>
      <c r="G31" s="107">
        <f>-81.3+56.6</f>
        <v>-24.699999999999996</v>
      </c>
      <c r="H31" s="108">
        <f t="shared" ref="H31" si="53">SUM(D31:G31)</f>
        <v>-81.299999999999983</v>
      </c>
      <c r="I31" s="107">
        <v>-23.8</v>
      </c>
      <c r="J31" s="107">
        <v>-22.9</v>
      </c>
      <c r="K31" s="107">
        <v>-23.5</v>
      </c>
      <c r="L31" s="107">
        <f>-92.5+70.2</f>
        <v>-22.299999999999997</v>
      </c>
      <c r="M31" s="108">
        <f t="shared" ref="M31" si="54">SUM(I31:L31)</f>
        <v>-92.5</v>
      </c>
      <c r="N31" s="107">
        <v>-25.9</v>
      </c>
      <c r="O31" s="107">
        <v>-35.1</v>
      </c>
      <c r="P31" s="107">
        <v>-45.4</v>
      </c>
      <c r="Q31" s="107">
        <v>-63.9</v>
      </c>
      <c r="R31" s="108">
        <f t="shared" ref="R31" si="55">SUM(N31:Q31)</f>
        <v>-170.3</v>
      </c>
      <c r="S31" s="107">
        <v>-75</v>
      </c>
      <c r="T31" s="214">
        <v>-73.900000000000006</v>
      </c>
      <c r="U31" s="111">
        <v>-73.731999999999999</v>
      </c>
      <c r="V31" s="111">
        <v>-77.731999999999999</v>
      </c>
      <c r="W31" s="108">
        <f t="shared" ref="W31" si="56">SUM(S31:V31)</f>
        <v>-300.36400000000003</v>
      </c>
      <c r="X31" s="111">
        <v>-86.088113536662263</v>
      </c>
      <c r="Y31" s="111">
        <v>-87.975882677729231</v>
      </c>
      <c r="Z31" s="111">
        <v>-89.887542783074892</v>
      </c>
      <c r="AA31" s="111">
        <v>-91.930762016017525</v>
      </c>
      <c r="AB31" s="108">
        <f t="shared" ref="AB31" si="57">SUM(X31:AA31)</f>
        <v>-355.88230101348393</v>
      </c>
    </row>
    <row r="32" spans="2:28" x14ac:dyDescent="0.25">
      <c r="B32" s="279" t="s">
        <v>18</v>
      </c>
      <c r="C32" s="280"/>
      <c r="D32" s="105">
        <f>D26+D30+D31+D29</f>
        <v>1049.6000000000004</v>
      </c>
      <c r="E32" s="105">
        <f t="shared" ref="E32:L32" si="58">E26+E30+E31+E29</f>
        <v>860.39999999999952</v>
      </c>
      <c r="F32" s="105">
        <f t="shared" si="58"/>
        <v>1073.3999999999994</v>
      </c>
      <c r="G32" s="105">
        <f>G26+G30+G31+G29</f>
        <v>1215.1999999999996</v>
      </c>
      <c r="H32" s="106">
        <f t="shared" si="58"/>
        <v>4198.6000000000004</v>
      </c>
      <c r="I32" s="105">
        <f t="shared" si="58"/>
        <v>1132.8999999999999</v>
      </c>
      <c r="J32" s="105">
        <f t="shared" si="58"/>
        <v>980.3999999999993</v>
      </c>
      <c r="K32" s="105">
        <f t="shared" si="58"/>
        <v>1052.4000000000008</v>
      </c>
      <c r="L32" s="105">
        <f t="shared" si="58"/>
        <v>1151.7999999999995</v>
      </c>
      <c r="M32" s="106">
        <f t="shared" ref="M32" si="59">M26+M30+M31+M29</f>
        <v>4317.4999999999991</v>
      </c>
      <c r="N32" s="105">
        <f>N26+N30+N31+N29</f>
        <v>3005.8999999999996</v>
      </c>
      <c r="O32" s="105">
        <f t="shared" ref="O32:AB32" si="60">O26+O30+O31+O29</f>
        <v>815.60000000000025</v>
      </c>
      <c r="P32" s="105">
        <f t="shared" si="60"/>
        <v>1026.8000000000002</v>
      </c>
      <c r="Q32" s="105">
        <f t="shared" si="60"/>
        <v>931.84999999999991</v>
      </c>
      <c r="R32" s="106">
        <f t="shared" si="60"/>
        <v>5780.1500000000033</v>
      </c>
      <c r="S32" s="105">
        <f t="shared" si="60"/>
        <v>965.50000000000136</v>
      </c>
      <c r="T32" s="213">
        <f t="shared" si="60"/>
        <v>819.99999999999966</v>
      </c>
      <c r="U32" s="105">
        <f t="shared" si="60"/>
        <v>1000.8771786062912</v>
      </c>
      <c r="V32" s="105">
        <f t="shared" si="60"/>
        <v>985.89302969643518</v>
      </c>
      <c r="W32" s="106">
        <f t="shared" si="60"/>
        <v>3772.2702083027257</v>
      </c>
      <c r="X32" s="105">
        <f t="shared" si="60"/>
        <v>1063.5252181307264</v>
      </c>
      <c r="Y32" s="105">
        <f t="shared" si="60"/>
        <v>914.21582305366621</v>
      </c>
      <c r="Z32" s="105">
        <f t="shared" si="60"/>
        <v>1126.0073466555548</v>
      </c>
      <c r="AA32" s="105">
        <f t="shared" si="60"/>
        <v>1135.5590922012561</v>
      </c>
      <c r="AB32" s="106">
        <f t="shared" si="60"/>
        <v>4239.307480041206</v>
      </c>
    </row>
    <row r="33" spans="1:28" ht="17.25" x14ac:dyDescent="0.4">
      <c r="B33" s="249" t="s">
        <v>7</v>
      </c>
      <c r="C33" s="250"/>
      <c r="D33" s="107">
        <v>361.9</v>
      </c>
      <c r="E33" s="107">
        <v>285.39999999999998</v>
      </c>
      <c r="F33" s="107">
        <v>318.89999999999998</v>
      </c>
      <c r="G33" s="107">
        <f>1379.7-966.2</f>
        <v>413.5</v>
      </c>
      <c r="H33" s="108">
        <f>SUM(D33:G33)</f>
        <v>1379.6999999999998</v>
      </c>
      <c r="I33" s="107">
        <v>381.4</v>
      </c>
      <c r="J33" s="107">
        <v>327.60000000000002</v>
      </c>
      <c r="K33" s="107">
        <v>361.1</v>
      </c>
      <c r="L33" s="107">
        <f>1432.6-1070.1</f>
        <v>362.5</v>
      </c>
      <c r="M33" s="108">
        <f>SUM(I33:L33)</f>
        <v>1432.6</v>
      </c>
      <c r="N33" s="107">
        <v>755.8</v>
      </c>
      <c r="O33" s="107">
        <v>155.80000000000001</v>
      </c>
      <c r="P33" s="107">
        <v>174.8</v>
      </c>
      <c r="Q33" s="107">
        <v>175.5</v>
      </c>
      <c r="R33" s="108">
        <f>SUM(N33:Q33)</f>
        <v>1261.8999999999999</v>
      </c>
      <c r="S33" s="107">
        <v>205.1</v>
      </c>
      <c r="T33" s="214">
        <v>161.19999999999999</v>
      </c>
      <c r="U33" s="107">
        <f>+U32*U190</f>
        <v>200.17543572125825</v>
      </c>
      <c r="V33" s="107">
        <f>+V32*V190</f>
        <v>197.17860593928705</v>
      </c>
      <c r="W33" s="108">
        <f>SUM(S33:V33)</f>
        <v>763.65404166054532</v>
      </c>
      <c r="X33" s="107">
        <f>+X32*X190</f>
        <v>215.10174004014524</v>
      </c>
      <c r="Y33" s="107">
        <f>+Y32*Y190</f>
        <v>182.57779190628904</v>
      </c>
      <c r="Z33" s="107">
        <f>+Z32*Z190</f>
        <v>225.75413237824378</v>
      </c>
      <c r="AA33" s="107">
        <f>+AA32*AA190</f>
        <v>227.80850744272465</v>
      </c>
      <c r="AB33" s="108">
        <f>SUM(X33:AA33)</f>
        <v>851.24217176740262</v>
      </c>
    </row>
    <row r="34" spans="1:28" x14ac:dyDescent="0.25">
      <c r="A34" s="38"/>
      <c r="B34" s="279" t="s">
        <v>81</v>
      </c>
      <c r="C34" s="280"/>
      <c r="D34" s="105">
        <f>+D32-D33</f>
        <v>687.70000000000039</v>
      </c>
      <c r="E34" s="105">
        <f t="shared" ref="E34:AA34" si="61">+E32-E33</f>
        <v>574.99999999999955</v>
      </c>
      <c r="F34" s="105">
        <f t="shared" si="61"/>
        <v>754.49999999999943</v>
      </c>
      <c r="G34" s="105">
        <f t="shared" si="61"/>
        <v>801.69999999999959</v>
      </c>
      <c r="H34" s="106">
        <f t="shared" si="61"/>
        <v>2818.9000000000005</v>
      </c>
      <c r="I34" s="105">
        <f t="shared" si="61"/>
        <v>751.49999999999989</v>
      </c>
      <c r="J34" s="105">
        <f t="shared" si="61"/>
        <v>652.79999999999927</v>
      </c>
      <c r="K34" s="105">
        <f t="shared" si="61"/>
        <v>691.30000000000075</v>
      </c>
      <c r="L34" s="105">
        <f t="shared" si="61"/>
        <v>789.2999999999995</v>
      </c>
      <c r="M34" s="106">
        <f t="shared" ref="M34" si="62">+M32-M33</f>
        <v>2884.8999999999992</v>
      </c>
      <c r="N34" s="105">
        <f t="shared" si="61"/>
        <v>2250.0999999999995</v>
      </c>
      <c r="O34" s="105">
        <f t="shared" si="61"/>
        <v>659.80000000000018</v>
      </c>
      <c r="P34" s="105">
        <f t="shared" si="61"/>
        <v>852.00000000000023</v>
      </c>
      <c r="Q34" s="105">
        <f t="shared" si="61"/>
        <v>756.34999999999991</v>
      </c>
      <c r="R34" s="106">
        <f t="shared" ref="R34" si="63">+R32-R33</f>
        <v>4518.2500000000036</v>
      </c>
      <c r="S34" s="105">
        <f t="shared" si="61"/>
        <v>760.40000000000134</v>
      </c>
      <c r="T34" s="213">
        <f t="shared" si="61"/>
        <v>658.79999999999973</v>
      </c>
      <c r="U34" s="105">
        <f t="shared" si="61"/>
        <v>800.7017428850329</v>
      </c>
      <c r="V34" s="105">
        <f t="shared" si="61"/>
        <v>788.7144237571481</v>
      </c>
      <c r="W34" s="106">
        <f t="shared" ref="W34" si="64">+W32-W33</f>
        <v>3008.6161666421804</v>
      </c>
      <c r="X34" s="105">
        <f t="shared" si="61"/>
        <v>848.42347809058117</v>
      </c>
      <c r="Y34" s="105">
        <f t="shared" si="61"/>
        <v>731.63803114737721</v>
      </c>
      <c r="Z34" s="105">
        <f t="shared" si="61"/>
        <v>900.25321427731103</v>
      </c>
      <c r="AA34" s="105">
        <f t="shared" si="61"/>
        <v>907.75058475853143</v>
      </c>
      <c r="AB34" s="106">
        <f t="shared" ref="AB34" si="65">+AB32-AB33</f>
        <v>3388.0653082738036</v>
      </c>
    </row>
    <row r="35" spans="1:28" ht="17.25" x14ac:dyDescent="0.4">
      <c r="A35" s="38"/>
      <c r="B35" s="42" t="s">
        <v>82</v>
      </c>
      <c r="C35" s="64"/>
      <c r="D35" s="107">
        <v>0.1</v>
      </c>
      <c r="E35" s="107">
        <v>-0.1</v>
      </c>
      <c r="F35" s="107">
        <v>0.4</v>
      </c>
      <c r="G35" s="107">
        <f>1.2-0.4</f>
        <v>0.79999999999999993</v>
      </c>
      <c r="H35" s="108">
        <f>SUM(D35:G35)</f>
        <v>1.2</v>
      </c>
      <c r="I35" s="107">
        <v>-0.3</v>
      </c>
      <c r="J35" s="107">
        <v>0</v>
      </c>
      <c r="K35" s="107">
        <v>-0.3</v>
      </c>
      <c r="L35" s="107">
        <v>0.8</v>
      </c>
      <c r="M35" s="108">
        <f>SUM(I35:L35)</f>
        <v>0.20000000000000007</v>
      </c>
      <c r="N35" s="107">
        <v>-0.1</v>
      </c>
      <c r="O35" s="107">
        <v>-0.3</v>
      </c>
      <c r="P35" s="107">
        <v>-0.5</v>
      </c>
      <c r="Q35" s="107">
        <v>0.6</v>
      </c>
      <c r="R35" s="108">
        <f>SUM(N35:Q35)</f>
        <v>-0.30000000000000004</v>
      </c>
      <c r="S35" s="107">
        <v>-0.2</v>
      </c>
      <c r="T35" s="214">
        <v>-4.4000000000000004</v>
      </c>
      <c r="U35" s="111">
        <f>AVERAGE(T35,S35,Q35,P35)</f>
        <v>-1.1250000000000002</v>
      </c>
      <c r="V35" s="111">
        <f>AVERAGE(U35,T35,S35,Q35)</f>
        <v>-1.2812500000000002</v>
      </c>
      <c r="W35" s="108">
        <f>SUM(S35:V35)</f>
        <v>-7.0062500000000005</v>
      </c>
      <c r="X35" s="111">
        <f>AVERAGE(V35,U35,T35,S35)</f>
        <v>-1.7515625000000001</v>
      </c>
      <c r="Y35" s="111">
        <f>AVERAGE(X35,V35,U35,T35)</f>
        <v>-2.1394531250000002</v>
      </c>
      <c r="Z35" s="111">
        <f>AVERAGE(Y35,X35,V35,U35)</f>
        <v>-1.5743164062500001</v>
      </c>
      <c r="AA35" s="111">
        <f>AVERAGE(Z35,Y35,X35,V35)</f>
        <v>-1.6866455078125002</v>
      </c>
      <c r="AB35" s="108">
        <f>SUM(X35:AA35)</f>
        <v>-7.1519775390625009</v>
      </c>
    </row>
    <row r="36" spans="1:28" s="21" customFormat="1" x14ac:dyDescent="0.25">
      <c r="A36" s="35"/>
      <c r="B36" s="72" t="s">
        <v>32</v>
      </c>
      <c r="C36" s="68"/>
      <c r="D36" s="105">
        <f>+D34-D35</f>
        <v>687.60000000000036</v>
      </c>
      <c r="E36" s="105">
        <f t="shared" ref="E36:P36" si="66">+E34-E35</f>
        <v>575.09999999999957</v>
      </c>
      <c r="F36" s="105">
        <f t="shared" si="66"/>
        <v>754.09999999999945</v>
      </c>
      <c r="G36" s="105">
        <f t="shared" si="66"/>
        <v>800.89999999999964</v>
      </c>
      <c r="H36" s="106">
        <f t="shared" si="66"/>
        <v>2817.7000000000007</v>
      </c>
      <c r="I36" s="105">
        <f t="shared" si="66"/>
        <v>751.79999999999984</v>
      </c>
      <c r="J36" s="105">
        <f t="shared" si="66"/>
        <v>652.79999999999927</v>
      </c>
      <c r="K36" s="105">
        <f t="shared" si="66"/>
        <v>691.6000000000007</v>
      </c>
      <c r="L36" s="105">
        <f t="shared" si="66"/>
        <v>788.49999999999955</v>
      </c>
      <c r="M36" s="106">
        <f t="shared" ref="M36" si="67">+M34-M35</f>
        <v>2884.6999999999994</v>
      </c>
      <c r="N36" s="105">
        <f t="shared" si="66"/>
        <v>2250.1999999999994</v>
      </c>
      <c r="O36" s="105">
        <f t="shared" si="66"/>
        <v>660.10000000000014</v>
      </c>
      <c r="P36" s="105">
        <f t="shared" si="66"/>
        <v>852.50000000000023</v>
      </c>
      <c r="Q36" s="105">
        <f>+Q34-Q35</f>
        <v>755.74999999999989</v>
      </c>
      <c r="R36" s="106">
        <f t="shared" ref="R36" si="68">+R34-R35</f>
        <v>4518.5500000000038</v>
      </c>
      <c r="S36" s="105">
        <f t="shared" ref="S36:AB36" si="69">+S34-S35</f>
        <v>760.60000000000139</v>
      </c>
      <c r="T36" s="213">
        <f t="shared" si="69"/>
        <v>663.1999999999997</v>
      </c>
      <c r="U36" s="105">
        <f t="shared" si="69"/>
        <v>801.8267428850329</v>
      </c>
      <c r="V36" s="105">
        <f t="shared" si="69"/>
        <v>789.9956737571481</v>
      </c>
      <c r="W36" s="106">
        <f t="shared" si="69"/>
        <v>3015.6224166421803</v>
      </c>
      <c r="X36" s="105">
        <f t="shared" si="69"/>
        <v>850.17504059058115</v>
      </c>
      <c r="Y36" s="105">
        <f t="shared" si="69"/>
        <v>733.77748427237725</v>
      </c>
      <c r="Z36" s="105">
        <f t="shared" si="69"/>
        <v>901.82753068356101</v>
      </c>
      <c r="AA36" s="105">
        <f t="shared" si="69"/>
        <v>909.43723026634393</v>
      </c>
      <c r="AB36" s="106">
        <f t="shared" si="69"/>
        <v>3395.2172858128661</v>
      </c>
    </row>
    <row r="37" spans="1:28" s="21" customFormat="1" ht="17.25" x14ac:dyDescent="0.4">
      <c r="A37" s="35"/>
      <c r="B37" s="187" t="s">
        <v>169</v>
      </c>
      <c r="C37" s="184"/>
      <c r="D37" s="191">
        <f>-D213-D214</f>
        <v>-2</v>
      </c>
      <c r="E37" s="191">
        <f>-E213-E214</f>
        <v>-3</v>
      </c>
      <c r="F37" s="191">
        <f>-F213-F214</f>
        <v>-46.542999999999431</v>
      </c>
      <c r="G37" s="191">
        <f>-G213+G214</f>
        <v>59.443863153953373</v>
      </c>
      <c r="H37" s="192">
        <f>SUM(D37:G37)</f>
        <v>7.9008631539539422</v>
      </c>
      <c r="I37" s="191">
        <f>-I213-I214</f>
        <v>-2.5</v>
      </c>
      <c r="J37" s="191">
        <f>-J213-J214</f>
        <v>-2</v>
      </c>
      <c r="K37" s="191">
        <f>-K213-K214</f>
        <v>-23.130000000000553</v>
      </c>
      <c r="L37" s="191">
        <f>-L213-L214</f>
        <v>-106.13999999999947</v>
      </c>
      <c r="M37" s="192">
        <f>SUM(I37:L37)</f>
        <v>-133.77000000000004</v>
      </c>
      <c r="N37" s="191">
        <f>-N213-N214</f>
        <v>-1369.1100000000001</v>
      </c>
      <c r="O37" s="191">
        <f>-O213-O214</f>
        <v>-119.20200000000004</v>
      </c>
      <c r="P37" s="191">
        <f>-P213-P214</f>
        <v>-123.3300000000003</v>
      </c>
      <c r="Q37" s="191">
        <f>-Q213-Q214</f>
        <v>-106.05599999999994</v>
      </c>
      <c r="R37" s="192">
        <f>SUM(N37:Q37)</f>
        <v>-1717.6980000000005</v>
      </c>
      <c r="S37" s="191">
        <f>-S213-S214</f>
        <v>41.449999999998646</v>
      </c>
      <c r="T37" s="219">
        <f>-T213-T214</f>
        <v>-54.179999999999545</v>
      </c>
      <c r="U37" s="191">
        <f>-U213-U214</f>
        <v>-24.067770838176695</v>
      </c>
      <c r="V37" s="191">
        <f>-V213-V214</f>
        <v>-28.090534575820666</v>
      </c>
      <c r="W37" s="192">
        <f>SUM(S37:V37)</f>
        <v>-64.888305413998268</v>
      </c>
      <c r="X37" s="191">
        <f>-X213-X214</f>
        <v>-27.085329669043062</v>
      </c>
      <c r="Y37" s="191">
        <f>-Y213-Y214</f>
        <v>-23.144965025372382</v>
      </c>
      <c r="Z37" s="191">
        <f>-Z213-Z214</f>
        <v>-27.698226945109202</v>
      </c>
      <c r="AA37" s="191">
        <f>-AA213-AA214</f>
        <v>-28.575947728797757</v>
      </c>
      <c r="AB37" s="192">
        <f>SUM(X37:AA37)</f>
        <v>-106.5044693683224</v>
      </c>
    </row>
    <row r="38" spans="1:28" s="21" customFormat="1" x14ac:dyDescent="0.25">
      <c r="A38" s="35"/>
      <c r="B38" s="185" t="s">
        <v>170</v>
      </c>
      <c r="C38" s="186"/>
      <c r="D38" s="176">
        <f>+D28+D29+D30+D31-D33-D35+D37</f>
        <v>697.90000000000032</v>
      </c>
      <c r="E38" s="176">
        <f t="shared" ref="E38:AB38" si="70">+E28+E29+E30+E31-E33-E35+E37</f>
        <v>585.99999999999955</v>
      </c>
      <c r="F38" s="176">
        <f t="shared" si="70"/>
        <v>724.85699999999997</v>
      </c>
      <c r="G38" s="176">
        <f>+G28+G29+G30+G31-G33-G35+G37</f>
        <v>739.74386315395304</v>
      </c>
      <c r="H38" s="177">
        <f t="shared" si="70"/>
        <v>2748.5008631539554</v>
      </c>
      <c r="I38" s="176">
        <f t="shared" si="70"/>
        <v>763.29999999999984</v>
      </c>
      <c r="J38" s="176">
        <f t="shared" si="70"/>
        <v>664.59999999999923</v>
      </c>
      <c r="K38" s="176">
        <f t="shared" si="70"/>
        <v>802.67000000000019</v>
      </c>
      <c r="L38" s="176">
        <f t="shared" si="70"/>
        <v>798.16000000000008</v>
      </c>
      <c r="M38" s="177">
        <f t="shared" si="70"/>
        <v>3028.7299999999996</v>
      </c>
      <c r="N38" s="176">
        <f t="shared" si="70"/>
        <v>932.48999999999978</v>
      </c>
      <c r="O38" s="176">
        <f t="shared" si="70"/>
        <v>745.49800000000005</v>
      </c>
      <c r="P38" s="176">
        <f t="shared" si="70"/>
        <v>860.87</v>
      </c>
      <c r="Q38" s="176">
        <f t="shared" si="70"/>
        <v>836.19399999999996</v>
      </c>
      <c r="R38" s="177">
        <f t="shared" si="70"/>
        <v>3375.0520000000033</v>
      </c>
      <c r="S38" s="176">
        <f t="shared" si="70"/>
        <v>940.05000000000007</v>
      </c>
      <c r="T38" s="218">
        <f t="shared" si="70"/>
        <v>750.42000000000007</v>
      </c>
      <c r="U38" s="176">
        <f t="shared" si="70"/>
        <v>898.0978262377397</v>
      </c>
      <c r="V38" s="176">
        <f t="shared" si="70"/>
        <v>902.35781206043077</v>
      </c>
      <c r="W38" s="177">
        <f t="shared" si="70"/>
        <v>3490.925638298168</v>
      </c>
      <c r="X38" s="176">
        <f t="shared" si="70"/>
        <v>958.51635926675374</v>
      </c>
      <c r="Y38" s="176">
        <f t="shared" si="70"/>
        <v>826.35734437386657</v>
      </c>
      <c r="Z38" s="176">
        <f t="shared" si="70"/>
        <v>1012.6204384639979</v>
      </c>
      <c r="AA38" s="176">
        <f t="shared" si="70"/>
        <v>1023.741021181535</v>
      </c>
      <c r="AB38" s="177">
        <f t="shared" si="70"/>
        <v>3821.2351632861551</v>
      </c>
    </row>
    <row r="39" spans="1:28" x14ac:dyDescent="0.25">
      <c r="B39" s="249" t="s">
        <v>0</v>
      </c>
      <c r="C39" s="250"/>
      <c r="D39" s="29">
        <v>1485.9</v>
      </c>
      <c r="E39" s="29">
        <v>1472.1</v>
      </c>
      <c r="F39" s="29">
        <v>1465.3</v>
      </c>
      <c r="G39" s="29">
        <v>1465.0365189162233</v>
      </c>
      <c r="H39" s="30">
        <f>+(D36/H36*D39)+(E36/H36*E39)+(F36/H36*F39)+(G36/H36*G39)</f>
        <v>1471.6400000000003</v>
      </c>
      <c r="I39" s="29">
        <v>1457.5</v>
      </c>
      <c r="J39" s="29">
        <v>1453.2</v>
      </c>
      <c r="K39" s="29">
        <v>1447.7</v>
      </c>
      <c r="L39" s="29">
        <v>1440.3879137603042</v>
      </c>
      <c r="M39" s="30">
        <f>+(I36/M36*I39)+(J36/M36*J39)+(K36/M36*K39)+(L36/M36*L39)</f>
        <v>1449.5</v>
      </c>
      <c r="N39" s="29">
        <v>1421</v>
      </c>
      <c r="O39" s="29">
        <v>1394.9</v>
      </c>
      <c r="P39" s="29">
        <v>1377.1</v>
      </c>
      <c r="Q39" s="29">
        <v>1264.3250347337173</v>
      </c>
      <c r="R39" s="30">
        <f>+(N36/R36*N39)+(O36/R36*O39)+(P36/R36*P39)+(Q36/R36*Q39)</f>
        <v>1382.7000000000003</v>
      </c>
      <c r="S39" s="29">
        <v>1242</v>
      </c>
      <c r="T39" s="212">
        <v>1239.2</v>
      </c>
      <c r="U39" s="29">
        <f>T39*(1+U192)-U196</f>
        <v>1221.6784</v>
      </c>
      <c r="V39" s="29">
        <f>U39*(1+V192)-V196</f>
        <v>1210.7884234666667</v>
      </c>
      <c r="W39" s="30">
        <f>+(S36/W36*S39)+(T36/W36*T39)+(U36/W36*U39)+(V36/W36*V39)</f>
        <v>1227.8044652624815</v>
      </c>
      <c r="X39" s="29">
        <f>V39*(1+X192)-X196</f>
        <v>1206.5433336469332</v>
      </c>
      <c r="Y39" s="29">
        <f>X39*(1+Y192)-Y196</f>
        <v>1202.2897536475602</v>
      </c>
      <c r="Z39" s="29">
        <f>Y39*(1+Z192)-Z196</f>
        <v>1198.0276664881885</v>
      </c>
      <c r="AA39" s="29">
        <f>Z39*(1+AA192)-AA196</f>
        <v>1193.7570551544982</v>
      </c>
      <c r="AB39" s="30">
        <f>+(X36/AB36*X39)+(Y36/AB36*Y39)+(Z36/AB36*Z39)+(AA36/AB36*AA39)</f>
        <v>1199.9372286096254</v>
      </c>
    </row>
    <row r="40" spans="1:28" ht="15.75" customHeight="1" x14ac:dyDescent="0.25">
      <c r="B40" s="249" t="s">
        <v>1</v>
      </c>
      <c r="C40" s="250"/>
      <c r="D40" s="29">
        <v>1503.3</v>
      </c>
      <c r="E40" s="29">
        <v>1486.6</v>
      </c>
      <c r="F40" s="29">
        <v>1479.3</v>
      </c>
      <c r="G40" s="29">
        <v>1479.4877263079063</v>
      </c>
      <c r="H40" s="30">
        <f>+(D36/H36*D40)+(E36/H36*E40)+(F36/H36*F40)+(G36/H36*G40)</f>
        <v>1486.6999999999998</v>
      </c>
      <c r="I40" s="29">
        <v>1470.5</v>
      </c>
      <c r="J40" s="29">
        <v>1464.8</v>
      </c>
      <c r="K40" s="29">
        <v>1459.4</v>
      </c>
      <c r="L40" s="29">
        <v>1451.2</v>
      </c>
      <c r="M40" s="30">
        <f>+(I36/M36*I40)+(J36/M36*J40)+(K36/M36*K40)+(L36/M36*L40)</f>
        <v>1461.2734703782025</v>
      </c>
      <c r="N40" s="29">
        <v>1434.6</v>
      </c>
      <c r="O40" s="29">
        <v>1406.6</v>
      </c>
      <c r="P40" s="29">
        <v>1388.5</v>
      </c>
      <c r="Q40" s="29">
        <v>1348.7</v>
      </c>
      <c r="R40" s="30">
        <v>1394.6</v>
      </c>
      <c r="S40" s="29">
        <v>1253.4000000000001</v>
      </c>
      <c r="T40" s="212">
        <v>1250.7</v>
      </c>
      <c r="U40" s="29">
        <f>T40*(1+U193)-U196</f>
        <v>1233.2014000000001</v>
      </c>
      <c r="V40" s="29">
        <f>U40*(1+V193)-V196</f>
        <v>1222.3344694666669</v>
      </c>
      <c r="W40" s="30">
        <f>+(S36/W36*S40)+(T36/W36*T40)+(U36/W36*U40)+(V36/W36*V40)</f>
        <v>1239.2974213288635</v>
      </c>
      <c r="X40" s="29">
        <f>V40*(1+X193)-X196</f>
        <v>1218.1124717389334</v>
      </c>
      <c r="Y40" s="29">
        <f>X40*(1+Y193)-Y196</f>
        <v>1213.8820300157445</v>
      </c>
      <c r="Z40" s="29">
        <f>Y40*(1+Z193)-Z196</f>
        <v>1209.6431274091092</v>
      </c>
      <c r="AA40" s="29">
        <f>Z40*(1+AA193)-AA196</f>
        <v>1205.3957469972606</v>
      </c>
      <c r="AB40" s="30">
        <f>+(X36/AB36*X40)+(Y36/AB36*Y40)+(Z36/AB36*Z40)+(AA36/AB36*AA40)</f>
        <v>1211.542302050879</v>
      </c>
    </row>
    <row r="41" spans="1:28" ht="15.75" customHeight="1" x14ac:dyDescent="0.25">
      <c r="B41" s="253" t="s">
        <v>8</v>
      </c>
      <c r="C41" s="254"/>
      <c r="D41" s="39">
        <f>D36/D39</f>
        <v>0.46274984857662044</v>
      </c>
      <c r="E41" s="39">
        <f t="shared" ref="E41:AB41" si="71">E36/E39</f>
        <v>0.39066639494599525</v>
      </c>
      <c r="F41" s="39">
        <f t="shared" si="71"/>
        <v>0.51463864055142261</v>
      </c>
      <c r="G41" s="39">
        <f t="shared" si="71"/>
        <v>0.54667579248637033</v>
      </c>
      <c r="H41" s="40">
        <f t="shared" si="71"/>
        <v>1.9146666304259194</v>
      </c>
      <c r="I41" s="39">
        <f t="shared" si="71"/>
        <v>0.51581475128644927</v>
      </c>
      <c r="J41" s="39">
        <f t="shared" si="71"/>
        <v>0.44921552436003254</v>
      </c>
      <c r="K41" s="39">
        <f t="shared" si="71"/>
        <v>0.47772328521102486</v>
      </c>
      <c r="L41" s="39">
        <f t="shared" si="71"/>
        <v>0.54742197741824039</v>
      </c>
      <c r="M41" s="40">
        <f t="shared" si="71"/>
        <v>1.9901345291479817</v>
      </c>
      <c r="N41" s="39">
        <f t="shared" si="71"/>
        <v>1.5835327234342009</v>
      </c>
      <c r="O41" s="39">
        <f t="shared" si="71"/>
        <v>0.47322388701699053</v>
      </c>
      <c r="P41" s="39">
        <f t="shared" si="71"/>
        <v>0.61905453489216489</v>
      </c>
      <c r="Q41" s="39">
        <f t="shared" si="71"/>
        <v>0.59774977101451632</v>
      </c>
      <c r="R41" s="40">
        <f t="shared" si="71"/>
        <v>3.2679178419035244</v>
      </c>
      <c r="S41" s="39">
        <f t="shared" si="71"/>
        <v>0.61239935587761785</v>
      </c>
      <c r="T41" s="220">
        <f t="shared" si="71"/>
        <v>0.53518398967075509</v>
      </c>
      <c r="U41" s="39">
        <f t="shared" si="71"/>
        <v>0.65633209434253148</v>
      </c>
      <c r="V41" s="39">
        <f t="shared" si="71"/>
        <v>0.65246384789117273</v>
      </c>
      <c r="W41" s="40">
        <f t="shared" si="71"/>
        <v>2.4561096672648906</v>
      </c>
      <c r="X41" s="39">
        <f t="shared" si="71"/>
        <v>0.70463697148847293</v>
      </c>
      <c r="Y41" s="39">
        <f t="shared" si="71"/>
        <v>0.61031667453391369</v>
      </c>
      <c r="Z41" s="39">
        <f>Z36/Z39</f>
        <v>0.75276018735620098</v>
      </c>
      <c r="AA41" s="39">
        <f t="shared" si="71"/>
        <v>0.76182773231747969</v>
      </c>
      <c r="AB41" s="40">
        <f t="shared" si="71"/>
        <v>2.8294957476625049</v>
      </c>
    </row>
    <row r="42" spans="1:28" x14ac:dyDescent="0.25">
      <c r="B42" s="253" t="s">
        <v>9</v>
      </c>
      <c r="C42" s="254"/>
      <c r="D42" s="39">
        <f>D36/D40</f>
        <v>0.45739373378567177</v>
      </c>
      <c r="E42" s="39">
        <f t="shared" ref="E42:AB42" si="72">E36/E40</f>
        <v>0.38685591282120246</v>
      </c>
      <c r="F42" s="39">
        <f t="shared" si="72"/>
        <v>0.50976813357669137</v>
      </c>
      <c r="G42" s="39">
        <f t="shared" si="72"/>
        <v>0.54133602175846562</v>
      </c>
      <c r="H42" s="40">
        <f t="shared" si="72"/>
        <v>1.8952714064707077</v>
      </c>
      <c r="I42" s="39">
        <f t="shared" si="72"/>
        <v>0.51125467528051671</v>
      </c>
      <c r="J42" s="39">
        <f t="shared" si="72"/>
        <v>0.4456581103222278</v>
      </c>
      <c r="K42" s="39">
        <f t="shared" si="72"/>
        <v>0.47389338084144217</v>
      </c>
      <c r="L42" s="39">
        <f t="shared" si="72"/>
        <v>0.54334343991179679</v>
      </c>
      <c r="M42" s="40">
        <f t="shared" si="72"/>
        <v>1.9741000288285462</v>
      </c>
      <c r="N42" s="39">
        <f t="shared" si="72"/>
        <v>1.5685208420465631</v>
      </c>
      <c r="O42" s="39">
        <f t="shared" si="72"/>
        <v>0.46928764396416905</v>
      </c>
      <c r="P42" s="39">
        <f t="shared" si="72"/>
        <v>0.61397191213539803</v>
      </c>
      <c r="Q42" s="39">
        <f t="shared" si="72"/>
        <v>0.56035441536294195</v>
      </c>
      <c r="R42" s="40">
        <f t="shared" si="72"/>
        <v>3.2400329843682805</v>
      </c>
      <c r="S42" s="39">
        <f t="shared" si="72"/>
        <v>0.60682942396681139</v>
      </c>
      <c r="T42" s="220">
        <f t="shared" si="72"/>
        <v>0.53026305269049312</v>
      </c>
      <c r="U42" s="39">
        <f t="shared" si="72"/>
        <v>0.65019934528539525</v>
      </c>
      <c r="V42" s="39">
        <f t="shared" si="72"/>
        <v>0.64630074131987925</v>
      </c>
      <c r="W42" s="299">
        <f t="shared" si="72"/>
        <v>2.4333322774194217</v>
      </c>
      <c r="X42" s="39">
        <f t="shared" si="72"/>
        <v>0.69794461539081187</v>
      </c>
      <c r="Y42" s="39">
        <f t="shared" si="72"/>
        <v>0.60448829962732042</v>
      </c>
      <c r="Z42" s="39">
        <f t="shared" si="72"/>
        <v>0.74553189304282885</v>
      </c>
      <c r="AA42" s="39">
        <f t="shared" si="72"/>
        <v>0.75447190894096516</v>
      </c>
      <c r="AB42" s="40">
        <f t="shared" si="72"/>
        <v>2.8023926858067587</v>
      </c>
    </row>
    <row r="43" spans="1:28" x14ac:dyDescent="0.25">
      <c r="B43" s="193" t="s">
        <v>171</v>
      </c>
      <c r="C43" s="210"/>
      <c r="D43" s="178">
        <f>+D38/D40</f>
        <v>0.46424532694738263</v>
      </c>
      <c r="E43" s="178">
        <f t="shared" ref="E43:AB43" si="73">+E38/E40</f>
        <v>0.39418808018296758</v>
      </c>
      <c r="F43" s="178">
        <f t="shared" si="73"/>
        <v>0.49</v>
      </c>
      <c r="G43" s="178">
        <f>+G38/G40</f>
        <v>0.49999999999999994</v>
      </c>
      <c r="H43" s="179">
        <f t="shared" si="73"/>
        <v>1.8487259454859459</v>
      </c>
      <c r="I43" s="178">
        <f t="shared" si="73"/>
        <v>0.51907514450867043</v>
      </c>
      <c r="J43" s="178">
        <f t="shared" si="73"/>
        <v>0.45371381758601803</v>
      </c>
      <c r="K43" s="178">
        <f t="shared" si="73"/>
        <v>0.55000000000000004</v>
      </c>
      <c r="L43" s="178">
        <f>+L38/L40</f>
        <v>0.55000000000000004</v>
      </c>
      <c r="M43" s="179">
        <f t="shared" si="73"/>
        <v>2.0726647416763901</v>
      </c>
      <c r="N43" s="178">
        <f t="shared" si="73"/>
        <v>0.64999999999999991</v>
      </c>
      <c r="O43" s="178">
        <f t="shared" si="73"/>
        <v>0.53</v>
      </c>
      <c r="P43" s="178">
        <f t="shared" si="73"/>
        <v>0.62</v>
      </c>
      <c r="Q43" s="178">
        <f t="shared" si="73"/>
        <v>0.62</v>
      </c>
      <c r="R43" s="179">
        <f t="shared" si="73"/>
        <v>2.4200860461781182</v>
      </c>
      <c r="S43" s="178">
        <f t="shared" si="73"/>
        <v>0.75</v>
      </c>
      <c r="T43" s="221">
        <f t="shared" si="73"/>
        <v>0.60000000000000009</v>
      </c>
      <c r="U43" s="298">
        <f t="shared" si="73"/>
        <v>0.72826533138685989</v>
      </c>
      <c r="V43" s="298">
        <f t="shared" si="73"/>
        <v>0.73822495773530028</v>
      </c>
      <c r="W43" s="297">
        <f t="shared" si="73"/>
        <v>2.8168586315260362</v>
      </c>
      <c r="X43" s="221">
        <f t="shared" si="73"/>
        <v>0.78688658190849192</v>
      </c>
      <c r="Y43" s="221">
        <f t="shared" si="73"/>
        <v>0.68075589220407884</v>
      </c>
      <c r="Z43" s="221">
        <f t="shared" si="73"/>
        <v>0.83712329324177859</v>
      </c>
      <c r="AA43" s="221">
        <f t="shared" si="73"/>
        <v>0.84929868363295424</v>
      </c>
      <c r="AB43" s="297">
        <f t="shared" si="73"/>
        <v>3.1540253747786031</v>
      </c>
    </row>
    <row r="44" spans="1:28" x14ac:dyDescent="0.25">
      <c r="B44" s="200" t="s">
        <v>83</v>
      </c>
      <c r="C44" s="211"/>
      <c r="D44" s="60">
        <v>0.2</v>
      </c>
      <c r="E44" s="60">
        <v>0.2</v>
      </c>
      <c r="F44" s="60">
        <v>0.2</v>
      </c>
      <c r="G44" s="60">
        <v>0.25</v>
      </c>
      <c r="H44" s="95">
        <f>+SUM(D44:G44)</f>
        <v>0.85000000000000009</v>
      </c>
      <c r="I44" s="60">
        <v>0.25</v>
      </c>
      <c r="J44" s="60">
        <v>0.25</v>
      </c>
      <c r="K44" s="60">
        <v>0.25</v>
      </c>
      <c r="L44" s="60">
        <v>0.3</v>
      </c>
      <c r="M44" s="95">
        <f>+SUM(I44:L44)</f>
        <v>1.05</v>
      </c>
      <c r="N44" s="60">
        <v>0.3</v>
      </c>
      <c r="O44" s="60">
        <v>0.3</v>
      </c>
      <c r="P44" s="60">
        <v>0.36</v>
      </c>
      <c r="Q44" s="60">
        <v>0.36</v>
      </c>
      <c r="R44" s="95">
        <f>+SUM(N44:Q44)</f>
        <v>1.3199999999999998</v>
      </c>
      <c r="S44" s="60">
        <v>0.36</v>
      </c>
      <c r="T44" s="222">
        <v>0.36</v>
      </c>
      <c r="U44" s="182">
        <v>0.36</v>
      </c>
      <c r="V44" s="182">
        <f>1.2*U44</f>
        <v>0.432</v>
      </c>
      <c r="W44" s="95">
        <f>+SUM(S44:V44)</f>
        <v>1.512</v>
      </c>
      <c r="X44" s="182">
        <f>+V44</f>
        <v>0.432</v>
      </c>
      <c r="Y44" s="182">
        <f>+X44</f>
        <v>0.432</v>
      </c>
      <c r="Z44" s="182">
        <f>+Y44</f>
        <v>0.432</v>
      </c>
      <c r="AA44" s="182">
        <f>1.1*Z44</f>
        <v>0.47520000000000001</v>
      </c>
      <c r="AB44" s="95">
        <f>+SUM(X44:AA44)</f>
        <v>1.7712000000000001</v>
      </c>
    </row>
    <row r="45" spans="1:28" x14ac:dyDescent="0.25">
      <c r="B45" s="208" t="s">
        <v>14</v>
      </c>
      <c r="C45" s="45"/>
      <c r="D45" s="45"/>
      <c r="E45" s="45"/>
      <c r="F45" s="45"/>
      <c r="G45" s="194"/>
      <c r="H45" s="13"/>
      <c r="I45" s="45"/>
      <c r="J45" s="45"/>
      <c r="K45" s="45"/>
      <c r="L45" s="180"/>
      <c r="M45" s="17"/>
      <c r="N45" s="181"/>
      <c r="O45" s="181"/>
      <c r="P45" s="183"/>
      <c r="Q45" s="181"/>
      <c r="R45" s="3"/>
      <c r="S45" s="77"/>
      <c r="T45" s="183"/>
      <c r="U45" s="183"/>
      <c r="V45" s="183"/>
      <c r="W45" s="16"/>
      <c r="X45" s="183"/>
      <c r="Y45" s="45"/>
      <c r="Z45" s="45"/>
      <c r="AA45" s="183"/>
      <c r="AB45" s="16"/>
    </row>
    <row r="46" spans="1:28" ht="15.75" x14ac:dyDescent="0.25">
      <c r="B46" s="247" t="s">
        <v>20</v>
      </c>
      <c r="C46" s="248"/>
      <c r="D46" s="26" t="s">
        <v>42</v>
      </c>
      <c r="E46" s="26" t="s">
        <v>43</v>
      </c>
      <c r="F46" s="26" t="s">
        <v>28</v>
      </c>
      <c r="G46" s="26" t="s">
        <v>29</v>
      </c>
      <c r="H46" s="73" t="s">
        <v>29</v>
      </c>
      <c r="I46" s="26" t="s">
        <v>30</v>
      </c>
      <c r="J46" s="26" t="s">
        <v>36</v>
      </c>
      <c r="K46" s="26" t="s">
        <v>25</v>
      </c>
      <c r="L46" s="26" t="s">
        <v>26</v>
      </c>
      <c r="M46" s="73" t="s">
        <v>26</v>
      </c>
      <c r="N46" s="26" t="s">
        <v>27</v>
      </c>
      <c r="O46" s="26" t="s">
        <v>49</v>
      </c>
      <c r="P46" s="26" t="s">
        <v>22</v>
      </c>
      <c r="Q46" s="26" t="s">
        <v>23</v>
      </c>
      <c r="R46" s="73" t="s">
        <v>23</v>
      </c>
      <c r="S46" s="26" t="s">
        <v>24</v>
      </c>
      <c r="T46" s="26" t="s">
        <v>183</v>
      </c>
      <c r="U46" s="28" t="s">
        <v>56</v>
      </c>
      <c r="V46" s="28" t="s">
        <v>57</v>
      </c>
      <c r="W46" s="75" t="s">
        <v>57</v>
      </c>
      <c r="X46" s="28" t="s">
        <v>58</v>
      </c>
      <c r="Y46" s="28" t="s">
        <v>59</v>
      </c>
      <c r="Z46" s="28" t="s">
        <v>60</v>
      </c>
      <c r="AA46" s="28" t="s">
        <v>61</v>
      </c>
      <c r="AB46" s="75" t="s">
        <v>61</v>
      </c>
    </row>
    <row r="47" spans="1:28" ht="17.25" x14ac:dyDescent="0.4">
      <c r="B47" s="251"/>
      <c r="C47" s="252"/>
      <c r="D47" s="27" t="s">
        <v>44</v>
      </c>
      <c r="E47" s="27" t="s">
        <v>45</v>
      </c>
      <c r="F47" s="27" t="s">
        <v>46</v>
      </c>
      <c r="G47" s="27" t="s">
        <v>47</v>
      </c>
      <c r="H47" s="74" t="s">
        <v>48</v>
      </c>
      <c r="I47" s="27" t="s">
        <v>37</v>
      </c>
      <c r="J47" s="27" t="s">
        <v>38</v>
      </c>
      <c r="K47" s="27" t="s">
        <v>39</v>
      </c>
      <c r="L47" s="27" t="s">
        <v>40</v>
      </c>
      <c r="M47" s="74" t="s">
        <v>41</v>
      </c>
      <c r="N47" s="27" t="s">
        <v>50</v>
      </c>
      <c r="O47" s="27" t="s">
        <v>51</v>
      </c>
      <c r="P47" s="27" t="s">
        <v>52</v>
      </c>
      <c r="Q47" s="27" t="s">
        <v>53</v>
      </c>
      <c r="R47" s="74" t="s">
        <v>54</v>
      </c>
      <c r="S47" s="27" t="s">
        <v>55</v>
      </c>
      <c r="T47" s="27" t="s">
        <v>182</v>
      </c>
      <c r="U47" s="25" t="s">
        <v>62</v>
      </c>
      <c r="V47" s="25" t="s">
        <v>63</v>
      </c>
      <c r="W47" s="76" t="s">
        <v>64</v>
      </c>
      <c r="X47" s="25" t="s">
        <v>65</v>
      </c>
      <c r="Y47" s="25" t="s">
        <v>66</v>
      </c>
      <c r="Z47" s="25" t="s">
        <v>67</v>
      </c>
      <c r="AA47" s="25" t="s">
        <v>68</v>
      </c>
      <c r="AB47" s="76" t="s">
        <v>69</v>
      </c>
    </row>
    <row r="48" spans="1:28" ht="18" x14ac:dyDescent="0.4">
      <c r="B48" s="284" t="s">
        <v>84</v>
      </c>
      <c r="C48" s="285"/>
      <c r="D48" s="27"/>
      <c r="E48" s="27"/>
      <c r="F48" s="27"/>
      <c r="G48" s="27"/>
      <c r="H48" s="74"/>
      <c r="I48" s="27"/>
      <c r="J48" s="27"/>
      <c r="K48" s="27"/>
      <c r="L48" s="27"/>
      <c r="M48" s="74"/>
      <c r="N48" s="27"/>
      <c r="O48" s="27"/>
      <c r="P48" s="27"/>
      <c r="Q48" s="27"/>
      <c r="R48" s="74"/>
      <c r="S48" s="27"/>
      <c r="T48" s="27"/>
      <c r="U48" s="25"/>
      <c r="V48" s="25"/>
      <c r="W48" s="76"/>
      <c r="X48" s="25"/>
      <c r="Y48" s="25"/>
      <c r="Z48" s="25"/>
      <c r="AA48" s="25"/>
      <c r="AB48" s="76"/>
    </row>
    <row r="49" spans="1:28" s="21" customFormat="1" outlineLevel="1" x14ac:dyDescent="0.25">
      <c r="B49" s="259" t="s">
        <v>86</v>
      </c>
      <c r="C49" s="260"/>
      <c r="D49" s="36">
        <v>8752</v>
      </c>
      <c r="E49" s="36">
        <v>8790</v>
      </c>
      <c r="F49" s="36">
        <v>8875</v>
      </c>
      <c r="G49" s="36">
        <v>9019</v>
      </c>
      <c r="H49" s="113"/>
      <c r="I49" s="36">
        <v>9094</v>
      </c>
      <c r="J49" s="36">
        <v>9176</v>
      </c>
      <c r="K49" s="36">
        <v>9301</v>
      </c>
      <c r="L49" s="36">
        <v>9413</v>
      </c>
      <c r="M49" s="114"/>
      <c r="N49" s="36">
        <v>9525</v>
      </c>
      <c r="O49" s="36">
        <v>9496</v>
      </c>
      <c r="P49" s="36">
        <v>9590</v>
      </c>
      <c r="Q49" s="36">
        <v>9684</v>
      </c>
      <c r="R49" s="114"/>
      <c r="S49" s="36">
        <v>9768</v>
      </c>
      <c r="T49" s="36">
        <v>9767</v>
      </c>
      <c r="U49" s="36">
        <f>+T49+U50</f>
        <v>9842</v>
      </c>
      <c r="V49" s="36">
        <f t="shared" ref="V49" si="74">+U49+V50</f>
        <v>9912</v>
      </c>
      <c r="W49" s="114"/>
      <c r="X49" s="36">
        <f>+V49+X50</f>
        <v>9969</v>
      </c>
      <c r="Y49" s="36">
        <f>+X49+Y50</f>
        <v>10019.25</v>
      </c>
      <c r="Z49" s="36">
        <f t="shared" ref="Z49" si="75">+Y49+Z50</f>
        <v>10082.3125</v>
      </c>
      <c r="AA49" s="36">
        <f t="shared" ref="AA49" si="76">+Z49+AA50</f>
        <v>10142.390625</v>
      </c>
      <c r="AB49" s="114"/>
    </row>
    <row r="50" spans="1:28" outlineLevel="1" x14ac:dyDescent="0.25">
      <c r="B50" s="42" t="s">
        <v>91</v>
      </c>
      <c r="C50" s="64"/>
      <c r="D50" s="29"/>
      <c r="E50" s="29"/>
      <c r="F50" s="29"/>
      <c r="G50" s="29"/>
      <c r="H50" s="44"/>
      <c r="I50" s="29">
        <f>+I49-G49</f>
        <v>75</v>
      </c>
      <c r="J50" s="29">
        <f>+J49-I49</f>
        <v>82</v>
      </c>
      <c r="K50" s="29">
        <f>+K49-J49</f>
        <v>125</v>
      </c>
      <c r="L50" s="29">
        <f>+L49-K49</f>
        <v>112</v>
      </c>
      <c r="M50" s="43">
        <f>+SUM(I50:L50)</f>
        <v>394</v>
      </c>
      <c r="N50" s="29">
        <f>+N49-L49</f>
        <v>112</v>
      </c>
      <c r="O50" s="29">
        <f>+O49-N49</f>
        <v>-29</v>
      </c>
      <c r="P50" s="29">
        <f>+P49-O49</f>
        <v>94</v>
      </c>
      <c r="Q50" s="29">
        <f>+Q49-P49</f>
        <v>94</v>
      </c>
      <c r="R50" s="43">
        <f>+SUM(N50:Q50)</f>
        <v>271</v>
      </c>
      <c r="S50" s="29">
        <f>+S49-Q49</f>
        <v>84</v>
      </c>
      <c r="T50" s="212">
        <v>-1</v>
      </c>
      <c r="U50" s="237">
        <v>75</v>
      </c>
      <c r="V50" s="237">
        <v>70</v>
      </c>
      <c r="W50" s="43">
        <f>+SUM(S50:V50)</f>
        <v>228</v>
      </c>
      <c r="X50" s="52">
        <f>AVERAGE(S50,T50,U50,V50)</f>
        <v>57</v>
      </c>
      <c r="Y50" s="52">
        <f>AVERAGE(T50,U50,V50,X50)</f>
        <v>50.25</v>
      </c>
      <c r="Z50" s="52">
        <f>AVERAGE(U50,V50,X50,Y50)</f>
        <v>63.0625</v>
      </c>
      <c r="AA50" s="52">
        <f>AVERAGE(V50,X50,Y50,Z50)</f>
        <v>60.078125</v>
      </c>
      <c r="AB50" s="43">
        <f>+SUM(X50:AA50)</f>
        <v>230.390625</v>
      </c>
    </row>
    <row r="51" spans="1:28" s="126" customFormat="1" outlineLevel="1" x14ac:dyDescent="0.25">
      <c r="A51" s="229"/>
      <c r="B51" s="127" t="s">
        <v>92</v>
      </c>
      <c r="C51" s="128"/>
      <c r="D51" s="129"/>
      <c r="E51" s="129"/>
      <c r="F51" s="129"/>
      <c r="G51" s="129"/>
      <c r="H51" s="130"/>
      <c r="I51" s="131">
        <f>D49</f>
        <v>8752</v>
      </c>
      <c r="J51" s="131">
        <f>E49</f>
        <v>8790</v>
      </c>
      <c r="K51" s="131">
        <f>F49</f>
        <v>8875</v>
      </c>
      <c r="L51" s="131">
        <f>G49</f>
        <v>9019</v>
      </c>
      <c r="M51" s="132"/>
      <c r="N51" s="131">
        <f>I49</f>
        <v>9094</v>
      </c>
      <c r="O51" s="131">
        <f>J49</f>
        <v>9176</v>
      </c>
      <c r="P51" s="131">
        <f>K49</f>
        <v>9301</v>
      </c>
      <c r="Q51" s="131">
        <f>L49</f>
        <v>9413</v>
      </c>
      <c r="R51" s="132"/>
      <c r="S51" s="131">
        <f>N49</f>
        <v>9525</v>
      </c>
      <c r="T51" s="131">
        <f>O49</f>
        <v>9496</v>
      </c>
      <c r="U51" s="131">
        <f>P49</f>
        <v>9590</v>
      </c>
      <c r="V51" s="131">
        <f>Q49</f>
        <v>9684</v>
      </c>
      <c r="W51" s="132"/>
      <c r="X51" s="131">
        <f>S49</f>
        <v>9768</v>
      </c>
      <c r="Y51" s="131">
        <f>T49</f>
        <v>9767</v>
      </c>
      <c r="Z51" s="131">
        <f>U49</f>
        <v>9842</v>
      </c>
      <c r="AA51" s="131">
        <f>V49</f>
        <v>9912</v>
      </c>
      <c r="AB51" s="132"/>
    </row>
    <row r="52" spans="1:28" s="126" customFormat="1" outlineLevel="1" x14ac:dyDescent="0.25">
      <c r="A52" s="229"/>
      <c r="B52" s="127" t="s">
        <v>93</v>
      </c>
      <c r="C52" s="128"/>
      <c r="D52" s="129"/>
      <c r="E52" s="129"/>
      <c r="F52" s="129"/>
      <c r="G52" s="129"/>
      <c r="H52" s="130"/>
      <c r="I52" s="133">
        <v>0.39434191591821333</v>
      </c>
      <c r="J52" s="133">
        <v>0.36967587398388457</v>
      </c>
      <c r="K52" s="133">
        <v>0.38907942012600844</v>
      </c>
      <c r="L52" s="133">
        <v>0.37579999999999997</v>
      </c>
      <c r="M52" s="132"/>
      <c r="N52" s="133">
        <f>I52*(1+N55)</f>
        <v>0.40222875423657761</v>
      </c>
      <c r="O52" s="133">
        <f>+J52*(1+O55)</f>
        <v>0.37706939146356228</v>
      </c>
      <c r="P52" s="133">
        <f t="shared" ref="P52" si="77">K52*(1+P55)</f>
        <v>0.39297021432726853</v>
      </c>
      <c r="Q52" s="133">
        <f>L52*(1+Q55)</f>
        <v>0.39083199999999996</v>
      </c>
      <c r="R52" s="132"/>
      <c r="S52" s="133">
        <f>N52*(1+S55)</f>
        <v>0.41831790440604072</v>
      </c>
      <c r="T52" s="133">
        <f>+O52*(1+T55)</f>
        <v>0.39328337529649543</v>
      </c>
      <c r="U52" s="133">
        <f t="shared" ref="U52:V52" si="78">+P52*(1+U55)</f>
        <v>0.40603647395365022</v>
      </c>
      <c r="V52" s="133">
        <f t="shared" si="78"/>
        <v>0.40609887499999997</v>
      </c>
      <c r="W52" s="132"/>
      <c r="X52" s="133">
        <f>+S52*(1+X55)</f>
        <v>0.43456040428805653</v>
      </c>
      <c r="Y52" s="133">
        <f>+T52*(1+Y55)</f>
        <v>0.4084386116140733</v>
      </c>
      <c r="Z52" s="133">
        <f t="shared" ref="Z52" si="79">+U52*(1+Z55)</f>
        <v>0.42122993056740221</v>
      </c>
      <c r="AA52" s="133">
        <f t="shared" ref="AA52" si="80">+V52*(1+AA55)</f>
        <v>0.42171791759542848</v>
      </c>
      <c r="AB52" s="132"/>
    </row>
    <row r="53" spans="1:28" outlineLevel="1" x14ac:dyDescent="0.25">
      <c r="A53" s="209"/>
      <c r="B53" s="42" t="s">
        <v>89</v>
      </c>
      <c r="C53" s="99"/>
      <c r="D53" s="49">
        <v>0.04</v>
      </c>
      <c r="E53" s="49">
        <v>0.03</v>
      </c>
      <c r="F53" s="49">
        <v>0</v>
      </c>
      <c r="G53" s="49">
        <v>-0.01</v>
      </c>
      <c r="H53" s="47">
        <v>0.01</v>
      </c>
      <c r="I53" s="49">
        <v>-0.02</v>
      </c>
      <c r="J53" s="49">
        <v>-0.01</v>
      </c>
      <c r="K53" s="49">
        <v>0</v>
      </c>
      <c r="L53" s="49">
        <v>0.01</v>
      </c>
      <c r="M53" s="47">
        <v>0</v>
      </c>
      <c r="N53" s="49">
        <v>0</v>
      </c>
      <c r="O53" s="49">
        <v>0</v>
      </c>
      <c r="P53" s="49">
        <v>-0.02</v>
      </c>
      <c r="Q53" s="49">
        <v>-0.01</v>
      </c>
      <c r="R53" s="47">
        <v>-0.01</v>
      </c>
      <c r="S53" s="49">
        <v>0.04</v>
      </c>
      <c r="T53" s="49">
        <v>0</v>
      </c>
      <c r="U53" s="49"/>
      <c r="V53" s="49"/>
      <c r="W53" s="47"/>
      <c r="X53" s="49"/>
      <c r="Y53" s="49"/>
      <c r="Z53" s="49"/>
      <c r="AA53" s="49"/>
      <c r="AB53" s="47"/>
    </row>
    <row r="54" spans="1:28" outlineLevel="1" x14ac:dyDescent="0.25">
      <c r="A54" s="209"/>
      <c r="B54" s="42" t="s">
        <v>88</v>
      </c>
      <c r="C54" s="99"/>
      <c r="D54" s="119">
        <v>0.05</v>
      </c>
      <c r="E54" s="119">
        <v>0.05</v>
      </c>
      <c r="F54" s="119">
        <v>0.04</v>
      </c>
      <c r="G54" s="119">
        <v>0.06</v>
      </c>
      <c r="H54" s="120">
        <v>0.05</v>
      </c>
      <c r="I54" s="119">
        <v>0.05</v>
      </c>
      <c r="J54" s="119">
        <v>0.04</v>
      </c>
      <c r="K54" s="119">
        <v>0.05</v>
      </c>
      <c r="L54" s="119">
        <v>0.02</v>
      </c>
      <c r="M54" s="120">
        <v>0.04</v>
      </c>
      <c r="N54" s="119">
        <v>0.02</v>
      </c>
      <c r="O54" s="119">
        <v>0.03</v>
      </c>
      <c r="P54" s="119">
        <v>0.04</v>
      </c>
      <c r="Q54" s="119">
        <v>0.05</v>
      </c>
      <c r="R54" s="120">
        <v>0.03</v>
      </c>
      <c r="S54" s="119">
        <v>0</v>
      </c>
      <c r="T54" s="119">
        <v>0.04</v>
      </c>
      <c r="U54" s="119"/>
      <c r="V54" s="119"/>
      <c r="W54" s="120"/>
      <c r="X54" s="119"/>
      <c r="Y54" s="119"/>
      <c r="Z54" s="119"/>
      <c r="AA54" s="119"/>
      <c r="AB54" s="120"/>
    </row>
    <row r="55" spans="1:28" s="21" customFormat="1" outlineLevel="1" x14ac:dyDescent="0.25">
      <c r="A55" s="224"/>
      <c r="B55" s="72" t="s">
        <v>90</v>
      </c>
      <c r="C55" s="66"/>
      <c r="D55" s="118">
        <v>0.09</v>
      </c>
      <c r="E55" s="118">
        <v>7.0000000000000007E-2</v>
      </c>
      <c r="F55" s="118">
        <v>0.04</v>
      </c>
      <c r="G55" s="118">
        <v>0.05</v>
      </c>
      <c r="H55" s="121">
        <v>0.06</v>
      </c>
      <c r="I55" s="118">
        <v>0.03</v>
      </c>
      <c r="J55" s="118">
        <v>0.03</v>
      </c>
      <c r="K55" s="118">
        <v>0.05</v>
      </c>
      <c r="L55" s="118">
        <v>0.03</v>
      </c>
      <c r="M55" s="121">
        <v>0.03</v>
      </c>
      <c r="N55" s="118">
        <v>0.02</v>
      </c>
      <c r="O55" s="118">
        <v>0.02</v>
      </c>
      <c r="P55" s="118">
        <v>0.01</v>
      </c>
      <c r="Q55" s="118">
        <v>0.04</v>
      </c>
      <c r="R55" s="121">
        <v>0.02</v>
      </c>
      <c r="S55" s="118">
        <v>0.04</v>
      </c>
      <c r="T55" s="223">
        <v>4.2999999999999997E-2</v>
      </c>
      <c r="U55" s="241">
        <f>AVERAGE(T55,S55,Q55,P55)</f>
        <v>3.3250000000000002E-2</v>
      </c>
      <c r="V55" s="242">
        <f>AVERAGE(U55,T55,S55,Q55)</f>
        <v>3.90625E-2</v>
      </c>
      <c r="W55" s="121"/>
      <c r="X55" s="242">
        <f>AVERAGE(V55,U55,T55,S55)</f>
        <v>3.8828124999999998E-2</v>
      </c>
      <c r="Y55" s="243">
        <f>AVERAGE(X55,V55,U55,T55)</f>
        <v>3.8535156249999994E-2</v>
      </c>
      <c r="Z55" s="242">
        <f>AVERAGE(Y55,X55,V55,U55)</f>
        <v>3.74189453125E-2</v>
      </c>
      <c r="AA55" s="242">
        <f>AVERAGE(Z55,Y55,X55,V55)</f>
        <v>3.8461181640624995E-2</v>
      </c>
      <c r="AB55" s="121"/>
    </row>
    <row r="56" spans="1:28" ht="17.25" outlineLevel="1" x14ac:dyDescent="0.4">
      <c r="A56" s="209"/>
      <c r="B56" s="100" t="s">
        <v>151</v>
      </c>
      <c r="C56" s="99"/>
      <c r="D56" s="29"/>
      <c r="E56" s="29"/>
      <c r="F56" s="29"/>
      <c r="G56" s="29"/>
      <c r="H56" s="44"/>
      <c r="I56" s="51">
        <f>+(I49-I51)*I58-24</f>
        <v>109.91928744226965</v>
      </c>
      <c r="J56" s="51">
        <f>+(J49-J51)*J58-55</f>
        <v>85.28676983435048</v>
      </c>
      <c r="K56" s="51">
        <f>+(K49-K51)*K58-40</f>
        <v>123.80458015267175</v>
      </c>
      <c r="L56" s="51">
        <f>+(L49-L51)*L58-13</f>
        <v>134.50827578880273</v>
      </c>
      <c r="M56" s="93"/>
      <c r="N56" s="51">
        <f>+(N49-N51)*N58-42</f>
        <v>129.35926509186353</v>
      </c>
      <c r="O56" s="51">
        <f>+(O49-O51)*O58-15</f>
        <v>105.12805391743893</v>
      </c>
      <c r="P56" s="51">
        <f>+(P49-P51)*P58</f>
        <v>113.56584984358707</v>
      </c>
      <c r="Q56" s="51">
        <f>+(Q49-Q51)*Q58</f>
        <v>105.91219537381248</v>
      </c>
      <c r="R56" s="20"/>
      <c r="S56" s="51">
        <f>+(S49-S51)*S58</f>
        <v>101.64057125307124</v>
      </c>
      <c r="T56" s="51">
        <f>+(T49-T51)*T58</f>
        <v>106.58537933858912</v>
      </c>
      <c r="U56" s="51">
        <f>AVERAGE(T56,S56,Q56,P56)</f>
        <v>106.92599895226499</v>
      </c>
      <c r="V56" s="51">
        <f>AVERAGE(U56,T56,S56,Q56)</f>
        <v>105.26603622943446</v>
      </c>
      <c r="W56" s="20"/>
      <c r="X56" s="51">
        <f>AVERAGE(V56,U56,T56,S56)</f>
        <v>105.10449644333995</v>
      </c>
      <c r="Y56" s="51">
        <f>AVERAGE(X56,V56,U56,T56)</f>
        <v>105.97047774090713</v>
      </c>
      <c r="Z56" s="51">
        <f>AVERAGE(Y56,X56,V56,U56)</f>
        <v>105.81675234148663</v>
      </c>
      <c r="AA56" s="51">
        <f>AVERAGE(Z56,Y56,X56,V56)</f>
        <v>105.53944068879204</v>
      </c>
      <c r="AB56" s="20"/>
    </row>
    <row r="57" spans="1:28" s="21" customFormat="1" outlineLevel="1" x14ac:dyDescent="0.25">
      <c r="A57" s="224"/>
      <c r="B57" s="253" t="s">
        <v>101</v>
      </c>
      <c r="C57" s="254"/>
      <c r="D57" s="105"/>
      <c r="E57" s="105"/>
      <c r="F57" s="105"/>
      <c r="G57" s="105"/>
      <c r="H57" s="122"/>
      <c r="I57" s="105">
        <v>3561</v>
      </c>
      <c r="J57" s="105">
        <v>3334.9</v>
      </c>
      <c r="K57" s="105">
        <v>3576.4</v>
      </c>
      <c r="L57" s="105">
        <v>3524.1</v>
      </c>
      <c r="M57" s="202">
        <f>SUM(I57:L57)</f>
        <v>13996.4</v>
      </c>
      <c r="N57" s="105">
        <v>3787</v>
      </c>
      <c r="O57" s="105">
        <v>3564.8</v>
      </c>
      <c r="P57" s="105">
        <v>3768.5</v>
      </c>
      <c r="Q57" s="105">
        <v>3784.7</v>
      </c>
      <c r="R57" s="202">
        <f>SUM(N57:Q57)</f>
        <v>14905</v>
      </c>
      <c r="S57" s="105">
        <v>4085.7</v>
      </c>
      <c r="T57" s="105">
        <v>3841.4</v>
      </c>
      <c r="U57" s="105">
        <f t="shared" ref="U57:V57" si="81">+U51*U52+U56</f>
        <v>4000.8157841677703</v>
      </c>
      <c r="V57" s="105">
        <f t="shared" si="81"/>
        <v>4037.9275417294343</v>
      </c>
      <c r="W57" s="202">
        <f>SUM(S57:V57)</f>
        <v>15965.843325897204</v>
      </c>
      <c r="X57" s="105">
        <f>+X51*X52+X56</f>
        <v>4349.8905255290765</v>
      </c>
      <c r="Y57" s="105">
        <f>+Y51*Y52+Y56</f>
        <v>4095.1903973755607</v>
      </c>
      <c r="Z57" s="105">
        <f t="shared" ref="Z57" si="82">+Z51*Z52+Z56</f>
        <v>4251.5617289858592</v>
      </c>
      <c r="AA57" s="105">
        <f t="shared" ref="AA57" si="83">+AA51*AA52+AA56</f>
        <v>4285.6074398946785</v>
      </c>
      <c r="AB57" s="202">
        <f>SUM(X57:AA57)</f>
        <v>16982.250091785172</v>
      </c>
    </row>
    <row r="58" spans="1:28" s="21" customFormat="1" outlineLevel="1" x14ac:dyDescent="0.25">
      <c r="A58" s="224"/>
      <c r="B58" s="134" t="s">
        <v>96</v>
      </c>
      <c r="C58" s="66"/>
      <c r="D58" s="105"/>
      <c r="E58" s="105"/>
      <c r="F58" s="105"/>
      <c r="G58" s="105"/>
      <c r="H58" s="122"/>
      <c r="I58" s="139">
        <f>+I57/I49</f>
        <v>0.39157686386628549</v>
      </c>
      <c r="J58" s="139">
        <f t="shared" ref="J58:Q58" si="84">+J57/J49</f>
        <v>0.3634372275501308</v>
      </c>
      <c r="K58" s="139">
        <f t="shared" si="84"/>
        <v>0.38451779378561446</v>
      </c>
      <c r="L58" s="139">
        <f t="shared" si="84"/>
        <v>0.37438648677361097</v>
      </c>
      <c r="M58" s="140"/>
      <c r="N58" s="139">
        <f t="shared" si="84"/>
        <v>0.39758530183727037</v>
      </c>
      <c r="O58" s="139">
        <f t="shared" si="84"/>
        <v>0.37540016849199664</v>
      </c>
      <c r="P58" s="139">
        <f t="shared" si="84"/>
        <v>0.3929614181438999</v>
      </c>
      <c r="Q58" s="139">
        <f t="shared" si="84"/>
        <v>0.39081990912845932</v>
      </c>
      <c r="R58" s="140"/>
      <c r="S58" s="139">
        <f t="shared" ref="S58" si="85">+S57/S49</f>
        <v>0.41827395577395576</v>
      </c>
      <c r="T58" s="139">
        <f t="shared" ref="T58" si="86">+T57/T49</f>
        <v>0.39330398279922185</v>
      </c>
      <c r="U58" s="139">
        <f t="shared" ref="U58" si="87">+U57/U49</f>
        <v>0.40650434710097239</v>
      </c>
      <c r="V58" s="139">
        <f t="shared" ref="V58" si="88">+V57/V49</f>
        <v>0.40737767773702926</v>
      </c>
      <c r="W58" s="123"/>
      <c r="X58" s="139">
        <f t="shared" ref="X58:Y58" si="89">+X57/X49</f>
        <v>0.43634171185967263</v>
      </c>
      <c r="Y58" s="139">
        <f t="shared" si="89"/>
        <v>0.40873223019443178</v>
      </c>
      <c r="Z58" s="139">
        <f t="shared" ref="Z58" si="90">+Z57/Z49</f>
        <v>0.42168517678715661</v>
      </c>
      <c r="AA58" s="139">
        <f t="shared" ref="AA58" si="91">+AA57/AA49</f>
        <v>0.42254411197011832</v>
      </c>
      <c r="AB58" s="123"/>
    </row>
    <row r="59" spans="1:28" s="126" customFormat="1" outlineLevel="1" x14ac:dyDescent="0.25">
      <c r="A59" s="229"/>
      <c r="B59" s="134" t="s">
        <v>94</v>
      </c>
      <c r="C59" s="135"/>
      <c r="D59" s="136"/>
      <c r="E59" s="136"/>
      <c r="F59" s="136"/>
      <c r="G59" s="136"/>
      <c r="H59" s="137"/>
      <c r="I59" s="129">
        <f>ROUND((+I57-I56-(I51*I52)),0)</f>
        <v>0</v>
      </c>
      <c r="J59" s="129">
        <f>ROUND((+J57-J56-(J51*J52)),0)</f>
        <v>0</v>
      </c>
      <c r="K59" s="129">
        <f>ROUND((+K57-K56-(K51*K52)),0)</f>
        <v>0</v>
      </c>
      <c r="L59" s="129">
        <f>ROUND((+L57-L56-(L51*L52)),0)</f>
        <v>0</v>
      </c>
      <c r="M59" s="132"/>
      <c r="N59" s="129">
        <f>ROUND((+N57-N56-(N51*N52)),0)</f>
        <v>0</v>
      </c>
      <c r="O59" s="129">
        <f>ROUND((+O57-O56-(O51*O52)),0)</f>
        <v>0</v>
      </c>
      <c r="P59" s="129">
        <f>ROUND((+P57-P56-(P51*P52)),0)</f>
        <v>0</v>
      </c>
      <c r="Q59" s="129">
        <f>ROUND((+Q57-Q56-(Q51*Q52)),0)</f>
        <v>0</v>
      </c>
      <c r="R59" s="132"/>
      <c r="S59" s="129">
        <f>ROUND((+S57-S56-(S51*S52)),0)</f>
        <v>0</v>
      </c>
      <c r="T59" s="136">
        <f>ROUND((+T57-T56-(T51*T52)),0)</f>
        <v>0</v>
      </c>
      <c r="U59" s="136">
        <f>ROUND((+U57-U56-(U51*U52)),0)</f>
        <v>0</v>
      </c>
      <c r="V59" s="136">
        <f>ROUND((+V57-V56-(V51*V52)),0)</f>
        <v>0</v>
      </c>
      <c r="W59" s="138"/>
      <c r="X59" s="136">
        <f>ROUND((+X57-X56-(X51*X52)),0)</f>
        <v>0</v>
      </c>
      <c r="Y59" s="136">
        <f>ROUND((+Y57-Y56-(Y51*Y52)),0)</f>
        <v>0</v>
      </c>
      <c r="Z59" s="136">
        <f>ROUND((+Z57-Z56-(Z51*Z52)),0)</f>
        <v>0</v>
      </c>
      <c r="AA59" s="136">
        <f>ROUND((+AA57-AA56-(AA51*AA52)),0)</f>
        <v>0</v>
      </c>
      <c r="AB59" s="138"/>
    </row>
    <row r="60" spans="1:28" s="21" customFormat="1" outlineLevel="1" x14ac:dyDescent="0.25">
      <c r="A60" s="224"/>
      <c r="B60" s="261" t="s">
        <v>87</v>
      </c>
      <c r="C60" s="262"/>
      <c r="D60" s="141">
        <v>6222</v>
      </c>
      <c r="E60" s="141">
        <v>6316</v>
      </c>
      <c r="F60" s="141">
        <v>6425</v>
      </c>
      <c r="G60" s="141">
        <v>6588</v>
      </c>
      <c r="H60" s="142"/>
      <c r="I60" s="141">
        <v>6764</v>
      </c>
      <c r="J60" s="141">
        <v>6882</v>
      </c>
      <c r="K60" s="141">
        <v>7001</v>
      </c>
      <c r="L60" s="141">
        <v>7146</v>
      </c>
      <c r="M60" s="143"/>
      <c r="N60" s="141">
        <v>7312</v>
      </c>
      <c r="O60" s="141">
        <v>7528</v>
      </c>
      <c r="P60" s="141">
        <v>7614</v>
      </c>
      <c r="Q60" s="141">
        <v>7770</v>
      </c>
      <c r="R60" s="143"/>
      <c r="S60" s="141">
        <v>7876</v>
      </c>
      <c r="T60" s="141">
        <v>7943</v>
      </c>
      <c r="U60" s="141">
        <f t="shared" ref="U60:V60" si="92">+T60+U61</f>
        <v>8043</v>
      </c>
      <c r="V60" s="141">
        <f t="shared" si="92"/>
        <v>8143</v>
      </c>
      <c r="W60" s="143"/>
      <c r="X60" s="141">
        <f>+V60+X61</f>
        <v>8236.25</v>
      </c>
      <c r="Y60" s="141">
        <f>+X60+Y61</f>
        <v>8326.3125</v>
      </c>
      <c r="Z60" s="141">
        <f t="shared" ref="Z60" si="93">+Y60+Z61</f>
        <v>8422.140625</v>
      </c>
      <c r="AA60" s="141">
        <f t="shared" ref="AA60" si="94">+Z60+AA61</f>
        <v>8516.92578125</v>
      </c>
      <c r="AB60" s="143"/>
    </row>
    <row r="61" spans="1:28" outlineLevel="1" x14ac:dyDescent="0.25">
      <c r="A61" s="209"/>
      <c r="B61" s="42" t="s">
        <v>95</v>
      </c>
      <c r="C61" s="64"/>
      <c r="D61" s="29"/>
      <c r="E61" s="29">
        <f>+E60-D60</f>
        <v>94</v>
      </c>
      <c r="F61" s="29">
        <f>+F60-E60</f>
        <v>109</v>
      </c>
      <c r="G61" s="29">
        <f>+G60-F60</f>
        <v>163</v>
      </c>
      <c r="H61" s="44"/>
      <c r="I61" s="29">
        <f>+I60-G60</f>
        <v>176</v>
      </c>
      <c r="J61" s="29">
        <f>+J60-I60</f>
        <v>118</v>
      </c>
      <c r="K61" s="29">
        <f>+K60-J60</f>
        <v>119</v>
      </c>
      <c r="L61" s="29">
        <f>+L60-K60</f>
        <v>145</v>
      </c>
      <c r="M61" s="43">
        <f>+SUM(I61:L61)</f>
        <v>558</v>
      </c>
      <c r="N61" s="29">
        <f>+N60-L60</f>
        <v>166</v>
      </c>
      <c r="O61" s="29">
        <f>+O60-N60</f>
        <v>216</v>
      </c>
      <c r="P61" s="29">
        <f>+P60-O60</f>
        <v>86</v>
      </c>
      <c r="Q61" s="29">
        <f>+Q60-P60</f>
        <v>156</v>
      </c>
      <c r="R61" s="43">
        <f>+SUM(N61:Q61)</f>
        <v>624</v>
      </c>
      <c r="S61" s="29">
        <f>+S60-Q60</f>
        <v>106</v>
      </c>
      <c r="T61" s="212">
        <v>67</v>
      </c>
      <c r="U61" s="237">
        <v>100</v>
      </c>
      <c r="V61" s="237">
        <v>100</v>
      </c>
      <c r="W61" s="43">
        <f>+SUM(S61:V61)</f>
        <v>373</v>
      </c>
      <c r="X61" s="52">
        <f>AVERAGE(S61,T61,U61,V61)</f>
        <v>93.25</v>
      </c>
      <c r="Y61" s="52">
        <f>AVERAGE(T61,U61,V61,X61)</f>
        <v>90.0625</v>
      </c>
      <c r="Z61" s="52">
        <f>AVERAGE(U61,V61,X61,Y61)</f>
        <v>95.828125</v>
      </c>
      <c r="AA61" s="52">
        <f>AVERAGE(V61,X61,Y61,Z61)</f>
        <v>94.78515625</v>
      </c>
      <c r="AB61" s="43">
        <f>+SUM(X61:AA61)</f>
        <v>373.92578125</v>
      </c>
    </row>
    <row r="62" spans="1:28" outlineLevel="1" x14ac:dyDescent="0.25">
      <c r="A62" s="209"/>
      <c r="B62" s="42" t="s">
        <v>98</v>
      </c>
      <c r="C62" s="64"/>
      <c r="D62" s="29"/>
      <c r="E62" s="29">
        <f>AVERAGE(E60,D60)</f>
        <v>6269</v>
      </c>
      <c r="F62" s="29">
        <f t="shared" ref="F62:G62" si="95">AVERAGE(F60,E60)</f>
        <v>6370.5</v>
      </c>
      <c r="G62" s="29">
        <f t="shared" si="95"/>
        <v>6506.5</v>
      </c>
      <c r="H62" s="44"/>
      <c r="I62" s="29">
        <f>AVERAGE(I60,G60)</f>
        <v>6676</v>
      </c>
      <c r="J62" s="29">
        <f>AVERAGE(J60,I60)</f>
        <v>6823</v>
      </c>
      <c r="K62" s="29">
        <f t="shared" ref="K62:L62" si="96">AVERAGE(K60,J60)</f>
        <v>6941.5</v>
      </c>
      <c r="L62" s="29">
        <f t="shared" si="96"/>
        <v>7073.5</v>
      </c>
      <c r="M62" s="198"/>
      <c r="N62" s="29">
        <f>AVERAGE(N60,L60)</f>
        <v>7229</v>
      </c>
      <c r="O62" s="29">
        <f>AVERAGE(O60,N60)</f>
        <v>7420</v>
      </c>
      <c r="P62" s="29">
        <f t="shared" ref="P62:Q62" si="97">AVERAGE(P60,O60)</f>
        <v>7571</v>
      </c>
      <c r="Q62" s="29">
        <f t="shared" si="97"/>
        <v>7692</v>
      </c>
      <c r="R62" s="198"/>
      <c r="S62" s="29">
        <f>AVERAGE(S60,Q60)</f>
        <v>7823</v>
      </c>
      <c r="T62" s="29">
        <f>AVERAGE(T60,S60)</f>
        <v>7909.5</v>
      </c>
      <c r="U62" s="29">
        <f t="shared" ref="U62:V62" si="98">AVERAGE(U60,T60)</f>
        <v>7993</v>
      </c>
      <c r="V62" s="29">
        <f t="shared" si="98"/>
        <v>8093</v>
      </c>
      <c r="W62" s="43"/>
      <c r="X62" s="29">
        <f>AVERAGE(X60,V60)</f>
        <v>8189.625</v>
      </c>
      <c r="Y62" s="29">
        <f>AVERAGE(Y60,X60)</f>
        <v>8281.28125</v>
      </c>
      <c r="Z62" s="29">
        <f t="shared" ref="Z62:AA62" si="99">AVERAGE(Z60,Y60)</f>
        <v>8374.2265625</v>
      </c>
      <c r="AA62" s="29">
        <f t="shared" si="99"/>
        <v>8469.533203125</v>
      </c>
      <c r="AB62" s="20"/>
    </row>
    <row r="63" spans="1:28" outlineLevel="1" x14ac:dyDescent="0.25">
      <c r="A63" s="209"/>
      <c r="B63" s="42" t="s">
        <v>97</v>
      </c>
      <c r="C63" s="64"/>
      <c r="D63" s="29"/>
      <c r="E63" s="29"/>
      <c r="F63" s="29"/>
      <c r="G63" s="29"/>
      <c r="H63" s="44"/>
      <c r="I63" s="80">
        <f>+I64/I62</f>
        <v>6.3106650689035357E-2</v>
      </c>
      <c r="J63" s="80">
        <f t="shared" ref="J63:K63" si="100">+J64/J62</f>
        <v>5.5210318041917041E-2</v>
      </c>
      <c r="K63" s="80">
        <f t="shared" si="100"/>
        <v>5.8272707628034284E-2</v>
      </c>
      <c r="L63" s="80">
        <f>+L64/L62</f>
        <v>5.8627270799462783E-2</v>
      </c>
      <c r="M63" s="43"/>
      <c r="N63" s="80">
        <f>+N64/N62</f>
        <v>6.4559413473509478E-2</v>
      </c>
      <c r="O63" s="80">
        <f t="shared" ref="O63" si="101">+O64/O62</f>
        <v>5.7857142857142857E-2</v>
      </c>
      <c r="P63" s="80">
        <f t="shared" ref="P63" si="102">+P64/P62</f>
        <v>5.9701492537313432E-2</v>
      </c>
      <c r="Q63" s="80">
        <f>+Q64/Q62</f>
        <v>6.0582423296931878E-2</v>
      </c>
      <c r="R63" s="43"/>
      <c r="S63" s="80">
        <f>+S64/S62</f>
        <v>6.5780391154288645E-2</v>
      </c>
      <c r="T63" s="80">
        <f>+T64/T62</f>
        <v>5.8537202098742018E-2</v>
      </c>
      <c r="U63" s="125">
        <f>+P63*(1+2%)</f>
        <v>6.0895522388059703E-2</v>
      </c>
      <c r="V63" s="125">
        <f>+Q63*(1+2%)</f>
        <v>6.1794071762870516E-2</v>
      </c>
      <c r="W63" s="198"/>
      <c r="X63" s="125">
        <f>+S63*(1+2%)</f>
        <v>6.7095998977374421E-2</v>
      </c>
      <c r="Y63" s="125">
        <f>+T63*(1+2%)</f>
        <v>5.970794614071686E-2</v>
      </c>
      <c r="Z63" s="125">
        <f>+U63*(1+2%)</f>
        <v>6.2113432835820895E-2</v>
      </c>
      <c r="AA63" s="125">
        <f>+V63*(1+2%)</f>
        <v>6.302995319812793E-2</v>
      </c>
      <c r="AB63" s="20"/>
    </row>
    <row r="64" spans="1:28" s="21" customFormat="1" outlineLevel="1" x14ac:dyDescent="0.25">
      <c r="A64" s="224"/>
      <c r="B64" s="263" t="s">
        <v>100</v>
      </c>
      <c r="C64" s="264"/>
      <c r="D64" s="150"/>
      <c r="E64" s="150"/>
      <c r="F64" s="150"/>
      <c r="G64" s="150"/>
      <c r="H64" s="151"/>
      <c r="I64" s="150">
        <v>421.3</v>
      </c>
      <c r="J64" s="150">
        <v>376.7</v>
      </c>
      <c r="K64" s="150">
        <v>404.5</v>
      </c>
      <c r="L64" s="150">
        <v>414.7</v>
      </c>
      <c r="M64" s="152"/>
      <c r="N64" s="150">
        <v>466.7</v>
      </c>
      <c r="O64" s="150">
        <v>429.3</v>
      </c>
      <c r="P64" s="150">
        <v>452</v>
      </c>
      <c r="Q64" s="150">
        <v>466</v>
      </c>
      <c r="R64" s="152"/>
      <c r="S64" s="150">
        <v>514.6</v>
      </c>
      <c r="T64" s="150">
        <v>463</v>
      </c>
      <c r="U64" s="150">
        <f t="shared" ref="U64:V64" si="103">+U62*U63</f>
        <v>486.73791044776118</v>
      </c>
      <c r="V64" s="150">
        <f t="shared" si="103"/>
        <v>500.09942277691107</v>
      </c>
      <c r="W64" s="152"/>
      <c r="X64" s="150">
        <f>+X62*X63</f>
        <v>549.49107062507994</v>
      </c>
      <c r="Y64" s="150">
        <f>+Y62*Y63</f>
        <v>494.45829485112841</v>
      </c>
      <c r="Z64" s="150">
        <f t="shared" ref="Z64" si="104">+Z62*Z63</f>
        <v>520.15195914179105</v>
      </c>
      <c r="AA64" s="150">
        <f t="shared" ref="AA64" si="105">+AA62*AA63</f>
        <v>533.83428140295928</v>
      </c>
      <c r="AB64" s="152"/>
    </row>
    <row r="65" spans="1:28" s="21" customFormat="1" outlineLevel="1" x14ac:dyDescent="0.25">
      <c r="A65" s="224"/>
      <c r="B65" s="253" t="s">
        <v>99</v>
      </c>
      <c r="C65" s="254"/>
      <c r="D65" s="36"/>
      <c r="E65" s="36"/>
      <c r="F65" s="36"/>
      <c r="G65" s="36"/>
      <c r="H65" s="113"/>
      <c r="I65" s="105">
        <v>1.5</v>
      </c>
      <c r="J65" s="105">
        <v>1.4</v>
      </c>
      <c r="K65" s="105">
        <v>0.9</v>
      </c>
      <c r="L65" s="105">
        <v>2.5</v>
      </c>
      <c r="M65" s="123"/>
      <c r="N65" s="105">
        <v>3.9</v>
      </c>
      <c r="O65" s="105">
        <v>2.2000000000000002</v>
      </c>
      <c r="P65" s="105">
        <v>3.5</v>
      </c>
      <c r="Q65" s="105">
        <v>3.5</v>
      </c>
      <c r="R65" s="123"/>
      <c r="S65" s="105">
        <v>5.7</v>
      </c>
      <c r="T65" s="105">
        <v>1.5</v>
      </c>
      <c r="U65" s="105">
        <f>+P65*(1+U66)</f>
        <v>5.0750000000000002</v>
      </c>
      <c r="V65" s="105">
        <f t="shared" ref="V65" si="106">+Q65*(1+V66)</f>
        <v>5.0750000000000002</v>
      </c>
      <c r="W65" s="114"/>
      <c r="X65" s="105">
        <f>+S65*(1+X66)</f>
        <v>7.125</v>
      </c>
      <c r="Y65" s="105">
        <f>+T65*(1+Y66)</f>
        <v>2.1749999999999998</v>
      </c>
      <c r="Z65" s="105">
        <f>+U65*(1+Z66)</f>
        <v>7.3587499999999997</v>
      </c>
      <c r="AA65" s="105">
        <f t="shared" ref="AA65" si="107">+V65*(1+AA66)</f>
        <v>7.3587499999999997</v>
      </c>
      <c r="AB65" s="114"/>
    </row>
    <row r="66" spans="1:28" outlineLevel="1" x14ac:dyDescent="0.25">
      <c r="A66" s="209"/>
      <c r="B66" s="144" t="s">
        <v>102</v>
      </c>
      <c r="C66" s="145"/>
      <c r="D66" s="115"/>
      <c r="E66" s="115"/>
      <c r="F66" s="115"/>
      <c r="G66" s="115"/>
      <c r="H66" s="116"/>
      <c r="I66" s="115"/>
      <c r="J66" s="115"/>
      <c r="K66" s="115"/>
      <c r="L66" s="115"/>
      <c r="M66" s="117"/>
      <c r="N66" s="146">
        <f>+N65/I65-1</f>
        <v>1.6</v>
      </c>
      <c r="O66" s="146">
        <f t="shared" ref="O66:Q66" si="108">+O65/J65-1</f>
        <v>0.57142857142857162</v>
      </c>
      <c r="P66" s="146">
        <f t="shared" si="108"/>
        <v>2.8888888888888888</v>
      </c>
      <c r="Q66" s="146">
        <f t="shared" si="108"/>
        <v>0.39999999999999991</v>
      </c>
      <c r="R66" s="117"/>
      <c r="S66" s="146">
        <f>+S65/N65-1</f>
        <v>0.46153846153846168</v>
      </c>
      <c r="T66" s="146">
        <f>+T65/O65-1</f>
        <v>-0.31818181818181823</v>
      </c>
      <c r="U66" s="147">
        <v>0.45</v>
      </c>
      <c r="V66" s="147">
        <v>0.45</v>
      </c>
      <c r="W66" s="117"/>
      <c r="X66" s="147">
        <v>0.25</v>
      </c>
      <c r="Y66" s="147">
        <v>0.45</v>
      </c>
      <c r="Z66" s="147">
        <v>0.45</v>
      </c>
      <c r="AA66" s="147">
        <v>0.45</v>
      </c>
      <c r="AB66" s="117"/>
    </row>
    <row r="67" spans="1:28" outlineLevel="1" x14ac:dyDescent="0.25">
      <c r="A67" s="209"/>
      <c r="B67" s="42" t="s">
        <v>104</v>
      </c>
      <c r="C67" s="99"/>
      <c r="D67" s="29"/>
      <c r="E67" s="29"/>
      <c r="F67" s="29"/>
      <c r="G67" s="29">
        <f>I67-I68</f>
        <v>15607</v>
      </c>
      <c r="H67" s="44"/>
      <c r="I67" s="29">
        <f>+I60+I49</f>
        <v>15858</v>
      </c>
      <c r="J67" s="29">
        <f t="shared" ref="J67:V67" si="109">+J60+J49</f>
        <v>16058</v>
      </c>
      <c r="K67" s="29">
        <f t="shared" si="109"/>
        <v>16302</v>
      </c>
      <c r="L67" s="29">
        <f t="shared" si="109"/>
        <v>16559</v>
      </c>
      <c r="M67" s="43"/>
      <c r="N67" s="29">
        <f t="shared" si="109"/>
        <v>16837</v>
      </c>
      <c r="O67" s="29">
        <f t="shared" si="109"/>
        <v>17024</v>
      </c>
      <c r="P67" s="29">
        <f t="shared" si="109"/>
        <v>17204</v>
      </c>
      <c r="Q67" s="29">
        <f t="shared" si="109"/>
        <v>17454</v>
      </c>
      <c r="R67" s="43"/>
      <c r="S67" s="29">
        <f t="shared" si="109"/>
        <v>17644</v>
      </c>
      <c r="T67" s="29">
        <f>+T60+T49</f>
        <v>17710</v>
      </c>
      <c r="U67" s="29">
        <f t="shared" si="109"/>
        <v>17885</v>
      </c>
      <c r="V67" s="29">
        <f t="shared" si="109"/>
        <v>18055</v>
      </c>
      <c r="W67" s="43"/>
      <c r="X67" s="29">
        <f>+X60+X49</f>
        <v>18205.25</v>
      </c>
      <c r="Y67" s="29">
        <f t="shared" ref="Y67:AA67" si="110">+Y60+Y49</f>
        <v>18345.5625</v>
      </c>
      <c r="Z67" s="29">
        <f t="shared" si="110"/>
        <v>18504.453125</v>
      </c>
      <c r="AA67" s="29">
        <f t="shared" si="110"/>
        <v>18659.31640625</v>
      </c>
      <c r="AB67" s="20"/>
    </row>
    <row r="68" spans="1:28" outlineLevel="1" x14ac:dyDescent="0.25">
      <c r="A68" s="209"/>
      <c r="B68" s="42" t="s">
        <v>105</v>
      </c>
      <c r="C68" s="99"/>
      <c r="D68" s="29"/>
      <c r="E68" s="29"/>
      <c r="F68" s="29"/>
      <c r="G68" s="29"/>
      <c r="H68" s="44"/>
      <c r="I68" s="29">
        <f>+I61+I50</f>
        <v>251</v>
      </c>
      <c r="J68" s="29">
        <f t="shared" ref="J68:V68" si="111">+J61+J50</f>
        <v>200</v>
      </c>
      <c r="K68" s="29">
        <f t="shared" si="111"/>
        <v>244</v>
      </c>
      <c r="L68" s="29">
        <f t="shared" si="111"/>
        <v>257</v>
      </c>
      <c r="M68" s="43">
        <f t="shared" ref="M68" si="112">+M61+M50</f>
        <v>952</v>
      </c>
      <c r="N68" s="29">
        <f t="shared" si="111"/>
        <v>278</v>
      </c>
      <c r="O68" s="29">
        <f t="shared" si="111"/>
        <v>187</v>
      </c>
      <c r="P68" s="29">
        <f t="shared" si="111"/>
        <v>180</v>
      </c>
      <c r="Q68" s="29">
        <f t="shared" si="111"/>
        <v>250</v>
      </c>
      <c r="R68" s="43">
        <f t="shared" si="111"/>
        <v>895</v>
      </c>
      <c r="S68" s="29">
        <f t="shared" si="111"/>
        <v>190</v>
      </c>
      <c r="T68" s="29">
        <f>+T61+T50</f>
        <v>66</v>
      </c>
      <c r="U68" s="29">
        <f t="shared" si="111"/>
        <v>175</v>
      </c>
      <c r="V68" s="29">
        <f t="shared" si="111"/>
        <v>170</v>
      </c>
      <c r="W68" s="244">
        <f>+W61+W50</f>
        <v>601</v>
      </c>
      <c r="X68" s="29">
        <f>+X61+X50</f>
        <v>150.25</v>
      </c>
      <c r="Y68" s="29">
        <f t="shared" ref="Y68:AA68" si="113">+Y61+Y50</f>
        <v>140.3125</v>
      </c>
      <c r="Z68" s="29">
        <f t="shared" si="113"/>
        <v>158.890625</v>
      </c>
      <c r="AA68" s="29">
        <f t="shared" si="113"/>
        <v>154.86328125</v>
      </c>
      <c r="AB68" s="43">
        <f>+AB61+AB50</f>
        <v>604.31640625</v>
      </c>
    </row>
    <row r="69" spans="1:28" outlineLevel="1" x14ac:dyDescent="0.25">
      <c r="A69" s="209"/>
      <c r="B69" s="287" t="s">
        <v>189</v>
      </c>
      <c r="C69" s="236"/>
      <c r="D69" s="238" t="s">
        <v>186</v>
      </c>
      <c r="E69" s="239" t="s">
        <v>186</v>
      </c>
      <c r="F69" s="238" t="s">
        <v>186</v>
      </c>
      <c r="G69" s="238" t="s">
        <v>186</v>
      </c>
      <c r="H69" s="246" t="s">
        <v>186</v>
      </c>
      <c r="I69" s="238">
        <f>(I67-G67)/G67</f>
        <v>1.6082527071186008E-2</v>
      </c>
      <c r="J69" s="238">
        <f>(J67-I67)/I67</f>
        <v>1.2611930886618741E-2</v>
      </c>
      <c r="K69" s="238">
        <f>(K67-J67)/J67</f>
        <v>1.5194918420724872E-2</v>
      </c>
      <c r="L69" s="238">
        <f>(L67-K67)/K67</f>
        <v>1.5764936817568395E-2</v>
      </c>
      <c r="M69" s="246">
        <f>(L67-G67)/G67</f>
        <v>6.0998270007048119E-2</v>
      </c>
      <c r="N69" s="289">
        <f>(N67-L67)/L67</f>
        <v>1.6788453409022283E-2</v>
      </c>
      <c r="O69" s="290">
        <f>(O67-N67)/N67</f>
        <v>1.1106491655283008E-2</v>
      </c>
      <c r="P69" s="290">
        <f>(P67-O67)/O67</f>
        <v>1.0573308270676691E-2</v>
      </c>
      <c r="Q69" s="291">
        <f>(Q67-P67)/P67</f>
        <v>1.4531504301325273E-2</v>
      </c>
      <c r="R69" s="246">
        <f>(Q67-L67)/L67</f>
        <v>5.4049157557823538E-2</v>
      </c>
      <c r="S69" s="238">
        <f>(S67-Q67)/Q67</f>
        <v>1.0885756846568121E-2</v>
      </c>
      <c r="T69" s="238">
        <f>(T67-S67)/S67</f>
        <v>3.740648379052369E-3</v>
      </c>
      <c r="U69" s="238">
        <f>(U67-T67)/T67</f>
        <v>9.881422924901186E-3</v>
      </c>
      <c r="V69" s="238">
        <f>(V67-U67)/U67</f>
        <v>9.5051719317864134E-3</v>
      </c>
      <c r="W69" s="245">
        <f>(V67-Q67)/Q67</f>
        <v>3.4433367709407588E-2</v>
      </c>
      <c r="X69" s="238">
        <f>(X67-V67)/V67</f>
        <v>8.3217945167543619E-3</v>
      </c>
      <c r="Y69" s="238">
        <f>(Y67-X67)/X67</f>
        <v>7.7072547754081927E-3</v>
      </c>
      <c r="Z69" s="238">
        <f>(Z67-Y67)/Y67</f>
        <v>8.6609840935648608E-3</v>
      </c>
      <c r="AA69" s="238">
        <f>(AA67-Z67)/Z67</f>
        <v>8.3689736845438383E-3</v>
      </c>
      <c r="AB69" s="246">
        <f>(AA67-V67)/V67</f>
        <v>3.3470861603433953E-2</v>
      </c>
    </row>
    <row r="70" spans="1:28" outlineLevel="1" x14ac:dyDescent="0.25">
      <c r="A70" s="209"/>
      <c r="B70" s="255" t="s">
        <v>103</v>
      </c>
      <c r="C70" s="256"/>
      <c r="D70" s="148"/>
      <c r="E70" s="148"/>
      <c r="F70" s="148"/>
      <c r="G70" s="148"/>
      <c r="H70" s="149"/>
      <c r="I70" s="150">
        <f>+I65+I64+I57</f>
        <v>3983.8</v>
      </c>
      <c r="J70" s="150">
        <f t="shared" ref="J70:V70" si="114">+J65+J64+J57</f>
        <v>3713</v>
      </c>
      <c r="K70" s="150">
        <f t="shared" si="114"/>
        <v>3981.8</v>
      </c>
      <c r="L70" s="150">
        <f t="shared" si="114"/>
        <v>3941.2999999999997</v>
      </c>
      <c r="M70" s="202">
        <f>SUM(I70:L70)</f>
        <v>15619.9</v>
      </c>
      <c r="N70" s="150">
        <f t="shared" si="114"/>
        <v>4257.6000000000004</v>
      </c>
      <c r="O70" s="150">
        <f t="shared" si="114"/>
        <v>3996.3</v>
      </c>
      <c r="P70" s="150">
        <f t="shared" si="114"/>
        <v>4224</v>
      </c>
      <c r="Q70" s="150">
        <f t="shared" si="114"/>
        <v>4254.2</v>
      </c>
      <c r="R70" s="202">
        <f>SUM(N70:Q70)</f>
        <v>16732.100000000002</v>
      </c>
      <c r="S70" s="150">
        <f t="shared" si="114"/>
        <v>4606</v>
      </c>
      <c r="T70" s="150">
        <f t="shared" si="114"/>
        <v>4305.8999999999996</v>
      </c>
      <c r="U70" s="150">
        <f t="shared" si="114"/>
        <v>4492.6286946155315</v>
      </c>
      <c r="V70" s="150">
        <f t="shared" si="114"/>
        <v>4543.1019645063452</v>
      </c>
      <c r="W70" s="202">
        <f>SUM(S70:V70)</f>
        <v>17947.630659121878</v>
      </c>
      <c r="X70" s="150">
        <f>+X65+X64+X57</f>
        <v>4906.5065961541568</v>
      </c>
      <c r="Y70" s="150">
        <f t="shared" ref="Y70:AA70" si="115">+Y65+Y64+Y57</f>
        <v>4591.8236922266888</v>
      </c>
      <c r="Z70" s="150">
        <f t="shared" si="115"/>
        <v>4779.0724381276505</v>
      </c>
      <c r="AA70" s="150">
        <f t="shared" si="115"/>
        <v>4826.8004712976381</v>
      </c>
      <c r="AB70" s="202">
        <f>SUM(X70:AA70)</f>
        <v>19104.203197806135</v>
      </c>
    </row>
    <row r="71" spans="1:28" outlineLevel="1" x14ac:dyDescent="0.25">
      <c r="A71" s="209"/>
      <c r="B71" s="257" t="s">
        <v>73</v>
      </c>
      <c r="C71" s="258"/>
      <c r="D71" s="29"/>
      <c r="E71" s="29"/>
      <c r="F71" s="29"/>
      <c r="G71" s="29"/>
      <c r="H71" s="44"/>
      <c r="I71" s="103">
        <v>1434.6</v>
      </c>
      <c r="J71" s="103">
        <v>1348.7</v>
      </c>
      <c r="K71" s="103">
        <v>1434.3</v>
      </c>
      <c r="L71" s="103">
        <v>1477.4</v>
      </c>
      <c r="M71" s="169"/>
      <c r="N71" s="103">
        <v>1596.2</v>
      </c>
      <c r="O71" s="103">
        <v>1528</v>
      </c>
      <c r="P71" s="103">
        <v>1570.8</v>
      </c>
      <c r="Q71" s="103">
        <v>1606.3</v>
      </c>
      <c r="R71" s="169"/>
      <c r="S71" s="103">
        <v>1712.4</v>
      </c>
      <c r="T71" s="103">
        <v>1589.1</v>
      </c>
      <c r="U71" s="103">
        <f>+(U70*U81)*(T71/T80)</f>
        <v>1632.480944123979</v>
      </c>
      <c r="V71" s="103">
        <f>+(V70*V81)*(U71/U80)</f>
        <v>1641.8979952421407</v>
      </c>
      <c r="W71" s="169"/>
      <c r="X71" s="103">
        <f>+(X70*X81)*(V71/V80)</f>
        <v>1774.9089791713204</v>
      </c>
      <c r="Y71" s="103">
        <f>+(Y70*Y81)*(X71/X80)</f>
        <v>1676.3883062728937</v>
      </c>
      <c r="Z71" s="103">
        <f>+(Z70*Z81)*(Y71/Y80)</f>
        <v>1722.4853916286472</v>
      </c>
      <c r="AA71" s="103">
        <f>+(AA70*AA81)*(Z71/Z80)</f>
        <v>1732.5772102325147</v>
      </c>
      <c r="AB71" s="169"/>
    </row>
    <row r="72" spans="1:28" outlineLevel="1" x14ac:dyDescent="0.25">
      <c r="A72" s="209"/>
      <c r="B72" s="42" t="s">
        <v>74</v>
      </c>
      <c r="C72" s="31"/>
      <c r="D72" s="29"/>
      <c r="E72" s="29"/>
      <c r="F72" s="29"/>
      <c r="G72" s="29"/>
      <c r="H72" s="44"/>
      <c r="I72" s="103">
        <v>1356.3</v>
      </c>
      <c r="J72" s="103">
        <v>1299.0999999999999</v>
      </c>
      <c r="K72" s="103">
        <v>1338.8</v>
      </c>
      <c r="L72" s="103">
        <v>1326</v>
      </c>
      <c r="M72" s="104"/>
      <c r="N72" s="103">
        <v>1433.4</v>
      </c>
      <c r="O72" s="103">
        <v>1411.8</v>
      </c>
      <c r="P72" s="103">
        <v>1447.6</v>
      </c>
      <c r="Q72" s="103">
        <v>1455</v>
      </c>
      <c r="R72" s="104"/>
      <c r="S72" s="103">
        <v>1591.1</v>
      </c>
      <c r="T72" s="103">
        <v>1534.9</v>
      </c>
      <c r="U72" s="103">
        <f>+(U70*U81)*(T72/T80)</f>
        <v>1576.8013348032821</v>
      </c>
      <c r="V72" s="103">
        <f>+(V70*V81)*(U72/U80)</f>
        <v>1585.897195203047</v>
      </c>
      <c r="W72" s="104"/>
      <c r="X72" s="103">
        <f>+(X70*X81)*(V72/V80)</f>
        <v>1714.3715261028633</v>
      </c>
      <c r="Y72" s="103">
        <f>+(Y70*Y81)*(X72/X80)</f>
        <v>1619.2111329043262</v>
      </c>
      <c r="Z72" s="103">
        <f>+(Z70*Z81)*(Y72/Y80)</f>
        <v>1663.7359685424522</v>
      </c>
      <c r="AA72" s="103">
        <f>+(AA70*AA81)*(Z72/Z80)</f>
        <v>1673.4835818928243</v>
      </c>
      <c r="AB72" s="104"/>
    </row>
    <row r="73" spans="1:28" outlineLevel="1" x14ac:dyDescent="0.25">
      <c r="A73" s="209"/>
      <c r="B73" s="42" t="s">
        <v>75</v>
      </c>
      <c r="C73" s="31"/>
      <c r="D73" s="29"/>
      <c r="E73" s="29"/>
      <c r="F73" s="29"/>
      <c r="G73" s="29"/>
      <c r="H73" s="44"/>
      <c r="I73" s="103">
        <v>32.5</v>
      </c>
      <c r="J73" s="103">
        <v>32.1</v>
      </c>
      <c r="K73" s="103">
        <v>33.6</v>
      </c>
      <c r="L73" s="103">
        <v>32.6</v>
      </c>
      <c r="M73" s="104"/>
      <c r="N73" s="103">
        <v>38.6</v>
      </c>
      <c r="O73" s="103">
        <v>33.9</v>
      </c>
      <c r="P73" s="103">
        <v>36.700000000000003</v>
      </c>
      <c r="Q73" s="103">
        <v>40.799999999999997</v>
      </c>
      <c r="R73" s="104"/>
      <c r="S73" s="103">
        <v>44.1</v>
      </c>
      <c r="T73" s="103">
        <v>38.799999999999997</v>
      </c>
      <c r="U73" s="103">
        <f>+(U70*U81)*(T73/T80)</f>
        <v>39.859203720351381</v>
      </c>
      <c r="V73" s="103">
        <f>+(V70*V81)*(U73/U80)</f>
        <v>40.089133607321784</v>
      </c>
      <c r="W73" s="104"/>
      <c r="X73" s="103">
        <f>+(X70*X81)*(V73/V80)</f>
        <v>43.336774521331087</v>
      </c>
      <c r="Y73" s="103">
        <f>+(Y70*Y81)*(X73/X80)</f>
        <v>40.931260640229233</v>
      </c>
      <c r="Z73" s="103">
        <f>+(Z70*Z81)*(Y73/Y80)</f>
        <v>42.056782578309431</v>
      </c>
      <c r="AA73" s="103">
        <f>+(AA70*AA81)*(Z73/Z80)</f>
        <v>42.30318781512905</v>
      </c>
      <c r="AB73" s="104"/>
    </row>
    <row r="74" spans="1:28" outlineLevel="1" x14ac:dyDescent="0.25">
      <c r="A74" s="209"/>
      <c r="B74" s="42" t="s">
        <v>76</v>
      </c>
      <c r="C74" s="31"/>
      <c r="D74" s="29"/>
      <c r="E74" s="29"/>
      <c r="F74" s="29"/>
      <c r="G74" s="29"/>
      <c r="H74" s="44"/>
      <c r="I74" s="154">
        <v>152.4</v>
      </c>
      <c r="J74" s="154">
        <v>155.4</v>
      </c>
      <c r="K74" s="154">
        <v>152.80000000000001</v>
      </c>
      <c r="L74" s="154">
        <v>154.30000000000001</v>
      </c>
      <c r="M74" s="20"/>
      <c r="N74" s="154">
        <v>158</v>
      </c>
      <c r="O74" s="154">
        <v>160.4</v>
      </c>
      <c r="P74" s="154">
        <v>159.30000000000001</v>
      </c>
      <c r="Q74" s="154">
        <v>160.6</v>
      </c>
      <c r="R74" s="20"/>
      <c r="S74" s="154">
        <v>165.8</v>
      </c>
      <c r="T74" s="154">
        <v>170.7</v>
      </c>
      <c r="U74" s="235">
        <v>176.54828073622357</v>
      </c>
      <c r="V74" s="235">
        <v>183.35557343127246</v>
      </c>
      <c r="W74" s="20"/>
      <c r="X74" s="235">
        <v>187.7684259720105</v>
      </c>
      <c r="Y74" s="235">
        <v>192.97476749082676</v>
      </c>
      <c r="Z74" s="235">
        <v>192.12812351594783</v>
      </c>
      <c r="AA74" s="235">
        <v>192.43175451774599</v>
      </c>
      <c r="AB74" s="20"/>
    </row>
    <row r="75" spans="1:28" outlineLevel="1" x14ac:dyDescent="0.25">
      <c r="A75" s="209"/>
      <c r="B75" s="42" t="s">
        <v>77</v>
      </c>
      <c r="C75" s="31"/>
      <c r="D75" s="29"/>
      <c r="E75" s="29"/>
      <c r="F75" s="29"/>
      <c r="G75" s="29"/>
      <c r="H75" s="20"/>
      <c r="I75" s="103">
        <v>52</v>
      </c>
      <c r="J75" s="103">
        <v>53.4</v>
      </c>
      <c r="K75" s="103">
        <v>50.7</v>
      </c>
      <c r="L75" s="103">
        <v>45.4</v>
      </c>
      <c r="M75" s="104"/>
      <c r="N75" s="103">
        <v>52.1</v>
      </c>
      <c r="O75" s="103">
        <v>60</v>
      </c>
      <c r="P75" s="103">
        <v>84.4</v>
      </c>
      <c r="Q75" s="103">
        <v>50.6</v>
      </c>
      <c r="R75" s="104"/>
      <c r="S75" s="103">
        <v>58.2</v>
      </c>
      <c r="T75" s="103">
        <v>55.2</v>
      </c>
      <c r="U75" s="103">
        <f t="shared" ref="U75:V75" si="116">+(U70*U81)*(T75/T80)</f>
        <v>56.70690838565455</v>
      </c>
      <c r="V75" s="103">
        <f t="shared" si="116"/>
        <v>57.034025132066056</v>
      </c>
      <c r="W75" s="104"/>
      <c r="X75" s="103">
        <f>+(X70*X81)*(V75/V80)</f>
        <v>61.654380246842173</v>
      </c>
      <c r="Y75" s="103">
        <f>+(Y70*Y81)*(X75/X80)</f>
        <v>58.232102766511701</v>
      </c>
      <c r="Z75" s="103">
        <f t="shared" ref="Z75:AA75" si="117">+(Z70*Z81)*(Y75/Y80)</f>
        <v>59.83336078151239</v>
      </c>
      <c r="AA75" s="103">
        <f t="shared" si="117"/>
        <v>60.183916685441339</v>
      </c>
      <c r="AB75" s="104"/>
    </row>
    <row r="76" spans="1:28" ht="17.25" outlineLevel="1" x14ac:dyDescent="0.4">
      <c r="A76" s="209"/>
      <c r="B76" s="42" t="s">
        <v>85</v>
      </c>
      <c r="C76" s="31"/>
      <c r="D76" s="29"/>
      <c r="E76" s="29"/>
      <c r="F76" s="29"/>
      <c r="G76" s="29"/>
      <c r="H76" s="20"/>
      <c r="I76" s="155">
        <v>0</v>
      </c>
      <c r="J76" s="155">
        <v>0</v>
      </c>
      <c r="K76" s="155">
        <v>0</v>
      </c>
      <c r="L76" s="155">
        <v>4.0999999999999996</v>
      </c>
      <c r="M76" s="170"/>
      <c r="N76" s="155">
        <v>1.6</v>
      </c>
      <c r="O76" s="155">
        <v>0.9</v>
      </c>
      <c r="P76" s="155">
        <v>18.399999999999999</v>
      </c>
      <c r="Q76" s="155">
        <v>12.4</v>
      </c>
      <c r="R76" s="170"/>
      <c r="S76" s="155">
        <v>22.9</v>
      </c>
      <c r="T76" s="155">
        <v>18.2</v>
      </c>
      <c r="U76" s="155">
        <f t="shared" ref="U76" si="118">+(U70*U81)*(T76/T80)</f>
        <v>18.696842982226681</v>
      </c>
      <c r="V76" s="155">
        <f>+(V70*V81)*(U76/U80)</f>
        <v>18.804696692094243</v>
      </c>
      <c r="W76" s="170"/>
      <c r="X76" s="155">
        <f>+(X70*X81)*(V76/V80)</f>
        <v>20.32807464660376</v>
      </c>
      <c r="Y76" s="155">
        <f>+(Y70*Y81)*(X76/X80)</f>
        <v>19.199715042581754</v>
      </c>
      <c r="Z76" s="155">
        <f t="shared" ref="Z76" si="119">+(Z70*Z81)*(Y76/Y80)</f>
        <v>19.727666054774012</v>
      </c>
      <c r="AA76" s="155">
        <f>+(AA70*AA81)*(Z76/Z80)</f>
        <v>19.843247892663626</v>
      </c>
      <c r="AB76" s="170"/>
    </row>
    <row r="77" spans="1:28" outlineLevel="1" x14ac:dyDescent="0.25">
      <c r="A77" s="209"/>
      <c r="B77" s="101" t="s">
        <v>178</v>
      </c>
      <c r="C77" s="34"/>
      <c r="D77" s="29"/>
      <c r="E77" s="29"/>
      <c r="F77" s="29"/>
      <c r="G77" s="29"/>
      <c r="H77" s="22"/>
      <c r="I77" s="105">
        <f t="shared" ref="I77:L77" si="120">SUM(I71:I76)</f>
        <v>3027.7999999999997</v>
      </c>
      <c r="J77" s="105">
        <f t="shared" si="120"/>
        <v>2888.7000000000003</v>
      </c>
      <c r="K77" s="105">
        <f t="shared" si="120"/>
        <v>3010.2</v>
      </c>
      <c r="L77" s="105">
        <f t="shared" si="120"/>
        <v>3039.8</v>
      </c>
      <c r="M77" s="20"/>
      <c r="N77" s="105">
        <f>SUM(N71:N76)</f>
        <v>3279.9</v>
      </c>
      <c r="O77" s="105">
        <f t="shared" ref="O77:P77" si="121">SUM(O71:O76)</f>
        <v>3195.0000000000005</v>
      </c>
      <c r="P77" s="105">
        <f t="shared" si="121"/>
        <v>3317.2</v>
      </c>
      <c r="Q77" s="105">
        <f t="shared" ref="Q77" si="122">SUM(Q71:Q76)</f>
        <v>3325.7000000000003</v>
      </c>
      <c r="R77" s="20"/>
      <c r="S77" s="105">
        <f t="shared" ref="S77" si="123">SUM(S71:S76)</f>
        <v>3594.5</v>
      </c>
      <c r="T77" s="105">
        <f t="shared" ref="T77" si="124">SUM(T71:T76)</f>
        <v>3406.8999999999996</v>
      </c>
      <c r="U77" s="105">
        <f t="shared" ref="U77" si="125">SUM(U71:U76)</f>
        <v>3501.0935147517175</v>
      </c>
      <c r="V77" s="105">
        <f t="shared" ref="V77" si="126">SUM(V71:V76)</f>
        <v>3527.0786193079421</v>
      </c>
      <c r="W77" s="20"/>
      <c r="X77" s="105">
        <f t="shared" ref="X77" si="127">SUM(X71:X76)</f>
        <v>3802.3681606609712</v>
      </c>
      <c r="Y77" s="105">
        <f t="shared" ref="Y77" si="128">SUM(Y71:Y76)</f>
        <v>3606.9372851173694</v>
      </c>
      <c r="Z77" s="105">
        <f t="shared" ref="Z77" si="129">SUM(Z71:Z76)</f>
        <v>3699.967293101643</v>
      </c>
      <c r="AA77" s="105">
        <f t="shared" ref="AA77" si="130">SUM(AA71:AA76)</f>
        <v>3720.8228990363195</v>
      </c>
      <c r="AB77" s="20"/>
    </row>
    <row r="78" spans="1:28" outlineLevel="1" x14ac:dyDescent="0.25">
      <c r="A78" s="209"/>
      <c r="B78" s="101" t="s">
        <v>179</v>
      </c>
      <c r="C78" s="92"/>
      <c r="D78" s="29"/>
      <c r="E78" s="29"/>
      <c r="F78" s="29"/>
      <c r="G78" s="29"/>
      <c r="H78" s="22"/>
      <c r="I78" s="156">
        <f t="shared" ref="I78:L78" si="131">+I70-I77</f>
        <v>956.00000000000045</v>
      </c>
      <c r="J78" s="156">
        <f t="shared" si="131"/>
        <v>824.29999999999973</v>
      </c>
      <c r="K78" s="156">
        <f t="shared" si="131"/>
        <v>971.60000000000036</v>
      </c>
      <c r="L78" s="156">
        <f t="shared" si="131"/>
        <v>901.49999999999955</v>
      </c>
      <c r="M78" s="202">
        <f>SUM(I78:L78)</f>
        <v>3653.4</v>
      </c>
      <c r="N78" s="156">
        <f>+N70-N77</f>
        <v>977.70000000000027</v>
      </c>
      <c r="O78" s="156">
        <f t="shared" ref="O78:P78" si="132">+O70-O77</f>
        <v>801.29999999999973</v>
      </c>
      <c r="P78" s="156">
        <f t="shared" si="132"/>
        <v>906.80000000000018</v>
      </c>
      <c r="Q78" s="156">
        <f t="shared" ref="Q78" si="133">+Q70-Q77</f>
        <v>928.49999999999955</v>
      </c>
      <c r="R78" s="202">
        <f>SUM(N78:Q78)</f>
        <v>3614.2999999999997</v>
      </c>
      <c r="S78" s="156">
        <f t="shared" ref="S78" si="134">+S70-S77</f>
        <v>1011.5</v>
      </c>
      <c r="T78" s="156">
        <f t="shared" ref="T78" si="135">+T70-T77</f>
        <v>899</v>
      </c>
      <c r="U78" s="156">
        <f t="shared" ref="U78" si="136">+U70-U77</f>
        <v>991.53517986381394</v>
      </c>
      <c r="V78" s="156">
        <f t="shared" ref="V78" si="137">+V70-V77</f>
        <v>1016.0233451984031</v>
      </c>
      <c r="W78" s="202">
        <f>SUM(S78:V78)</f>
        <v>3918.0585250622171</v>
      </c>
      <c r="X78" s="156">
        <f t="shared" ref="X78" si="138">+X70-X77</f>
        <v>1104.1384354931856</v>
      </c>
      <c r="Y78" s="156">
        <f t="shared" ref="Y78" si="139">+Y70-Y77</f>
        <v>984.88640710931941</v>
      </c>
      <c r="Z78" s="156">
        <f t="shared" ref="Z78" si="140">+Z70-Z77</f>
        <v>1079.1051450260074</v>
      </c>
      <c r="AA78" s="156">
        <f t="shared" ref="AA78" si="141">+AA70-AA77</f>
        <v>1105.9775722613185</v>
      </c>
      <c r="AB78" s="202">
        <f>SUM(X78:AA78)</f>
        <v>4274.1075598898315</v>
      </c>
    </row>
    <row r="79" spans="1:28" outlineLevel="1" x14ac:dyDescent="0.25">
      <c r="A79" s="209"/>
      <c r="B79" s="101" t="s">
        <v>180</v>
      </c>
      <c r="C79" s="92"/>
      <c r="D79" s="29"/>
      <c r="E79" s="29"/>
      <c r="F79" s="29"/>
      <c r="G79" s="29"/>
      <c r="H79" s="20"/>
      <c r="I79" s="157">
        <f t="shared" ref="I79:L79" si="142">+I78/I70</f>
        <v>0.2399718861388625</v>
      </c>
      <c r="J79" s="157">
        <f t="shared" si="142"/>
        <v>0.22200377053595469</v>
      </c>
      <c r="K79" s="157">
        <f t="shared" si="142"/>
        <v>0.24401024662213078</v>
      </c>
      <c r="L79" s="157">
        <f t="shared" si="142"/>
        <v>0.22873163676959368</v>
      </c>
      <c r="M79" s="203">
        <f>M78/M70</f>
        <v>0.23389394298298966</v>
      </c>
      <c r="N79" s="157">
        <f>+N78/N70</f>
        <v>0.22963641488162351</v>
      </c>
      <c r="O79" s="157">
        <f t="shared" ref="O79:P79" si="143">+O78/O70</f>
        <v>0.20051047218677268</v>
      </c>
      <c r="P79" s="157">
        <f t="shared" si="143"/>
        <v>0.21467803030303034</v>
      </c>
      <c r="Q79" s="157">
        <f t="shared" ref="Q79" si="144">+Q78/Q70</f>
        <v>0.21825490103897316</v>
      </c>
      <c r="R79" s="203">
        <f>R78/R70</f>
        <v>0.21600994495610229</v>
      </c>
      <c r="S79" s="157">
        <f t="shared" ref="S79" si="145">+S78/S70</f>
        <v>0.21960486322188449</v>
      </c>
      <c r="T79" s="157">
        <f t="shared" ref="T79" si="146">+T78/T70</f>
        <v>0.20878329733621312</v>
      </c>
      <c r="U79" s="157">
        <f t="shared" ref="U79" si="147">+U78/U70</f>
        <v>0.22070267704343796</v>
      </c>
      <c r="V79" s="157">
        <f t="shared" ref="V79" si="148">+V78/V70</f>
        <v>0.22364088526655038</v>
      </c>
      <c r="W79" s="205">
        <f>W78/W70</f>
        <v>0.21830505649896828</v>
      </c>
      <c r="X79" s="157">
        <f t="shared" ref="X79" si="149">+X78/X70</f>
        <v>0.2250355551052631</v>
      </c>
      <c r="Y79" s="157">
        <f t="shared" ref="Y79" si="150">+Y78/Y70</f>
        <v>0.21448698232394975</v>
      </c>
      <c r="Z79" s="157">
        <f t="shared" ref="Z79" si="151">+Z78/Z70</f>
        <v>0.22579803068412588</v>
      </c>
      <c r="AA79" s="157">
        <f t="shared" ref="AA79" si="152">+AA78/AA70</f>
        <v>0.22913264777319192</v>
      </c>
      <c r="AB79" s="203">
        <f>AB78/AB70</f>
        <v>0.22372603115845502</v>
      </c>
    </row>
    <row r="80" spans="1:28" s="159" customFormat="1" outlineLevel="1" x14ac:dyDescent="0.25">
      <c r="A80" s="225"/>
      <c r="B80" s="163" t="s">
        <v>110</v>
      </c>
      <c r="C80" s="160"/>
      <c r="D80" s="161"/>
      <c r="E80" s="161"/>
      <c r="F80" s="161"/>
      <c r="G80" s="161"/>
      <c r="H80" s="162"/>
      <c r="I80" s="129">
        <f>+I77-I74</f>
        <v>2875.3999999999996</v>
      </c>
      <c r="J80" s="129">
        <f t="shared" ref="J80:V80" si="153">+J77-J74</f>
        <v>2733.3</v>
      </c>
      <c r="K80" s="129">
        <f t="shared" si="153"/>
        <v>2857.3999999999996</v>
      </c>
      <c r="L80" s="129">
        <f t="shared" si="153"/>
        <v>2885.5</v>
      </c>
      <c r="M80" s="164"/>
      <c r="N80" s="129">
        <f t="shared" si="153"/>
        <v>3121.9</v>
      </c>
      <c r="O80" s="129">
        <f t="shared" si="153"/>
        <v>3034.6000000000004</v>
      </c>
      <c r="P80" s="129">
        <f t="shared" si="153"/>
        <v>3157.8999999999996</v>
      </c>
      <c r="Q80" s="129">
        <f t="shared" si="153"/>
        <v>3165.1000000000004</v>
      </c>
      <c r="R80" s="164"/>
      <c r="S80" s="129">
        <f t="shared" si="153"/>
        <v>3428.7</v>
      </c>
      <c r="T80" s="129">
        <f t="shared" si="153"/>
        <v>3236.2</v>
      </c>
      <c r="U80" s="129">
        <f t="shared" si="153"/>
        <v>3324.5452340154939</v>
      </c>
      <c r="V80" s="129">
        <f t="shared" si="153"/>
        <v>3343.7230458766694</v>
      </c>
      <c r="W80" s="132"/>
      <c r="X80" s="129">
        <f t="shared" ref="X80" si="154">+X77-X74</f>
        <v>3614.5997346889608</v>
      </c>
      <c r="Y80" s="129">
        <f t="shared" ref="Y80:AA80" si="155">+Y77-Y74</f>
        <v>3413.9625176265426</v>
      </c>
      <c r="Z80" s="129">
        <f t="shared" si="155"/>
        <v>3507.8391695856953</v>
      </c>
      <c r="AA80" s="129">
        <f t="shared" si="155"/>
        <v>3528.3911445185736</v>
      </c>
      <c r="AB80" s="162"/>
    </row>
    <row r="81" spans="1:28" s="159" customFormat="1" outlineLevel="1" x14ac:dyDescent="0.25">
      <c r="A81" s="225"/>
      <c r="B81" s="163" t="s">
        <v>111</v>
      </c>
      <c r="C81" s="160"/>
      <c r="D81" s="161"/>
      <c r="E81" s="161"/>
      <c r="F81" s="161"/>
      <c r="G81" s="161"/>
      <c r="H81" s="162"/>
      <c r="I81" s="165">
        <f>+I80/I70</f>
        <v>0.72177318138460755</v>
      </c>
      <c r="J81" s="165">
        <f t="shared" ref="J81:T81" si="156">+J80/J70</f>
        <v>0.73614328036628074</v>
      </c>
      <c r="K81" s="165">
        <f t="shared" si="156"/>
        <v>0.71761514892762057</v>
      </c>
      <c r="L81" s="165">
        <f t="shared" si="156"/>
        <v>0.73211884403623173</v>
      </c>
      <c r="M81" s="166"/>
      <c r="N81" s="165">
        <f t="shared" si="156"/>
        <v>0.73325347613679059</v>
      </c>
      <c r="O81" s="165">
        <f t="shared" si="156"/>
        <v>0.75935240097089818</v>
      </c>
      <c r="P81" s="165">
        <f t="shared" si="156"/>
        <v>0.74760890151515147</v>
      </c>
      <c r="Q81" s="165">
        <f t="shared" si="156"/>
        <v>0.74399417046683292</v>
      </c>
      <c r="R81" s="166"/>
      <c r="S81" s="165">
        <f t="shared" si="156"/>
        <v>0.74439861050803291</v>
      </c>
      <c r="T81" s="165">
        <f t="shared" si="156"/>
        <v>0.75157342251329573</v>
      </c>
      <c r="U81" s="167">
        <v>0.74</v>
      </c>
      <c r="V81" s="167">
        <v>0.73599999999999999</v>
      </c>
      <c r="W81" s="162"/>
      <c r="X81" s="167">
        <v>0.73669517483624181</v>
      </c>
      <c r="Y81" s="167">
        <v>0.74348728227651695</v>
      </c>
      <c r="Z81" s="167">
        <v>0.73399999999999999</v>
      </c>
      <c r="AA81" s="167">
        <v>0.73099999999999998</v>
      </c>
      <c r="AB81" s="162"/>
    </row>
    <row r="82" spans="1:28" ht="18" x14ac:dyDescent="0.4">
      <c r="B82" s="247" t="s">
        <v>106</v>
      </c>
      <c r="C82" s="248"/>
      <c r="D82" s="27" t="s">
        <v>44</v>
      </c>
      <c r="E82" s="27" t="s">
        <v>45</v>
      </c>
      <c r="F82" s="27" t="s">
        <v>46</v>
      </c>
      <c r="G82" s="27" t="s">
        <v>47</v>
      </c>
      <c r="H82" s="74" t="s">
        <v>48</v>
      </c>
      <c r="I82" s="27" t="s">
        <v>37</v>
      </c>
      <c r="J82" s="27" t="s">
        <v>38</v>
      </c>
      <c r="K82" s="27" t="s">
        <v>39</v>
      </c>
      <c r="L82" s="27" t="s">
        <v>40</v>
      </c>
      <c r="M82" s="74" t="s">
        <v>41</v>
      </c>
      <c r="N82" s="27" t="s">
        <v>50</v>
      </c>
      <c r="O82" s="27" t="s">
        <v>51</v>
      </c>
      <c r="P82" s="27" t="s">
        <v>52</v>
      </c>
      <c r="Q82" s="27" t="s">
        <v>53</v>
      </c>
      <c r="R82" s="74" t="s">
        <v>54</v>
      </c>
      <c r="S82" s="27" t="s">
        <v>55</v>
      </c>
      <c r="T82" s="27" t="s">
        <v>182</v>
      </c>
      <c r="U82" s="25" t="s">
        <v>62</v>
      </c>
      <c r="V82" s="25" t="s">
        <v>63</v>
      </c>
      <c r="W82" s="76" t="s">
        <v>64</v>
      </c>
      <c r="X82" s="25" t="s">
        <v>65</v>
      </c>
      <c r="Y82" s="25" t="s">
        <v>66</v>
      </c>
      <c r="Z82" s="25" t="s">
        <v>67</v>
      </c>
      <c r="AA82" s="25" t="s">
        <v>68</v>
      </c>
      <c r="AB82" s="76" t="s">
        <v>69</v>
      </c>
    </row>
    <row r="83" spans="1:28" s="21" customFormat="1" outlineLevel="1" x14ac:dyDescent="0.25">
      <c r="B83" s="259" t="s">
        <v>107</v>
      </c>
      <c r="C83" s="260"/>
      <c r="D83" s="36">
        <v>2542</v>
      </c>
      <c r="E83" s="36">
        <v>2596</v>
      </c>
      <c r="F83" s="36">
        <v>2675</v>
      </c>
      <c r="G83" s="36">
        <v>2811</v>
      </c>
      <c r="H83" s="113"/>
      <c r="I83" s="36">
        <v>2915</v>
      </c>
      <c r="J83" s="36">
        <v>2982</v>
      </c>
      <c r="K83" s="36">
        <v>3098</v>
      </c>
      <c r="L83" s="36">
        <v>3070</v>
      </c>
      <c r="M83" s="114"/>
      <c r="N83" s="36">
        <v>4682</v>
      </c>
      <c r="O83" s="36">
        <v>4816</v>
      </c>
      <c r="P83" s="36">
        <v>4979</v>
      </c>
      <c r="Q83" s="36">
        <v>5159</v>
      </c>
      <c r="R83" s="114"/>
      <c r="S83" s="36">
        <v>5350</v>
      </c>
      <c r="T83" s="36">
        <v>5483</v>
      </c>
      <c r="U83" s="36">
        <f t="shared" ref="U83" si="157">+T83+U84</f>
        <v>5753</v>
      </c>
      <c r="V83" s="36">
        <f t="shared" ref="V83" si="158">+U83+V84</f>
        <v>6053</v>
      </c>
      <c r="W83" s="114"/>
      <c r="X83" s="36">
        <f>+V83+X84</f>
        <v>6353</v>
      </c>
      <c r="Y83" s="36">
        <f>+X83+Y84</f>
        <v>6623</v>
      </c>
      <c r="Z83" s="36">
        <f t="shared" ref="Z83" si="159">+Y83+Z84</f>
        <v>6893</v>
      </c>
      <c r="AA83" s="36">
        <f t="shared" ref="AA83" si="160">+Z83+AA84</f>
        <v>7163</v>
      </c>
      <c r="AB83" s="114"/>
    </row>
    <row r="84" spans="1:28" outlineLevel="1" x14ac:dyDescent="0.25">
      <c r="B84" s="42" t="s">
        <v>91</v>
      </c>
      <c r="C84" s="64"/>
      <c r="D84" s="29"/>
      <c r="E84" s="29"/>
      <c r="F84" s="29"/>
      <c r="G84" s="29"/>
      <c r="H84" s="44"/>
      <c r="I84" s="29">
        <f>+I83-G83</f>
        <v>104</v>
      </c>
      <c r="J84" s="29">
        <f>+J83-I83</f>
        <v>67</v>
      </c>
      <c r="K84" s="29">
        <f>+K83-J83</f>
        <v>116</v>
      </c>
      <c r="L84" s="29">
        <f>+L83-K83</f>
        <v>-28</v>
      </c>
      <c r="M84" s="43">
        <f>+SUM(I84:L84)</f>
        <v>259</v>
      </c>
      <c r="N84" s="29">
        <f>+N83-L83</f>
        <v>1612</v>
      </c>
      <c r="O84" s="29">
        <f>+O83-N83</f>
        <v>134</v>
      </c>
      <c r="P84" s="29">
        <f>+P83-O83</f>
        <v>163</v>
      </c>
      <c r="Q84" s="29">
        <f>+Q83-P83</f>
        <v>180</v>
      </c>
      <c r="R84" s="43">
        <f>+SUM(N84:Q84)</f>
        <v>2089</v>
      </c>
      <c r="S84" s="29">
        <f>+S83-Q83</f>
        <v>191</v>
      </c>
      <c r="T84" s="212">
        <v>133</v>
      </c>
      <c r="U84" s="237">
        <v>270</v>
      </c>
      <c r="V84" s="237">
        <v>300</v>
      </c>
      <c r="W84" s="244">
        <f>+SUM(S84:V84)</f>
        <v>894</v>
      </c>
      <c r="X84" s="237">
        <v>300</v>
      </c>
      <c r="Y84" s="237">
        <v>270</v>
      </c>
      <c r="Z84" s="237">
        <v>270</v>
      </c>
      <c r="AA84" s="237">
        <v>270</v>
      </c>
      <c r="AB84" s="43">
        <f>+SUM(X84:AA84)</f>
        <v>1110</v>
      </c>
    </row>
    <row r="85" spans="1:28" s="126" customFormat="1" outlineLevel="1" x14ac:dyDescent="0.25">
      <c r="A85" s="229"/>
      <c r="B85" s="127" t="s">
        <v>92</v>
      </c>
      <c r="C85" s="128"/>
      <c r="D85" s="129"/>
      <c r="E85" s="129"/>
      <c r="F85" s="129"/>
      <c r="G85" s="129"/>
      <c r="H85" s="130"/>
      <c r="I85" s="131">
        <f>D83</f>
        <v>2542</v>
      </c>
      <c r="J85" s="131">
        <f>E83</f>
        <v>2596</v>
      </c>
      <c r="K85" s="131">
        <f>F83</f>
        <v>2675</v>
      </c>
      <c r="L85" s="131">
        <f>G83</f>
        <v>2811</v>
      </c>
      <c r="M85" s="132"/>
      <c r="N85" s="131">
        <f>I83</f>
        <v>2915</v>
      </c>
      <c r="O85" s="131">
        <f>J83</f>
        <v>2982</v>
      </c>
      <c r="P85" s="131">
        <f>K83</f>
        <v>3098</v>
      </c>
      <c r="Q85" s="131">
        <f>L83</f>
        <v>3070</v>
      </c>
      <c r="R85" s="132"/>
      <c r="S85" s="131">
        <f>N83</f>
        <v>4682</v>
      </c>
      <c r="T85" s="131">
        <f>O83</f>
        <v>4816</v>
      </c>
      <c r="U85" s="131">
        <f>P83</f>
        <v>4979</v>
      </c>
      <c r="V85" s="131">
        <f>Q83</f>
        <v>5159</v>
      </c>
      <c r="W85" s="132"/>
      <c r="X85" s="131">
        <f>S83</f>
        <v>5350</v>
      </c>
      <c r="Y85" s="131">
        <f>T83</f>
        <v>5483</v>
      </c>
      <c r="Z85" s="131">
        <f>U83</f>
        <v>5753</v>
      </c>
      <c r="AA85" s="131">
        <f>V83</f>
        <v>6053</v>
      </c>
      <c r="AB85" s="132"/>
    </row>
    <row r="86" spans="1:28" s="126" customFormat="1" outlineLevel="1" x14ac:dyDescent="0.25">
      <c r="A86" s="229"/>
      <c r="B86" s="127" t="s">
        <v>93</v>
      </c>
      <c r="C86" s="128"/>
      <c r="D86" s="129"/>
      <c r="E86" s="129"/>
      <c r="F86" s="129"/>
      <c r="G86" s="129"/>
      <c r="H86" s="130"/>
      <c r="I86" s="133">
        <v>0.21</v>
      </c>
      <c r="J86" s="133">
        <v>0.20571240617810041</v>
      </c>
      <c r="K86" s="133">
        <v>0.23049885306924159</v>
      </c>
      <c r="L86" s="133">
        <v>0.21472943154355364</v>
      </c>
      <c r="M86" s="132"/>
      <c r="N86" s="133">
        <f>I86*(1+N89)</f>
        <v>0.21209999999999998</v>
      </c>
      <c r="O86" s="133">
        <f>J86*(1+O89)</f>
        <v>0.21188377836344344</v>
      </c>
      <c r="P86" s="133">
        <f t="shared" ref="P86" si="161">K86*(1+P89)</f>
        <v>0.22819386453854917</v>
      </c>
      <c r="Q86" s="133">
        <f>L86*(1+Q89)</f>
        <v>0.21687672585898918</v>
      </c>
      <c r="R86" s="132"/>
      <c r="S86" s="133">
        <f>N86*(1+S89)</f>
        <v>0.21846299999999999</v>
      </c>
      <c r="T86" s="133">
        <f>+O86*(1+T89)</f>
        <v>0.2161214539307123</v>
      </c>
      <c r="U86" s="133">
        <f t="shared" ref="U86" si="162">+P86*(1+U89)</f>
        <v>0.23732161912009114</v>
      </c>
      <c r="V86" s="133">
        <f t="shared" ref="V86" si="163">+Q86*(1+V89)</f>
        <v>0.22772056215193864</v>
      </c>
      <c r="W86" s="132"/>
      <c r="X86" s="133">
        <f>+S86*(1+X89)</f>
        <v>0.22610920499999998</v>
      </c>
      <c r="Y86" s="133">
        <f>+T86*(1+Y89)</f>
        <v>0.22611707117500773</v>
      </c>
      <c r="Z86" s="133">
        <f t="shared" ref="Z86" si="164">+U86*(1+Z89)</f>
        <v>0.24748195093867004</v>
      </c>
      <c r="AA86" s="133">
        <f t="shared" ref="AA86" si="165">+V86*(1+AA89)</f>
        <v>0.2376299647393316</v>
      </c>
      <c r="AB86" s="132"/>
    </row>
    <row r="87" spans="1:28" outlineLevel="1" x14ac:dyDescent="0.25">
      <c r="A87" s="209"/>
      <c r="B87" s="42" t="s">
        <v>89</v>
      </c>
      <c r="C87" s="99"/>
      <c r="D87" s="49">
        <v>0.04</v>
      </c>
      <c r="E87" s="49">
        <v>0.02</v>
      </c>
      <c r="F87" s="49">
        <v>0.02</v>
      </c>
      <c r="G87" s="49">
        <v>0</v>
      </c>
      <c r="H87" s="47">
        <v>0.01</v>
      </c>
      <c r="I87" s="49">
        <v>0.02</v>
      </c>
      <c r="J87" s="49">
        <v>0.01</v>
      </c>
      <c r="K87" s="49">
        <v>0</v>
      </c>
      <c r="L87" s="49">
        <v>0.01</v>
      </c>
      <c r="M87" s="47">
        <v>0.01</v>
      </c>
      <c r="N87" s="49">
        <v>0.01</v>
      </c>
      <c r="O87" s="49">
        <v>0</v>
      </c>
      <c r="P87" s="49">
        <v>-0.03</v>
      </c>
      <c r="Q87" s="49">
        <v>-0.01</v>
      </c>
      <c r="R87" s="47">
        <v>-0.01</v>
      </c>
      <c r="S87" s="49">
        <v>0.01</v>
      </c>
      <c r="T87" s="49">
        <v>0</v>
      </c>
      <c r="U87" s="49"/>
      <c r="V87" s="49"/>
      <c r="W87" s="47"/>
      <c r="X87" s="49"/>
      <c r="Y87" s="49"/>
      <c r="Z87" s="49"/>
      <c r="AA87" s="49"/>
      <c r="AB87" s="47"/>
    </row>
    <row r="88" spans="1:28" outlineLevel="1" x14ac:dyDescent="0.25">
      <c r="A88" s="209"/>
      <c r="B88" s="42" t="s">
        <v>88</v>
      </c>
      <c r="C88" s="99"/>
      <c r="D88" s="119">
        <v>0.02</v>
      </c>
      <c r="E88" s="119">
        <v>0.02</v>
      </c>
      <c r="F88" s="119">
        <v>0.01</v>
      </c>
      <c r="G88" s="119">
        <v>0.02</v>
      </c>
      <c r="H88" s="120">
        <v>0.02</v>
      </c>
      <c r="I88" s="119">
        <v>0.03</v>
      </c>
      <c r="J88" s="119">
        <v>0.01</v>
      </c>
      <c r="K88" s="119">
        <v>0.01</v>
      </c>
      <c r="L88" s="119">
        <v>0.01</v>
      </c>
      <c r="M88" s="120">
        <v>0.01</v>
      </c>
      <c r="N88" s="119">
        <v>0</v>
      </c>
      <c r="O88" s="119">
        <v>0.03</v>
      </c>
      <c r="P88" s="119">
        <v>0.02</v>
      </c>
      <c r="Q88" s="119">
        <v>0.02</v>
      </c>
      <c r="R88" s="120">
        <v>0.02</v>
      </c>
      <c r="S88" s="119">
        <v>0.02</v>
      </c>
      <c r="T88" s="119">
        <v>0.02</v>
      </c>
      <c r="U88" s="119"/>
      <c r="V88" s="119"/>
      <c r="W88" s="120"/>
      <c r="X88" s="119"/>
      <c r="Y88" s="119"/>
      <c r="Z88" s="119"/>
      <c r="AA88" s="119"/>
      <c r="AB88" s="120"/>
    </row>
    <row r="89" spans="1:28" s="21" customFormat="1" outlineLevel="1" x14ac:dyDescent="0.25">
      <c r="A89" s="224"/>
      <c r="B89" s="72" t="s">
        <v>90</v>
      </c>
      <c r="C89" s="66"/>
      <c r="D89" s="118">
        <v>0.05</v>
      </c>
      <c r="E89" s="118">
        <v>0.03</v>
      </c>
      <c r="F89" s="118">
        <v>0.03</v>
      </c>
      <c r="G89" s="118">
        <v>0.01</v>
      </c>
      <c r="H89" s="121">
        <v>0.03</v>
      </c>
      <c r="I89" s="118">
        <v>0.05</v>
      </c>
      <c r="J89" s="118">
        <v>0.03</v>
      </c>
      <c r="K89" s="118">
        <v>0</v>
      </c>
      <c r="L89" s="118">
        <v>0.02</v>
      </c>
      <c r="M89" s="121">
        <v>0.03</v>
      </c>
      <c r="N89" s="118">
        <v>0.01</v>
      </c>
      <c r="O89" s="118">
        <v>0.03</v>
      </c>
      <c r="P89" s="118">
        <v>-0.01</v>
      </c>
      <c r="Q89" s="118">
        <v>0.01</v>
      </c>
      <c r="R89" s="121">
        <v>0.01</v>
      </c>
      <c r="S89" s="118">
        <v>0.03</v>
      </c>
      <c r="T89" s="223">
        <v>0.02</v>
      </c>
      <c r="U89" s="233">
        <v>0.04</v>
      </c>
      <c r="V89" s="124">
        <v>0.05</v>
      </c>
      <c r="W89" s="121"/>
      <c r="X89" s="124">
        <f>AVERAGE(V89,U89,T89,S89)</f>
        <v>3.5000000000000003E-2</v>
      </c>
      <c r="Y89" s="124">
        <f>AVERAGE(X89,V89,U89,T89)+1%</f>
        <v>4.6249999999999999E-2</v>
      </c>
      <c r="Z89" s="124">
        <f>AVERAGE(Y89,X89,V89,U89)</f>
        <v>4.2812500000000003E-2</v>
      </c>
      <c r="AA89" s="124">
        <f>AVERAGE(Z89,Y89,X89,V89)</f>
        <v>4.3515625000000002E-2</v>
      </c>
      <c r="AB89" s="121"/>
    </row>
    <row r="90" spans="1:28" ht="17.25" outlineLevel="1" x14ac:dyDescent="0.4">
      <c r="A90" s="209"/>
      <c r="B90" s="100" t="s">
        <v>152</v>
      </c>
      <c r="C90" s="99"/>
      <c r="D90" s="29"/>
      <c r="E90" s="29"/>
      <c r="F90" s="29"/>
      <c r="G90" s="29"/>
      <c r="H90" s="44"/>
      <c r="I90" s="51">
        <f>+(I83-I85)*I92+69</f>
        <v>157.48353344768441</v>
      </c>
      <c r="J90" s="51">
        <f>+(J83-J85)*J92+65</f>
        <v>154.03112005365526</v>
      </c>
      <c r="K90" s="51">
        <f>+(K83-K85)*K92+37</f>
        <v>140.33324725629438</v>
      </c>
      <c r="L90" s="51">
        <f>+(L83-L85)*L92+101</f>
        <v>165.96091205211727</v>
      </c>
      <c r="M90" s="93"/>
      <c r="N90" s="51">
        <f>+(N83-N85)*N92-156</f>
        <v>124.22159333618112</v>
      </c>
      <c r="O90" s="51">
        <f>+(O83-O85)*O92+48</f>
        <v>466.36220930232554</v>
      </c>
      <c r="P90" s="51">
        <f>+(P83-P85)*P92</f>
        <v>429.35458927495478</v>
      </c>
      <c r="Q90" s="51">
        <f>+(Q83-Q85)*Q92</f>
        <v>453.23080054274084</v>
      </c>
      <c r="R90" s="20"/>
      <c r="S90" s="51">
        <f>+(S83-S85)*S92-39</f>
        <v>101.37988785046727</v>
      </c>
      <c r="T90" s="51">
        <f>+(T83-T85)*T92</f>
        <v>144.21457231442642</v>
      </c>
      <c r="U90" s="51">
        <f>AVERAGE(T90,S90)</f>
        <v>122.79723008244684</v>
      </c>
      <c r="V90" s="51">
        <f>AVERAGE(U90,T90,S90)</f>
        <v>122.79723008244684</v>
      </c>
      <c r="W90" s="20"/>
      <c r="X90" s="51">
        <f>AVERAGE(V90,U90,T90,S90)</f>
        <v>122.79723008244684</v>
      </c>
      <c r="Y90" s="51">
        <f>AVERAGE(X90,V90,U90,T90)</f>
        <v>128.15156564044173</v>
      </c>
      <c r="Z90" s="51">
        <f>AVERAGE(Y90,X90,V90,U90)</f>
        <v>124.13581397194557</v>
      </c>
      <c r="AA90" s="51">
        <f>AVERAGE(Z90,Y90,X90,V90)</f>
        <v>124.47045994432025</v>
      </c>
      <c r="AB90" s="20"/>
    </row>
    <row r="91" spans="1:28" s="21" customFormat="1" outlineLevel="1" x14ac:dyDescent="0.25">
      <c r="A91" s="224"/>
      <c r="B91" s="253" t="s">
        <v>108</v>
      </c>
      <c r="C91" s="254"/>
      <c r="D91" s="105"/>
      <c r="E91" s="105"/>
      <c r="F91" s="105"/>
      <c r="G91" s="105"/>
      <c r="H91" s="122"/>
      <c r="I91" s="105">
        <v>691.5</v>
      </c>
      <c r="J91" s="105">
        <v>687.8</v>
      </c>
      <c r="K91" s="105">
        <v>756.8</v>
      </c>
      <c r="L91" s="105">
        <v>770</v>
      </c>
      <c r="M91" s="123"/>
      <c r="N91" s="105">
        <v>742.5</v>
      </c>
      <c r="O91" s="105">
        <v>1098.5999999999999</v>
      </c>
      <c r="P91" s="105">
        <v>1136.5</v>
      </c>
      <c r="Q91" s="105">
        <v>1119.3</v>
      </c>
      <c r="R91" s="123"/>
      <c r="S91" s="105">
        <v>1124.3</v>
      </c>
      <c r="T91" s="105">
        <v>1185.5</v>
      </c>
      <c r="U91" s="105">
        <f t="shared" ref="U91" si="166">+U85*U86+U90</f>
        <v>1304.4215716813806</v>
      </c>
      <c r="V91" s="105">
        <f t="shared" ref="V91" si="167">+V85*V86+V90</f>
        <v>1297.6076102242982</v>
      </c>
      <c r="W91" s="123"/>
      <c r="X91" s="105">
        <f>+X85*X86+X90</f>
        <v>1332.4814768324468</v>
      </c>
      <c r="Y91" s="105">
        <f>+Y85*Y86+Y90</f>
        <v>1367.9514668930092</v>
      </c>
      <c r="Z91" s="105">
        <f>+Z85*Z86+Z90</f>
        <v>1547.8994777221142</v>
      </c>
      <c r="AA91" s="105">
        <f t="shared" ref="AA91" si="168">+AA85*AA86+AA90</f>
        <v>1562.8446365114944</v>
      </c>
      <c r="AB91" s="123"/>
    </row>
    <row r="92" spans="1:28" s="21" customFormat="1" outlineLevel="1" x14ac:dyDescent="0.25">
      <c r="A92" s="224"/>
      <c r="B92" s="134" t="s">
        <v>96</v>
      </c>
      <c r="C92" s="66"/>
      <c r="D92" s="105"/>
      <c r="E92" s="105"/>
      <c r="F92" s="105"/>
      <c r="G92" s="105"/>
      <c r="H92" s="122"/>
      <c r="I92" s="139">
        <f>+I91/I83</f>
        <v>0.23722126929674101</v>
      </c>
      <c r="J92" s="139">
        <f>+J91/J83</f>
        <v>0.23065057008718978</v>
      </c>
      <c r="K92" s="139">
        <f>+K91/K83</f>
        <v>0.24428663653970301</v>
      </c>
      <c r="L92" s="139">
        <f>+L91/L83</f>
        <v>0.250814332247557</v>
      </c>
      <c r="M92" s="140"/>
      <c r="N92" s="139">
        <f>+N91/N83</f>
        <v>0.15858607432721059</v>
      </c>
      <c r="O92" s="139">
        <f>+O91/O83</f>
        <v>0.22811461794019933</v>
      </c>
      <c r="P92" s="139">
        <f>+P91/P83</f>
        <v>0.22825868648322956</v>
      </c>
      <c r="Q92" s="139">
        <f>+Q91/Q83</f>
        <v>0.21696065128900949</v>
      </c>
      <c r="R92" s="140"/>
      <c r="S92" s="139">
        <f>+S91/S83</f>
        <v>0.21014953271028036</v>
      </c>
      <c r="T92" s="139">
        <f>+T91/T83</f>
        <v>0.21621375159584169</v>
      </c>
      <c r="U92" s="139">
        <f>+U91/U83</f>
        <v>0.22673762761713551</v>
      </c>
      <c r="V92" s="139">
        <f>+V91/V83</f>
        <v>0.21437429542777106</v>
      </c>
      <c r="W92" s="123"/>
      <c r="X92" s="139">
        <f>+X91/X83</f>
        <v>0.20974051264480509</v>
      </c>
      <c r="Y92" s="139">
        <f>+Y91/Y83</f>
        <v>0.2065455936725063</v>
      </c>
      <c r="Z92" s="139">
        <f>+Z91/Z83</f>
        <v>0.22456107322241609</v>
      </c>
      <c r="AA92" s="139">
        <f>+AA91/AA83</f>
        <v>0.21818297312738999</v>
      </c>
      <c r="AB92" s="123"/>
    </row>
    <row r="93" spans="1:28" s="126" customFormat="1" outlineLevel="1" x14ac:dyDescent="0.25">
      <c r="A93" s="229"/>
      <c r="B93" s="134" t="s">
        <v>94</v>
      </c>
      <c r="C93" s="135"/>
      <c r="D93" s="136"/>
      <c r="E93" s="136"/>
      <c r="F93" s="136"/>
      <c r="G93" s="136"/>
      <c r="H93" s="137"/>
      <c r="I93" s="129">
        <f>ROUND((+I91-I90-(I85*I86)),0)</f>
        <v>0</v>
      </c>
      <c r="J93" s="129">
        <f>ROUND((+J91-J90-(J85*J86)),0)</f>
        <v>0</v>
      </c>
      <c r="K93" s="129">
        <f>ROUND((+K91-K90-(K85*K86)),0)</f>
        <v>0</v>
      </c>
      <c r="L93" s="129">
        <f>ROUND((+L91-L90-(L85*L86)),0)</f>
        <v>0</v>
      </c>
      <c r="M93" s="132"/>
      <c r="N93" s="129">
        <f>ROUND((+N91-N90-(N85*N86)),0)</f>
        <v>0</v>
      </c>
      <c r="O93" s="129">
        <f>ROUND((+O91-O90-(O85*O86)),0)</f>
        <v>0</v>
      </c>
      <c r="P93" s="129">
        <f>ROUND((+P91-P90-(P85*P86)),0)</f>
        <v>0</v>
      </c>
      <c r="Q93" s="129">
        <f>ROUND((+Q91-Q90-(Q85*Q86)),0)</f>
        <v>0</v>
      </c>
      <c r="R93" s="132"/>
      <c r="S93" s="129">
        <f>ROUND((+S91-S90-(S85*S86)),0)</f>
        <v>0</v>
      </c>
      <c r="T93" s="136">
        <f>ROUND((+T91-T90-(T85*T86)),0)</f>
        <v>0</v>
      </c>
      <c r="U93" s="136">
        <f>ROUND((+U91-U90-(U85*U86)),0)</f>
        <v>0</v>
      </c>
      <c r="V93" s="136">
        <f>ROUND((+V91-V90-(V85*V86)),0)</f>
        <v>0</v>
      </c>
      <c r="W93" s="138"/>
      <c r="X93" s="136">
        <f>ROUND((+X91-X90-(X85*X86)),0)</f>
        <v>0</v>
      </c>
      <c r="Y93" s="136">
        <f>ROUND((+Y91-Y90-(Y85*Y86)),0)</f>
        <v>0</v>
      </c>
      <c r="Z93" s="136">
        <f>ROUND((+Z91-Z90-(Z85*Z86)),0)</f>
        <v>0</v>
      </c>
      <c r="AA93" s="136">
        <f>ROUND((+AA91-AA90-(AA85*AA86)),0)</f>
        <v>0</v>
      </c>
      <c r="AB93" s="138"/>
    </row>
    <row r="94" spans="1:28" s="21" customFormat="1" outlineLevel="1" x14ac:dyDescent="0.25">
      <c r="A94" s="224"/>
      <c r="B94" s="261" t="s">
        <v>109</v>
      </c>
      <c r="C94" s="262"/>
      <c r="D94" s="141">
        <v>3201</v>
      </c>
      <c r="E94" s="141">
        <v>3322</v>
      </c>
      <c r="F94" s="141">
        <v>3452</v>
      </c>
      <c r="G94" s="141">
        <v>3632</v>
      </c>
      <c r="H94" s="142"/>
      <c r="I94" s="141">
        <v>3831</v>
      </c>
      <c r="J94" s="141">
        <v>3951</v>
      </c>
      <c r="K94" s="141">
        <v>4085</v>
      </c>
      <c r="L94" s="141">
        <v>4409</v>
      </c>
      <c r="M94" s="143"/>
      <c r="N94" s="141">
        <v>3097</v>
      </c>
      <c r="O94" s="141">
        <v>3179</v>
      </c>
      <c r="P94" s="141">
        <v>3273</v>
      </c>
      <c r="Q94" s="141">
        <v>3371</v>
      </c>
      <c r="R94" s="143"/>
      <c r="S94" s="141">
        <v>3439</v>
      </c>
      <c r="T94" s="141">
        <v>3510</v>
      </c>
      <c r="U94" s="141">
        <f t="shared" ref="U94" si="169">+T94+U95</f>
        <v>3630</v>
      </c>
      <c r="V94" s="141">
        <f t="shared" ref="V94" si="170">+U94+V95</f>
        <v>3770</v>
      </c>
      <c r="W94" s="143"/>
      <c r="X94" s="141">
        <f>+V94+X95</f>
        <v>3890</v>
      </c>
      <c r="Y94" s="141">
        <f>+X94+Y95</f>
        <v>4000</v>
      </c>
      <c r="Z94" s="141">
        <f t="shared" ref="Z94" si="171">+Y94+Z95</f>
        <v>4110</v>
      </c>
      <c r="AA94" s="141">
        <f t="shared" ref="AA94" si="172">+Z94+AA95</f>
        <v>4220</v>
      </c>
      <c r="AB94" s="143"/>
    </row>
    <row r="95" spans="1:28" outlineLevel="1" x14ac:dyDescent="0.25">
      <c r="B95" s="42" t="s">
        <v>95</v>
      </c>
      <c r="C95" s="64"/>
      <c r="D95" s="29"/>
      <c r="E95" s="29">
        <f>+E94-D94</f>
        <v>121</v>
      </c>
      <c r="F95" s="29">
        <f>+F94-E94</f>
        <v>130</v>
      </c>
      <c r="G95" s="29">
        <f>+G94-F94</f>
        <v>180</v>
      </c>
      <c r="H95" s="44"/>
      <c r="I95" s="29">
        <f>+I94-G94</f>
        <v>199</v>
      </c>
      <c r="J95" s="29">
        <f>+J94-I94</f>
        <v>120</v>
      </c>
      <c r="K95" s="29">
        <f>+K94-J94</f>
        <v>134</v>
      </c>
      <c r="L95" s="29">
        <f>+L94-K94</f>
        <v>324</v>
      </c>
      <c r="M95" s="43">
        <f>+SUM(I95:L95)</f>
        <v>777</v>
      </c>
      <c r="N95" s="29">
        <f>+N94-L94</f>
        <v>-1312</v>
      </c>
      <c r="O95" s="29">
        <f>+O94-N94</f>
        <v>82</v>
      </c>
      <c r="P95" s="29">
        <f>+P94-O94</f>
        <v>94</v>
      </c>
      <c r="Q95" s="29">
        <f>+Q94-P94</f>
        <v>98</v>
      </c>
      <c r="R95" s="43">
        <f>+SUM(N95:Q95)</f>
        <v>-1038</v>
      </c>
      <c r="S95" s="29">
        <f>+S94-Q94</f>
        <v>68</v>
      </c>
      <c r="T95" s="212">
        <v>71</v>
      </c>
      <c r="U95" s="237">
        <v>120</v>
      </c>
      <c r="V95" s="237">
        <v>140</v>
      </c>
      <c r="W95" s="244">
        <f>+SUM(S95:V95)</f>
        <v>399</v>
      </c>
      <c r="X95" s="237">
        <v>120</v>
      </c>
      <c r="Y95" s="237">
        <v>110</v>
      </c>
      <c r="Z95" s="237">
        <v>110</v>
      </c>
      <c r="AA95" s="237">
        <v>110</v>
      </c>
      <c r="AB95" s="43">
        <f>+SUM(X95:AA95)</f>
        <v>450</v>
      </c>
    </row>
    <row r="96" spans="1:28" outlineLevel="1" x14ac:dyDescent="0.25">
      <c r="B96" s="42" t="s">
        <v>98</v>
      </c>
      <c r="C96" s="64"/>
      <c r="D96" s="29"/>
      <c r="E96" s="29">
        <f>AVERAGE(E94,D94)</f>
        <v>3261.5</v>
      </c>
      <c r="F96" s="29">
        <f>AVERAGE(F94,E94)</f>
        <v>3387</v>
      </c>
      <c r="G96" s="29">
        <f>AVERAGE(G94,F94)</f>
        <v>3542</v>
      </c>
      <c r="H96" s="44"/>
      <c r="I96" s="29">
        <f>AVERAGE(I94,G94)</f>
        <v>3731.5</v>
      </c>
      <c r="J96" s="29">
        <f>AVERAGE(J94,I94)</f>
        <v>3891</v>
      </c>
      <c r="K96" s="29">
        <f>AVERAGE(K94,J94)</f>
        <v>4018</v>
      </c>
      <c r="L96" s="29">
        <f>AVERAGE(L94,K94)</f>
        <v>4247</v>
      </c>
      <c r="M96" s="43"/>
      <c r="N96" s="29">
        <f>AVERAGE(N94,L94)</f>
        <v>3753</v>
      </c>
      <c r="O96" s="29">
        <f>AVERAGE(O94,N94)</f>
        <v>3138</v>
      </c>
      <c r="P96" s="29">
        <f>AVERAGE(P94,O94)</f>
        <v>3226</v>
      </c>
      <c r="Q96" s="29">
        <f>AVERAGE(Q94,P94)</f>
        <v>3322</v>
      </c>
      <c r="R96" s="43"/>
      <c r="S96" s="29">
        <f>AVERAGE(S94,Q94)</f>
        <v>3405</v>
      </c>
      <c r="T96" s="29">
        <f>AVERAGE(T94,S94)</f>
        <v>3474.5</v>
      </c>
      <c r="U96" s="29">
        <f>AVERAGE(U94,T94)</f>
        <v>3570</v>
      </c>
      <c r="V96" s="29">
        <f>AVERAGE(V94,U94)</f>
        <v>3700</v>
      </c>
      <c r="W96" s="43"/>
      <c r="X96" s="29">
        <f>AVERAGE(X94,V94)</f>
        <v>3830</v>
      </c>
      <c r="Y96" s="29">
        <f>AVERAGE(Y94,X94)</f>
        <v>3945</v>
      </c>
      <c r="Z96" s="29">
        <f>AVERAGE(Z94,Y94)</f>
        <v>4055</v>
      </c>
      <c r="AA96" s="29">
        <f>AVERAGE(AA94,Z94)</f>
        <v>4165</v>
      </c>
      <c r="AB96" s="20"/>
    </row>
    <row r="97" spans="2:28" outlineLevel="1" x14ac:dyDescent="0.25">
      <c r="B97" s="42" t="s">
        <v>97</v>
      </c>
      <c r="C97" s="64"/>
      <c r="D97" s="29"/>
      <c r="E97" s="29"/>
      <c r="F97" s="29"/>
      <c r="G97" s="29"/>
      <c r="H97" s="44"/>
      <c r="I97" s="80">
        <f>+I98/I96</f>
        <v>2.0903122068873108E-2</v>
      </c>
      <c r="J97" s="80">
        <f t="shared" ref="J97" si="173">+J98/J96</f>
        <v>2.0149061937805194E-2</v>
      </c>
      <c r="K97" s="80">
        <f t="shared" ref="K97" si="174">+K98/K96</f>
        <v>2.0482827277252362E-2</v>
      </c>
      <c r="L97" s="80">
        <f>+L98/L96</f>
        <v>2.0885330821756535E-2</v>
      </c>
      <c r="M97" s="43"/>
      <c r="N97" s="80">
        <f>+N98/N96</f>
        <v>2.6219024780175862E-2</v>
      </c>
      <c r="O97" s="80">
        <f t="shared" ref="O97" si="175">+O98/O96</f>
        <v>2.6864244741873804E-2</v>
      </c>
      <c r="P97" s="80">
        <f t="shared" ref="P97" si="176">+P98/P96</f>
        <v>2.7929324240545565E-2</v>
      </c>
      <c r="Q97" s="80">
        <f>+Q98/Q96</f>
        <v>2.7995183624322698E-2</v>
      </c>
      <c r="R97" s="43"/>
      <c r="S97" s="80">
        <f>+S98/S96</f>
        <v>2.9397944199706313E-2</v>
      </c>
      <c r="T97" s="80">
        <f>+T98/T96</f>
        <v>2.8550870628867464E-2</v>
      </c>
      <c r="U97" s="125">
        <f>+P97*(1+2%)</f>
        <v>2.8487910725356478E-2</v>
      </c>
      <c r="V97" s="125">
        <f>+Q97*(1+2%)</f>
        <v>2.8555087296809153E-2</v>
      </c>
      <c r="W97" s="43"/>
      <c r="X97" s="125">
        <f>+S97*(1+3%)</f>
        <v>3.0279882525697504E-2</v>
      </c>
      <c r="Y97" s="125">
        <f>+T97*(1+3%)</f>
        <v>2.9407396747733489E-2</v>
      </c>
      <c r="Z97" s="125">
        <f>+U97*(1+3%)</f>
        <v>2.9342548047117174E-2</v>
      </c>
      <c r="AA97" s="125">
        <f>+V97*(1+3%)</f>
        <v>2.9411739915713428E-2</v>
      </c>
      <c r="AB97" s="20"/>
    </row>
    <row r="98" spans="2:28" s="21" customFormat="1" outlineLevel="1" x14ac:dyDescent="0.25">
      <c r="B98" s="263" t="s">
        <v>112</v>
      </c>
      <c r="C98" s="264"/>
      <c r="D98" s="150"/>
      <c r="E98" s="150"/>
      <c r="F98" s="150"/>
      <c r="G98" s="150"/>
      <c r="H98" s="151"/>
      <c r="I98" s="150">
        <v>78</v>
      </c>
      <c r="J98" s="150">
        <v>78.400000000000006</v>
      </c>
      <c r="K98" s="150">
        <v>82.3</v>
      </c>
      <c r="L98" s="150">
        <v>88.7</v>
      </c>
      <c r="M98" s="152"/>
      <c r="N98" s="150">
        <v>98.4</v>
      </c>
      <c r="O98" s="150">
        <v>84.3</v>
      </c>
      <c r="P98" s="150">
        <v>90.1</v>
      </c>
      <c r="Q98" s="150">
        <v>93</v>
      </c>
      <c r="R98" s="152"/>
      <c r="S98" s="150">
        <v>100.1</v>
      </c>
      <c r="T98" s="150">
        <v>99.2</v>
      </c>
      <c r="U98" s="150">
        <f t="shared" ref="U98" si="177">+U96*U97</f>
        <v>101.70184128952263</v>
      </c>
      <c r="V98" s="150">
        <f t="shared" ref="V98" si="178">+V96*V97</f>
        <v>105.65382299819387</v>
      </c>
      <c r="W98" s="152"/>
      <c r="X98" s="150">
        <f>+X96*X97</f>
        <v>115.97195007342144</v>
      </c>
      <c r="Y98" s="150">
        <f>+Y96*Y97</f>
        <v>116.01218016980862</v>
      </c>
      <c r="Z98" s="150">
        <f t="shared" ref="Z98" si="179">+Z96*Z97</f>
        <v>118.98403233106013</v>
      </c>
      <c r="AA98" s="150">
        <f t="shared" ref="AA98" si="180">+AA96*AA97</f>
        <v>122.49989674894643</v>
      </c>
      <c r="AB98" s="152"/>
    </row>
    <row r="99" spans="2:28" s="21" customFormat="1" outlineLevel="1" x14ac:dyDescent="0.25">
      <c r="B99" s="253" t="s">
        <v>113</v>
      </c>
      <c r="C99" s="254"/>
      <c r="D99" s="36"/>
      <c r="E99" s="36"/>
      <c r="F99" s="36"/>
      <c r="G99" s="36"/>
      <c r="H99" s="113"/>
      <c r="I99" s="105">
        <v>1.3</v>
      </c>
      <c r="J99" s="105">
        <v>2.7</v>
      </c>
      <c r="K99" s="105">
        <v>1.5</v>
      </c>
      <c r="L99" s="105">
        <v>1.2</v>
      </c>
      <c r="M99" s="123"/>
      <c r="N99" s="105">
        <v>2.8</v>
      </c>
      <c r="O99" s="105">
        <v>3.5</v>
      </c>
      <c r="P99" s="105">
        <v>2.4</v>
      </c>
      <c r="Q99" s="105">
        <v>2.2999999999999998</v>
      </c>
      <c r="R99" s="123"/>
      <c r="S99" s="105">
        <v>2.9</v>
      </c>
      <c r="T99" s="105">
        <v>4.4000000000000004</v>
      </c>
      <c r="U99" s="105">
        <f>+P99*(1+U100)</f>
        <v>3.48</v>
      </c>
      <c r="V99" s="105">
        <f t="shared" ref="V99" si="181">+Q99*(1+V100)</f>
        <v>3.3349999999999995</v>
      </c>
      <c r="W99" s="114"/>
      <c r="X99" s="105">
        <f>+S99*(1+X100)</f>
        <v>3.625</v>
      </c>
      <c r="Y99" s="105">
        <f>+T99*(1+Y100)</f>
        <v>6.38</v>
      </c>
      <c r="Z99" s="105">
        <f>+U99*(1+Z100)</f>
        <v>5.0460000000000003</v>
      </c>
      <c r="AA99" s="105">
        <f t="shared" ref="AA99" si="182">+V99*(1+AA100)</f>
        <v>4.8357499999999991</v>
      </c>
      <c r="AB99" s="114"/>
    </row>
    <row r="100" spans="2:28" outlineLevel="1" x14ac:dyDescent="0.25">
      <c r="B100" s="144" t="s">
        <v>102</v>
      </c>
      <c r="C100" s="145"/>
      <c r="D100" s="115"/>
      <c r="E100" s="115"/>
      <c r="F100" s="115"/>
      <c r="G100" s="115"/>
      <c r="H100" s="116"/>
      <c r="I100" s="115"/>
      <c r="J100" s="115"/>
      <c r="K100" s="115"/>
      <c r="L100" s="115"/>
      <c r="M100" s="117"/>
      <c r="N100" s="146">
        <f>+N99/I99-1</f>
        <v>1.1538461538461537</v>
      </c>
      <c r="O100" s="146">
        <f t="shared" ref="O100" si="183">+O99/J99-1</f>
        <v>0.29629629629629628</v>
      </c>
      <c r="P100" s="146">
        <f t="shared" ref="P100" si="184">+P99/K99-1</f>
        <v>0.59999999999999987</v>
      </c>
      <c r="Q100" s="146">
        <f t="shared" ref="Q100" si="185">+Q99/L99-1</f>
        <v>0.91666666666666652</v>
      </c>
      <c r="R100" s="117"/>
      <c r="S100" s="146">
        <f>+S99/N99-1</f>
        <v>3.5714285714285809E-2</v>
      </c>
      <c r="T100" s="146">
        <f>+T99/O99-1</f>
        <v>0.25714285714285734</v>
      </c>
      <c r="U100" s="147">
        <v>0.45</v>
      </c>
      <c r="V100" s="147">
        <v>0.45</v>
      </c>
      <c r="W100" s="117"/>
      <c r="X100" s="147">
        <v>0.25</v>
      </c>
      <c r="Y100" s="147">
        <v>0.45</v>
      </c>
      <c r="Z100" s="147">
        <v>0.45</v>
      </c>
      <c r="AA100" s="147">
        <v>0.45</v>
      </c>
      <c r="AB100" s="117"/>
    </row>
    <row r="101" spans="2:28" outlineLevel="1" x14ac:dyDescent="0.25">
      <c r="B101" s="42" t="s">
        <v>114</v>
      </c>
      <c r="C101" s="99"/>
      <c r="D101" s="29"/>
      <c r="E101" s="29"/>
      <c r="F101" s="292"/>
      <c r="G101" s="293">
        <f>I101-I102</f>
        <v>6443</v>
      </c>
      <c r="H101" s="288"/>
      <c r="I101" s="29">
        <f t="shared" ref="I101:L102" si="186">+I94+I83</f>
        <v>6746</v>
      </c>
      <c r="J101" s="29">
        <f t="shared" si="186"/>
        <v>6933</v>
      </c>
      <c r="K101" s="29">
        <f t="shared" si="186"/>
        <v>7183</v>
      </c>
      <c r="L101" s="29">
        <f t="shared" si="186"/>
        <v>7479</v>
      </c>
      <c r="M101" s="240"/>
      <c r="N101" s="29">
        <f t="shared" ref="N101:Q102" si="187">+N94+N83</f>
        <v>7779</v>
      </c>
      <c r="O101" s="29">
        <f t="shared" si="187"/>
        <v>7995</v>
      </c>
      <c r="P101" s="29">
        <f t="shared" si="187"/>
        <v>8252</v>
      </c>
      <c r="Q101" s="29">
        <f t="shared" si="187"/>
        <v>8530</v>
      </c>
      <c r="R101" s="43"/>
      <c r="S101" s="29">
        <f t="shared" ref="S101:V102" si="188">+S94+S83</f>
        <v>8789</v>
      </c>
      <c r="T101" s="29">
        <f t="shared" si="188"/>
        <v>8993</v>
      </c>
      <c r="U101" s="29">
        <f t="shared" si="188"/>
        <v>9383</v>
      </c>
      <c r="V101" s="29">
        <f t="shared" si="188"/>
        <v>9823</v>
      </c>
      <c r="W101" s="43"/>
      <c r="X101" s="29">
        <f t="shared" ref="X101:AA102" si="189">+X94+X83</f>
        <v>10243</v>
      </c>
      <c r="Y101" s="29">
        <f t="shared" si="189"/>
        <v>10623</v>
      </c>
      <c r="Z101" s="29">
        <f t="shared" si="189"/>
        <v>11003</v>
      </c>
      <c r="AA101" s="29">
        <f t="shared" si="189"/>
        <v>11383</v>
      </c>
      <c r="AB101" s="20"/>
    </row>
    <row r="102" spans="2:28" outlineLevel="1" x14ac:dyDescent="0.25">
      <c r="B102" s="42" t="s">
        <v>115</v>
      </c>
      <c r="C102" s="99"/>
      <c r="D102" s="29"/>
      <c r="E102" s="29"/>
      <c r="F102" s="29"/>
      <c r="G102" s="29"/>
      <c r="H102" s="44"/>
      <c r="I102" s="29">
        <f t="shared" si="186"/>
        <v>303</v>
      </c>
      <c r="J102" s="29">
        <f t="shared" si="186"/>
        <v>187</v>
      </c>
      <c r="K102" s="29">
        <f t="shared" si="186"/>
        <v>250</v>
      </c>
      <c r="L102" s="29">
        <f t="shared" si="186"/>
        <v>296</v>
      </c>
      <c r="M102" s="43">
        <f>+M95+M84</f>
        <v>1036</v>
      </c>
      <c r="N102" s="29">
        <f t="shared" si="187"/>
        <v>300</v>
      </c>
      <c r="O102" s="29">
        <f t="shared" si="187"/>
        <v>216</v>
      </c>
      <c r="P102" s="29">
        <f t="shared" si="187"/>
        <v>257</v>
      </c>
      <c r="Q102" s="29">
        <f t="shared" si="187"/>
        <v>278</v>
      </c>
      <c r="R102" s="43">
        <f>+R95+R84</f>
        <v>1051</v>
      </c>
      <c r="S102" s="29">
        <f t="shared" si="188"/>
        <v>259</v>
      </c>
      <c r="T102" s="29">
        <f t="shared" si="188"/>
        <v>204</v>
      </c>
      <c r="U102" s="29">
        <f t="shared" si="188"/>
        <v>390</v>
      </c>
      <c r="V102" s="29">
        <f t="shared" si="188"/>
        <v>440</v>
      </c>
      <c r="W102" s="244">
        <f>+W95+W84</f>
        <v>1293</v>
      </c>
      <c r="X102" s="29">
        <f t="shared" si="189"/>
        <v>420</v>
      </c>
      <c r="Y102" s="29">
        <f t="shared" si="189"/>
        <v>380</v>
      </c>
      <c r="Z102" s="29">
        <f t="shared" si="189"/>
        <v>380</v>
      </c>
      <c r="AA102" s="29">
        <f t="shared" si="189"/>
        <v>380</v>
      </c>
      <c r="AB102" s="43">
        <f>+AB95+AB84</f>
        <v>1560</v>
      </c>
    </row>
    <row r="103" spans="2:28" outlineLevel="1" x14ac:dyDescent="0.25">
      <c r="B103" s="287" t="s">
        <v>188</v>
      </c>
      <c r="C103" s="236"/>
      <c r="D103" s="238" t="s">
        <v>186</v>
      </c>
      <c r="E103" s="239" t="s">
        <v>186</v>
      </c>
      <c r="F103" s="238" t="s">
        <v>186</v>
      </c>
      <c r="G103" s="238" t="s">
        <v>186</v>
      </c>
      <c r="H103" s="246" t="s">
        <v>186</v>
      </c>
      <c r="I103" s="238">
        <f>(I101-G101)/G101</f>
        <v>4.7027782089088935E-2</v>
      </c>
      <c r="J103" s="238">
        <f>(J101-I101)/I101</f>
        <v>2.7720130447672697E-2</v>
      </c>
      <c r="K103" s="238">
        <f>(K101-J101)/J101</f>
        <v>3.6059425933939133E-2</v>
      </c>
      <c r="L103" s="238">
        <f>(L101-K101)/K101</f>
        <v>4.1208408742865098E-2</v>
      </c>
      <c r="M103" s="246">
        <f>(L101-G101)/G101</f>
        <v>0.16079466087226446</v>
      </c>
      <c r="N103" s="289">
        <f>(N101-L101)/L101</f>
        <v>4.011231448054553E-2</v>
      </c>
      <c r="O103" s="290">
        <f>(O101-N101)/N101</f>
        <v>2.7767065175472425E-2</v>
      </c>
      <c r="P103" s="290">
        <f>(P101-O101)/O101</f>
        <v>3.214509068167605E-2</v>
      </c>
      <c r="Q103" s="291">
        <f>(Q101-P101)/P101</f>
        <v>3.3688802714493454E-2</v>
      </c>
      <c r="R103" s="246">
        <f>(Q101-L101)/L101</f>
        <v>0.1405268083968445</v>
      </c>
      <c r="S103" s="238">
        <f>(S101-Q101)/Q101</f>
        <v>3.0363423212192264E-2</v>
      </c>
      <c r="T103" s="238">
        <f>(T101-S101)/S101</f>
        <v>2.321083172147002E-2</v>
      </c>
      <c r="U103" s="238">
        <f>(U101-T101)/T101</f>
        <v>4.3367063271433338E-2</v>
      </c>
      <c r="V103" s="238">
        <f>(V101-U101)/U101</f>
        <v>4.6893317702227433E-2</v>
      </c>
      <c r="W103" s="245">
        <f>(V101-Q101)/Q101</f>
        <v>0.15158264947245018</v>
      </c>
      <c r="X103" s="238">
        <f>(X101-V101)/V101</f>
        <v>4.2756795276392139E-2</v>
      </c>
      <c r="Y103" s="238">
        <f>(Y101-X101)/X101</f>
        <v>3.7098506296983302E-2</v>
      </c>
      <c r="Z103" s="238">
        <f>(Z101-Y101)/Y101</f>
        <v>3.577143932975619E-2</v>
      </c>
      <c r="AA103" s="238">
        <f>(AA101-Z101)/Z101</f>
        <v>3.4536035626647275E-2</v>
      </c>
      <c r="AB103" s="246">
        <f>(AA101-V101)/V101</f>
        <v>0.15881095388374225</v>
      </c>
    </row>
    <row r="104" spans="2:28" outlineLevel="1" x14ac:dyDescent="0.25">
      <c r="B104" s="255" t="s">
        <v>116</v>
      </c>
      <c r="C104" s="256"/>
      <c r="D104" s="148"/>
      <c r="E104" s="148"/>
      <c r="F104" s="148"/>
      <c r="G104" s="148"/>
      <c r="H104" s="149"/>
      <c r="I104" s="150">
        <f>+I99+I98+I91</f>
        <v>770.8</v>
      </c>
      <c r="J104" s="150">
        <f>+J99+J98+J91</f>
        <v>768.9</v>
      </c>
      <c r="K104" s="150">
        <f>+K99+K98+K91</f>
        <v>840.59999999999991</v>
      </c>
      <c r="L104" s="150">
        <f>+L99+L98+L91</f>
        <v>859.9</v>
      </c>
      <c r="M104" s="153">
        <f>SUM(I104:L104)</f>
        <v>3240.2</v>
      </c>
      <c r="N104" s="150">
        <f>+N99+N98+N91</f>
        <v>843.7</v>
      </c>
      <c r="O104" s="150">
        <f>+O99+O98+O91</f>
        <v>1186.3999999999999</v>
      </c>
      <c r="P104" s="150">
        <f>+P99+P98+P91</f>
        <v>1229</v>
      </c>
      <c r="Q104" s="150">
        <f>+Q99+Q98+Q91</f>
        <v>1214.5999999999999</v>
      </c>
      <c r="R104" s="153">
        <f>SUM(N104:Q104)</f>
        <v>4473.7</v>
      </c>
      <c r="S104" s="150">
        <f>+S99+S98+S91</f>
        <v>1227.3</v>
      </c>
      <c r="T104" s="150">
        <f>+T99+T98+T91</f>
        <v>1289.0999999999999</v>
      </c>
      <c r="U104" s="150">
        <f>+U99+U98+U91</f>
        <v>1409.6034129709033</v>
      </c>
      <c r="V104" s="150">
        <f>+V99+V98+V91</f>
        <v>1406.5964332224921</v>
      </c>
      <c r="W104" s="153">
        <f>SUM(S104:V104)</f>
        <v>5332.599846193395</v>
      </c>
      <c r="X104" s="150">
        <f>+X99+X98+X91</f>
        <v>1452.0784269058681</v>
      </c>
      <c r="Y104" s="150">
        <f>+Y99+Y98+Y91</f>
        <v>1490.3436470628178</v>
      </c>
      <c r="Z104" s="150">
        <f>+Z99+Z98+Z91</f>
        <v>1671.9295100531742</v>
      </c>
      <c r="AA104" s="150">
        <f>+AA99+AA98+AA91</f>
        <v>1690.1802832604408</v>
      </c>
      <c r="AB104" s="153">
        <f>SUM(X104:AA104)</f>
        <v>6304.5318672823014</v>
      </c>
    </row>
    <row r="105" spans="2:28" outlineLevel="1" x14ac:dyDescent="0.25">
      <c r="B105" s="257" t="s">
        <v>73</v>
      </c>
      <c r="C105" s="258"/>
      <c r="D105" s="29"/>
      <c r="E105" s="29"/>
      <c r="F105" s="29"/>
      <c r="G105" s="29"/>
      <c r="H105" s="44"/>
      <c r="I105" s="103">
        <v>337.9</v>
      </c>
      <c r="J105" s="103">
        <v>334.1</v>
      </c>
      <c r="K105" s="103">
        <v>354.1</v>
      </c>
      <c r="L105" s="103">
        <v>370.2</v>
      </c>
      <c r="M105" s="169"/>
      <c r="N105" s="103">
        <v>372.3</v>
      </c>
      <c r="O105" s="103">
        <v>511.2</v>
      </c>
      <c r="P105" s="103">
        <v>505.4</v>
      </c>
      <c r="Q105" s="103">
        <v>509.3</v>
      </c>
      <c r="R105" s="169"/>
      <c r="S105" s="103">
        <v>524.9</v>
      </c>
      <c r="T105" s="103">
        <v>547.20000000000005</v>
      </c>
      <c r="U105" s="103">
        <f>+(U104*U116)*(T105/T115)</f>
        <v>573.20792313464881</v>
      </c>
      <c r="V105" s="103">
        <f>+(V104*V116)*(U105/U115)</f>
        <v>578.41194984524623</v>
      </c>
      <c r="W105" s="169"/>
      <c r="X105" s="103">
        <f>+(X104*X116)*(V105/V115)</f>
        <v>618.63279091161326</v>
      </c>
      <c r="Y105" s="103">
        <f>+(Y104*Y116)*(X105/X115)</f>
        <v>632.62434541367929</v>
      </c>
      <c r="Z105" s="103">
        <f>+(Z104*Z116)*(Y105/Y115)</f>
        <v>679.88147110487535</v>
      </c>
      <c r="AA105" s="103">
        <f>+(AA104*AA116)*(Z105/Z115)</f>
        <v>695.02555967026569</v>
      </c>
      <c r="AB105" s="169"/>
    </row>
    <row r="106" spans="2:28" outlineLevel="1" x14ac:dyDescent="0.25">
      <c r="B106" s="42" t="s">
        <v>74</v>
      </c>
      <c r="C106" s="31"/>
      <c r="D106" s="29"/>
      <c r="E106" s="29"/>
      <c r="F106" s="29"/>
      <c r="G106" s="29"/>
      <c r="H106" s="44"/>
      <c r="I106" s="103">
        <v>204.3</v>
      </c>
      <c r="J106" s="103">
        <v>202.5</v>
      </c>
      <c r="K106" s="103">
        <v>212.1</v>
      </c>
      <c r="L106" s="103">
        <v>226.6</v>
      </c>
      <c r="M106" s="104"/>
      <c r="N106" s="103">
        <v>218.6</v>
      </c>
      <c r="O106" s="103">
        <v>306.5</v>
      </c>
      <c r="P106" s="103">
        <v>310.2</v>
      </c>
      <c r="Q106" s="103">
        <v>313.39999999999998</v>
      </c>
      <c r="R106" s="104"/>
      <c r="S106" s="103">
        <v>326.8</v>
      </c>
      <c r="T106" s="103">
        <v>346.1</v>
      </c>
      <c r="U106" s="103">
        <f>+(U104*U116)*(T106/T115)</f>
        <v>362.54982126626811</v>
      </c>
      <c r="V106" s="103">
        <f>+(V104*V116)*(U106/U115)</f>
        <v>365.84133011959</v>
      </c>
      <c r="W106" s="104"/>
      <c r="X106" s="103">
        <f>+(X104*X116)*(V106/V115)</f>
        <v>391.28071808207102</v>
      </c>
      <c r="Y106" s="103">
        <f>+(Y104*Y116)*(X106/X115)</f>
        <v>400.13027402718257</v>
      </c>
      <c r="Z106" s="103">
        <f>+(Z104*Z116)*(Y106/Y115)</f>
        <v>430.02006058003883</v>
      </c>
      <c r="AA106" s="103">
        <f>+(AA104*AA116)*(Z106/Z115)</f>
        <v>439.5985858952464</v>
      </c>
      <c r="AB106" s="104"/>
    </row>
    <row r="107" spans="2:28" outlineLevel="1" x14ac:dyDescent="0.25">
      <c r="B107" s="42" t="s">
        <v>75</v>
      </c>
      <c r="C107" s="31"/>
      <c r="D107" s="29"/>
      <c r="E107" s="29"/>
      <c r="F107" s="29"/>
      <c r="G107" s="29"/>
      <c r="H107" s="44"/>
      <c r="I107" s="103">
        <v>6.9</v>
      </c>
      <c r="J107" s="103">
        <v>6</v>
      </c>
      <c r="K107" s="103">
        <v>4.4000000000000004</v>
      </c>
      <c r="L107" s="103">
        <v>3.8</v>
      </c>
      <c r="M107" s="104"/>
      <c r="N107" s="103">
        <v>9</v>
      </c>
      <c r="O107" s="103">
        <v>5.0999999999999996</v>
      </c>
      <c r="P107" s="103">
        <v>4.4000000000000004</v>
      </c>
      <c r="Q107" s="103">
        <v>4.3</v>
      </c>
      <c r="R107" s="104"/>
      <c r="S107" s="103">
        <v>8</v>
      </c>
      <c r="T107" s="103">
        <v>5.2</v>
      </c>
      <c r="U107" s="103">
        <f>+(U104*U116)*(T107/T115)</f>
        <v>5.4471513163380365</v>
      </c>
      <c r="V107" s="103">
        <f>+(V104*V116)*(U107/U115)</f>
        <v>5.4966047865410825</v>
      </c>
      <c r="W107" s="104"/>
      <c r="X107" s="103">
        <f>+(X104*X116)*(V107/V115)</f>
        <v>5.8788203814700086</v>
      </c>
      <c r="Y107" s="103">
        <f>+(Y104*Y116)*(X107/X115)</f>
        <v>6.0117810602177126</v>
      </c>
      <c r="Z107" s="103">
        <f>+(Z104*Z116)*(Y107/Y115)</f>
        <v>6.4608619330141659</v>
      </c>
      <c r="AA107" s="103">
        <f>+(AA104*AA116)*(Z107/Z115)</f>
        <v>6.6047750553460913</v>
      </c>
      <c r="AB107" s="104"/>
    </row>
    <row r="108" spans="2:28" outlineLevel="1" x14ac:dyDescent="0.25">
      <c r="B108" s="42" t="s">
        <v>76</v>
      </c>
      <c r="C108" s="31"/>
      <c r="D108" s="29"/>
      <c r="E108" s="29"/>
      <c r="F108" s="29"/>
      <c r="G108" s="29"/>
      <c r="H108" s="44"/>
      <c r="I108" s="154">
        <v>48.6</v>
      </c>
      <c r="J108" s="154">
        <v>49.3</v>
      </c>
      <c r="K108" s="154">
        <v>51</v>
      </c>
      <c r="L108" s="154">
        <v>53.3</v>
      </c>
      <c r="M108" s="20"/>
      <c r="N108" s="154">
        <v>53.7</v>
      </c>
      <c r="O108" s="154">
        <v>121.6</v>
      </c>
      <c r="P108" s="154">
        <v>120.7</v>
      </c>
      <c r="Q108" s="154">
        <v>116.1</v>
      </c>
      <c r="R108" s="20"/>
      <c r="S108" s="154">
        <v>116.7</v>
      </c>
      <c r="T108" s="154">
        <v>121.4</v>
      </c>
      <c r="U108" s="235">
        <v>125.55923422013792</v>
      </c>
      <c r="V108" s="235">
        <v>130.40050740806373</v>
      </c>
      <c r="W108" s="20"/>
      <c r="X108" s="235">
        <v>133.53888056826057</v>
      </c>
      <c r="Y108" s="235">
        <v>137.2415745365341</v>
      </c>
      <c r="Z108" s="235">
        <v>136.63945046769811</v>
      </c>
      <c r="AA108" s="235">
        <v>136.85538956329444</v>
      </c>
      <c r="AB108" s="20"/>
    </row>
    <row r="109" spans="2:28" outlineLevel="1" x14ac:dyDescent="0.25">
      <c r="B109" s="42" t="s">
        <v>77</v>
      </c>
      <c r="C109" s="31"/>
      <c r="D109" s="29"/>
      <c r="E109" s="29"/>
      <c r="F109" s="29"/>
      <c r="G109" s="29"/>
      <c r="H109" s="20"/>
      <c r="I109" s="103">
        <v>52.2</v>
      </c>
      <c r="J109" s="103">
        <v>45.2</v>
      </c>
      <c r="K109" s="103">
        <v>47</v>
      </c>
      <c r="L109" s="103">
        <v>62.9</v>
      </c>
      <c r="M109" s="104"/>
      <c r="N109" s="103">
        <v>44</v>
      </c>
      <c r="O109" s="103">
        <v>54.1</v>
      </c>
      <c r="P109" s="103">
        <v>77.7</v>
      </c>
      <c r="Q109" s="103">
        <v>65.8</v>
      </c>
      <c r="R109" s="104"/>
      <c r="S109" s="103">
        <v>55.2</v>
      </c>
      <c r="T109" s="103">
        <v>59.6</v>
      </c>
      <c r="U109" s="103">
        <f t="shared" ref="U109:V109" si="190">+(U104*U116)*(T109/T115)</f>
        <v>62.432734318028253</v>
      </c>
      <c r="V109" s="103">
        <f t="shared" si="190"/>
        <v>62.999547168817003</v>
      </c>
      <c r="W109" s="104"/>
      <c r="X109" s="103">
        <f>+(X104*X116)*(V109/V115)</f>
        <v>67.380325910694694</v>
      </c>
      <c r="Y109" s="103">
        <f>+(Y104*Y116)*(X109/X115)</f>
        <v>68.90425984403376</v>
      </c>
      <c r="Z109" s="103">
        <f t="shared" ref="Z109:AA109" si="191">+(Z104*Z116)*(Y109/Y115)</f>
        <v>74.051417539931563</v>
      </c>
      <c r="AA109" s="103">
        <f t="shared" si="191"/>
        <v>75.70088332665901</v>
      </c>
      <c r="AB109" s="104"/>
    </row>
    <row r="110" spans="2:28" ht="17.25" outlineLevel="1" x14ac:dyDescent="0.4">
      <c r="B110" s="42" t="s">
        <v>85</v>
      </c>
      <c r="C110" s="31"/>
      <c r="D110" s="29"/>
      <c r="E110" s="29"/>
      <c r="F110" s="29"/>
      <c r="G110" s="29"/>
      <c r="H110" s="20"/>
      <c r="I110" s="155">
        <v>0</v>
      </c>
      <c r="J110" s="155">
        <v>0</v>
      </c>
      <c r="K110" s="155">
        <v>0</v>
      </c>
      <c r="L110" s="155">
        <v>0</v>
      </c>
      <c r="M110" s="170"/>
      <c r="N110" s="155">
        <v>0</v>
      </c>
      <c r="O110" s="155">
        <v>0</v>
      </c>
      <c r="P110" s="155">
        <v>0</v>
      </c>
      <c r="Q110" s="155">
        <v>0</v>
      </c>
      <c r="R110" s="170"/>
      <c r="S110" s="155">
        <v>0.6</v>
      </c>
      <c r="T110" s="155">
        <v>0</v>
      </c>
      <c r="U110" s="155">
        <f t="shared" ref="U110" si="192">+(U104*U116)*(T110/T115)</f>
        <v>0</v>
      </c>
      <c r="V110" s="155">
        <f>+(V104*V116)*(U110/U115)</f>
        <v>0</v>
      </c>
      <c r="W110" s="170"/>
      <c r="X110" s="155">
        <f>+(X104*X116)*(V110/V115)</f>
        <v>0</v>
      </c>
      <c r="Y110" s="155">
        <f>+(Y104*Y116)*(X110/X115)</f>
        <v>0</v>
      </c>
      <c r="Z110" s="155">
        <f t="shared" ref="Z110" si="193">+(Z104*Z116)*(Y110/Y115)</f>
        <v>0</v>
      </c>
      <c r="AA110" s="155">
        <f>+(AA104*AA116)*(Z110/Z115)</f>
        <v>0</v>
      </c>
      <c r="AB110" s="170"/>
    </row>
    <row r="111" spans="2:28" outlineLevel="1" x14ac:dyDescent="0.25">
      <c r="B111" s="101" t="s">
        <v>119</v>
      </c>
      <c r="C111" s="34"/>
      <c r="D111" s="29"/>
      <c r="E111" s="29"/>
      <c r="F111" s="29"/>
      <c r="G111" s="29"/>
      <c r="H111" s="22"/>
      <c r="I111" s="105">
        <f t="shared" ref="I111" si="194">SUM(I105:I110)</f>
        <v>649.90000000000009</v>
      </c>
      <c r="J111" s="105">
        <f t="shared" ref="J111" si="195">SUM(J105:J110)</f>
        <v>637.1</v>
      </c>
      <c r="K111" s="105">
        <f t="shared" ref="K111" si="196">SUM(K105:K110)</f>
        <v>668.6</v>
      </c>
      <c r="L111" s="105">
        <f t="shared" ref="L111" si="197">SUM(L105:L110)</f>
        <v>716.79999999999984</v>
      </c>
      <c r="M111" s="20"/>
      <c r="N111" s="105">
        <f>SUM(N105:N110)</f>
        <v>697.6</v>
      </c>
      <c r="O111" s="105">
        <f t="shared" ref="O111" si="198">SUM(O105:O110)</f>
        <v>998.50000000000011</v>
      </c>
      <c r="P111" s="105">
        <f t="shared" ref="P111" si="199">SUM(P105:P110)</f>
        <v>1018.4</v>
      </c>
      <c r="Q111" s="105">
        <f t="shared" ref="Q111" si="200">SUM(Q105:Q110)</f>
        <v>1008.9</v>
      </c>
      <c r="R111" s="20"/>
      <c r="S111" s="105">
        <f t="shared" ref="S111:T111" si="201">SUM(S105:S110)</f>
        <v>1032.2</v>
      </c>
      <c r="T111" s="105">
        <f t="shared" si="201"/>
        <v>1079.5</v>
      </c>
      <c r="U111" s="105">
        <f t="shared" ref="U111" si="202">SUM(U105:U110)</f>
        <v>1129.1968642554211</v>
      </c>
      <c r="V111" s="105">
        <f t="shared" ref="V111" si="203">SUM(V105:V110)</f>
        <v>1143.1499393282579</v>
      </c>
      <c r="W111" s="20"/>
      <c r="X111" s="105">
        <f t="shared" ref="X111" si="204">SUM(X105:X110)</f>
        <v>1216.7115358541096</v>
      </c>
      <c r="Y111" s="105">
        <f t="shared" ref="Y111" si="205">SUM(Y105:Y110)</f>
        <v>1244.9122348816475</v>
      </c>
      <c r="Z111" s="105">
        <f t="shared" ref="Z111" si="206">SUM(Z105:Z110)</f>
        <v>1327.0532616255582</v>
      </c>
      <c r="AA111" s="105">
        <f t="shared" ref="AA111" si="207">SUM(AA105:AA110)</f>
        <v>1353.785193510812</v>
      </c>
      <c r="AB111" s="20"/>
    </row>
    <row r="112" spans="2:28" ht="17.25" outlineLevel="1" x14ac:dyDescent="0.4">
      <c r="B112" s="42" t="s">
        <v>78</v>
      </c>
      <c r="C112" s="31"/>
      <c r="D112" s="29"/>
      <c r="E112" s="29"/>
      <c r="F112" s="29"/>
      <c r="G112" s="29"/>
      <c r="H112" s="20"/>
      <c r="I112" s="155">
        <v>42.5</v>
      </c>
      <c r="J112" s="155">
        <v>44.1</v>
      </c>
      <c r="K112" s="155">
        <v>51.8</v>
      </c>
      <c r="L112" s="155">
        <v>58.6</v>
      </c>
      <c r="M112" s="93"/>
      <c r="N112" s="155">
        <v>50.7</v>
      </c>
      <c r="O112" s="155">
        <v>16.7</v>
      </c>
      <c r="P112" s="155">
        <v>23.5</v>
      </c>
      <c r="Q112" s="155">
        <v>26.5</v>
      </c>
      <c r="R112" s="93"/>
      <c r="S112" s="155">
        <v>26.4</v>
      </c>
      <c r="T112" s="214">
        <v>22.1</v>
      </c>
      <c r="U112" s="111">
        <f>AVERAGE(T112,S112,Q112,P112)</f>
        <v>24.625</v>
      </c>
      <c r="V112" s="111">
        <f>AVERAGE(U112,T112,S112,Q112)</f>
        <v>24.90625</v>
      </c>
      <c r="W112" s="93"/>
      <c r="X112" s="111">
        <f>AVERAGE(V112,U112,T112,S112)</f>
        <v>24.5078125</v>
      </c>
      <c r="Y112" s="111">
        <f>AVERAGE(X112,V112,U112,T112)</f>
        <v>24.034765624999999</v>
      </c>
      <c r="Z112" s="111">
        <f>AVERAGE(Y112,X112,V112,U112)</f>
        <v>24.518457031250001</v>
      </c>
      <c r="AA112" s="111">
        <f>AVERAGE(Z112,Y112,X112,V112)</f>
        <v>24.4918212890625</v>
      </c>
      <c r="AB112" s="93"/>
    </row>
    <row r="113" spans="1:28" outlineLevel="1" x14ac:dyDescent="0.25">
      <c r="B113" s="101" t="s">
        <v>118</v>
      </c>
      <c r="C113" s="92"/>
      <c r="D113" s="29"/>
      <c r="E113" s="29"/>
      <c r="F113" s="29"/>
      <c r="G113" s="29"/>
      <c r="H113" s="22"/>
      <c r="I113" s="156">
        <f>+I104-I111+I112</f>
        <v>163.39999999999986</v>
      </c>
      <c r="J113" s="156">
        <f t="shared" ref="J113:L113" si="208">+J104-J111+J112</f>
        <v>175.89999999999995</v>
      </c>
      <c r="K113" s="156">
        <f t="shared" si="208"/>
        <v>223.7999999999999</v>
      </c>
      <c r="L113" s="156">
        <f t="shared" si="208"/>
        <v>201.70000000000013</v>
      </c>
      <c r="M113" s="202">
        <f>SUM(I113:L113)</f>
        <v>764.79999999999984</v>
      </c>
      <c r="N113" s="156">
        <f>+N104-N111+N112</f>
        <v>196.8</v>
      </c>
      <c r="O113" s="156">
        <f t="shared" ref="O113:AA113" si="209">+O104-O111+O112</f>
        <v>204.59999999999974</v>
      </c>
      <c r="P113" s="156">
        <f t="shared" si="209"/>
        <v>234.10000000000002</v>
      </c>
      <c r="Q113" s="156">
        <f t="shared" si="209"/>
        <v>232.19999999999993</v>
      </c>
      <c r="R113" s="202">
        <f>SUM(N113:Q113)</f>
        <v>867.6999999999997</v>
      </c>
      <c r="S113" s="156">
        <f t="shared" si="209"/>
        <v>221.49999999999991</v>
      </c>
      <c r="T113" s="156">
        <f t="shared" si="209"/>
        <v>231.6999999999999</v>
      </c>
      <c r="U113" s="156">
        <f t="shared" si="209"/>
        <v>305.03154871548213</v>
      </c>
      <c r="V113" s="156">
        <f t="shared" si="209"/>
        <v>288.35274389423421</v>
      </c>
      <c r="W113" s="202">
        <f>SUM(S113:V113)</f>
        <v>1046.5842926097162</v>
      </c>
      <c r="X113" s="156">
        <f t="shared" si="209"/>
        <v>259.87470355175856</v>
      </c>
      <c r="Y113" s="156">
        <f t="shared" si="209"/>
        <v>269.46617780617032</v>
      </c>
      <c r="Z113" s="156">
        <f t="shared" si="209"/>
        <v>369.39470545886604</v>
      </c>
      <c r="AA113" s="156">
        <f t="shared" si="209"/>
        <v>360.88691103869132</v>
      </c>
      <c r="AB113" s="202">
        <f>SUM(X113:AA113)</f>
        <v>1259.6224978554862</v>
      </c>
    </row>
    <row r="114" spans="1:28" outlineLevel="1" x14ac:dyDescent="0.25">
      <c r="B114" s="101" t="s">
        <v>117</v>
      </c>
      <c r="C114" s="92"/>
      <c r="D114" s="29"/>
      <c r="E114" s="29"/>
      <c r="F114" s="29"/>
      <c r="G114" s="29"/>
      <c r="H114" s="20"/>
      <c r="I114" s="157">
        <f t="shared" ref="I114" si="210">+I113/I104</f>
        <v>0.2119875454073688</v>
      </c>
      <c r="J114" s="157">
        <f t="shared" ref="J114" si="211">+J113/J104</f>
        <v>0.22876837039927161</v>
      </c>
      <c r="K114" s="157">
        <f t="shared" ref="K114" si="212">+K113/K104</f>
        <v>0.26623840114204128</v>
      </c>
      <c r="L114" s="157">
        <f t="shared" ref="L114" si="213">+L113/L104</f>
        <v>0.23456215839051067</v>
      </c>
      <c r="M114" s="203">
        <f>M113/M104</f>
        <v>0.23603481266588477</v>
      </c>
      <c r="N114" s="157">
        <f>+N113/N104</f>
        <v>0.23325826715657225</v>
      </c>
      <c r="O114" s="157">
        <f t="shared" ref="O114" si="214">+O113/O104</f>
        <v>0.1724544841537422</v>
      </c>
      <c r="P114" s="157">
        <f t="shared" ref="P114" si="215">+P113/P104</f>
        <v>0.19048006509357202</v>
      </c>
      <c r="Q114" s="157">
        <f t="shared" ref="Q114" si="216">+Q113/Q104</f>
        <v>0.19117404906965252</v>
      </c>
      <c r="R114" s="203">
        <f>R113/R104</f>
        <v>0.19395578603840216</v>
      </c>
      <c r="S114" s="157">
        <f t="shared" ref="S114" si="217">+S113/S104</f>
        <v>0.18047747087101762</v>
      </c>
      <c r="T114" s="157">
        <f t="shared" ref="T114" si="218">+T113/T104</f>
        <v>0.17973780156698466</v>
      </c>
      <c r="U114" s="157">
        <f t="shared" ref="U114" si="219">+U113/U104</f>
        <v>0.21639529665481771</v>
      </c>
      <c r="V114" s="157">
        <f t="shared" ref="V114" si="220">+V113/V104</f>
        <v>0.2050003377540367</v>
      </c>
      <c r="W114" s="205">
        <f>W113/W104</f>
        <v>0.19626154648689914</v>
      </c>
      <c r="X114" s="157">
        <f t="shared" ref="X114" si="221">+X113/X104</f>
        <v>0.17896740199185199</v>
      </c>
      <c r="Y114" s="157">
        <f t="shared" ref="Y114" si="222">+Y113/Y104</f>
        <v>0.18080808297954409</v>
      </c>
      <c r="Z114" s="157">
        <f t="shared" ref="Z114" si="223">+Z113/Z104</f>
        <v>0.22093916234968408</v>
      </c>
      <c r="AA114" s="157">
        <f t="shared" ref="AA114" si="224">+AA113/AA104</f>
        <v>0.21351977337146708</v>
      </c>
      <c r="AB114" s="203">
        <f>AB113/AB104</f>
        <v>0.19979635671164789</v>
      </c>
    </row>
    <row r="115" spans="1:28" s="159" customFormat="1" outlineLevel="1" x14ac:dyDescent="0.25">
      <c r="B115" s="163" t="s">
        <v>110</v>
      </c>
      <c r="C115" s="160"/>
      <c r="D115" s="161"/>
      <c r="E115" s="161"/>
      <c r="F115" s="161"/>
      <c r="G115" s="161"/>
      <c r="H115" s="162"/>
      <c r="I115" s="129">
        <f>+I111-I108</f>
        <v>601.30000000000007</v>
      </c>
      <c r="J115" s="129">
        <f t="shared" ref="J115:L115" si="225">+J111-J108</f>
        <v>587.80000000000007</v>
      </c>
      <c r="K115" s="129">
        <f t="shared" si="225"/>
        <v>617.6</v>
      </c>
      <c r="L115" s="129">
        <f t="shared" si="225"/>
        <v>663.49999999999989</v>
      </c>
      <c r="M115" s="164"/>
      <c r="N115" s="129">
        <f t="shared" ref="N115:Q115" si="226">+N111-N108</f>
        <v>643.9</v>
      </c>
      <c r="O115" s="129">
        <f t="shared" si="226"/>
        <v>876.90000000000009</v>
      </c>
      <c r="P115" s="129">
        <f t="shared" si="226"/>
        <v>897.69999999999993</v>
      </c>
      <c r="Q115" s="129">
        <f t="shared" si="226"/>
        <v>892.8</v>
      </c>
      <c r="R115" s="164"/>
      <c r="S115" s="129">
        <f t="shared" ref="S115:V115" si="227">+S111-S108</f>
        <v>915.5</v>
      </c>
      <c r="T115" s="129">
        <f t="shared" si="227"/>
        <v>958.1</v>
      </c>
      <c r="U115" s="129">
        <f t="shared" si="227"/>
        <v>1003.6376300352832</v>
      </c>
      <c r="V115" s="129">
        <f t="shared" si="227"/>
        <v>1012.7494319201942</v>
      </c>
      <c r="W115" s="132"/>
      <c r="X115" s="129">
        <f t="shared" ref="X115:AA115" si="228">+X111-X108</f>
        <v>1083.172655285849</v>
      </c>
      <c r="Y115" s="129">
        <f t="shared" si="228"/>
        <v>1107.6706603451134</v>
      </c>
      <c r="Z115" s="129">
        <f t="shared" si="228"/>
        <v>1190.41381115786</v>
      </c>
      <c r="AA115" s="129">
        <f t="shared" si="228"/>
        <v>1216.9298039475175</v>
      </c>
      <c r="AB115" s="162"/>
    </row>
    <row r="116" spans="1:28" s="159" customFormat="1" outlineLevel="1" x14ac:dyDescent="0.25">
      <c r="B116" s="163" t="s">
        <v>111</v>
      </c>
      <c r="C116" s="160"/>
      <c r="D116" s="161"/>
      <c r="E116" s="161"/>
      <c r="F116" s="161"/>
      <c r="G116" s="161"/>
      <c r="H116" s="162"/>
      <c r="I116" s="165">
        <f>+I115/I104</f>
        <v>0.78009859885832911</v>
      </c>
      <c r="J116" s="165">
        <f t="shared" ref="J116" si="229">+J115/J104</f>
        <v>0.76446872155026668</v>
      </c>
      <c r="K116" s="165">
        <f t="shared" ref="K116" si="230">+K115/K104</f>
        <v>0.73471330002379265</v>
      </c>
      <c r="L116" s="165">
        <f t="shared" ref="L116" si="231">+L115/L104</f>
        <v>0.77160134899406896</v>
      </c>
      <c r="M116" s="166"/>
      <c r="N116" s="165">
        <f t="shared" ref="N116" si="232">+N115/N104</f>
        <v>0.76318596657579707</v>
      </c>
      <c r="O116" s="165">
        <f t="shared" ref="O116" si="233">+O115/O104</f>
        <v>0.73912677006068794</v>
      </c>
      <c r="P116" s="165">
        <f t="shared" ref="P116" si="234">+P115/P104</f>
        <v>0.73043124491456468</v>
      </c>
      <c r="Q116" s="165">
        <f t="shared" ref="Q116" si="235">+Q115/Q104</f>
        <v>0.73505680882595092</v>
      </c>
      <c r="R116" s="166"/>
      <c r="S116" s="165">
        <f t="shared" ref="S116:T116" si="236">+S115/S104</f>
        <v>0.74594638637659905</v>
      </c>
      <c r="T116" s="165">
        <f t="shared" si="236"/>
        <v>0.74323171204716476</v>
      </c>
      <c r="U116" s="167">
        <v>0.71199999999999997</v>
      </c>
      <c r="V116" s="167">
        <v>0.72</v>
      </c>
      <c r="W116" s="162"/>
      <c r="X116" s="167">
        <f>+S116</f>
        <v>0.74594638637659905</v>
      </c>
      <c r="Y116" s="167">
        <f>+T116</f>
        <v>0.74323171204716476</v>
      </c>
      <c r="Z116" s="167">
        <f>+U116</f>
        <v>0.71199999999999997</v>
      </c>
      <c r="AA116" s="167">
        <f>+V116</f>
        <v>0.72</v>
      </c>
      <c r="AB116" s="162"/>
    </row>
    <row r="117" spans="1:28" ht="18" x14ac:dyDescent="0.4">
      <c r="B117" s="247" t="s">
        <v>121</v>
      </c>
      <c r="C117" s="248"/>
      <c r="D117" s="27" t="s">
        <v>44</v>
      </c>
      <c r="E117" s="27" t="s">
        <v>45</v>
      </c>
      <c r="F117" s="27" t="s">
        <v>46</v>
      </c>
      <c r="G117" s="27" t="s">
        <v>47</v>
      </c>
      <c r="H117" s="74" t="s">
        <v>48</v>
      </c>
      <c r="I117" s="27" t="s">
        <v>37</v>
      </c>
      <c r="J117" s="27" t="s">
        <v>38</v>
      </c>
      <c r="K117" s="27" t="s">
        <v>39</v>
      </c>
      <c r="L117" s="27" t="s">
        <v>40</v>
      </c>
      <c r="M117" s="74" t="s">
        <v>41</v>
      </c>
      <c r="N117" s="27" t="s">
        <v>50</v>
      </c>
      <c r="O117" s="27" t="s">
        <v>51</v>
      </c>
      <c r="P117" s="27" t="s">
        <v>52</v>
      </c>
      <c r="Q117" s="27" t="s">
        <v>53</v>
      </c>
      <c r="R117" s="74" t="s">
        <v>54</v>
      </c>
      <c r="S117" s="27" t="s">
        <v>55</v>
      </c>
      <c r="T117" s="27" t="s">
        <v>182</v>
      </c>
      <c r="U117" s="25" t="s">
        <v>62</v>
      </c>
      <c r="V117" s="25" t="s">
        <v>63</v>
      </c>
      <c r="W117" s="76" t="s">
        <v>64</v>
      </c>
      <c r="X117" s="25" t="s">
        <v>65</v>
      </c>
      <c r="Y117" s="25" t="s">
        <v>66</v>
      </c>
      <c r="Z117" s="25" t="s">
        <v>67</v>
      </c>
      <c r="AA117" s="25" t="s">
        <v>68</v>
      </c>
      <c r="AB117" s="76" t="s">
        <v>69</v>
      </c>
    </row>
    <row r="118" spans="1:28" s="21" customFormat="1" outlineLevel="1" x14ac:dyDescent="0.25">
      <c r="A118" s="224"/>
      <c r="B118" s="259" t="s">
        <v>120</v>
      </c>
      <c r="C118" s="260"/>
      <c r="D118" s="36">
        <v>698</v>
      </c>
      <c r="E118" s="36">
        <v>688</v>
      </c>
      <c r="F118" s="36">
        <v>541</v>
      </c>
      <c r="G118" s="36">
        <v>523</v>
      </c>
      <c r="H118" s="113"/>
      <c r="I118" s="36">
        <v>505</v>
      </c>
      <c r="J118" s="36">
        <v>505</v>
      </c>
      <c r="K118" s="36">
        <v>506</v>
      </c>
      <c r="L118" s="36">
        <v>502</v>
      </c>
      <c r="M118" s="114"/>
      <c r="N118" s="36">
        <v>503</v>
      </c>
      <c r="O118" s="36">
        <v>496</v>
      </c>
      <c r="P118" s="36">
        <v>496</v>
      </c>
      <c r="Q118" s="36">
        <v>490</v>
      </c>
      <c r="R118" s="114"/>
      <c r="S118" s="36">
        <v>487</v>
      </c>
      <c r="T118" s="36">
        <v>392</v>
      </c>
      <c r="U118" s="36">
        <f t="shared" ref="U118" si="237">+T118+U119</f>
        <v>367</v>
      </c>
      <c r="V118" s="36">
        <f t="shared" ref="V118" si="238">+U118+V119</f>
        <v>342</v>
      </c>
      <c r="W118" s="114"/>
      <c r="X118" s="36">
        <f>+V118+X119</f>
        <v>305</v>
      </c>
      <c r="Y118" s="36">
        <f>+X118+Y119</f>
        <v>259.5</v>
      </c>
      <c r="Z118" s="36">
        <f t="shared" ref="Z118" si="239">+Y118+Z119</f>
        <v>226.375</v>
      </c>
      <c r="AA118" s="36">
        <f t="shared" ref="AA118" si="240">+Z118+AA119</f>
        <v>191.21875</v>
      </c>
      <c r="AB118" s="114"/>
    </row>
    <row r="119" spans="1:28" outlineLevel="1" x14ac:dyDescent="0.25">
      <c r="B119" s="42" t="s">
        <v>91</v>
      </c>
      <c r="C119" s="64"/>
      <c r="D119" s="29"/>
      <c r="E119" s="29"/>
      <c r="F119" s="29"/>
      <c r="G119" s="29"/>
      <c r="H119" s="44"/>
      <c r="I119" s="29">
        <f>+I118-G118</f>
        <v>-18</v>
      </c>
      <c r="J119" s="29">
        <f>+J118-I118</f>
        <v>0</v>
      </c>
      <c r="K119" s="29">
        <f>+K118-J118</f>
        <v>1</v>
      </c>
      <c r="L119" s="29">
        <f>+L118-K118</f>
        <v>-4</v>
      </c>
      <c r="M119" s="43">
        <f>+SUM(I119:L119)</f>
        <v>-21</v>
      </c>
      <c r="N119" s="29">
        <f>+N118-L118</f>
        <v>1</v>
      </c>
      <c r="O119" s="29">
        <f>+O118-N118</f>
        <v>-7</v>
      </c>
      <c r="P119" s="29">
        <f>+P118-O118</f>
        <v>0</v>
      </c>
      <c r="Q119" s="29">
        <f>+Q118-P118</f>
        <v>-6</v>
      </c>
      <c r="R119" s="43">
        <f>+SUM(N119:Q119)</f>
        <v>-12</v>
      </c>
      <c r="S119" s="29">
        <f>+S118-Q118</f>
        <v>-3</v>
      </c>
      <c r="T119" s="212">
        <v>-95</v>
      </c>
      <c r="U119" s="52">
        <v>-25</v>
      </c>
      <c r="V119" s="52">
        <v>-25</v>
      </c>
      <c r="W119" s="43">
        <f>+SUM(S119:V119)</f>
        <v>-148</v>
      </c>
      <c r="X119" s="52">
        <f>AVERAGE(S119,T119,U119,V119)</f>
        <v>-37</v>
      </c>
      <c r="Y119" s="52">
        <f>AVERAGE(T119,U119,V119,X119)</f>
        <v>-45.5</v>
      </c>
      <c r="Z119" s="52">
        <f>AVERAGE(U119,V119,X119,Y119)</f>
        <v>-33.125</v>
      </c>
      <c r="AA119" s="52">
        <f>AVERAGE(V119,X119,Y119,Z119)</f>
        <v>-35.15625</v>
      </c>
      <c r="AB119" s="43">
        <f>+SUM(X119:AA119)</f>
        <v>-150.78125</v>
      </c>
    </row>
    <row r="120" spans="1:28" s="126" customFormat="1" outlineLevel="1" x14ac:dyDescent="0.25">
      <c r="B120" s="127" t="s">
        <v>92</v>
      </c>
      <c r="C120" s="128"/>
      <c r="D120" s="129"/>
      <c r="E120" s="129"/>
      <c r="F120" s="129"/>
      <c r="G120" s="129"/>
      <c r="H120" s="130"/>
      <c r="I120" s="131">
        <f>D118</f>
        <v>698</v>
      </c>
      <c r="J120" s="131">
        <f t="shared" ref="J120:L120" si="241">E118</f>
        <v>688</v>
      </c>
      <c r="K120" s="131">
        <f t="shared" si="241"/>
        <v>541</v>
      </c>
      <c r="L120" s="131">
        <f t="shared" si="241"/>
        <v>523</v>
      </c>
      <c r="M120" s="132"/>
      <c r="N120" s="131">
        <f>I118</f>
        <v>505</v>
      </c>
      <c r="O120" s="131">
        <f t="shared" ref="O120" si="242">J118</f>
        <v>505</v>
      </c>
      <c r="P120" s="131">
        <f t="shared" ref="P120" si="243">K118</f>
        <v>506</v>
      </c>
      <c r="Q120" s="131">
        <f t="shared" ref="Q120" si="244">L118</f>
        <v>502</v>
      </c>
      <c r="R120" s="132"/>
      <c r="S120" s="131">
        <f>N118</f>
        <v>503</v>
      </c>
      <c r="T120" s="131">
        <f t="shared" ref="T120" si="245">O118</f>
        <v>496</v>
      </c>
      <c r="U120" s="131">
        <f t="shared" ref="U120" si="246">P118</f>
        <v>496</v>
      </c>
      <c r="V120" s="131">
        <f t="shared" ref="V120" si="247">Q118</f>
        <v>490</v>
      </c>
      <c r="W120" s="132"/>
      <c r="X120" s="131">
        <f>S118</f>
        <v>487</v>
      </c>
      <c r="Y120" s="131">
        <f t="shared" ref="Y120" si="248">T118</f>
        <v>392</v>
      </c>
      <c r="Z120" s="131">
        <f t="shared" ref="Z120" si="249">U118</f>
        <v>367</v>
      </c>
      <c r="AA120" s="131">
        <f t="shared" ref="AA120" si="250">V118</f>
        <v>342</v>
      </c>
      <c r="AB120" s="132"/>
    </row>
    <row r="121" spans="1:28" s="126" customFormat="1" outlineLevel="1" x14ac:dyDescent="0.25">
      <c r="B121" s="127" t="s">
        <v>93</v>
      </c>
      <c r="C121" s="128"/>
      <c r="D121" s="129"/>
      <c r="E121" s="129"/>
      <c r="F121" s="129"/>
      <c r="G121" s="129"/>
      <c r="H121" s="130"/>
      <c r="I121" s="133">
        <v>0.29830049504950507</v>
      </c>
      <c r="J121" s="133">
        <v>0.21491102420069333</v>
      </c>
      <c r="K121" s="133">
        <v>0.28752245777937474</v>
      </c>
      <c r="L121" s="133">
        <v>0.28449003984063742</v>
      </c>
      <c r="M121" s="132"/>
      <c r="N121" s="133">
        <f>I121*(1+N124)</f>
        <v>0.29531749009901004</v>
      </c>
      <c r="O121" s="133">
        <f t="shared" ref="O121" si="251">J121*(1+O124)</f>
        <v>0.2127619139586864</v>
      </c>
      <c r="P121" s="133">
        <f t="shared" ref="P121" si="252">K121*(1+P124)</f>
        <v>0.28752245777937474</v>
      </c>
      <c r="Q121" s="133">
        <f>L121*(1+Q124)</f>
        <v>0.29017984063745017</v>
      </c>
      <c r="R121" s="132"/>
      <c r="S121" s="133">
        <f>N121*(1+S124)</f>
        <v>0.29531749009901004</v>
      </c>
      <c r="T121" s="133">
        <f>+O121*(1+T124)</f>
        <v>0.21701715223786014</v>
      </c>
      <c r="U121" s="133">
        <f t="shared" ref="U121" si="253">+P121*(1+U124)</f>
        <v>0.29039768235716851</v>
      </c>
      <c r="V121" s="133">
        <f t="shared" ref="V121" si="254">+Q121*(1+V124)</f>
        <v>0.29380708864541827</v>
      </c>
      <c r="W121" s="132"/>
      <c r="X121" s="133">
        <f>+S121*(1+X124)</f>
        <v>0.30140841333230212</v>
      </c>
      <c r="Y121" s="133">
        <f>+T121*(1+Y124)</f>
        <v>0.2226121256939925</v>
      </c>
      <c r="Z121" s="133">
        <f t="shared" ref="Z121" si="255">+U121*(1+Z124)</f>
        <v>0.29540023618214944</v>
      </c>
      <c r="AA121" s="133">
        <f t="shared" ref="AA121" si="256">+V121*(1+AA124)</f>
        <v>0.29939917864317139</v>
      </c>
      <c r="AB121" s="132"/>
    </row>
    <row r="122" spans="1:28" outlineLevel="1" x14ac:dyDescent="0.25">
      <c r="B122" s="42" t="s">
        <v>89</v>
      </c>
      <c r="C122" s="99"/>
      <c r="D122" s="49">
        <v>0</v>
      </c>
      <c r="E122" s="49">
        <v>0</v>
      </c>
      <c r="F122" s="49">
        <v>0</v>
      </c>
      <c r="G122" s="49">
        <v>0</v>
      </c>
      <c r="H122" s="47">
        <v>0</v>
      </c>
      <c r="I122" s="49">
        <v>-0.02</v>
      </c>
      <c r="J122" s="49">
        <v>0</v>
      </c>
      <c r="K122" s="49">
        <v>0</v>
      </c>
      <c r="L122" s="49">
        <v>-0.02</v>
      </c>
      <c r="M122" s="47">
        <v>-0.01</v>
      </c>
      <c r="N122" s="49">
        <v>-0.04</v>
      </c>
      <c r="O122" s="49">
        <v>-0.04</v>
      </c>
      <c r="P122" s="49">
        <v>-0.02</v>
      </c>
      <c r="Q122" s="49">
        <v>0</v>
      </c>
      <c r="R122" s="47">
        <v>-0.03</v>
      </c>
      <c r="S122" s="49">
        <v>-0.03</v>
      </c>
      <c r="T122" s="49">
        <v>0</v>
      </c>
      <c r="U122" s="49"/>
      <c r="V122" s="49"/>
      <c r="W122" s="47"/>
      <c r="X122" s="49"/>
      <c r="Y122" s="49"/>
      <c r="Z122" s="49"/>
      <c r="AA122" s="49"/>
      <c r="AB122" s="47"/>
    </row>
    <row r="123" spans="1:28" outlineLevel="1" x14ac:dyDescent="0.25">
      <c r="B123" s="42" t="s">
        <v>88</v>
      </c>
      <c r="C123" s="99"/>
      <c r="D123" s="119">
        <v>0.01</v>
      </c>
      <c r="E123" s="119">
        <v>0.01</v>
      </c>
      <c r="F123" s="119">
        <v>-0.02</v>
      </c>
      <c r="G123" s="119">
        <v>-0.01</v>
      </c>
      <c r="H123" s="120">
        <v>0.01</v>
      </c>
      <c r="I123" s="119">
        <v>0.01</v>
      </c>
      <c r="J123" s="119">
        <v>-0.01</v>
      </c>
      <c r="K123" s="119">
        <v>0.02</v>
      </c>
      <c r="L123" s="119">
        <v>0.03</v>
      </c>
      <c r="M123" s="120">
        <v>0.01</v>
      </c>
      <c r="N123" s="119">
        <v>0.03</v>
      </c>
      <c r="O123" s="119">
        <v>0.03</v>
      </c>
      <c r="P123" s="119">
        <v>0.03</v>
      </c>
      <c r="Q123" s="119">
        <v>0.02</v>
      </c>
      <c r="R123" s="120">
        <v>0.03</v>
      </c>
      <c r="S123" s="119">
        <v>0.03</v>
      </c>
      <c r="T123" s="119">
        <v>0.02</v>
      </c>
      <c r="U123" s="119"/>
      <c r="V123" s="119"/>
      <c r="W123" s="120"/>
      <c r="X123" s="119"/>
      <c r="Y123" s="119"/>
      <c r="Z123" s="119"/>
      <c r="AA123" s="119"/>
      <c r="AB123" s="120"/>
    </row>
    <row r="124" spans="1:28" s="21" customFormat="1" outlineLevel="1" x14ac:dyDescent="0.25">
      <c r="B124" s="72" t="s">
        <v>90</v>
      </c>
      <c r="C124" s="66"/>
      <c r="D124" s="118">
        <v>0.01</v>
      </c>
      <c r="E124" s="118">
        <v>0.01</v>
      </c>
      <c r="F124" s="118">
        <v>-0.01</v>
      </c>
      <c r="G124" s="118">
        <v>-0.01</v>
      </c>
      <c r="H124" s="121">
        <v>0</v>
      </c>
      <c r="I124" s="118">
        <v>-0.01</v>
      </c>
      <c r="J124" s="118">
        <v>-0.01</v>
      </c>
      <c r="K124" s="118">
        <v>0.02</v>
      </c>
      <c r="L124" s="118">
        <v>0.01</v>
      </c>
      <c r="M124" s="121">
        <v>0.01</v>
      </c>
      <c r="N124" s="118">
        <v>-0.01</v>
      </c>
      <c r="O124" s="118">
        <v>-0.01</v>
      </c>
      <c r="P124" s="118">
        <v>0</v>
      </c>
      <c r="Q124" s="118">
        <v>0.02</v>
      </c>
      <c r="R124" s="121">
        <v>0</v>
      </c>
      <c r="S124" s="118">
        <v>0</v>
      </c>
      <c r="T124" s="223">
        <v>0.02</v>
      </c>
      <c r="U124" s="124">
        <f>AVERAGE(T124,S124,Q124,P124)</f>
        <v>0.01</v>
      </c>
      <c r="V124" s="124">
        <f>AVERAGE(U124,T124,S124,Q124)</f>
        <v>1.2500000000000001E-2</v>
      </c>
      <c r="W124" s="121"/>
      <c r="X124" s="233">
        <f>AVERAGE(V124,U124,T124,S124)+1%</f>
        <v>2.0624999999999998E-2</v>
      </c>
      <c r="Y124" s="124">
        <f>AVERAGE(X124,V124,U124,T124)+1%</f>
        <v>2.5781249999999999E-2</v>
      </c>
      <c r="Z124" s="124">
        <f>AVERAGE(Y124,X124,V124,U124)</f>
        <v>1.7226562499999997E-2</v>
      </c>
      <c r="AA124" s="124">
        <f>AVERAGE(Z124,Y124,X124,V124)</f>
        <v>1.9033203124999998E-2</v>
      </c>
      <c r="AB124" s="121"/>
    </row>
    <row r="125" spans="1:28" ht="17.25" outlineLevel="1" x14ac:dyDescent="0.4">
      <c r="B125" s="100" t="s">
        <v>151</v>
      </c>
      <c r="C125" s="99"/>
      <c r="D125" s="29"/>
      <c r="E125" s="29"/>
      <c r="F125" s="29"/>
      <c r="G125" s="29"/>
      <c r="H125" s="44"/>
      <c r="I125" s="51">
        <f>+(I118-I120)*I127-7</f>
        <v>-62.759801980198027</v>
      </c>
      <c r="J125" s="51">
        <f>+(J118-J120)*J127+26</f>
        <v>-20.202970297029701</v>
      </c>
      <c r="K125" s="51">
        <f>+(K118-K120)*K127-10</f>
        <v>-19.420948616600789</v>
      </c>
      <c r="L125" s="51">
        <f>+(L118-L120)*L127-1</f>
        <v>-6.9151394422310757</v>
      </c>
      <c r="M125" s="93"/>
      <c r="N125" s="51">
        <f>+(N118-N120)*N127+3</f>
        <v>2.3972166998011928</v>
      </c>
      <c r="O125" s="51">
        <f>+(O118-O120)*O127+34</f>
        <v>31.483266129032259</v>
      </c>
      <c r="P125" s="51">
        <f>+(P118-P120)*P127</f>
        <v>-2.8810483870967745</v>
      </c>
      <c r="Q125" s="51">
        <f>+(Q118-Q120)*Q127</f>
        <v>-3.4897959183673466</v>
      </c>
      <c r="R125" s="20"/>
      <c r="S125" s="51">
        <f>+(S118-S120)*S127</f>
        <v>-4.7145790554414786</v>
      </c>
      <c r="T125" s="51">
        <f>+(T118-T120)*T127+33</f>
        <v>3.5244897959183703</v>
      </c>
      <c r="U125" s="51">
        <f>AVERAGE(T125,S125,Q125,P125)</f>
        <v>-1.8902333912468072</v>
      </c>
      <c r="V125" s="51">
        <f>AVERAGE(U125,T125,S125,Q125)</f>
        <v>-1.6425296422843156</v>
      </c>
      <c r="W125" s="20"/>
      <c r="X125" s="51">
        <f>AVERAGE(V125,U125,T125,S125)</f>
        <v>-1.1807130732635578</v>
      </c>
      <c r="Y125" s="51">
        <f>AVERAGE(X125,V125,U125,T125)</f>
        <v>-0.29724657771907759</v>
      </c>
      <c r="Z125" s="51">
        <f>AVERAGE(Y125,X125,V125,U125)</f>
        <v>-1.2526806711284397</v>
      </c>
      <c r="AA125" s="51">
        <f>AVERAGE(Z125,Y125,X125,V125)</f>
        <v>-1.0932924910988477</v>
      </c>
      <c r="AB125" s="20"/>
    </row>
    <row r="126" spans="1:28" s="21" customFormat="1" outlineLevel="1" x14ac:dyDescent="0.25">
      <c r="B126" s="253" t="s">
        <v>122</v>
      </c>
      <c r="C126" s="254"/>
      <c r="D126" s="105"/>
      <c r="E126" s="105"/>
      <c r="F126" s="105"/>
      <c r="G126" s="105"/>
      <c r="H126" s="122"/>
      <c r="I126" s="105">
        <v>145.9</v>
      </c>
      <c r="J126" s="105">
        <v>127.5</v>
      </c>
      <c r="K126" s="105">
        <v>136.19999999999999</v>
      </c>
      <c r="L126" s="105">
        <v>141.4</v>
      </c>
      <c r="M126" s="123"/>
      <c r="N126" s="105">
        <v>151.6</v>
      </c>
      <c r="O126" s="105">
        <v>138.69999999999999</v>
      </c>
      <c r="P126" s="105">
        <v>142.9</v>
      </c>
      <c r="Q126" s="105">
        <v>142.5</v>
      </c>
      <c r="R126" s="123"/>
      <c r="S126" s="105">
        <v>143.5</v>
      </c>
      <c r="T126" s="105">
        <v>111.1</v>
      </c>
      <c r="U126" s="105">
        <f t="shared" ref="U126" si="257">+U120*U121+U125</f>
        <v>142.14701705790878</v>
      </c>
      <c r="V126" s="105">
        <f t="shared" ref="V126" si="258">+V120*V121+V125</f>
        <v>142.32294379397064</v>
      </c>
      <c r="W126" s="123"/>
      <c r="X126" s="105">
        <f>+X120*X121+X125</f>
        <v>145.60518421956758</v>
      </c>
      <c r="Y126" s="105">
        <f>+Y120*Y121+Y125</f>
        <v>86.966706694325978</v>
      </c>
      <c r="Z126" s="105">
        <f t="shared" ref="Z126" si="259">+Z120*Z121+Z125</f>
        <v>107.1592060077204</v>
      </c>
      <c r="AA126" s="105">
        <f t="shared" ref="AA126" si="260">+AA120*AA121+AA125</f>
        <v>101.30122660486576</v>
      </c>
      <c r="AB126" s="123"/>
    </row>
    <row r="127" spans="1:28" s="21" customFormat="1" outlineLevel="1" x14ac:dyDescent="0.25">
      <c r="B127" s="134" t="s">
        <v>96</v>
      </c>
      <c r="C127" s="66"/>
      <c r="D127" s="105"/>
      <c r="E127" s="105"/>
      <c r="F127" s="105"/>
      <c r="G127" s="105"/>
      <c r="H127" s="122"/>
      <c r="I127" s="139">
        <f>+I126/I118</f>
        <v>0.28891089108910895</v>
      </c>
      <c r="J127" s="139">
        <f t="shared" ref="J127" si="261">+J126/J118</f>
        <v>0.25247524752475248</v>
      </c>
      <c r="K127" s="139">
        <f t="shared" ref="K127" si="262">+K126/K118</f>
        <v>0.2691699604743083</v>
      </c>
      <c r="L127" s="139">
        <f t="shared" ref="L127" si="263">+L126/L118</f>
        <v>0.28167330677290836</v>
      </c>
      <c r="M127" s="140"/>
      <c r="N127" s="139">
        <f t="shared" ref="N127" si="264">+N126/N118</f>
        <v>0.30139165009940355</v>
      </c>
      <c r="O127" s="139">
        <f t="shared" ref="O127" si="265">+O126/O118</f>
        <v>0.27963709677419352</v>
      </c>
      <c r="P127" s="139">
        <f t="shared" ref="P127" si="266">+P126/P118</f>
        <v>0.28810483870967746</v>
      </c>
      <c r="Q127" s="139">
        <f t="shared" ref="Q127" si="267">+Q126/Q118</f>
        <v>0.29081632653061223</v>
      </c>
      <c r="R127" s="140"/>
      <c r="S127" s="139">
        <f t="shared" ref="S127" si="268">+S126/S118</f>
        <v>0.29466119096509241</v>
      </c>
      <c r="T127" s="139">
        <f t="shared" ref="T127" si="269">+T126/T118</f>
        <v>0.28341836734693876</v>
      </c>
      <c r="U127" s="139">
        <f t="shared" ref="U127" si="270">+U126/U118</f>
        <v>0.38732157236487408</v>
      </c>
      <c r="V127" s="139">
        <f t="shared" ref="V127" si="271">+V126/V118</f>
        <v>0.41614895846190247</v>
      </c>
      <c r="W127" s="123"/>
      <c r="X127" s="139">
        <f t="shared" ref="X127" si="272">+X126/X118</f>
        <v>0.47739404662153306</v>
      </c>
      <c r="Y127" s="139">
        <f t="shared" ref="Y127" si="273">+Y126/Y118</f>
        <v>0.33513181770453171</v>
      </c>
      <c r="Z127" s="139">
        <f t="shared" ref="Z127" si="274">+Z126/Z118</f>
        <v>0.47337031919478917</v>
      </c>
      <c r="AA127" s="139">
        <f t="shared" ref="AA127" si="275">+AA126/AA118</f>
        <v>0.52976617933579084</v>
      </c>
      <c r="AB127" s="123"/>
    </row>
    <row r="128" spans="1:28" s="126" customFormat="1" outlineLevel="1" x14ac:dyDescent="0.25">
      <c r="B128" s="134" t="s">
        <v>94</v>
      </c>
      <c r="C128" s="135"/>
      <c r="D128" s="136"/>
      <c r="E128" s="136"/>
      <c r="F128" s="136"/>
      <c r="G128" s="136"/>
      <c r="H128" s="137"/>
      <c r="I128" s="129">
        <f>ROUND((+I126-I125-(I120*I121)),0)</f>
        <v>0</v>
      </c>
      <c r="J128" s="129">
        <f>ROUND((+J126-J125-(J120*J121)),0)</f>
        <v>0</v>
      </c>
      <c r="K128" s="129">
        <f>ROUND((+K126-K125-(K120*K121)),0)</f>
        <v>0</v>
      </c>
      <c r="L128" s="129">
        <f>ROUND((+L126-L125-(L120*L121)),0)</f>
        <v>0</v>
      </c>
      <c r="M128" s="132"/>
      <c r="N128" s="129">
        <f>ROUND((+N126-N125-(N120*N121)),0)</f>
        <v>0</v>
      </c>
      <c r="O128" s="129">
        <f>ROUND((+O126-O125-(O120*O121)),0)</f>
        <v>0</v>
      </c>
      <c r="P128" s="129">
        <f>ROUND((+P126-P125-(P120*P121)),0)</f>
        <v>0</v>
      </c>
      <c r="Q128" s="129">
        <f>ROUND((+Q126-Q125-(Q120*Q121)),0)</f>
        <v>0</v>
      </c>
      <c r="R128" s="132"/>
      <c r="S128" s="129">
        <f>ROUND((+S126-S125-(S120*S121)),0)</f>
        <v>0</v>
      </c>
      <c r="T128" s="232">
        <f>ROUND((+T126-T125-(T120*T121)),0)</f>
        <v>0</v>
      </c>
      <c r="U128" s="136">
        <f>ROUND((+U126-U125-(U120*U121)),0)</f>
        <v>0</v>
      </c>
      <c r="V128" s="136">
        <f>ROUND((+V126-V125-(V120*V121)),0)</f>
        <v>0</v>
      </c>
      <c r="W128" s="138"/>
      <c r="X128" s="136">
        <f>ROUND((+X126-X125-(X120*X121)),0)</f>
        <v>0</v>
      </c>
      <c r="Y128" s="136">
        <f>ROUND((+Y126-Y125-(Y120*Y121)),0)</f>
        <v>0</v>
      </c>
      <c r="Z128" s="136">
        <f>ROUND((+Z126-Z125-(Z120*Z121)),0)</f>
        <v>0</v>
      </c>
      <c r="AA128" s="136">
        <f>ROUND((+AA126-AA125-(AA120*AA121)),0)</f>
        <v>0</v>
      </c>
      <c r="AB128" s="138"/>
    </row>
    <row r="129" spans="2:28" s="21" customFormat="1" outlineLevel="1" x14ac:dyDescent="0.25">
      <c r="B129" s="261" t="s">
        <v>123</v>
      </c>
      <c r="C129" s="262"/>
      <c r="D129" s="141">
        <v>1743</v>
      </c>
      <c r="E129" s="141">
        <v>1800</v>
      </c>
      <c r="F129" s="141">
        <v>2024</v>
      </c>
      <c r="G129" s="141">
        <v>2119</v>
      </c>
      <c r="H129" s="142"/>
      <c r="I129" s="141">
        <v>2232</v>
      </c>
      <c r="J129" s="141">
        <v>2278</v>
      </c>
      <c r="K129" s="141">
        <v>2364</v>
      </c>
      <c r="L129" s="141">
        <v>2472</v>
      </c>
      <c r="M129" s="143"/>
      <c r="N129" s="141">
        <v>2594</v>
      </c>
      <c r="O129" s="141">
        <v>2665</v>
      </c>
      <c r="P129" s="141">
        <v>2741</v>
      </c>
      <c r="Q129" s="141">
        <v>2830</v>
      </c>
      <c r="R129" s="143"/>
      <c r="S129" s="141">
        <v>2934</v>
      </c>
      <c r="T129" s="141">
        <v>3076</v>
      </c>
      <c r="U129" s="141">
        <f t="shared" ref="U129" si="276">+T129+U130</f>
        <v>3221</v>
      </c>
      <c r="V129" s="141">
        <f t="shared" ref="V129" si="277">+U129+V130</f>
        <v>3378</v>
      </c>
      <c r="W129" s="143"/>
      <c r="X129" s="141">
        <f>+V129+X130</f>
        <v>3403</v>
      </c>
      <c r="Y129" s="141">
        <f>+X129+Y130</f>
        <v>3428</v>
      </c>
      <c r="Z129" s="141">
        <f t="shared" ref="Z129" si="278">+Y129+Z130</f>
        <v>3453</v>
      </c>
      <c r="AA129" s="141">
        <f t="shared" ref="AA129" si="279">+Z129+AA130</f>
        <v>3478</v>
      </c>
      <c r="AB129" s="143"/>
    </row>
    <row r="130" spans="2:28" outlineLevel="1" x14ac:dyDescent="0.25">
      <c r="B130" s="42" t="s">
        <v>95</v>
      </c>
      <c r="C130" s="64"/>
      <c r="D130" s="29"/>
      <c r="E130" s="29">
        <f>+E129-D129</f>
        <v>57</v>
      </c>
      <c r="F130" s="29">
        <f>+F129-E129</f>
        <v>224</v>
      </c>
      <c r="G130" s="29">
        <f>+G129-F129</f>
        <v>95</v>
      </c>
      <c r="H130" s="44"/>
      <c r="I130" s="29">
        <f>+I129-G129</f>
        <v>113</v>
      </c>
      <c r="J130" s="29">
        <f>+J129-I129</f>
        <v>46</v>
      </c>
      <c r="K130" s="29">
        <f>+K129-J129</f>
        <v>86</v>
      </c>
      <c r="L130" s="29">
        <f>+L129-K129</f>
        <v>108</v>
      </c>
      <c r="M130" s="43">
        <f>+SUM(I130:L130)</f>
        <v>353</v>
      </c>
      <c r="N130" s="29">
        <f>+N129-L129</f>
        <v>122</v>
      </c>
      <c r="O130" s="29">
        <f>+O129-N129</f>
        <v>71</v>
      </c>
      <c r="P130" s="29">
        <f>+P129-O129</f>
        <v>76</v>
      </c>
      <c r="Q130" s="29">
        <f>+Q129-P129</f>
        <v>89</v>
      </c>
      <c r="R130" s="43">
        <f>+SUM(N130:Q130)</f>
        <v>358</v>
      </c>
      <c r="S130" s="29">
        <f>+S129-Q129</f>
        <v>104</v>
      </c>
      <c r="T130" s="212">
        <v>142</v>
      </c>
      <c r="U130" s="52">
        <v>145</v>
      </c>
      <c r="V130" s="52">
        <v>157</v>
      </c>
      <c r="W130" s="43">
        <f>+SUM(S130:V130)</f>
        <v>548</v>
      </c>
      <c r="X130" s="52">
        <v>25</v>
      </c>
      <c r="Y130" s="52">
        <v>25</v>
      </c>
      <c r="Z130" s="52">
        <v>25</v>
      </c>
      <c r="AA130" s="52">
        <v>25</v>
      </c>
      <c r="AB130" s="43">
        <f>+SUM(X130:AA130)</f>
        <v>100</v>
      </c>
    </row>
    <row r="131" spans="2:28" outlineLevel="1" x14ac:dyDescent="0.25">
      <c r="B131" s="42" t="s">
        <v>98</v>
      </c>
      <c r="C131" s="64"/>
      <c r="D131" s="29"/>
      <c r="E131" s="29">
        <f>AVERAGE(E129,D129)</f>
        <v>1771.5</v>
      </c>
      <c r="F131" s="29">
        <f t="shared" ref="F131:G131" si="280">AVERAGE(F129,E129)</f>
        <v>1912</v>
      </c>
      <c r="G131" s="29">
        <f t="shared" si="280"/>
        <v>2071.5</v>
      </c>
      <c r="H131" s="44"/>
      <c r="I131" s="29">
        <f>AVERAGE(I129,G129)</f>
        <v>2175.5</v>
      </c>
      <c r="J131" s="29">
        <f>AVERAGE(J129,I129)</f>
        <v>2255</v>
      </c>
      <c r="K131" s="29">
        <f t="shared" ref="K131:L131" si="281">AVERAGE(K129,J129)</f>
        <v>2321</v>
      </c>
      <c r="L131" s="29">
        <f t="shared" si="281"/>
        <v>2418</v>
      </c>
      <c r="M131" s="43"/>
      <c r="N131" s="29">
        <f>AVERAGE(N129,L129)</f>
        <v>2533</v>
      </c>
      <c r="O131" s="29">
        <f>AVERAGE(O129,N129)</f>
        <v>2629.5</v>
      </c>
      <c r="P131" s="29">
        <f t="shared" ref="P131:Q131" si="282">AVERAGE(P129,O129)</f>
        <v>2703</v>
      </c>
      <c r="Q131" s="29">
        <f t="shared" si="282"/>
        <v>2785.5</v>
      </c>
      <c r="R131" s="43"/>
      <c r="S131" s="29">
        <f>AVERAGE(S129,Q129)</f>
        <v>2882</v>
      </c>
      <c r="T131" s="29">
        <f>AVERAGE(T129,S129)</f>
        <v>3005</v>
      </c>
      <c r="U131" s="29">
        <f t="shared" ref="U131:V131" si="283">AVERAGE(U129,T129)</f>
        <v>3148.5</v>
      </c>
      <c r="V131" s="29">
        <f t="shared" si="283"/>
        <v>3299.5</v>
      </c>
      <c r="W131" s="43"/>
      <c r="X131" s="29">
        <f>AVERAGE(X129,V129)</f>
        <v>3390.5</v>
      </c>
      <c r="Y131" s="29">
        <f>AVERAGE(Y129,X129)</f>
        <v>3415.5</v>
      </c>
      <c r="Z131" s="29">
        <f t="shared" ref="Z131:AA131" si="284">AVERAGE(Z129,Y129)</f>
        <v>3440.5</v>
      </c>
      <c r="AA131" s="29">
        <f t="shared" si="284"/>
        <v>3465.5</v>
      </c>
      <c r="AB131" s="20"/>
    </row>
    <row r="132" spans="2:28" outlineLevel="1" x14ac:dyDescent="0.25">
      <c r="B132" s="42" t="s">
        <v>97</v>
      </c>
      <c r="C132" s="64"/>
      <c r="D132" s="29"/>
      <c r="E132" s="29"/>
      <c r="F132" s="29"/>
      <c r="G132" s="29"/>
      <c r="H132" s="44"/>
      <c r="I132" s="80">
        <f>+I133/I131</f>
        <v>4.6977706274419676E-2</v>
      </c>
      <c r="J132" s="80">
        <f t="shared" ref="J132" si="285">+J133/J131</f>
        <v>4.0310421286031045E-2</v>
      </c>
      <c r="K132" s="80">
        <f t="shared" ref="K132" si="286">+K133/K131</f>
        <v>4.3472641102972859E-2</v>
      </c>
      <c r="L132" s="80">
        <f>+L133/L131</f>
        <v>4.7022332506203475E-2</v>
      </c>
      <c r="M132" s="43"/>
      <c r="N132" s="80">
        <f>+N133/N131</f>
        <v>4.58744571654165E-2</v>
      </c>
      <c r="O132" s="80">
        <f t="shared" ref="O132" si="287">+O133/O131</f>
        <v>4.2593648982696332E-2</v>
      </c>
      <c r="P132" s="80">
        <f t="shared" ref="P132" si="288">+P133/P131</f>
        <v>4.3840177580466148E-2</v>
      </c>
      <c r="Q132" s="80">
        <f>+Q133/Q131</f>
        <v>4.4731646024053127E-2</v>
      </c>
      <c r="R132" s="43"/>
      <c r="S132" s="80">
        <f>+S133/S131</f>
        <v>4.2470506592644001E-2</v>
      </c>
      <c r="T132" s="80">
        <f>+T133/T131</f>
        <v>3.8602329450915143E-2</v>
      </c>
      <c r="U132" s="125">
        <f>+P132*(1+2%)</f>
        <v>4.4716981132075471E-2</v>
      </c>
      <c r="V132" s="125">
        <f>+Q132*(1+2%)</f>
        <v>4.5626278944534193E-2</v>
      </c>
      <c r="W132" s="43"/>
      <c r="X132" s="125">
        <f>+S132*(1+3%)</f>
        <v>4.3744621790423321E-2</v>
      </c>
      <c r="Y132" s="125">
        <f>+T132*(1+3%)</f>
        <v>3.97603993344426E-2</v>
      </c>
      <c r="Z132" s="125">
        <f>+U132*(1+3%)</f>
        <v>4.6058490566037738E-2</v>
      </c>
      <c r="AA132" s="125">
        <f>+V132*(1+3%)</f>
        <v>4.6995067312870217E-2</v>
      </c>
      <c r="AB132" s="20"/>
    </row>
    <row r="133" spans="2:28" s="21" customFormat="1" outlineLevel="1" x14ac:dyDescent="0.25">
      <c r="B133" s="263" t="s">
        <v>124</v>
      </c>
      <c r="C133" s="264"/>
      <c r="D133" s="150"/>
      <c r="E133" s="150"/>
      <c r="F133" s="150"/>
      <c r="G133" s="150"/>
      <c r="H133" s="151"/>
      <c r="I133" s="150">
        <v>102.2</v>
      </c>
      <c r="J133" s="150">
        <v>90.9</v>
      </c>
      <c r="K133" s="150">
        <v>100.9</v>
      </c>
      <c r="L133" s="150">
        <v>113.7</v>
      </c>
      <c r="M133" s="152"/>
      <c r="N133" s="150">
        <v>116.2</v>
      </c>
      <c r="O133" s="150">
        <v>112</v>
      </c>
      <c r="P133" s="150">
        <v>118.5</v>
      </c>
      <c r="Q133" s="150">
        <v>124.6</v>
      </c>
      <c r="R133" s="152"/>
      <c r="S133" s="150">
        <v>122.4</v>
      </c>
      <c r="T133" s="150">
        <v>116</v>
      </c>
      <c r="U133" s="150">
        <f t="shared" ref="U133" si="289">+U131*U132</f>
        <v>140.79141509433961</v>
      </c>
      <c r="V133" s="150">
        <f t="shared" ref="V133" si="290">+V131*V132</f>
        <v>150.54390737749057</v>
      </c>
      <c r="W133" s="152"/>
      <c r="X133" s="150">
        <f>+X131*X132</f>
        <v>148.31614018043027</v>
      </c>
      <c r="Y133" s="150">
        <f>+Y131*Y132</f>
        <v>135.8016439267887</v>
      </c>
      <c r="Z133" s="150">
        <f t="shared" ref="Z133" si="291">+Z131*Z132</f>
        <v>158.46423679245285</v>
      </c>
      <c r="AA133" s="150">
        <f t="shared" ref="AA133" si="292">+AA131*AA132</f>
        <v>162.86140577275174</v>
      </c>
      <c r="AB133" s="152"/>
    </row>
    <row r="134" spans="2:28" s="21" customFormat="1" outlineLevel="1" x14ac:dyDescent="0.25">
      <c r="B134" s="267" t="s">
        <v>125</v>
      </c>
      <c r="C134" s="268"/>
      <c r="D134" s="36"/>
      <c r="E134" s="36"/>
      <c r="F134" s="36"/>
      <c r="G134" s="36"/>
      <c r="H134" s="113"/>
      <c r="I134" s="105">
        <v>0</v>
      </c>
      <c r="J134" s="105">
        <v>0</v>
      </c>
      <c r="K134" s="105">
        <v>0</v>
      </c>
      <c r="L134" s="105">
        <v>0</v>
      </c>
      <c r="M134" s="123"/>
      <c r="N134" s="105">
        <v>0.3</v>
      </c>
      <c r="O134" s="105">
        <v>0.3</v>
      </c>
      <c r="P134" s="105">
        <v>0.3</v>
      </c>
      <c r="Q134" s="105">
        <v>0.2</v>
      </c>
      <c r="R134" s="123"/>
      <c r="S134" s="105">
        <v>0.4</v>
      </c>
      <c r="T134" s="105">
        <v>0.4</v>
      </c>
      <c r="U134" s="105">
        <f>+P134*(1+U135)</f>
        <v>0.4</v>
      </c>
      <c r="V134" s="105">
        <f t="shared" ref="V134" si="293">+Q134*(1+V135)</f>
        <v>0.26666666666666672</v>
      </c>
      <c r="W134" s="114"/>
      <c r="X134" s="105">
        <f>+S134*(1+X135)</f>
        <v>0.53333333333333344</v>
      </c>
      <c r="Y134" s="105">
        <f>+T134*(1+Y135)</f>
        <v>0.53333333333333344</v>
      </c>
      <c r="Z134" s="105">
        <f>+U134*(1+Z135)</f>
        <v>0.53333333333333344</v>
      </c>
      <c r="AA134" s="105">
        <f t="shared" ref="AA134" si="294">+V134*(1+AA135)</f>
        <v>0.35555555555555568</v>
      </c>
      <c r="AB134" s="114"/>
    </row>
    <row r="135" spans="2:28" outlineLevel="1" x14ac:dyDescent="0.25">
      <c r="B135" s="144" t="s">
        <v>102</v>
      </c>
      <c r="C135" s="145"/>
      <c r="D135" s="115"/>
      <c r="E135" s="115"/>
      <c r="F135" s="115"/>
      <c r="G135" s="115"/>
      <c r="H135" s="116"/>
      <c r="I135" s="115"/>
      <c r="J135" s="115"/>
      <c r="K135" s="115"/>
      <c r="L135" s="115"/>
      <c r="M135" s="117"/>
      <c r="N135" s="146"/>
      <c r="O135" s="146"/>
      <c r="P135" s="146"/>
      <c r="Q135" s="146"/>
      <c r="R135" s="117"/>
      <c r="S135" s="146">
        <f>+S134/N134-1</f>
        <v>0.33333333333333348</v>
      </c>
      <c r="T135" s="146">
        <f>+T134/O134-1</f>
        <v>0.33333333333333348</v>
      </c>
      <c r="U135" s="147">
        <f>AVERAGE(T135,S135,Q135,P135)</f>
        <v>0.33333333333333348</v>
      </c>
      <c r="V135" s="147">
        <f>AVERAGE(U135,T135,S135,Q135)</f>
        <v>0.33333333333333348</v>
      </c>
      <c r="W135" s="117"/>
      <c r="X135" s="147">
        <f>AVERAGE(V135,U135,T135,S135)</f>
        <v>0.33333333333333348</v>
      </c>
      <c r="Y135" s="147">
        <f>AVERAGE(X135,V135,U135,T135)</f>
        <v>0.33333333333333348</v>
      </c>
      <c r="Z135" s="147">
        <f>AVERAGE(Y135,X135,V135,U135)</f>
        <v>0.33333333333333348</v>
      </c>
      <c r="AA135" s="147">
        <f>AVERAGE(Z135,Y135,X135,V135)</f>
        <v>0.33333333333333348</v>
      </c>
      <c r="AB135" s="117"/>
    </row>
    <row r="136" spans="2:28" outlineLevel="1" x14ac:dyDescent="0.25">
      <c r="B136" s="42" t="s">
        <v>126</v>
      </c>
      <c r="C136" s="99"/>
      <c r="D136" s="29"/>
      <c r="E136" s="29"/>
      <c r="F136" s="29"/>
      <c r="G136" s="29"/>
      <c r="H136" s="44"/>
      <c r="I136" s="29">
        <f t="shared" ref="I136:L137" si="295">+I129+I118</f>
        <v>2737</v>
      </c>
      <c r="J136" s="29">
        <f t="shared" si="295"/>
        <v>2783</v>
      </c>
      <c r="K136" s="29">
        <f t="shared" si="295"/>
        <v>2870</v>
      </c>
      <c r="L136" s="29">
        <f t="shared" si="295"/>
        <v>2974</v>
      </c>
      <c r="M136" s="43"/>
      <c r="N136" s="29">
        <f t="shared" ref="N136:Q137" si="296">+N129+N118</f>
        <v>3097</v>
      </c>
      <c r="O136" s="29">
        <f t="shared" si="296"/>
        <v>3161</v>
      </c>
      <c r="P136" s="29">
        <f t="shared" si="296"/>
        <v>3237</v>
      </c>
      <c r="Q136" s="29">
        <f t="shared" si="296"/>
        <v>3320</v>
      </c>
      <c r="R136" s="43"/>
      <c r="S136" s="29">
        <f t="shared" ref="S136:V137" si="297">+S129+S118</f>
        <v>3421</v>
      </c>
      <c r="T136" s="29">
        <f t="shared" si="297"/>
        <v>3468</v>
      </c>
      <c r="U136" s="29">
        <f t="shared" si="297"/>
        <v>3588</v>
      </c>
      <c r="V136" s="29">
        <f t="shared" si="297"/>
        <v>3720</v>
      </c>
      <c r="W136" s="43"/>
      <c r="X136" s="29">
        <f t="shared" ref="X136:AA137" si="298">+X129+X118</f>
        <v>3708</v>
      </c>
      <c r="Y136" s="29">
        <f t="shared" si="298"/>
        <v>3687.5</v>
      </c>
      <c r="Z136" s="29">
        <f t="shared" si="298"/>
        <v>3679.375</v>
      </c>
      <c r="AA136" s="29">
        <f t="shared" si="298"/>
        <v>3669.21875</v>
      </c>
      <c r="AB136" s="20"/>
    </row>
    <row r="137" spans="2:28" outlineLevel="1" x14ac:dyDescent="0.25">
      <c r="B137" s="42" t="s">
        <v>127</v>
      </c>
      <c r="C137" s="99"/>
      <c r="D137" s="29"/>
      <c r="E137" s="29"/>
      <c r="F137" s="29"/>
      <c r="G137" s="29"/>
      <c r="H137" s="44"/>
      <c r="I137" s="29">
        <f t="shared" si="295"/>
        <v>95</v>
      </c>
      <c r="J137" s="29">
        <f t="shared" si="295"/>
        <v>46</v>
      </c>
      <c r="K137" s="29">
        <f t="shared" si="295"/>
        <v>87</v>
      </c>
      <c r="L137" s="29">
        <f t="shared" si="295"/>
        <v>104</v>
      </c>
      <c r="M137" s="43">
        <f>+M130+M119</f>
        <v>332</v>
      </c>
      <c r="N137" s="29">
        <f t="shared" si="296"/>
        <v>123</v>
      </c>
      <c r="O137" s="29">
        <f t="shared" si="296"/>
        <v>64</v>
      </c>
      <c r="P137" s="29">
        <f t="shared" si="296"/>
        <v>76</v>
      </c>
      <c r="Q137" s="29">
        <f t="shared" si="296"/>
        <v>83</v>
      </c>
      <c r="R137" s="43">
        <f>+R130+R119</f>
        <v>346</v>
      </c>
      <c r="S137" s="29">
        <f t="shared" si="297"/>
        <v>101</v>
      </c>
      <c r="T137" s="29">
        <f t="shared" si="297"/>
        <v>47</v>
      </c>
      <c r="U137" s="29">
        <f t="shared" si="297"/>
        <v>120</v>
      </c>
      <c r="V137" s="29">
        <f t="shared" si="297"/>
        <v>132</v>
      </c>
      <c r="W137" s="199">
        <f>+W130+W119</f>
        <v>400</v>
      </c>
      <c r="X137" s="29">
        <f t="shared" si="298"/>
        <v>-12</v>
      </c>
      <c r="Y137" s="29">
        <f t="shared" si="298"/>
        <v>-20.5</v>
      </c>
      <c r="Z137" s="29">
        <f t="shared" si="298"/>
        <v>-8.125</v>
      </c>
      <c r="AA137" s="29">
        <f t="shared" si="298"/>
        <v>-10.15625</v>
      </c>
      <c r="AB137" s="43">
        <f>+AB130+AB119</f>
        <v>-50.78125</v>
      </c>
    </row>
    <row r="138" spans="2:28" outlineLevel="1" x14ac:dyDescent="0.25">
      <c r="B138" s="255" t="s">
        <v>128</v>
      </c>
      <c r="C138" s="256"/>
      <c r="D138" s="148"/>
      <c r="E138" s="148"/>
      <c r="F138" s="148"/>
      <c r="G138" s="148"/>
      <c r="H138" s="149"/>
      <c r="I138" s="150">
        <f>+I134+I133+I126</f>
        <v>248.10000000000002</v>
      </c>
      <c r="J138" s="150">
        <f>+J134+J133+J126</f>
        <v>218.4</v>
      </c>
      <c r="K138" s="150">
        <f>+K134+K133+K126</f>
        <v>237.1</v>
      </c>
      <c r="L138" s="150">
        <f>+L134+L133+L126</f>
        <v>255.10000000000002</v>
      </c>
      <c r="M138" s="153">
        <f>SUM(I138:L138)</f>
        <v>958.7</v>
      </c>
      <c r="N138" s="150">
        <f>+N134+N133+N126</f>
        <v>268.10000000000002</v>
      </c>
      <c r="O138" s="150">
        <f>+O134+O133+O126</f>
        <v>251</v>
      </c>
      <c r="P138" s="150">
        <f>+P134+P133+P126</f>
        <v>261.7</v>
      </c>
      <c r="Q138" s="150">
        <f>+Q134+Q133+Q126</f>
        <v>267.3</v>
      </c>
      <c r="R138" s="153">
        <f>SUM(N138:Q138)</f>
        <v>1048.0999999999999</v>
      </c>
      <c r="S138" s="150">
        <f>+S134+S133+S126</f>
        <v>266.3</v>
      </c>
      <c r="T138" s="150">
        <f>+T134+T133+T126</f>
        <v>227.5</v>
      </c>
      <c r="U138" s="150">
        <f>+U134+U133+U126</f>
        <v>283.3384321522484</v>
      </c>
      <c r="V138" s="150">
        <f>+V134+V133+V126</f>
        <v>293.13351783812789</v>
      </c>
      <c r="W138" s="153">
        <f>SUM(S138:V138)</f>
        <v>1070.2719499903765</v>
      </c>
      <c r="X138" s="150">
        <f>+X134+X133+X126</f>
        <v>294.45465773333115</v>
      </c>
      <c r="Y138" s="150">
        <f>+Y134+Y133+Y126</f>
        <v>223.30168395444801</v>
      </c>
      <c r="Z138" s="150">
        <f>+Z134+Z133+Z126</f>
        <v>266.15677613350658</v>
      </c>
      <c r="AA138" s="150">
        <f>+AA134+AA133+AA126</f>
        <v>264.51818793317307</v>
      </c>
      <c r="AB138" s="153">
        <f>SUM(X138:AA138)</f>
        <v>1048.4313057544587</v>
      </c>
    </row>
    <row r="139" spans="2:28" outlineLevel="1" x14ac:dyDescent="0.25">
      <c r="B139" s="257" t="s">
        <v>73</v>
      </c>
      <c r="C139" s="258"/>
      <c r="D139" s="29"/>
      <c r="E139" s="29"/>
      <c r="F139" s="29"/>
      <c r="G139" s="29"/>
      <c r="H139" s="44"/>
      <c r="I139" s="103">
        <v>129.6</v>
      </c>
      <c r="J139" s="103">
        <v>116.7</v>
      </c>
      <c r="K139" s="103">
        <v>128.30000000000001</v>
      </c>
      <c r="L139" s="103">
        <v>134</v>
      </c>
      <c r="M139" s="24"/>
      <c r="N139" s="103">
        <v>145.1</v>
      </c>
      <c r="O139" s="103">
        <v>138.4</v>
      </c>
      <c r="P139" s="103">
        <v>137.19999999999999</v>
      </c>
      <c r="Q139" s="103">
        <v>138.5</v>
      </c>
      <c r="R139" s="24"/>
      <c r="S139" s="103">
        <v>137.1</v>
      </c>
      <c r="T139" s="103">
        <v>120.4</v>
      </c>
      <c r="U139" s="103">
        <f>+(U138*U149)*(T139/T148)</f>
        <v>148.1223313079534</v>
      </c>
      <c r="V139" s="103">
        <f>+(V138*V149)*(U139/U148)</f>
        <v>151.66313574665256</v>
      </c>
      <c r="W139" s="24"/>
      <c r="X139" s="103">
        <f>+(X138*X149)*(V139/V148)</f>
        <v>137.89671954475008</v>
      </c>
      <c r="Y139" s="103">
        <f>+(Y138*Y149)*(X139/X148)</f>
        <v>118.17812196973864</v>
      </c>
      <c r="Z139" s="103">
        <f>+(Z138*Z149)*(Y139/Y148)</f>
        <v>139.1401860836167</v>
      </c>
      <c r="AA139" s="103">
        <f>+(AA138*AA149)*(Z139/Z148)</f>
        <v>136.85796881856706</v>
      </c>
      <c r="AB139" s="24"/>
    </row>
    <row r="140" spans="2:28" outlineLevel="1" x14ac:dyDescent="0.25">
      <c r="B140" s="42" t="s">
        <v>74</v>
      </c>
      <c r="C140" s="31"/>
      <c r="D140" s="29"/>
      <c r="E140" s="29"/>
      <c r="F140" s="29"/>
      <c r="G140" s="29"/>
      <c r="H140" s="44"/>
      <c r="I140" s="103">
        <v>46.9</v>
      </c>
      <c r="J140" s="103">
        <v>50.3</v>
      </c>
      <c r="K140" s="103">
        <v>53.8</v>
      </c>
      <c r="L140" s="103">
        <v>63.1</v>
      </c>
      <c r="M140" s="24"/>
      <c r="N140" s="103">
        <v>54.7</v>
      </c>
      <c r="O140" s="103">
        <v>57.7</v>
      </c>
      <c r="P140" s="103">
        <v>58</v>
      </c>
      <c r="Q140" s="103">
        <v>55.7</v>
      </c>
      <c r="R140" s="24"/>
      <c r="S140" s="103">
        <v>56.3</v>
      </c>
      <c r="T140" s="103">
        <v>47</v>
      </c>
      <c r="U140" s="103">
        <f>+(U138*U149)*(T140/T148)</f>
        <v>57.821840294632963</v>
      </c>
      <c r="V140" s="103">
        <f>+(V138*V149)*(U140/U148)</f>
        <v>59.204048007414187</v>
      </c>
      <c r="W140" s="24"/>
      <c r="X140" s="103">
        <f>+(X138*X149)*(V140/V148)</f>
        <v>53.830114772452262</v>
      </c>
      <c r="Y140" s="103">
        <f>+(Y138*Y149)*(X140/X148)</f>
        <v>46.13265558619365</v>
      </c>
      <c r="Z140" s="103">
        <f>+(Z138*Z149)*(Y140/Y148)</f>
        <v>54.31552114559787</v>
      </c>
      <c r="AA140" s="103">
        <f>+(AA138*AA149)*(Z140/Z148)</f>
        <v>53.424622379340953</v>
      </c>
      <c r="AB140" s="24"/>
    </row>
    <row r="141" spans="2:28" outlineLevel="1" x14ac:dyDescent="0.25">
      <c r="B141" s="42" t="s">
        <v>75</v>
      </c>
      <c r="C141" s="31"/>
      <c r="D141" s="29"/>
      <c r="E141" s="29"/>
      <c r="F141" s="29"/>
      <c r="G141" s="29"/>
      <c r="H141" s="44"/>
      <c r="I141" s="103">
        <v>14.2</v>
      </c>
      <c r="J141" s="103">
        <v>12.3</v>
      </c>
      <c r="K141" s="103">
        <v>12.9</v>
      </c>
      <c r="L141" s="103">
        <v>11.8</v>
      </c>
      <c r="M141" s="24"/>
      <c r="N141" s="103">
        <v>14.4</v>
      </c>
      <c r="O141" s="103">
        <v>18.3</v>
      </c>
      <c r="P141" s="103">
        <v>14.3</v>
      </c>
      <c r="Q141" s="103">
        <v>15.8</v>
      </c>
      <c r="R141" s="24"/>
      <c r="S141" s="103">
        <v>19.399999999999999</v>
      </c>
      <c r="T141" s="103">
        <v>16.8</v>
      </c>
      <c r="U141" s="103">
        <f>+(U138*U149)*(T141/T148)</f>
        <v>20.668232275528378</v>
      </c>
      <c r="V141" s="103">
        <f>+(V138*V149)*(U141/U148)</f>
        <v>21.162298011160818</v>
      </c>
      <c r="W141" s="24"/>
      <c r="X141" s="103">
        <f>+(X138*X149)*(V141/V148)</f>
        <v>19.241402727174428</v>
      </c>
      <c r="Y141" s="103">
        <f>+(Y138*Y149)*(X141/X148)</f>
        <v>16.489970507405392</v>
      </c>
      <c r="Z141" s="103">
        <f>+(Z138*Z149)*(Y141/Y148)</f>
        <v>19.414909686086048</v>
      </c>
      <c r="AA141" s="103">
        <f>+(AA138*AA149)*(Z141/Z148)</f>
        <v>19.096460765381448</v>
      </c>
      <c r="AB141" s="24"/>
    </row>
    <row r="142" spans="2:28" outlineLevel="1" x14ac:dyDescent="0.25">
      <c r="B142" s="42" t="s">
        <v>76</v>
      </c>
      <c r="C142" s="31"/>
      <c r="D142" s="29"/>
      <c r="E142" s="29"/>
      <c r="F142" s="29"/>
      <c r="G142" s="29"/>
      <c r="H142" s="44"/>
      <c r="I142" s="154">
        <v>7.5</v>
      </c>
      <c r="J142" s="154">
        <v>7.4</v>
      </c>
      <c r="K142" s="154">
        <v>7.5</v>
      </c>
      <c r="L142" s="154">
        <v>8.1999999999999993</v>
      </c>
      <c r="M142" s="24"/>
      <c r="N142" s="154">
        <v>7.5</v>
      </c>
      <c r="O142" s="154">
        <v>8</v>
      </c>
      <c r="P142" s="154">
        <v>8</v>
      </c>
      <c r="Q142" s="154">
        <v>8.1999999999999993</v>
      </c>
      <c r="R142" s="24"/>
      <c r="S142" s="154">
        <v>7.9</v>
      </c>
      <c r="T142" s="154">
        <v>6.9</v>
      </c>
      <c r="U142" s="235">
        <v>7.136397991095154</v>
      </c>
      <c r="V142" s="235">
        <v>7.4115609647087286</v>
      </c>
      <c r="W142" s="24"/>
      <c r="X142" s="235">
        <v>7.5899363749670323</v>
      </c>
      <c r="Y142" s="235">
        <v>7.8003860321423817</v>
      </c>
      <c r="Z142" s="235">
        <v>7.7661631649680132</v>
      </c>
      <c r="AA142" s="235">
        <v>7.778436474355285</v>
      </c>
      <c r="AB142" s="24"/>
    </row>
    <row r="143" spans="2:28" outlineLevel="1" x14ac:dyDescent="0.25">
      <c r="B143" s="42" t="s">
        <v>77</v>
      </c>
      <c r="C143" s="31"/>
      <c r="D143" s="29"/>
      <c r="E143" s="29"/>
      <c r="F143" s="29"/>
      <c r="G143" s="29"/>
      <c r="H143" s="20"/>
      <c r="I143" s="103">
        <v>11.7</v>
      </c>
      <c r="J143" s="103">
        <v>9.4</v>
      </c>
      <c r="K143" s="103">
        <v>11.6</v>
      </c>
      <c r="L143" s="103">
        <v>9</v>
      </c>
      <c r="M143" s="24"/>
      <c r="N143" s="103">
        <v>14</v>
      </c>
      <c r="O143" s="103">
        <v>11</v>
      </c>
      <c r="P143" s="103">
        <v>15</v>
      </c>
      <c r="Q143" s="103">
        <v>11.7</v>
      </c>
      <c r="R143" s="24"/>
      <c r="S143" s="103">
        <v>12.8</v>
      </c>
      <c r="T143" s="103">
        <v>15.1</v>
      </c>
      <c r="U143" s="103">
        <f t="shared" ref="U143:V143" si="299">+(U138*U149)*(T143/T148)</f>
        <v>18.576804009552291</v>
      </c>
      <c r="V143" s="103">
        <f t="shared" si="299"/>
        <v>19.020874998126686</v>
      </c>
      <c r="W143" s="24"/>
      <c r="X143" s="103">
        <f>+(X138*X149)*(V143/V148)</f>
        <v>17.294356022638919</v>
      </c>
      <c r="Y143" s="103">
        <f>+(Y138*Y149)*(X143/X148)</f>
        <v>14.821342539394129</v>
      </c>
      <c r="Z143" s="103">
        <f t="shared" ref="Z143:AA143" si="300">+(Z138*Z149)*(Y143/Y148)</f>
        <v>17.450305729755911</v>
      </c>
      <c r="AA143" s="103">
        <f t="shared" si="300"/>
        <v>17.164080806979751</v>
      </c>
      <c r="AB143" s="24"/>
    </row>
    <row r="144" spans="2:28" ht="17.25" outlineLevel="1" x14ac:dyDescent="0.4">
      <c r="B144" s="42" t="s">
        <v>85</v>
      </c>
      <c r="C144" s="31"/>
      <c r="D144" s="29"/>
      <c r="E144" s="29"/>
      <c r="F144" s="29"/>
      <c r="G144" s="29"/>
      <c r="H144" s="20"/>
      <c r="I144" s="155">
        <v>0</v>
      </c>
      <c r="J144" s="155">
        <v>0</v>
      </c>
      <c r="K144" s="155">
        <v>17.899999999999999</v>
      </c>
      <c r="L144" s="155">
        <v>0</v>
      </c>
      <c r="M144" s="24"/>
      <c r="N144" s="155">
        <v>0</v>
      </c>
      <c r="O144" s="155">
        <v>28.5</v>
      </c>
      <c r="P144" s="155">
        <v>0</v>
      </c>
      <c r="Q144" s="155">
        <v>26.6</v>
      </c>
      <c r="R144" s="24"/>
      <c r="S144" s="155">
        <v>5.8</v>
      </c>
      <c r="T144" s="155">
        <v>24.1</v>
      </c>
      <c r="U144" s="155">
        <f t="shared" ref="U144" si="301">+(U138*U149)*(T144/T148)</f>
        <v>29.649071300013926</v>
      </c>
      <c r="V144" s="155">
        <f>+(V138*V149)*(U144/U148)</f>
        <v>30.357820361248557</v>
      </c>
      <c r="W144" s="24"/>
      <c r="X144" s="155">
        <f>+(X138*X149)*(V144/V148)</f>
        <v>27.602250340768077</v>
      </c>
      <c r="Y144" s="155">
        <f>+(Y138*Y149)*(X144/X148)</f>
        <v>23.655255311218447</v>
      </c>
      <c r="Z144" s="155">
        <f t="shared" ref="Z144" si="302">+(Z138*Z149)*(Y144/Y148)</f>
        <v>27.851150204444863</v>
      </c>
      <c r="AA144" s="155">
        <f>+(AA138*AA149)*(Z144/Z148)</f>
        <v>27.394327645576954</v>
      </c>
      <c r="AB144" s="24"/>
    </row>
    <row r="145" spans="2:28" outlineLevel="1" x14ac:dyDescent="0.25">
      <c r="B145" s="101" t="s">
        <v>129</v>
      </c>
      <c r="C145" s="34"/>
      <c r="D145" s="29"/>
      <c r="E145" s="29"/>
      <c r="F145" s="29"/>
      <c r="G145" s="29"/>
      <c r="H145" s="22"/>
      <c r="I145" s="105">
        <f t="shared" ref="I145" si="303">SUM(I139:I144)</f>
        <v>209.89999999999998</v>
      </c>
      <c r="J145" s="105">
        <f t="shared" ref="J145" si="304">SUM(J139:J144)</f>
        <v>196.10000000000002</v>
      </c>
      <c r="K145" s="105">
        <f t="shared" ref="K145" si="305">SUM(K139:K144)</f>
        <v>232.00000000000003</v>
      </c>
      <c r="L145" s="105">
        <f t="shared" ref="L145" si="306">SUM(L139:L144)</f>
        <v>226.1</v>
      </c>
      <c r="M145" s="158"/>
      <c r="N145" s="105">
        <f>SUM(N139:N144)</f>
        <v>235.70000000000002</v>
      </c>
      <c r="O145" s="105">
        <f t="shared" ref="O145" si="307">SUM(O139:O144)</f>
        <v>261.90000000000003</v>
      </c>
      <c r="P145" s="105">
        <f t="shared" ref="P145" si="308">SUM(P139:P144)</f>
        <v>232.5</v>
      </c>
      <c r="Q145" s="105">
        <f t="shared" ref="Q145" si="309">SUM(Q139:Q144)</f>
        <v>256.5</v>
      </c>
      <c r="R145" s="158"/>
      <c r="S145" s="105">
        <f>SUM(S139:S144)</f>
        <v>239.3</v>
      </c>
      <c r="T145" s="105">
        <f>SUM(T139:T144)</f>
        <v>230.3</v>
      </c>
      <c r="U145" s="105">
        <f t="shared" ref="U145" si="310">SUM(U139:U144)</f>
        <v>281.97467717877612</v>
      </c>
      <c r="V145" s="105">
        <f t="shared" ref="V145" si="311">SUM(V139:V144)</f>
        <v>288.81973808931156</v>
      </c>
      <c r="W145" s="158"/>
      <c r="X145" s="105">
        <f t="shared" ref="X145" si="312">SUM(X139:X144)</f>
        <v>263.45477978275079</v>
      </c>
      <c r="Y145" s="105">
        <f t="shared" ref="Y145" si="313">SUM(Y139:Y144)</f>
        <v>227.07773194609263</v>
      </c>
      <c r="Z145" s="105">
        <f t="shared" ref="Z145" si="314">SUM(Z139:Z144)</f>
        <v>265.9382360144694</v>
      </c>
      <c r="AA145" s="105">
        <f t="shared" ref="AA145" si="315">SUM(AA139:AA144)</f>
        <v>261.71589689020141</v>
      </c>
      <c r="AB145" s="158"/>
    </row>
    <row r="146" spans="2:28" outlineLevel="1" x14ac:dyDescent="0.25">
      <c r="B146" s="101" t="s">
        <v>130</v>
      </c>
      <c r="C146" s="92"/>
      <c r="D146" s="29"/>
      <c r="E146" s="29"/>
      <c r="F146" s="29"/>
      <c r="G146" s="29"/>
      <c r="H146" s="22"/>
      <c r="I146" s="156">
        <f t="shared" ref="I146" si="316">+I138-I145</f>
        <v>38.200000000000045</v>
      </c>
      <c r="J146" s="156">
        <f t="shared" ref="J146" si="317">+J138-J145</f>
        <v>22.299999999999983</v>
      </c>
      <c r="K146" s="156">
        <f t="shared" ref="K146" si="318">+K138-K145</f>
        <v>5.0999999999999659</v>
      </c>
      <c r="L146" s="156">
        <f t="shared" ref="L146" si="319">+L138-L145</f>
        <v>29.000000000000028</v>
      </c>
      <c r="M146" s="204">
        <f>SUM(I146:L146)</f>
        <v>94.600000000000023</v>
      </c>
      <c r="N146" s="156">
        <f>+N138-N145</f>
        <v>32.400000000000006</v>
      </c>
      <c r="O146" s="156">
        <f t="shared" ref="O146" si="320">+O138-O145</f>
        <v>-10.900000000000034</v>
      </c>
      <c r="P146" s="156">
        <f t="shared" ref="P146" si="321">+P138-P145</f>
        <v>29.199999999999989</v>
      </c>
      <c r="Q146" s="156">
        <f t="shared" ref="Q146" si="322">+Q138-Q145</f>
        <v>10.800000000000011</v>
      </c>
      <c r="R146" s="204">
        <f>SUM(N146:Q146)</f>
        <v>61.499999999999972</v>
      </c>
      <c r="S146" s="156">
        <f>+S138-S145</f>
        <v>27</v>
      </c>
      <c r="T146" s="156">
        <f>+T138-T145</f>
        <v>-2.8000000000000114</v>
      </c>
      <c r="U146" s="156">
        <f t="shared" ref="U146" si="323">+U138-U145</f>
        <v>1.3637549734722825</v>
      </c>
      <c r="V146" s="156">
        <f t="shared" ref="V146" si="324">+V138-V145</f>
        <v>4.3137797488163301</v>
      </c>
      <c r="W146" s="204">
        <f>SUM(S146:V146)</f>
        <v>29.877534722288601</v>
      </c>
      <c r="X146" s="156">
        <f t="shared" ref="X146" si="325">+X138-X145</f>
        <v>30.999877950580355</v>
      </c>
      <c r="Y146" s="156">
        <f t="shared" ref="Y146" si="326">+Y138-Y145</f>
        <v>-3.7760479916446172</v>
      </c>
      <c r="Z146" s="156">
        <f t="shared" ref="Z146" si="327">+Z138-Z145</f>
        <v>0.21854011903718629</v>
      </c>
      <c r="AA146" s="156">
        <f t="shared" ref="AA146" si="328">+AA138-AA145</f>
        <v>2.8022910429716603</v>
      </c>
      <c r="AB146" s="204">
        <f>SUM(X146:AA146)</f>
        <v>30.244661120944585</v>
      </c>
    </row>
    <row r="147" spans="2:28" outlineLevel="1" x14ac:dyDescent="0.25">
      <c r="B147" s="101" t="s">
        <v>131</v>
      </c>
      <c r="C147" s="92"/>
      <c r="D147" s="29"/>
      <c r="E147" s="29"/>
      <c r="F147" s="29"/>
      <c r="G147" s="29"/>
      <c r="H147" s="20"/>
      <c r="I147" s="157">
        <f t="shared" ref="I147" si="329">+I146/I138</f>
        <v>0.15397017331721097</v>
      </c>
      <c r="J147" s="157">
        <f t="shared" ref="J147" si="330">+J146/J138</f>
        <v>0.10210622710622702</v>
      </c>
      <c r="K147" s="157">
        <f t="shared" ref="K147" si="331">+K146/K138</f>
        <v>2.1509911429776322E-2</v>
      </c>
      <c r="L147" s="157">
        <f t="shared" ref="L147" si="332">+L146/L138</f>
        <v>0.11368090944727569</v>
      </c>
      <c r="M147" s="203">
        <f>M146/M138</f>
        <v>9.8675289454469614E-2</v>
      </c>
      <c r="N147" s="157">
        <f>+N146/N138</f>
        <v>0.12085042894442373</v>
      </c>
      <c r="O147" s="157">
        <f t="shared" ref="O147" si="333">+O146/O138</f>
        <v>-4.3426294820717269E-2</v>
      </c>
      <c r="P147" s="157">
        <f t="shared" ref="P147" si="334">+P146/P138</f>
        <v>0.11157814291173095</v>
      </c>
      <c r="Q147" s="157">
        <f t="shared" ref="Q147" si="335">+Q146/Q138</f>
        <v>4.0404040404040442E-2</v>
      </c>
      <c r="R147" s="203">
        <f>R146/R138</f>
        <v>5.8677607098559278E-2</v>
      </c>
      <c r="S147" s="157">
        <f t="shared" ref="S147" si="336">+S146/S138</f>
        <v>0.10138941043935411</v>
      </c>
      <c r="T147" s="157">
        <f t="shared" ref="T147" si="337">+T146/T138</f>
        <v>-1.2307692307692358E-2</v>
      </c>
      <c r="U147" s="157">
        <f t="shared" ref="U147" si="338">+U146/U138</f>
        <v>4.8131662306209336E-3</v>
      </c>
      <c r="V147" s="157">
        <f t="shared" ref="V147" si="339">+V146/V138</f>
        <v>1.4716091768115221E-2</v>
      </c>
      <c r="W147" s="205">
        <f>W146/W138</f>
        <v>2.7915834590037842E-2</v>
      </c>
      <c r="X147" s="157">
        <f t="shared" ref="X147" si="340">+X146/X138</f>
        <v>0.10527895258717548</v>
      </c>
      <c r="Y147" s="157">
        <f t="shared" ref="Y147" si="341">+Y146/Y138</f>
        <v>-1.6910073962607935E-2</v>
      </c>
      <c r="Z147" s="157">
        <f t="shared" ref="Z147" si="342">+Z146/Z138</f>
        <v>8.2109545438574386E-4</v>
      </c>
      <c r="AA147" s="157">
        <f t="shared" ref="AA147" si="343">+AA146/AA138</f>
        <v>1.0593944654118155E-2</v>
      </c>
      <c r="AB147" s="203">
        <f>AB146/AB138</f>
        <v>2.8847537225321893E-2</v>
      </c>
    </row>
    <row r="148" spans="2:28" s="159" customFormat="1" outlineLevel="1" x14ac:dyDescent="0.25">
      <c r="B148" s="163" t="s">
        <v>110</v>
      </c>
      <c r="C148" s="160"/>
      <c r="D148" s="161"/>
      <c r="E148" s="161"/>
      <c r="F148" s="161"/>
      <c r="G148" s="161"/>
      <c r="H148" s="162"/>
      <c r="I148" s="129">
        <f>+I145-I142</f>
        <v>202.39999999999998</v>
      </c>
      <c r="J148" s="129">
        <f t="shared" ref="J148:L148" si="344">+J145-J142</f>
        <v>188.70000000000002</v>
      </c>
      <c r="K148" s="129">
        <f t="shared" si="344"/>
        <v>224.50000000000003</v>
      </c>
      <c r="L148" s="129">
        <f t="shared" si="344"/>
        <v>217.9</v>
      </c>
      <c r="M148" s="164"/>
      <c r="N148" s="129">
        <f t="shared" ref="N148:Q148" si="345">+N145-N142</f>
        <v>228.20000000000002</v>
      </c>
      <c r="O148" s="129">
        <f t="shared" si="345"/>
        <v>253.90000000000003</v>
      </c>
      <c r="P148" s="129">
        <f t="shared" si="345"/>
        <v>224.5</v>
      </c>
      <c r="Q148" s="129">
        <f t="shared" si="345"/>
        <v>248.3</v>
      </c>
      <c r="R148" s="164"/>
      <c r="S148" s="129">
        <f t="shared" ref="S148:V148" si="346">+S145-S142</f>
        <v>231.4</v>
      </c>
      <c r="T148" s="129">
        <f t="shared" si="346"/>
        <v>223.4</v>
      </c>
      <c r="U148" s="129">
        <f t="shared" si="346"/>
        <v>274.83827918768094</v>
      </c>
      <c r="V148" s="129">
        <f t="shared" si="346"/>
        <v>281.40817712460284</v>
      </c>
      <c r="W148" s="132"/>
      <c r="X148" s="129">
        <f t="shared" ref="X148:AA148" si="347">+X145-X142</f>
        <v>255.86484340778375</v>
      </c>
      <c r="Y148" s="129">
        <f t="shared" si="347"/>
        <v>219.27734591395026</v>
      </c>
      <c r="Z148" s="129">
        <f t="shared" si="347"/>
        <v>258.17207284950138</v>
      </c>
      <c r="AA148" s="129">
        <f t="shared" si="347"/>
        <v>253.93746041584612</v>
      </c>
      <c r="AB148" s="162"/>
    </row>
    <row r="149" spans="2:28" s="159" customFormat="1" outlineLevel="1" x14ac:dyDescent="0.25">
      <c r="B149" s="163" t="s">
        <v>111</v>
      </c>
      <c r="C149" s="160"/>
      <c r="D149" s="161"/>
      <c r="E149" s="161"/>
      <c r="F149" s="161"/>
      <c r="G149" s="161"/>
      <c r="H149" s="162"/>
      <c r="I149" s="165">
        <f>+I148/I138</f>
        <v>0.81580008061265608</v>
      </c>
      <c r="J149" s="165">
        <f t="shared" ref="J149" si="348">+J148/J138</f>
        <v>0.86401098901098905</v>
      </c>
      <c r="K149" s="165">
        <f t="shared" ref="K149" si="349">+K148/K138</f>
        <v>0.94685786587937593</v>
      </c>
      <c r="L149" s="165">
        <f t="shared" ref="L149" si="350">+L148/L138</f>
        <v>0.85417483339866718</v>
      </c>
      <c r="M149" s="166"/>
      <c r="N149" s="165">
        <f t="shared" ref="N149" si="351">+N148/N138</f>
        <v>0.8511749347258486</v>
      </c>
      <c r="O149" s="165">
        <f t="shared" ref="O149" si="352">+O148/O138</f>
        <v>1.0115537848605578</v>
      </c>
      <c r="P149" s="165">
        <f t="shared" ref="P149" si="353">+P148/P138</f>
        <v>0.857852502865877</v>
      </c>
      <c r="Q149" s="165">
        <f t="shared" ref="Q149" si="354">+Q148/Q138</f>
        <v>0.92891881780770669</v>
      </c>
      <c r="R149" s="164"/>
      <c r="S149" s="165">
        <f t="shared" ref="S149:T149" si="355">+S148/S138</f>
        <v>0.86894479909876077</v>
      </c>
      <c r="T149" s="165">
        <f t="shared" si="355"/>
        <v>0.98197802197802198</v>
      </c>
      <c r="U149" s="167">
        <v>0.97</v>
      </c>
      <c r="V149" s="167">
        <v>0.96</v>
      </c>
      <c r="W149" s="162"/>
      <c r="X149" s="167">
        <f>+S149</f>
        <v>0.86894479909876077</v>
      </c>
      <c r="Y149" s="167">
        <f>+T149</f>
        <v>0.98197802197802198</v>
      </c>
      <c r="Z149" s="167">
        <f>+U149</f>
        <v>0.97</v>
      </c>
      <c r="AA149" s="167">
        <f>+V149</f>
        <v>0.96</v>
      </c>
      <c r="AB149" s="162"/>
    </row>
    <row r="150" spans="2:28" ht="18" x14ac:dyDescent="0.4">
      <c r="B150" s="247" t="s">
        <v>132</v>
      </c>
      <c r="C150" s="248"/>
      <c r="D150" s="27" t="s">
        <v>44</v>
      </c>
      <c r="E150" s="27" t="s">
        <v>45</v>
      </c>
      <c r="F150" s="27" t="s">
        <v>46</v>
      </c>
      <c r="G150" s="27" t="s">
        <v>47</v>
      </c>
      <c r="H150" s="74" t="s">
        <v>48</v>
      </c>
      <c r="I150" s="27" t="s">
        <v>37</v>
      </c>
      <c r="J150" s="27" t="s">
        <v>38</v>
      </c>
      <c r="K150" s="27" t="s">
        <v>39</v>
      </c>
      <c r="L150" s="27" t="s">
        <v>40</v>
      </c>
      <c r="M150" s="74" t="s">
        <v>41</v>
      </c>
      <c r="N150" s="27" t="s">
        <v>50</v>
      </c>
      <c r="O150" s="27" t="s">
        <v>51</v>
      </c>
      <c r="P150" s="27" t="s">
        <v>52</v>
      </c>
      <c r="Q150" s="27" t="s">
        <v>53</v>
      </c>
      <c r="R150" s="74" t="s">
        <v>54</v>
      </c>
      <c r="S150" s="27" t="s">
        <v>55</v>
      </c>
      <c r="T150" s="27" t="s">
        <v>182</v>
      </c>
      <c r="U150" s="25" t="s">
        <v>62</v>
      </c>
      <c r="V150" s="25" t="s">
        <v>63</v>
      </c>
      <c r="W150" s="76" t="s">
        <v>64</v>
      </c>
      <c r="X150" s="25" t="s">
        <v>65</v>
      </c>
      <c r="Y150" s="25" t="s">
        <v>66</v>
      </c>
      <c r="Z150" s="25" t="s">
        <v>67</v>
      </c>
      <c r="AA150" s="25" t="s">
        <v>68</v>
      </c>
      <c r="AB150" s="76" t="s">
        <v>69</v>
      </c>
    </row>
    <row r="151" spans="2:28" s="21" customFormat="1" outlineLevel="1" x14ac:dyDescent="0.25">
      <c r="B151" s="253" t="s">
        <v>139</v>
      </c>
      <c r="C151" s="254"/>
      <c r="D151" s="36"/>
      <c r="E151" s="36"/>
      <c r="F151" s="36"/>
      <c r="G151" s="36"/>
      <c r="H151" s="113"/>
      <c r="I151" s="105">
        <v>620.9</v>
      </c>
      <c r="J151" s="105">
        <v>518.4</v>
      </c>
      <c r="K151" s="105">
        <v>540.70000000000005</v>
      </c>
      <c r="L151" s="105">
        <v>576.5</v>
      </c>
      <c r="M151" s="50">
        <f>SUM(I151:L151)</f>
        <v>2256.5</v>
      </c>
      <c r="N151" s="105">
        <v>628</v>
      </c>
      <c r="O151" s="105">
        <v>562.6</v>
      </c>
      <c r="P151" s="105">
        <v>567.4</v>
      </c>
      <c r="Q151" s="105">
        <v>539.29999999999995</v>
      </c>
      <c r="R151" s="50">
        <f>SUM(N151:Q151)</f>
        <v>2297.3000000000002</v>
      </c>
      <c r="S151" s="105">
        <v>504.6</v>
      </c>
      <c r="T151" s="105">
        <v>446.6</v>
      </c>
      <c r="U151" s="105">
        <f>+P151*(1+U152)</f>
        <v>508.13091811301416</v>
      </c>
      <c r="V151" s="105">
        <f t="shared" ref="V151" si="356">+Q151*(1+V152)</f>
        <v>512.33499999999992</v>
      </c>
      <c r="W151" s="50">
        <f>SUM(S151:V151)</f>
        <v>1971.665918113014</v>
      </c>
      <c r="X151" s="105">
        <f>+S151*(1+X152)</f>
        <v>529.83000000000004</v>
      </c>
      <c r="Y151" s="105">
        <f>+T151*(1+Y152)</f>
        <v>468.93000000000006</v>
      </c>
      <c r="Z151" s="105">
        <f>+U151*(1+Z152)</f>
        <v>533.53746401866488</v>
      </c>
      <c r="AA151" s="105">
        <f t="shared" ref="AA151" si="357">+V151*(1+AA152)</f>
        <v>537.95174999999995</v>
      </c>
      <c r="AB151" s="50">
        <f>SUM(X151:AA151)</f>
        <v>2070.249214018665</v>
      </c>
    </row>
    <row r="152" spans="2:28" outlineLevel="1" x14ac:dyDescent="0.25">
      <c r="B152" s="144" t="s">
        <v>140</v>
      </c>
      <c r="C152" s="145"/>
      <c r="D152" s="115"/>
      <c r="E152" s="115"/>
      <c r="F152" s="115"/>
      <c r="G152" s="115"/>
      <c r="H152" s="116"/>
      <c r="I152" s="115"/>
      <c r="J152" s="115"/>
      <c r="K152" s="115"/>
      <c r="L152" s="115"/>
      <c r="M152" s="117"/>
      <c r="N152" s="146">
        <f>+N151/I151-1</f>
        <v>1.1435013689805151E-2</v>
      </c>
      <c r="O152" s="146">
        <f t="shared" ref="O152" si="358">+O151/J151-1</f>
        <v>8.5262345679012475E-2</v>
      </c>
      <c r="P152" s="146">
        <f t="shared" ref="P152" si="359">+P151/K151-1</f>
        <v>4.938043277233195E-2</v>
      </c>
      <c r="Q152" s="146">
        <f t="shared" ref="Q152" si="360">+Q151/L151-1</f>
        <v>-6.4527320034692193E-2</v>
      </c>
      <c r="R152" s="117"/>
      <c r="S152" s="146">
        <f>+S151/N151-1</f>
        <v>-0.19649681528662422</v>
      </c>
      <c r="T152" s="146">
        <f>+T151/O151-1</f>
        <v>-0.20618556701030932</v>
      </c>
      <c r="U152" s="147">
        <f>AVERAGE(T152,S152,Q152,P152)</f>
        <v>-0.10445731738982345</v>
      </c>
      <c r="V152" s="147">
        <v>-0.05</v>
      </c>
      <c r="W152" s="117"/>
      <c r="X152" s="147">
        <v>0.05</v>
      </c>
      <c r="Y152" s="147">
        <v>0.05</v>
      </c>
      <c r="Z152" s="147">
        <v>0.05</v>
      </c>
      <c r="AA152" s="147">
        <v>0.05</v>
      </c>
      <c r="AB152" s="117"/>
    </row>
    <row r="153" spans="2:28" outlineLevel="1" x14ac:dyDescent="0.25">
      <c r="B153" s="257" t="s">
        <v>73</v>
      </c>
      <c r="C153" s="258"/>
      <c r="D153" s="29"/>
      <c r="E153" s="29"/>
      <c r="F153" s="29"/>
      <c r="G153" s="29"/>
      <c r="H153" s="44"/>
      <c r="I153" s="103">
        <v>324.8</v>
      </c>
      <c r="J153" s="103">
        <v>286.5</v>
      </c>
      <c r="K153" s="103">
        <v>286</v>
      </c>
      <c r="L153" s="103">
        <v>311.89999999999998</v>
      </c>
      <c r="M153" s="169"/>
      <c r="N153" s="103">
        <v>330.7</v>
      </c>
      <c r="O153" s="103">
        <v>302.8</v>
      </c>
      <c r="P153" s="103">
        <v>304.60000000000002</v>
      </c>
      <c r="Q153" s="103">
        <v>314.3</v>
      </c>
      <c r="R153" s="169"/>
      <c r="S153" s="103">
        <v>348.4</v>
      </c>
      <c r="T153" s="103">
        <v>305.39999999999998</v>
      </c>
      <c r="U153" s="103">
        <f>+(U151*U164)*(T153/T163)</f>
        <v>343.2623389309814</v>
      </c>
      <c r="V153" s="103">
        <f>+(V151*V164)*(U153/U163)</f>
        <v>353.98718838136091</v>
      </c>
      <c r="W153" s="169"/>
      <c r="X153" s="103">
        <f>+(X151*X164)*(V153/V163)</f>
        <v>364.80522580645157</v>
      </c>
      <c r="Y153" s="103">
        <f>+(Y151*Y164)*(X153/X163)</f>
        <v>320.67</v>
      </c>
      <c r="Z153" s="103">
        <f>+(Z151*Z164)*(Y153/Y163)</f>
        <v>360.42545587753051</v>
      </c>
      <c r="AA153" s="103">
        <f>+(AA151*AA164)*(Z153/Z163)</f>
        <v>371.68654780042903</v>
      </c>
      <c r="AB153" s="169"/>
    </row>
    <row r="154" spans="2:28" outlineLevel="1" x14ac:dyDescent="0.25">
      <c r="B154" s="42" t="s">
        <v>74</v>
      </c>
      <c r="C154" s="31"/>
      <c r="D154" s="29"/>
      <c r="E154" s="29"/>
      <c r="F154" s="29"/>
      <c r="G154" s="29"/>
      <c r="H154" s="44"/>
      <c r="I154" s="103">
        <v>0</v>
      </c>
      <c r="J154" s="103">
        <v>0</v>
      </c>
      <c r="K154" s="103">
        <v>0</v>
      </c>
      <c r="L154" s="103">
        <v>0</v>
      </c>
      <c r="M154" s="104"/>
      <c r="N154" s="103">
        <v>0</v>
      </c>
      <c r="O154" s="103">
        <v>0</v>
      </c>
      <c r="P154" s="103">
        <v>0</v>
      </c>
      <c r="Q154" s="103">
        <v>0</v>
      </c>
      <c r="R154" s="104"/>
      <c r="S154" s="103">
        <v>0</v>
      </c>
      <c r="T154" s="103">
        <v>0</v>
      </c>
      <c r="U154" s="103">
        <f>+(U151*U164)*(T154/T163)</f>
        <v>0</v>
      </c>
      <c r="V154" s="103">
        <f>+(V151*V164)*(U154/U163)</f>
        <v>0</v>
      </c>
      <c r="W154" s="104"/>
      <c r="X154" s="103">
        <f>+(X151*X164)*(V154/V163)</f>
        <v>0</v>
      </c>
      <c r="Y154" s="103">
        <f>+(Y151*Y164)*(X154/X163)</f>
        <v>0</v>
      </c>
      <c r="Z154" s="103">
        <f>+(Z151*Z164)*(Y154/Y163)</f>
        <v>0</v>
      </c>
      <c r="AA154" s="103">
        <f>+(AA151*AA164)*(Z154/Z163)</f>
        <v>0</v>
      </c>
      <c r="AB154" s="104"/>
    </row>
    <row r="155" spans="2:28" outlineLevel="1" x14ac:dyDescent="0.25">
      <c r="B155" s="42" t="s">
        <v>75</v>
      </c>
      <c r="C155" s="31"/>
      <c r="D155" s="29"/>
      <c r="E155" s="29"/>
      <c r="F155" s="29"/>
      <c r="G155" s="29"/>
      <c r="H155" s="44"/>
      <c r="I155" s="103">
        <v>69.900000000000006</v>
      </c>
      <c r="J155" s="103">
        <v>61.4</v>
      </c>
      <c r="K155" s="103">
        <v>70.3</v>
      </c>
      <c r="L155" s="103">
        <v>58.9</v>
      </c>
      <c r="M155" s="104"/>
      <c r="N155" s="103">
        <v>62.4</v>
      </c>
      <c r="O155" s="103">
        <v>58.1</v>
      </c>
      <c r="P155" s="103">
        <v>74</v>
      </c>
      <c r="Q155" s="103">
        <v>92</v>
      </c>
      <c r="R155" s="104"/>
      <c r="S155" s="103">
        <v>18.7</v>
      </c>
      <c r="T155" s="103">
        <v>17</v>
      </c>
      <c r="U155" s="103">
        <f>+(U151*U164)*(T155/T163)</f>
        <v>19.10759581475666</v>
      </c>
      <c r="V155" s="103">
        <f>+(V151*V164)*(U155/U163)</f>
        <v>19.704591363729982</v>
      </c>
      <c r="W155" s="104"/>
      <c r="X155" s="103">
        <f>+(X151*X164)*(V155/V163)</f>
        <v>20.306774193548385</v>
      </c>
      <c r="Y155" s="103">
        <f>+(Y151*Y164)*(X155/X163)</f>
        <v>17.850000000000005</v>
      </c>
      <c r="Z155" s="103">
        <f>+(Z151*Z164)*(Y155/Y163)</f>
        <v>20.062975605494501</v>
      </c>
      <c r="AA155" s="103">
        <f>+(AA151*AA164)*(Z155/Z163)</f>
        <v>20.68982093191649</v>
      </c>
      <c r="AB155" s="104"/>
    </row>
    <row r="156" spans="2:28" outlineLevel="1" x14ac:dyDescent="0.25">
      <c r="B156" s="42" t="s">
        <v>76</v>
      </c>
      <c r="C156" s="31"/>
      <c r="D156" s="29"/>
      <c r="E156" s="29"/>
      <c r="F156" s="29"/>
      <c r="G156" s="29"/>
      <c r="H156" s="44"/>
      <c r="I156" s="154">
        <v>0.8</v>
      </c>
      <c r="J156" s="154">
        <v>0.8</v>
      </c>
      <c r="K156" s="154">
        <v>0.7</v>
      </c>
      <c r="L156" s="154">
        <v>0.7</v>
      </c>
      <c r="M156" s="20"/>
      <c r="N156" s="154">
        <v>0.6</v>
      </c>
      <c r="O156" s="154">
        <v>0.3</v>
      </c>
      <c r="P156" s="154">
        <v>0.2</v>
      </c>
      <c r="Q156" s="154">
        <v>0.1</v>
      </c>
      <c r="R156" s="20"/>
      <c r="S156" s="154">
        <v>0</v>
      </c>
      <c r="T156" s="154">
        <v>12.3</v>
      </c>
      <c r="U156" s="235">
        <v>12.721405114560929</v>
      </c>
      <c r="V156" s="235">
        <v>13.211913024045996</v>
      </c>
      <c r="W156" s="20"/>
      <c r="X156" s="235">
        <v>13.529886581462971</v>
      </c>
      <c r="Y156" s="235">
        <v>13.905035970340769</v>
      </c>
      <c r="Z156" s="235">
        <v>13.844029989725593</v>
      </c>
      <c r="AA156" s="235">
        <v>13.865908497763773</v>
      </c>
      <c r="AB156" s="20"/>
    </row>
    <row r="157" spans="2:28" outlineLevel="1" x14ac:dyDescent="0.25">
      <c r="B157" s="42" t="s">
        <v>77</v>
      </c>
      <c r="C157" s="31"/>
      <c r="D157" s="29"/>
      <c r="E157" s="29"/>
      <c r="F157" s="29"/>
      <c r="G157" s="29"/>
      <c r="H157" s="20"/>
      <c r="I157" s="103">
        <v>3.4</v>
      </c>
      <c r="J157" s="103">
        <v>2.2000000000000002</v>
      </c>
      <c r="K157" s="103">
        <v>2.9</v>
      </c>
      <c r="L157" s="103">
        <v>2.9</v>
      </c>
      <c r="M157" s="104"/>
      <c r="N157" s="103">
        <v>3.4</v>
      </c>
      <c r="O157" s="103">
        <v>3.4</v>
      </c>
      <c r="P157" s="103">
        <v>3.7</v>
      </c>
      <c r="Q157" s="103">
        <v>3.3</v>
      </c>
      <c r="R157" s="104"/>
      <c r="S157" s="103">
        <v>3.2</v>
      </c>
      <c r="T157" s="103">
        <v>3.1</v>
      </c>
      <c r="U157" s="103">
        <f>+(U151*U164)*(T157/T163)</f>
        <v>3.4843262956320973</v>
      </c>
      <c r="V157" s="103">
        <f>+(V151*V164)*(U157/U163)</f>
        <v>3.5931901898566441</v>
      </c>
      <c r="W157" s="104"/>
      <c r="X157" s="103">
        <f>+(X151*X164)*(V157/V163)</f>
        <v>3.7030000000000003</v>
      </c>
      <c r="Y157" s="103">
        <f>+(Y151*Y164)*(X157/X163)</f>
        <v>3.2550000000000012</v>
      </c>
      <c r="Z157" s="103">
        <f>+(Z151*Z164)*(Y157/Y163)</f>
        <v>3.6585426104137029</v>
      </c>
      <c r="AA157" s="103">
        <f>+(AA151*AA164)*(Z157/Z163)</f>
        <v>3.7728496993494769</v>
      </c>
      <c r="AB157" s="104"/>
    </row>
    <row r="158" spans="2:28" ht="17.25" outlineLevel="1" x14ac:dyDescent="0.4">
      <c r="B158" s="42" t="s">
        <v>85</v>
      </c>
      <c r="C158" s="31"/>
      <c r="D158" s="29"/>
      <c r="E158" s="29"/>
      <c r="F158" s="29"/>
      <c r="G158" s="29"/>
      <c r="H158" s="20"/>
      <c r="I158" s="155">
        <v>0</v>
      </c>
      <c r="J158" s="155">
        <v>0</v>
      </c>
      <c r="K158" s="155">
        <v>0</v>
      </c>
      <c r="L158" s="155">
        <v>0</v>
      </c>
      <c r="M158" s="170"/>
      <c r="N158" s="155">
        <v>0</v>
      </c>
      <c r="O158" s="155">
        <v>0</v>
      </c>
      <c r="P158" s="155">
        <v>0</v>
      </c>
      <c r="Q158" s="155">
        <v>0</v>
      </c>
      <c r="R158" s="170"/>
      <c r="S158" s="155">
        <v>0</v>
      </c>
      <c r="T158" s="155">
        <v>0</v>
      </c>
      <c r="U158" s="155">
        <f>+(U151*U164)*(T158/T163)</f>
        <v>0</v>
      </c>
      <c r="V158" s="155">
        <f>+(V151*V164)*(U158/U163)</f>
        <v>0</v>
      </c>
      <c r="W158" s="170"/>
      <c r="X158" s="155">
        <f>+(X151*X164)*(V158/V163)</f>
        <v>0</v>
      </c>
      <c r="Y158" s="155">
        <f>+(Y151*Y164)*(X158/X163)</f>
        <v>0</v>
      </c>
      <c r="Z158" s="155">
        <f>+(Z151*Z164)*(Y158/Y163)</f>
        <v>0</v>
      </c>
      <c r="AA158" s="155">
        <f>+(AA151*AA164)*(Z158/Z163)</f>
        <v>0</v>
      </c>
      <c r="AB158" s="170"/>
    </row>
    <row r="159" spans="2:28" outlineLevel="1" x14ac:dyDescent="0.25">
      <c r="B159" s="101" t="s">
        <v>133</v>
      </c>
      <c r="C159" s="34"/>
      <c r="D159" s="29"/>
      <c r="E159" s="29"/>
      <c r="F159" s="29"/>
      <c r="G159" s="29"/>
      <c r="H159" s="22"/>
      <c r="I159" s="105">
        <f t="shared" ref="I159" si="361">SUM(I153:I158)</f>
        <v>398.90000000000003</v>
      </c>
      <c r="J159" s="105">
        <f t="shared" ref="J159" si="362">SUM(J153:J158)</f>
        <v>350.9</v>
      </c>
      <c r="K159" s="105">
        <f t="shared" ref="K159" si="363">SUM(K153:K158)</f>
        <v>359.9</v>
      </c>
      <c r="L159" s="105">
        <f t="shared" ref="L159" si="364">SUM(L153:L158)</f>
        <v>374.39999999999992</v>
      </c>
      <c r="M159" s="20"/>
      <c r="N159" s="105">
        <f>SUM(N153:N158)</f>
        <v>397.09999999999997</v>
      </c>
      <c r="O159" s="105">
        <f t="shared" ref="O159" si="365">SUM(O153:O158)</f>
        <v>364.6</v>
      </c>
      <c r="P159" s="105">
        <f t="shared" ref="P159" si="366">SUM(P153:P158)</f>
        <v>382.5</v>
      </c>
      <c r="Q159" s="105">
        <f t="shared" ref="Q159" si="367">SUM(Q153:Q158)</f>
        <v>409.70000000000005</v>
      </c>
      <c r="R159" s="20"/>
      <c r="S159" s="105">
        <f>SUM(S153:S158)</f>
        <v>370.29999999999995</v>
      </c>
      <c r="T159" s="105">
        <f t="shared" ref="T159:V159" si="368">SUM(T153:T158)</f>
        <v>337.8</v>
      </c>
      <c r="U159" s="105">
        <f t="shared" si="368"/>
        <v>378.57566615593112</v>
      </c>
      <c r="V159" s="105">
        <f t="shared" si="368"/>
        <v>390.49688295899358</v>
      </c>
      <c r="W159" s="20"/>
      <c r="X159" s="105">
        <f t="shared" ref="X159" si="369">SUM(X153:X158)</f>
        <v>402.3448865814629</v>
      </c>
      <c r="Y159" s="105">
        <f t="shared" ref="Y159" si="370">SUM(Y153:Y158)</f>
        <v>355.68003597034078</v>
      </c>
      <c r="Z159" s="105">
        <f t="shared" ref="Z159:AA159" si="371">SUM(Z153:Z158)</f>
        <v>397.99100408316428</v>
      </c>
      <c r="AA159" s="105">
        <f t="shared" si="371"/>
        <v>410.01512692945875</v>
      </c>
      <c r="AB159" s="20"/>
    </row>
    <row r="160" spans="2:28" ht="17.25" outlineLevel="1" x14ac:dyDescent="0.4">
      <c r="B160" s="102" t="s">
        <v>78</v>
      </c>
      <c r="C160" s="92"/>
      <c r="D160" s="29"/>
      <c r="E160" s="29"/>
      <c r="F160" s="29"/>
      <c r="G160" s="29"/>
      <c r="H160" s="22"/>
      <c r="I160" s="107">
        <v>41.9</v>
      </c>
      <c r="J160" s="107">
        <v>40</v>
      </c>
      <c r="K160" s="107">
        <v>49.2</v>
      </c>
      <c r="L160" s="107">
        <v>63.3</v>
      </c>
      <c r="M160" s="93"/>
      <c r="N160" s="107">
        <v>38.700000000000003</v>
      </c>
      <c r="O160" s="107">
        <v>36</v>
      </c>
      <c r="P160" s="107">
        <v>47.9</v>
      </c>
      <c r="Q160" s="107">
        <v>61.2</v>
      </c>
      <c r="R160" s="93"/>
      <c r="S160" s="107">
        <v>41.4</v>
      </c>
      <c r="T160" s="214">
        <v>40.200000000000003</v>
      </c>
      <c r="U160" s="111">
        <f>AVERAGE(T160,S160,Q160,P160)</f>
        <v>47.675000000000004</v>
      </c>
      <c r="V160" s="111">
        <f>AVERAGE(U160,T160,S160,Q160)</f>
        <v>47.618750000000006</v>
      </c>
      <c r="W160" s="93"/>
      <c r="X160" s="111">
        <f>AVERAGE(V160,U160,T160,S160)</f>
        <v>44.22343750000001</v>
      </c>
      <c r="Y160" s="111">
        <f>AVERAGE(X160,V160,U160,T160)</f>
        <v>44.929296875000006</v>
      </c>
      <c r="Z160" s="111">
        <f>AVERAGE(Y160,X160,V160,U160)</f>
        <v>46.11162109375001</v>
      </c>
      <c r="AA160" s="111">
        <f>AVERAGE(Z160,Y160,X160,V160)</f>
        <v>45.720776367187511</v>
      </c>
      <c r="AB160" s="93"/>
    </row>
    <row r="161" spans="2:28" outlineLevel="1" x14ac:dyDescent="0.25">
      <c r="B161" s="101" t="s">
        <v>134</v>
      </c>
      <c r="C161" s="92"/>
      <c r="D161" s="29"/>
      <c r="E161" s="29"/>
      <c r="F161" s="29"/>
      <c r="G161" s="29"/>
      <c r="H161" s="22"/>
      <c r="I161" s="156">
        <f t="shared" ref="I161:Q161" si="372">I151-I159+I160</f>
        <v>263.89999999999992</v>
      </c>
      <c r="J161" s="156">
        <f t="shared" si="372"/>
        <v>207.5</v>
      </c>
      <c r="K161" s="156">
        <f t="shared" si="372"/>
        <v>230.00000000000006</v>
      </c>
      <c r="L161" s="156">
        <f t="shared" si="372"/>
        <v>265.40000000000009</v>
      </c>
      <c r="M161" s="50">
        <f>SUM(I161:L161)</f>
        <v>966.80000000000007</v>
      </c>
      <c r="N161" s="156">
        <f t="shared" si="372"/>
        <v>269.60000000000002</v>
      </c>
      <c r="O161" s="156">
        <f t="shared" si="372"/>
        <v>234</v>
      </c>
      <c r="P161" s="156">
        <f t="shared" si="372"/>
        <v>232.79999999999998</v>
      </c>
      <c r="Q161" s="156">
        <f t="shared" si="372"/>
        <v>190.7999999999999</v>
      </c>
      <c r="R161" s="50">
        <f>SUM(N161:Q161)</f>
        <v>927.19999999999982</v>
      </c>
      <c r="S161" s="156">
        <f>S151-S159+S160</f>
        <v>175.70000000000007</v>
      </c>
      <c r="T161" s="156">
        <f>T151-T159+T160</f>
        <v>149</v>
      </c>
      <c r="U161" s="156">
        <f>U151-U159+U160</f>
        <v>177.23025195708306</v>
      </c>
      <c r="V161" s="156">
        <f>V151-V159+V160</f>
        <v>169.45686704100635</v>
      </c>
      <c r="W161" s="50">
        <f>SUM(S161:V161)</f>
        <v>671.38711899808948</v>
      </c>
      <c r="X161" s="156">
        <f t="shared" ref="X161:AA161" si="373">X151-X159+X160</f>
        <v>171.70855091853716</v>
      </c>
      <c r="Y161" s="156">
        <f t="shared" si="373"/>
        <v>158.17926090465929</v>
      </c>
      <c r="Z161" s="156">
        <f t="shared" si="373"/>
        <v>181.65808102925061</v>
      </c>
      <c r="AA161" s="156">
        <f t="shared" si="373"/>
        <v>173.65739943772871</v>
      </c>
      <c r="AB161" s="50">
        <f>SUM(X161:AA161)</f>
        <v>685.2032922901758</v>
      </c>
    </row>
    <row r="162" spans="2:28" outlineLevel="1" x14ac:dyDescent="0.25">
      <c r="B162" s="101" t="s">
        <v>135</v>
      </c>
      <c r="C162" s="92"/>
      <c r="D162" s="29"/>
      <c r="E162" s="29"/>
      <c r="F162" s="29"/>
      <c r="G162" s="29"/>
      <c r="H162" s="20"/>
      <c r="I162" s="157">
        <f t="shared" ref="I162:Q162" si="374">+I161/I151</f>
        <v>0.42502818489289729</v>
      </c>
      <c r="J162" s="157">
        <f t="shared" si="374"/>
        <v>0.40027006172839508</v>
      </c>
      <c r="K162" s="157">
        <f t="shared" si="374"/>
        <v>0.42537451451821717</v>
      </c>
      <c r="L162" s="157">
        <f t="shared" si="374"/>
        <v>0.46036426712922823</v>
      </c>
      <c r="M162" s="71">
        <f>M161/M151</f>
        <v>0.42845114114779531</v>
      </c>
      <c r="N162" s="157">
        <f t="shared" si="374"/>
        <v>0.42929936305732486</v>
      </c>
      <c r="O162" s="157">
        <f t="shared" si="374"/>
        <v>0.41592605758976181</v>
      </c>
      <c r="P162" s="157">
        <f t="shared" si="374"/>
        <v>0.41029256256609092</v>
      </c>
      <c r="Q162" s="157">
        <f t="shared" si="374"/>
        <v>0.35379195253105861</v>
      </c>
      <c r="R162" s="71">
        <f>R161/R151</f>
        <v>0.40360423105384569</v>
      </c>
      <c r="S162" s="157">
        <f>+S161/S151</f>
        <v>0.34819659135949282</v>
      </c>
      <c r="T162" s="157">
        <f>+T161/T151</f>
        <v>0.33363188535602328</v>
      </c>
      <c r="U162" s="157">
        <f>+U161/U151</f>
        <v>0.34878856145034853</v>
      </c>
      <c r="V162" s="157">
        <f>+V161/V151</f>
        <v>0.33075403210986243</v>
      </c>
      <c r="W162" s="206">
        <f>W161/W151</f>
        <v>0.3405176875201259</v>
      </c>
      <c r="X162" s="157">
        <f t="shared" ref="X162:AA162" si="375">+X161/X151</f>
        <v>0.32408234890160453</v>
      </c>
      <c r="Y162" s="157">
        <f t="shared" si="375"/>
        <v>0.33731955921919959</v>
      </c>
      <c r="Z162" s="157">
        <f t="shared" si="375"/>
        <v>0.34047858544174436</v>
      </c>
      <c r="AA162" s="157">
        <f t="shared" si="375"/>
        <v>0.32281222142641741</v>
      </c>
      <c r="AB162" s="71">
        <f>AB161/AB151</f>
        <v>0.33097623592866543</v>
      </c>
    </row>
    <row r="163" spans="2:28" s="159" customFormat="1" outlineLevel="1" x14ac:dyDescent="0.25">
      <c r="B163" s="163" t="s">
        <v>110</v>
      </c>
      <c r="C163" s="160"/>
      <c r="D163" s="161"/>
      <c r="E163" s="161"/>
      <c r="F163" s="161"/>
      <c r="G163" s="161"/>
      <c r="H163" s="162"/>
      <c r="I163" s="129">
        <f>+I159-I156</f>
        <v>398.1</v>
      </c>
      <c r="J163" s="129">
        <f t="shared" ref="J163:L163" si="376">+J159-J156</f>
        <v>350.09999999999997</v>
      </c>
      <c r="K163" s="129">
        <f t="shared" si="376"/>
        <v>359.2</v>
      </c>
      <c r="L163" s="129">
        <f t="shared" si="376"/>
        <v>373.69999999999993</v>
      </c>
      <c r="M163" s="164"/>
      <c r="N163" s="129">
        <f t="shared" ref="N163:Q163" si="377">+N159-N156</f>
        <v>396.49999999999994</v>
      </c>
      <c r="O163" s="129">
        <f t="shared" si="377"/>
        <v>364.3</v>
      </c>
      <c r="P163" s="129">
        <f t="shared" si="377"/>
        <v>382.3</v>
      </c>
      <c r="Q163" s="129">
        <f t="shared" si="377"/>
        <v>409.6</v>
      </c>
      <c r="R163" s="164"/>
      <c r="S163" s="129">
        <f t="shared" ref="S163" si="378">+S159-S156</f>
        <v>370.29999999999995</v>
      </c>
      <c r="T163" s="129">
        <f>+T159-T156</f>
        <v>325.5</v>
      </c>
      <c r="U163" s="129">
        <f>+U159-U156</f>
        <v>365.85426104137019</v>
      </c>
      <c r="V163" s="129">
        <f>+V159-V156</f>
        <v>377.28496993494758</v>
      </c>
      <c r="W163" s="132"/>
      <c r="X163" s="129">
        <f t="shared" ref="X163:AA163" si="379">+X159-X156</f>
        <v>388.81499999999994</v>
      </c>
      <c r="Y163" s="129">
        <f t="shared" si="379"/>
        <v>341.77500000000003</v>
      </c>
      <c r="Z163" s="129">
        <f t="shared" si="379"/>
        <v>384.1469740934387</v>
      </c>
      <c r="AA163" s="129">
        <f t="shared" si="379"/>
        <v>396.14921843169498</v>
      </c>
      <c r="AB163" s="162"/>
    </row>
    <row r="164" spans="2:28" s="159" customFormat="1" outlineLevel="1" x14ac:dyDescent="0.25">
      <c r="B164" s="163" t="s">
        <v>111</v>
      </c>
      <c r="C164" s="160"/>
      <c r="D164" s="161"/>
      <c r="E164" s="161"/>
      <c r="F164" s="161"/>
      <c r="G164" s="161"/>
      <c r="H164" s="162"/>
      <c r="I164" s="165">
        <f t="shared" ref="I164:Q164" si="380">+I163/I151</f>
        <v>0.64116604928329846</v>
      </c>
      <c r="J164" s="165">
        <f t="shared" si="380"/>
        <v>0.67534722222222221</v>
      </c>
      <c r="K164" s="165">
        <f t="shared" si="380"/>
        <v>0.66432402441279814</v>
      </c>
      <c r="L164" s="165">
        <f t="shared" si="380"/>
        <v>0.64822202948829133</v>
      </c>
      <c r="M164" s="166"/>
      <c r="N164" s="165">
        <f t="shared" si="380"/>
        <v>0.63136942675159224</v>
      </c>
      <c r="O164" s="165">
        <f t="shared" si="380"/>
        <v>0.64752932811944541</v>
      </c>
      <c r="P164" s="165">
        <f t="shared" si="380"/>
        <v>0.67377511455763139</v>
      </c>
      <c r="Q164" s="165">
        <f t="shared" si="380"/>
        <v>0.75950305952160213</v>
      </c>
      <c r="R164" s="166"/>
      <c r="S164" s="165">
        <f>+S163/S151</f>
        <v>0.73384859294490679</v>
      </c>
      <c r="T164" s="165">
        <f>+T163/T151</f>
        <v>0.7288401253918495</v>
      </c>
      <c r="U164" s="167">
        <v>0.72</v>
      </c>
      <c r="V164" s="167">
        <v>0.73640288080054583</v>
      </c>
      <c r="W164" s="162"/>
      <c r="X164" s="167">
        <f>+S164</f>
        <v>0.73384859294490679</v>
      </c>
      <c r="Y164" s="167">
        <f>+T164</f>
        <v>0.7288401253918495</v>
      </c>
      <c r="Z164" s="167">
        <f>+U164</f>
        <v>0.72</v>
      </c>
      <c r="AA164" s="167">
        <f>+V164</f>
        <v>0.73640288080054583</v>
      </c>
      <c r="AB164" s="162"/>
    </row>
    <row r="165" spans="2:28" ht="18" x14ac:dyDescent="0.4">
      <c r="B165" s="247" t="s">
        <v>136</v>
      </c>
      <c r="C165" s="248"/>
      <c r="D165" s="27" t="s">
        <v>44</v>
      </c>
      <c r="E165" s="27" t="s">
        <v>45</v>
      </c>
      <c r="F165" s="27" t="s">
        <v>46</v>
      </c>
      <c r="G165" s="27" t="s">
        <v>47</v>
      </c>
      <c r="H165" s="74" t="s">
        <v>48</v>
      </c>
      <c r="I165" s="27" t="s">
        <v>37</v>
      </c>
      <c r="J165" s="27" t="s">
        <v>38</v>
      </c>
      <c r="K165" s="27" t="s">
        <v>39</v>
      </c>
      <c r="L165" s="27" t="s">
        <v>40</v>
      </c>
      <c r="M165" s="74" t="s">
        <v>41</v>
      </c>
      <c r="N165" s="27" t="s">
        <v>50</v>
      </c>
      <c r="O165" s="27" t="s">
        <v>51</v>
      </c>
      <c r="P165" s="27" t="s">
        <v>52</v>
      </c>
      <c r="Q165" s="27" t="s">
        <v>53</v>
      </c>
      <c r="R165" s="74" t="s">
        <v>54</v>
      </c>
      <c r="S165" s="27" t="s">
        <v>55</v>
      </c>
      <c r="T165" s="27" t="s">
        <v>182</v>
      </c>
      <c r="U165" s="25" t="s">
        <v>62</v>
      </c>
      <c r="V165" s="25" t="s">
        <v>63</v>
      </c>
      <c r="W165" s="76" t="s">
        <v>64</v>
      </c>
      <c r="X165" s="25" t="s">
        <v>65</v>
      </c>
      <c r="Y165" s="25" t="s">
        <v>66</v>
      </c>
      <c r="Z165" s="25" t="s">
        <v>67</v>
      </c>
      <c r="AA165" s="25" t="s">
        <v>68</v>
      </c>
      <c r="AB165" s="76" t="s">
        <v>69</v>
      </c>
    </row>
    <row r="166" spans="2:28" s="21" customFormat="1" outlineLevel="1" x14ac:dyDescent="0.25">
      <c r="B166" s="249" t="s">
        <v>143</v>
      </c>
      <c r="C166" s="250"/>
      <c r="D166" s="105"/>
      <c r="E166" s="105"/>
      <c r="F166" s="105"/>
      <c r="G166" s="105"/>
      <c r="H166" s="122"/>
      <c r="I166" s="105">
        <v>70.900000000000006</v>
      </c>
      <c r="J166" s="105">
        <v>45.2</v>
      </c>
      <c r="K166" s="105">
        <v>39.6</v>
      </c>
      <c r="L166" s="105">
        <v>41.5</v>
      </c>
      <c r="M166" s="123"/>
      <c r="N166" s="103">
        <v>60.7</v>
      </c>
      <c r="O166" s="103">
        <v>25.9</v>
      </c>
      <c r="P166" s="103">
        <v>12.5</v>
      </c>
      <c r="Q166" s="103">
        <v>13.6</v>
      </c>
      <c r="R166" s="24"/>
      <c r="S166" s="103">
        <v>16.8</v>
      </c>
      <c r="T166" s="103">
        <v>21</v>
      </c>
      <c r="U166" s="103">
        <f>+P166*(1+U167)</f>
        <v>13.750000000000002</v>
      </c>
      <c r="V166" s="103">
        <f t="shared" ref="V166" si="381">+Q166*(1+V167)</f>
        <v>14.96</v>
      </c>
      <c r="W166" s="20"/>
      <c r="X166" s="103">
        <f>+S166*(1+X167)</f>
        <v>16.968</v>
      </c>
      <c r="Y166" s="103">
        <f>+T166*(1+Y167)</f>
        <v>21.21</v>
      </c>
      <c r="Z166" s="103">
        <f>+U166*(1+Z167)</f>
        <v>13.887500000000001</v>
      </c>
      <c r="AA166" s="103">
        <f t="shared" ref="AA166" si="382">+V166*(1+AA167)</f>
        <v>15.1096</v>
      </c>
      <c r="AB166" s="20"/>
    </row>
    <row r="167" spans="2:28" s="21" customFormat="1" outlineLevel="1" x14ac:dyDescent="0.25">
      <c r="B167" s="42" t="s">
        <v>142</v>
      </c>
      <c r="C167" s="64"/>
      <c r="D167" s="105"/>
      <c r="E167" s="105"/>
      <c r="F167" s="105"/>
      <c r="G167" s="105"/>
      <c r="H167" s="122"/>
      <c r="I167" s="105"/>
      <c r="J167" s="105"/>
      <c r="K167" s="105"/>
      <c r="L167" s="105"/>
      <c r="M167" s="123"/>
      <c r="N167" s="171">
        <f>+N166/I166-1</f>
        <v>-0.14386459802538787</v>
      </c>
      <c r="O167" s="49">
        <f t="shared" ref="O167" si="383">+O166/J166-1</f>
        <v>-0.42699115044247793</v>
      </c>
      <c r="P167" s="49">
        <f t="shared" ref="P167" si="384">+P166/K166-1</f>
        <v>-0.68434343434343436</v>
      </c>
      <c r="Q167" s="49">
        <f t="shared" ref="Q167" si="385">+Q166/L166-1</f>
        <v>-0.67228915662650601</v>
      </c>
      <c r="R167" s="20"/>
      <c r="S167" s="49">
        <f>+S166/N166-1</f>
        <v>-0.7232289950576607</v>
      </c>
      <c r="T167" s="49">
        <f>+T166/O166-1</f>
        <v>-0.18918918918918914</v>
      </c>
      <c r="U167" s="53">
        <v>0.1</v>
      </c>
      <c r="V167" s="53">
        <v>0.1</v>
      </c>
      <c r="W167" s="20"/>
      <c r="X167" s="53">
        <v>0.01</v>
      </c>
      <c r="Y167" s="53">
        <v>0.01</v>
      </c>
      <c r="Z167" s="53">
        <v>0.01</v>
      </c>
      <c r="AA167" s="53">
        <v>0.01</v>
      </c>
      <c r="AB167" s="20"/>
    </row>
    <row r="168" spans="2:28" s="21" customFormat="1" outlineLevel="1" x14ac:dyDescent="0.25">
      <c r="B168" s="249" t="s">
        <v>144</v>
      </c>
      <c r="C168" s="250"/>
      <c r="D168" s="105"/>
      <c r="E168" s="105"/>
      <c r="F168" s="105"/>
      <c r="G168" s="105"/>
      <c r="H168" s="122"/>
      <c r="I168" s="105">
        <v>0.9</v>
      </c>
      <c r="J168" s="105">
        <v>0.7</v>
      </c>
      <c r="K168" s="105">
        <v>0.6</v>
      </c>
      <c r="L168" s="105">
        <v>0.5</v>
      </c>
      <c r="M168" s="123"/>
      <c r="N168" s="172">
        <v>1.1000000000000001</v>
      </c>
      <c r="O168" s="103">
        <v>0</v>
      </c>
      <c r="P168" s="103">
        <v>0</v>
      </c>
      <c r="Q168" s="103">
        <v>0</v>
      </c>
      <c r="R168" s="24"/>
      <c r="S168" s="103">
        <v>0</v>
      </c>
      <c r="T168" s="103">
        <v>0</v>
      </c>
      <c r="U168" s="103">
        <f>+P168*(1+U169)</f>
        <v>0</v>
      </c>
      <c r="V168" s="103">
        <f t="shared" ref="V168" si="386">+Q168*(1+V169)</f>
        <v>0</v>
      </c>
      <c r="W168" s="20"/>
      <c r="X168" s="103">
        <f>+S168*(1+X169)</f>
        <v>0</v>
      </c>
      <c r="Y168" s="103">
        <f>+T168*(1+Y169)</f>
        <v>0</v>
      </c>
      <c r="Z168" s="103">
        <f>+U168*(1+Z169)</f>
        <v>0</v>
      </c>
      <c r="AA168" s="103">
        <f t="shared" ref="AA168" si="387">+V168*(1+AA169)</f>
        <v>0</v>
      </c>
      <c r="AB168" s="20"/>
    </row>
    <row r="169" spans="2:28" s="21" customFormat="1" outlineLevel="1" x14ac:dyDescent="0.25">
      <c r="B169" s="42" t="s">
        <v>141</v>
      </c>
      <c r="C169" s="64"/>
      <c r="D169" s="105"/>
      <c r="E169" s="105"/>
      <c r="F169" s="105"/>
      <c r="G169" s="105"/>
      <c r="H169" s="122"/>
      <c r="I169" s="105"/>
      <c r="J169" s="105"/>
      <c r="K169" s="105"/>
      <c r="L169" s="105"/>
      <c r="M169" s="123"/>
      <c r="N169" s="171">
        <f>+N168/I168-1</f>
        <v>0.22222222222222232</v>
      </c>
      <c r="O169" s="49">
        <f t="shared" ref="O169" si="388">+O168/J168-1</f>
        <v>-1</v>
      </c>
      <c r="P169" s="49">
        <f t="shared" ref="P169" si="389">+P168/K168-1</f>
        <v>-1</v>
      </c>
      <c r="Q169" s="49">
        <f t="shared" ref="Q169" si="390">+Q168/L168-1</f>
        <v>-1</v>
      </c>
      <c r="R169" s="20"/>
      <c r="S169" s="49">
        <f>+S168/N168-1</f>
        <v>-1</v>
      </c>
      <c r="T169" s="226"/>
      <c r="U169" s="124">
        <f>AVERAGE(T169,S169,Q169,P169)</f>
        <v>-1</v>
      </c>
      <c r="V169" s="124">
        <f>AVERAGE(U169,T169,S169,Q169)</f>
        <v>-1</v>
      </c>
      <c r="W169" s="121"/>
      <c r="X169" s="124">
        <f>AVERAGE(V169,U169,T169,S169)</f>
        <v>-1</v>
      </c>
      <c r="Y169" s="124">
        <f>AVERAGE(X169,V169,U169,T169)</f>
        <v>-1</v>
      </c>
      <c r="Z169" s="124">
        <f>AVERAGE(Y169,X169,V169,U169)</f>
        <v>-1</v>
      </c>
      <c r="AA169" s="124">
        <f>AVERAGE(Z169,Y169,X169,V169)</f>
        <v>-1</v>
      </c>
      <c r="AB169" s="121"/>
    </row>
    <row r="170" spans="2:28" s="21" customFormat="1" outlineLevel="1" x14ac:dyDescent="0.25">
      <c r="B170" s="249" t="s">
        <v>145</v>
      </c>
      <c r="C170" s="250"/>
      <c r="D170" s="36"/>
      <c r="E170" s="36"/>
      <c r="F170" s="36"/>
      <c r="G170" s="36"/>
      <c r="H170" s="113"/>
      <c r="I170" s="105">
        <v>37.5</v>
      </c>
      <c r="J170" s="105">
        <v>29.4</v>
      </c>
      <c r="K170" s="105">
        <v>21.1</v>
      </c>
      <c r="L170" s="105">
        <v>23.5</v>
      </c>
      <c r="M170" s="123"/>
      <c r="N170" s="103">
        <v>14.5</v>
      </c>
      <c r="O170" s="103">
        <v>9.6</v>
      </c>
      <c r="P170" s="103">
        <v>15.7</v>
      </c>
      <c r="Q170" s="103">
        <v>14.6</v>
      </c>
      <c r="R170" s="24"/>
      <c r="S170" s="103">
        <v>11.7</v>
      </c>
      <c r="T170" s="103">
        <v>15.8</v>
      </c>
      <c r="U170" s="103">
        <f>+P170*(1+U171)</f>
        <v>14.985973067480199</v>
      </c>
      <c r="V170" s="103">
        <f t="shared" ref="V170" si="391">+Q170*(1+V171)</f>
        <v>14.704123762972614</v>
      </c>
      <c r="W170" s="20"/>
      <c r="X170" s="103">
        <f>+S170*(1+X171)</f>
        <v>12.912068014534103</v>
      </c>
      <c r="Y170" s="103">
        <f>+T170*(1+Y171)</f>
        <v>18.608770867445941</v>
      </c>
      <c r="Z170" s="103">
        <f>+U170*(1+Z171)</f>
        <v>15.896439143723764</v>
      </c>
      <c r="AA170" s="103">
        <f t="shared" ref="AA170" si="392">+V170*(1+AA171)</f>
        <v>15.987985587187927</v>
      </c>
      <c r="AB170" s="20"/>
    </row>
    <row r="171" spans="2:28" outlineLevel="1" x14ac:dyDescent="0.25">
      <c r="B171" s="144" t="s">
        <v>102</v>
      </c>
      <c r="C171" s="145"/>
      <c r="D171" s="115"/>
      <c r="E171" s="115"/>
      <c r="F171" s="115"/>
      <c r="G171" s="115"/>
      <c r="H171" s="116"/>
      <c r="I171" s="115"/>
      <c r="J171" s="115"/>
      <c r="K171" s="115"/>
      <c r="L171" s="115"/>
      <c r="M171" s="117"/>
      <c r="N171" s="146">
        <f>+N170/I170-1</f>
        <v>-0.61333333333333329</v>
      </c>
      <c r="O171" s="146">
        <f t="shared" ref="O171" si="393">+O170/J170-1</f>
        <v>-0.67346938775510201</v>
      </c>
      <c r="P171" s="146">
        <f t="shared" ref="P171" si="394">+P170/K170-1</f>
        <v>-0.25592417061611383</v>
      </c>
      <c r="Q171" s="146">
        <f t="shared" ref="Q171" si="395">+Q170/L170-1</f>
        <v>-0.37872340425531914</v>
      </c>
      <c r="R171" s="117"/>
      <c r="S171" s="146">
        <f>+S170/N170-1</f>
        <v>-0.19310344827586212</v>
      </c>
      <c r="T171" s="146">
        <f>+T170/O170-1</f>
        <v>0.64583333333333348</v>
      </c>
      <c r="U171" s="124">
        <f>AVERAGE(T171,S171,Q171,P171)</f>
        <v>-4.5479422453490403E-2</v>
      </c>
      <c r="V171" s="124">
        <f>AVERAGE(U171,T171,S171,Q171)</f>
        <v>7.13176458716544E-3</v>
      </c>
      <c r="W171" s="121"/>
      <c r="X171" s="124">
        <f>AVERAGE(V171,U171,T171,S171)</f>
        <v>0.10359555679778659</v>
      </c>
      <c r="Y171" s="124">
        <f>AVERAGE(X171,V171,U171,T171)</f>
        <v>0.17777030806619878</v>
      </c>
      <c r="Z171" s="124">
        <f>AVERAGE(Y171,X171,V171,U171)</f>
        <v>6.0754551749415117E-2</v>
      </c>
      <c r="AA171" s="124">
        <f>AVERAGE(Z171,Y171,X171,V171)</f>
        <v>8.7313045300141473E-2</v>
      </c>
      <c r="AB171" s="121"/>
    </row>
    <row r="172" spans="2:28" outlineLevel="1" x14ac:dyDescent="0.25">
      <c r="B172" s="257" t="s">
        <v>73</v>
      </c>
      <c r="C172" s="258"/>
      <c r="D172" s="29"/>
      <c r="E172" s="29"/>
      <c r="F172" s="29"/>
      <c r="G172" s="29"/>
      <c r="H172" s="44"/>
      <c r="I172" s="103">
        <v>67.099999999999994</v>
      </c>
      <c r="J172" s="103">
        <v>54.2</v>
      </c>
      <c r="K172" s="103">
        <v>45.3</v>
      </c>
      <c r="L172" s="103">
        <v>58.6</v>
      </c>
      <c r="M172" s="24"/>
      <c r="N172" s="103">
        <v>57.4</v>
      </c>
      <c r="O172" s="103">
        <v>34.299999999999997</v>
      </c>
      <c r="P172" s="103">
        <v>35.4</v>
      </c>
      <c r="Q172" s="103">
        <v>36.200000000000003</v>
      </c>
      <c r="R172" s="24"/>
      <c r="S172" s="103">
        <v>35.9</v>
      </c>
      <c r="T172" s="103">
        <v>41.7</v>
      </c>
      <c r="U172" s="103">
        <f>AVERAGE(T172,S172,Q172,P172)</f>
        <v>37.299999999999997</v>
      </c>
      <c r="V172" s="103">
        <f>AVERAGE(U172,T172,S172,Q172)</f>
        <v>37.775000000000006</v>
      </c>
      <c r="W172" s="169"/>
      <c r="X172" s="103">
        <f>AVERAGE(V172,U172,T172,S172)</f>
        <v>38.168750000000003</v>
      </c>
      <c r="Y172" s="103">
        <f>AVERAGE(X172,V172,U172,T172)</f>
        <v>38.735937500000006</v>
      </c>
      <c r="Z172" s="103">
        <f>AVERAGE(Y172,X172,V172,U172)</f>
        <v>37.994921875000003</v>
      </c>
      <c r="AA172" s="103">
        <f>AVERAGE(Z172,Y172,X172,V172)</f>
        <v>38.168652343750004</v>
      </c>
      <c r="AB172" s="20"/>
    </row>
    <row r="173" spans="2:28" outlineLevel="1" x14ac:dyDescent="0.25">
      <c r="B173" s="42" t="s">
        <v>74</v>
      </c>
      <c r="C173" s="31"/>
      <c r="D173" s="29"/>
      <c r="E173" s="29"/>
      <c r="F173" s="29"/>
      <c r="G173" s="29"/>
      <c r="H173" s="44"/>
      <c r="I173" s="103">
        <v>30.7</v>
      </c>
      <c r="J173" s="103">
        <v>34.5</v>
      </c>
      <c r="K173" s="103">
        <v>24.2</v>
      </c>
      <c r="L173" s="103">
        <v>24.1</v>
      </c>
      <c r="M173" s="24"/>
      <c r="N173" s="103">
        <v>30.3</v>
      </c>
      <c r="O173" s="103">
        <v>13.6</v>
      </c>
      <c r="P173" s="103">
        <v>9.1999999999999993</v>
      </c>
      <c r="Q173" s="103">
        <v>17.5</v>
      </c>
      <c r="R173" s="24"/>
      <c r="S173" s="103">
        <v>18.8</v>
      </c>
      <c r="T173" s="103">
        <v>21.6</v>
      </c>
      <c r="U173" s="103">
        <f t="shared" ref="U173:U174" si="396">AVERAGE(T173,S173,Q173,P173)</f>
        <v>16.775000000000002</v>
      </c>
      <c r="V173" s="103">
        <f t="shared" ref="V173:V177" si="397">AVERAGE(U173,T173,S173,Q173)</f>
        <v>18.668749999999999</v>
      </c>
      <c r="W173" s="104"/>
      <c r="X173" s="103">
        <f t="shared" ref="X173:X177" si="398">AVERAGE(V173,U173,T173,S173)</f>
        <v>18.9609375</v>
      </c>
      <c r="Y173" s="103">
        <f t="shared" ref="Y173:Y174" si="399">AVERAGE(X173,V173,U173,T173)</f>
        <v>19.001171875000004</v>
      </c>
      <c r="Z173" s="103">
        <f t="shared" ref="Z173:Z174" si="400">AVERAGE(Y173,X173,V173,U173)</f>
        <v>18.351464843750001</v>
      </c>
      <c r="AA173" s="103">
        <f t="shared" ref="AA173:AA174" si="401">AVERAGE(Z173,Y173,X173,V173)</f>
        <v>18.745581054687502</v>
      </c>
      <c r="AB173" s="20"/>
    </row>
    <row r="174" spans="2:28" outlineLevel="1" x14ac:dyDescent="0.25">
      <c r="B174" s="42" t="s">
        <v>75</v>
      </c>
      <c r="C174" s="31"/>
      <c r="D174" s="29"/>
      <c r="E174" s="29"/>
      <c r="F174" s="29"/>
      <c r="G174" s="29"/>
      <c r="H174" s="44"/>
      <c r="I174" s="103">
        <v>9.8000000000000007</v>
      </c>
      <c r="J174" s="103">
        <v>11.3</v>
      </c>
      <c r="K174" s="103">
        <v>8.1999999999999993</v>
      </c>
      <c r="L174" s="103">
        <v>7.3</v>
      </c>
      <c r="M174" s="24"/>
      <c r="N174" s="103">
        <v>5.0999999999999996</v>
      </c>
      <c r="O174" s="103">
        <v>5.4</v>
      </c>
      <c r="P174" s="103">
        <v>2.9</v>
      </c>
      <c r="Q174" s="103">
        <v>3.8</v>
      </c>
      <c r="R174" s="24"/>
      <c r="S174" s="103">
        <v>3</v>
      </c>
      <c r="T174" s="103">
        <v>4.5</v>
      </c>
      <c r="U174" s="103">
        <f t="shared" si="396"/>
        <v>3.5500000000000003</v>
      </c>
      <c r="V174" s="103">
        <f t="shared" si="397"/>
        <v>3.7125000000000004</v>
      </c>
      <c r="W174" s="104"/>
      <c r="X174" s="103">
        <f t="shared" si="398"/>
        <v>3.6906250000000003</v>
      </c>
      <c r="Y174" s="103">
        <f t="shared" si="399"/>
        <v>3.8632812500000004</v>
      </c>
      <c r="Z174" s="103">
        <f t="shared" si="400"/>
        <v>3.7041015625000004</v>
      </c>
      <c r="AA174" s="103">
        <f t="shared" si="401"/>
        <v>3.7426269531250003</v>
      </c>
      <c r="AB174" s="20"/>
    </row>
    <row r="175" spans="2:28" outlineLevel="1" x14ac:dyDescent="0.25">
      <c r="B175" s="42" t="s">
        <v>76</v>
      </c>
      <c r="C175" s="31"/>
      <c r="D175" s="29"/>
      <c r="E175" s="29"/>
      <c r="F175" s="29"/>
      <c r="G175" s="29"/>
      <c r="H175" s="44"/>
      <c r="I175" s="154">
        <v>40.4</v>
      </c>
      <c r="J175" s="154">
        <v>40.700000000000003</v>
      </c>
      <c r="K175" s="154">
        <v>40.6</v>
      </c>
      <c r="L175" s="154">
        <v>38.9</v>
      </c>
      <c r="M175" s="24"/>
      <c r="N175" s="154">
        <v>39</v>
      </c>
      <c r="O175" s="154">
        <v>41.3</v>
      </c>
      <c r="P175" s="154">
        <v>41.8</v>
      </c>
      <c r="Q175" s="154">
        <v>41.6</v>
      </c>
      <c r="R175" s="24"/>
      <c r="S175" s="154">
        <v>43</v>
      </c>
      <c r="T175" s="154">
        <v>44.9</v>
      </c>
      <c r="U175" s="235">
        <v>46.438299971039477</v>
      </c>
      <c r="V175" s="235">
        <v>48.228853234119114</v>
      </c>
      <c r="W175" s="20"/>
      <c r="X175" s="235">
        <v>49.389585976234748</v>
      </c>
      <c r="Y175" s="235">
        <v>50.759033745390276</v>
      </c>
      <c r="Z175" s="235">
        <v>50.536337116965761</v>
      </c>
      <c r="AA175" s="235">
        <v>50.616202565007576</v>
      </c>
      <c r="AB175" s="20"/>
    </row>
    <row r="176" spans="2:28" outlineLevel="1" x14ac:dyDescent="0.25">
      <c r="B176" s="42" t="s">
        <v>77</v>
      </c>
      <c r="C176" s="31"/>
      <c r="D176" s="29"/>
      <c r="E176" s="29"/>
      <c r="F176" s="29"/>
      <c r="G176" s="29"/>
      <c r="H176" s="20"/>
      <c r="I176" s="103">
        <v>250.2</v>
      </c>
      <c r="J176" s="103">
        <v>229.2</v>
      </c>
      <c r="K176" s="103">
        <v>227</v>
      </c>
      <c r="L176" s="103">
        <v>282.5</v>
      </c>
      <c r="M176" s="24"/>
      <c r="N176" s="103">
        <v>278.89999999999998</v>
      </c>
      <c r="O176" s="103">
        <v>292.10000000000002</v>
      </c>
      <c r="P176" s="103">
        <v>305.10000000000002</v>
      </c>
      <c r="Q176" s="103">
        <v>328.6</v>
      </c>
      <c r="R176" s="24"/>
      <c r="S176" s="103">
        <v>333.9</v>
      </c>
      <c r="T176" s="103">
        <v>342.6</v>
      </c>
      <c r="U176" s="103">
        <f t="shared" ref="U176:U177" si="402">AVERAGE(T176,S176,Q176,P176)</f>
        <v>327.55</v>
      </c>
      <c r="V176" s="103">
        <f t="shared" si="397"/>
        <v>333.16250000000002</v>
      </c>
      <c r="W176" s="104"/>
      <c r="X176" s="103">
        <f t="shared" si="398"/>
        <v>334.30312500000002</v>
      </c>
      <c r="Y176" s="103">
        <f t="shared" ref="Y176:Y177" si="403">AVERAGE(X176,V176,U176,T176)</f>
        <v>334.40390624999998</v>
      </c>
      <c r="Z176" s="103">
        <f t="shared" ref="Z176:Z177" si="404">AVERAGE(Y176,X176,V176,U176)</f>
        <v>332.35488281250002</v>
      </c>
      <c r="AA176" s="103">
        <f t="shared" ref="AA176:AA177" si="405">AVERAGE(Z176,Y176,X176,V176)</f>
        <v>333.55610351562501</v>
      </c>
      <c r="AB176" s="20"/>
    </row>
    <row r="177" spans="1:28" ht="17.25" outlineLevel="1" x14ac:dyDescent="0.4">
      <c r="B177" s="42" t="s">
        <v>85</v>
      </c>
      <c r="C177" s="31"/>
      <c r="D177" s="29"/>
      <c r="E177" s="29"/>
      <c r="F177" s="29"/>
      <c r="G177" s="29"/>
      <c r="H177" s="20"/>
      <c r="I177" s="155">
        <v>0</v>
      </c>
      <c r="J177" s="155">
        <v>0</v>
      </c>
      <c r="K177" s="155">
        <v>102.3</v>
      </c>
      <c r="L177" s="155">
        <v>29.2</v>
      </c>
      <c r="M177" s="24"/>
      <c r="N177" s="155">
        <v>26</v>
      </c>
      <c r="O177" s="155">
        <v>105.3</v>
      </c>
      <c r="P177" s="155">
        <v>-1.5</v>
      </c>
      <c r="Q177" s="155">
        <v>6.2</v>
      </c>
      <c r="R177" s="24"/>
      <c r="S177" s="155">
        <v>13.9</v>
      </c>
      <c r="T177" s="155">
        <v>0.7</v>
      </c>
      <c r="U177" s="155">
        <f t="shared" si="402"/>
        <v>4.8250000000000002</v>
      </c>
      <c r="V177" s="155">
        <f t="shared" si="397"/>
        <v>6.40625</v>
      </c>
      <c r="W177" s="170"/>
      <c r="X177" s="155">
        <f t="shared" si="398"/>
        <v>6.4578124999999993</v>
      </c>
      <c r="Y177" s="155">
        <f t="shared" si="403"/>
        <v>4.5972656249999995</v>
      </c>
      <c r="Z177" s="155">
        <f t="shared" si="404"/>
        <v>5.5715820312499993</v>
      </c>
      <c r="AA177" s="155">
        <f t="shared" si="405"/>
        <v>5.7582275390624993</v>
      </c>
      <c r="AB177" s="20"/>
    </row>
    <row r="178" spans="1:28" outlineLevel="1" x14ac:dyDescent="0.25">
      <c r="B178" s="101" t="s">
        <v>137</v>
      </c>
      <c r="C178" s="34"/>
      <c r="D178" s="29"/>
      <c r="E178" s="29"/>
      <c r="F178" s="29"/>
      <c r="G178" s="29"/>
      <c r="H178" s="22"/>
      <c r="I178" s="105">
        <f t="shared" ref="I178" si="406">SUM(I172:I177)</f>
        <v>398.2</v>
      </c>
      <c r="J178" s="105">
        <f t="shared" ref="J178" si="407">SUM(J172:J177)</f>
        <v>369.9</v>
      </c>
      <c r="K178" s="105">
        <f t="shared" ref="K178" si="408">SUM(K172:K177)</f>
        <v>447.6</v>
      </c>
      <c r="L178" s="105">
        <f t="shared" ref="L178" si="409">SUM(L172:L177)</f>
        <v>440.59999999999997</v>
      </c>
      <c r="M178" s="158"/>
      <c r="N178" s="105">
        <f>SUM(N172:N177)</f>
        <v>436.7</v>
      </c>
      <c r="O178" s="105">
        <f t="shared" ref="O178" si="410">SUM(O172:O177)</f>
        <v>492.00000000000006</v>
      </c>
      <c r="P178" s="105">
        <f t="shared" ref="P178" si="411">SUM(P172:P177)</f>
        <v>392.9</v>
      </c>
      <c r="Q178" s="105">
        <f t="shared" ref="Q178" si="412">SUM(Q172:Q177)</f>
        <v>433.90000000000003</v>
      </c>
      <c r="R178" s="158"/>
      <c r="S178" s="105">
        <f t="shared" ref="S178" si="413">SUM(S172:S177)</f>
        <v>448.49999999999994</v>
      </c>
      <c r="T178" s="105">
        <f>SUM(T172:T177)</f>
        <v>456.00000000000006</v>
      </c>
      <c r="U178" s="105">
        <f t="shared" ref="U178" si="414">SUM(U172:U177)</f>
        <v>436.4382999710395</v>
      </c>
      <c r="V178" s="105">
        <f t="shared" ref="V178" si="415">SUM(V172:V177)</f>
        <v>447.95385323411915</v>
      </c>
      <c r="W178" s="20"/>
      <c r="X178" s="105">
        <f t="shared" ref="X178" si="416">SUM(X172:X177)</f>
        <v>450.97083597623475</v>
      </c>
      <c r="Y178" s="105">
        <f t="shared" ref="Y178" si="417">SUM(Y172:Y177)</f>
        <v>451.36059624539024</v>
      </c>
      <c r="Z178" s="105">
        <f t="shared" ref="Z178" si="418">SUM(Z172:Z177)</f>
        <v>448.51329024196576</v>
      </c>
      <c r="AA178" s="105">
        <f t="shared" ref="AA178" si="419">SUM(AA172:AA177)</f>
        <v>450.58739397125754</v>
      </c>
      <c r="AB178" s="22"/>
    </row>
    <row r="179" spans="1:28" outlineLevel="1" x14ac:dyDescent="0.25">
      <c r="B179" s="101" t="s">
        <v>138</v>
      </c>
      <c r="C179" s="92"/>
      <c r="D179" s="29"/>
      <c r="E179" s="29"/>
      <c r="F179" s="29"/>
      <c r="G179" s="29"/>
      <c r="H179" s="22"/>
      <c r="I179" s="156">
        <f t="shared" ref="I179:Q179" si="420">I166+I168+I170-I178</f>
        <v>-288.89999999999998</v>
      </c>
      <c r="J179" s="156">
        <f t="shared" si="420"/>
        <v>-294.59999999999997</v>
      </c>
      <c r="K179" s="156">
        <f t="shared" si="420"/>
        <v>-386.3</v>
      </c>
      <c r="L179" s="156">
        <f t="shared" si="420"/>
        <v>-375.09999999999997</v>
      </c>
      <c r="M179" s="158">
        <f t="shared" si="420"/>
        <v>0</v>
      </c>
      <c r="N179" s="156">
        <f t="shared" si="420"/>
        <v>-360.4</v>
      </c>
      <c r="O179" s="156">
        <f t="shared" si="420"/>
        <v>-456.50000000000006</v>
      </c>
      <c r="P179" s="156">
        <f t="shared" si="420"/>
        <v>-364.7</v>
      </c>
      <c r="Q179" s="156">
        <f t="shared" si="420"/>
        <v>-405.70000000000005</v>
      </c>
      <c r="R179" s="158"/>
      <c r="S179" s="156">
        <f>S166+S168+S170-S178</f>
        <v>-419.99999999999994</v>
      </c>
      <c r="T179" s="156">
        <f>T166+T168+T170-T178</f>
        <v>-419.20000000000005</v>
      </c>
      <c r="U179" s="156">
        <f t="shared" ref="U179:AA179" si="421">U166+U168+U170-U178</f>
        <v>-407.70232690355931</v>
      </c>
      <c r="V179" s="156">
        <f t="shared" si="421"/>
        <v>-418.28972947114653</v>
      </c>
      <c r="W179" s="168"/>
      <c r="X179" s="156">
        <f t="shared" si="421"/>
        <v>-421.09076796170064</v>
      </c>
      <c r="Y179" s="156">
        <f t="shared" si="421"/>
        <v>-411.54182537794429</v>
      </c>
      <c r="Z179" s="156">
        <f t="shared" si="421"/>
        <v>-418.72935109824198</v>
      </c>
      <c r="AA179" s="156">
        <f t="shared" si="421"/>
        <v>-419.48980838406959</v>
      </c>
      <c r="AB179" s="22"/>
    </row>
    <row r="180" spans="1:28" ht="18" x14ac:dyDescent="0.4">
      <c r="B180" s="247" t="s">
        <v>21</v>
      </c>
      <c r="C180" s="248"/>
      <c r="D180" s="27" t="s">
        <v>44</v>
      </c>
      <c r="E180" s="27" t="s">
        <v>45</v>
      </c>
      <c r="F180" s="27" t="s">
        <v>46</v>
      </c>
      <c r="G180" s="27" t="s">
        <v>47</v>
      </c>
      <c r="H180" s="74" t="s">
        <v>48</v>
      </c>
      <c r="I180" s="27" t="s">
        <v>37</v>
      </c>
      <c r="J180" s="27" t="s">
        <v>38</v>
      </c>
      <c r="K180" s="27" t="s">
        <v>39</v>
      </c>
      <c r="L180" s="27" t="s">
        <v>40</v>
      </c>
      <c r="M180" s="74" t="s">
        <v>41</v>
      </c>
      <c r="N180" s="27" t="s">
        <v>50</v>
      </c>
      <c r="O180" s="27" t="s">
        <v>51</v>
      </c>
      <c r="P180" s="27" t="s">
        <v>52</v>
      </c>
      <c r="Q180" s="27" t="s">
        <v>53</v>
      </c>
      <c r="R180" s="74" t="s">
        <v>54</v>
      </c>
      <c r="S180" s="27" t="s">
        <v>55</v>
      </c>
      <c r="T180" s="27" t="s">
        <v>182</v>
      </c>
      <c r="U180" s="25" t="s">
        <v>62</v>
      </c>
      <c r="V180" s="25" t="s">
        <v>63</v>
      </c>
      <c r="W180" s="76" t="s">
        <v>64</v>
      </c>
      <c r="X180" s="25" t="s">
        <v>65</v>
      </c>
      <c r="Y180" s="25" t="s">
        <v>66</v>
      </c>
      <c r="Z180" s="25" t="s">
        <v>67</v>
      </c>
      <c r="AA180" s="25" t="s">
        <v>68</v>
      </c>
      <c r="AB180" s="76" t="s">
        <v>69</v>
      </c>
    </row>
    <row r="181" spans="1:28" s="173" customFormat="1" ht="15.6" customHeight="1" outlineLevel="1" x14ac:dyDescent="0.25">
      <c r="B181" s="127" t="s">
        <v>146</v>
      </c>
      <c r="C181" s="174"/>
      <c r="D181" s="129"/>
      <c r="E181" s="129"/>
      <c r="F181" s="129"/>
      <c r="G181" s="129"/>
      <c r="H181" s="132"/>
      <c r="I181" s="129">
        <f>+I57+I91+I126+I166-I13</f>
        <v>0</v>
      </c>
      <c r="J181" s="129">
        <f>+J57+J91+J126+J166-J13</f>
        <v>0</v>
      </c>
      <c r="K181" s="129">
        <f>+K57+K91+K126+K166-K13</f>
        <v>0</v>
      </c>
      <c r="L181" s="129">
        <f>+L57+L91+L126+L166-L13</f>
        <v>0</v>
      </c>
      <c r="M181" s="132"/>
      <c r="N181" s="129">
        <f>+N57+N91+N126+N166-N13</f>
        <v>0</v>
      </c>
      <c r="O181" s="129">
        <f>+O57+O91+O126+O166-O13</f>
        <v>0</v>
      </c>
      <c r="P181" s="129">
        <f>+P57+P91+P126+P166-P13</f>
        <v>0</v>
      </c>
      <c r="Q181" s="129">
        <f>+Q57+Q91+Q126+Q166-Q13</f>
        <v>-3.999999999996362E-2</v>
      </c>
      <c r="R181" s="132"/>
      <c r="S181" s="129">
        <f>+S57+S91+S126+S166-S13</f>
        <v>0</v>
      </c>
      <c r="T181" s="129">
        <f>+T57+T91+T126+T166-T13</f>
        <v>0</v>
      </c>
      <c r="U181" s="129">
        <f>+U57+U91+U126+U166-U13</f>
        <v>0</v>
      </c>
      <c r="V181" s="129">
        <f>+V57+V91+V126+V166-V13</f>
        <v>0</v>
      </c>
      <c r="W181" s="132"/>
      <c r="X181" s="129">
        <f>+X57+X91+X126+X166-X13</f>
        <v>0</v>
      </c>
      <c r="Y181" s="129">
        <f>+Y57+Y91+Y126+Y166-Y13</f>
        <v>0</v>
      </c>
      <c r="Z181" s="129">
        <f>+Z57+Z91+Z126+Z166-Z13</f>
        <v>0</v>
      </c>
      <c r="AA181" s="129">
        <f>+AA57+AA91+AA126+AA166-AA13</f>
        <v>0</v>
      </c>
      <c r="AB181" s="132"/>
    </row>
    <row r="182" spans="1:28" s="173" customFormat="1" ht="15.6" customHeight="1" outlineLevel="1" x14ac:dyDescent="0.25">
      <c r="B182" s="127" t="s">
        <v>147</v>
      </c>
      <c r="C182" s="174"/>
      <c r="D182" s="129"/>
      <c r="E182" s="129"/>
      <c r="F182" s="129"/>
      <c r="G182" s="129"/>
      <c r="H182" s="132"/>
      <c r="I182" s="129">
        <f>+I64+I98+I133+I168-I14</f>
        <v>0</v>
      </c>
      <c r="J182" s="129">
        <f>+J64+J98+J133+J168-J14</f>
        <v>0</v>
      </c>
      <c r="K182" s="129">
        <f>+K64+K98+K133+K168-K14</f>
        <v>0</v>
      </c>
      <c r="L182" s="129">
        <f>+L64+L98+L133+L168-L14</f>
        <v>0</v>
      </c>
      <c r="M182" s="132"/>
      <c r="N182" s="129">
        <f>+N64+N98+N133+N168-N14</f>
        <v>0</v>
      </c>
      <c r="O182" s="129">
        <f>+O64+O98+O133+O168-O14</f>
        <v>0</v>
      </c>
      <c r="P182" s="129">
        <f>+P64+P98+P133+P168-P14</f>
        <v>0</v>
      </c>
      <c r="Q182" s="129">
        <f>+Q64+Q98+Q133+Q168-Q14</f>
        <v>-9.9999999999909051E-3</v>
      </c>
      <c r="R182" s="132"/>
      <c r="S182" s="129">
        <f>+S64+S98+S133+S168-S14</f>
        <v>0</v>
      </c>
      <c r="T182" s="129">
        <f>+T64+T98+T133+T168-T14</f>
        <v>0</v>
      </c>
      <c r="U182" s="129">
        <f>+U64+U98+U133+U168-U14</f>
        <v>0</v>
      </c>
      <c r="V182" s="129">
        <f>+V64+V98+V133+V168-V14</f>
        <v>0</v>
      </c>
      <c r="W182" s="132"/>
      <c r="X182" s="129">
        <f>+X64+X98+X133+X168-X14</f>
        <v>0</v>
      </c>
      <c r="Y182" s="129">
        <f>+Y64+Y98+Y133+Y168-Y14</f>
        <v>0</v>
      </c>
      <c r="Z182" s="129">
        <f>+Z64+Z98+Z133+Z168-Z14</f>
        <v>0</v>
      </c>
      <c r="AA182" s="129">
        <f>+AA64+AA98+AA133+AA168-AA14</f>
        <v>0</v>
      </c>
      <c r="AB182" s="132"/>
    </row>
    <row r="183" spans="1:28" s="173" customFormat="1" ht="15.6" customHeight="1" outlineLevel="1" x14ac:dyDescent="0.25">
      <c r="B183" s="127" t="s">
        <v>148</v>
      </c>
      <c r="C183" s="174"/>
      <c r="D183" s="129"/>
      <c r="E183" s="129"/>
      <c r="F183" s="129"/>
      <c r="G183" s="129"/>
      <c r="H183" s="132"/>
      <c r="I183" s="129">
        <f>+I65+I99+I134+I151+I170-I15</f>
        <v>0</v>
      </c>
      <c r="J183" s="129">
        <f>+J65+J99+J134+J151+J170-J15</f>
        <v>0</v>
      </c>
      <c r="K183" s="129">
        <f>+K65+K99+K134+K151+K170-K15</f>
        <v>0</v>
      </c>
      <c r="L183" s="129">
        <f>+L65+L99+L134+L151+L170-L15</f>
        <v>0</v>
      </c>
      <c r="M183" s="132"/>
      <c r="N183" s="129">
        <f>+N65+N99+N134+N151+N170-N15</f>
        <v>0</v>
      </c>
      <c r="O183" s="129">
        <f>+O65+O99+O134+O151+O170-O15</f>
        <v>0</v>
      </c>
      <c r="P183" s="129">
        <f>+P65+P99+P134+P151+P170-P15</f>
        <v>0</v>
      </c>
      <c r="Q183" s="129">
        <f>+Q65+Q99+Q134+Q151+Q170-Q15</f>
        <v>0</v>
      </c>
      <c r="R183" s="132"/>
      <c r="S183" s="129">
        <f>+S65+S99+S134+S151+S170-S15</f>
        <v>0</v>
      </c>
      <c r="T183" s="129">
        <f>+T65+T99+T134+T151+T170-T15</f>
        <v>0</v>
      </c>
      <c r="U183" s="129">
        <f>+U65+U99+U134+U151+U170-U15</f>
        <v>0</v>
      </c>
      <c r="V183" s="129">
        <f>+V65+V99+V134+V151+V170-V15</f>
        <v>0</v>
      </c>
      <c r="W183" s="132"/>
      <c r="X183" s="129">
        <f>+X65+X99+X134+X151+X170-X15</f>
        <v>0</v>
      </c>
      <c r="Y183" s="129">
        <f>+Y65+Y99+Y134+Y151+Y170-Y15</f>
        <v>0</v>
      </c>
      <c r="Z183" s="129">
        <f>+Z65+Z99+Z134+Z151+Z170-Z15</f>
        <v>0</v>
      </c>
      <c r="AA183" s="129">
        <f>+AA65+AA99+AA134+AA151+AA170-AA15</f>
        <v>0</v>
      </c>
      <c r="AB183" s="132"/>
    </row>
    <row r="184" spans="1:28" s="173" customFormat="1" ht="15.6" customHeight="1" outlineLevel="1" x14ac:dyDescent="0.25">
      <c r="B184" s="127" t="s">
        <v>78</v>
      </c>
      <c r="C184" s="174"/>
      <c r="D184" s="129"/>
      <c r="E184" s="129"/>
      <c r="F184" s="129"/>
      <c r="G184" s="129"/>
      <c r="H184" s="132"/>
      <c r="I184" s="129">
        <f>+I160+I112-I25</f>
        <v>0</v>
      </c>
      <c r="J184" s="129">
        <f>+J160+J112-J25</f>
        <v>0</v>
      </c>
      <c r="K184" s="129">
        <f>+K160+K112-K25</f>
        <v>0</v>
      </c>
      <c r="L184" s="129">
        <f>+L160+L112-L25</f>
        <v>0</v>
      </c>
      <c r="M184" s="132"/>
      <c r="N184" s="129">
        <f>+N160+N112-N25</f>
        <v>0</v>
      </c>
      <c r="O184" s="129">
        <f>+O160+O112-O25</f>
        <v>0</v>
      </c>
      <c r="P184" s="129">
        <f>+P160+P112-P25</f>
        <v>0</v>
      </c>
      <c r="Q184" s="129">
        <f>+Q160+Q112-Q25</f>
        <v>0</v>
      </c>
      <c r="R184" s="132"/>
      <c r="S184" s="129">
        <f>+S160+S112-S25</f>
        <v>0</v>
      </c>
      <c r="T184" s="129">
        <f>+T160+T112-T25</f>
        <v>0</v>
      </c>
      <c r="U184" s="129">
        <f>+U160+U112-U25</f>
        <v>0</v>
      </c>
      <c r="V184" s="129">
        <f>+V160+V112-V25</f>
        <v>0</v>
      </c>
      <c r="W184" s="132"/>
      <c r="X184" s="129">
        <f>+X160+X112-X25</f>
        <v>0</v>
      </c>
      <c r="Y184" s="129">
        <f>+Y160+Y112-Y25</f>
        <v>0</v>
      </c>
      <c r="Z184" s="129">
        <f>+Z160+Z112-Z25</f>
        <v>0</v>
      </c>
      <c r="AA184" s="129">
        <f>+AA160+AA112-AA25</f>
        <v>0</v>
      </c>
      <c r="AB184" s="132"/>
    </row>
    <row r="185" spans="1:28" s="173" customFormat="1" ht="15.6" customHeight="1" outlineLevel="1" x14ac:dyDescent="0.25">
      <c r="B185" s="127" t="s">
        <v>149</v>
      </c>
      <c r="C185" s="174"/>
      <c r="D185" s="129"/>
      <c r="E185" s="129"/>
      <c r="F185" s="129"/>
      <c r="G185" s="129"/>
      <c r="H185" s="132"/>
      <c r="I185" s="129">
        <f>+I78+I113+I146+I161+I179-I26</f>
        <v>0</v>
      </c>
      <c r="J185" s="129">
        <f>+J78+J113+J146+J161+J179-J26</f>
        <v>0</v>
      </c>
      <c r="K185" s="129">
        <f>+K78+K113+K146+K161+K179-K26</f>
        <v>0</v>
      </c>
      <c r="L185" s="129">
        <f>+L78+L113+L146+L161+L179-L26</f>
        <v>0</v>
      </c>
      <c r="M185" s="132"/>
      <c r="N185" s="129">
        <f>+N78+N113+N146+N161+N179-N26</f>
        <v>0</v>
      </c>
      <c r="O185" s="129">
        <f>+O78+O113+O146+O161+O179-O26</f>
        <v>-9.0949470177292824E-13</v>
      </c>
      <c r="P185" s="129">
        <f>+P78+P113+P146+P161+P179-P26</f>
        <v>0</v>
      </c>
      <c r="Q185" s="129">
        <f>+Q78+Q113+Q146+Q161+Q179-Q26</f>
        <v>-5.0000000000636646E-2</v>
      </c>
      <c r="R185" s="132"/>
      <c r="S185" s="129">
        <f>+S78+S113+S146+S161+S179-S26</f>
        <v>-1.3642420526593924E-12</v>
      </c>
      <c r="T185" s="129">
        <f>+T78+T113+T146+T161+T179-T26</f>
        <v>0</v>
      </c>
      <c r="U185" s="129">
        <f>+U78+U113+U146+U161+U179-U26</f>
        <v>0</v>
      </c>
      <c r="V185" s="129">
        <f>+V78+V113+V146+V161+V179-V26</f>
        <v>0</v>
      </c>
      <c r="W185" s="132"/>
      <c r="X185" s="129">
        <f>+X78+X113+X146+X161+X179-X26</f>
        <v>0</v>
      </c>
      <c r="Y185" s="129">
        <f>+Y78+Y113+Y146+Y161+Y179-Y26</f>
        <v>0</v>
      </c>
      <c r="Z185" s="129">
        <f>+Z78+Z113+Z146+Z161+Z179-Z26</f>
        <v>0</v>
      </c>
      <c r="AA185" s="129">
        <f>+AA78+AA113+AA146+AA161+AA179-AA26</f>
        <v>0</v>
      </c>
      <c r="AB185" s="132"/>
    </row>
    <row r="186" spans="1:28" ht="15" customHeight="1" x14ac:dyDescent="0.4">
      <c r="B186" s="247" t="s">
        <v>15</v>
      </c>
      <c r="C186" s="248"/>
      <c r="D186" s="27" t="s">
        <v>44</v>
      </c>
      <c r="E186" s="27" t="s">
        <v>45</v>
      </c>
      <c r="F186" s="27" t="s">
        <v>46</v>
      </c>
      <c r="G186" s="27" t="s">
        <v>47</v>
      </c>
      <c r="H186" s="74" t="s">
        <v>48</v>
      </c>
      <c r="I186" s="27" t="s">
        <v>37</v>
      </c>
      <c r="J186" s="27" t="s">
        <v>38</v>
      </c>
      <c r="K186" s="27" t="s">
        <v>39</v>
      </c>
      <c r="L186" s="27" t="s">
        <v>40</v>
      </c>
      <c r="M186" s="74" t="s">
        <v>41</v>
      </c>
      <c r="N186" s="27" t="s">
        <v>50</v>
      </c>
      <c r="O186" s="27" t="s">
        <v>51</v>
      </c>
      <c r="P186" s="27" t="s">
        <v>52</v>
      </c>
      <c r="Q186" s="27" t="s">
        <v>53</v>
      </c>
      <c r="R186" s="74" t="s">
        <v>54</v>
      </c>
      <c r="S186" s="27" t="s">
        <v>55</v>
      </c>
      <c r="T186" s="27" t="s">
        <v>182</v>
      </c>
      <c r="U186" s="25" t="s">
        <v>62</v>
      </c>
      <c r="V186" s="25" t="s">
        <v>63</v>
      </c>
      <c r="W186" s="76" t="s">
        <v>64</v>
      </c>
      <c r="X186" s="25" t="s">
        <v>65</v>
      </c>
      <c r="Y186" s="25" t="s">
        <v>66</v>
      </c>
      <c r="Z186" s="25" t="s">
        <v>67</v>
      </c>
      <c r="AA186" s="25" t="s">
        <v>68</v>
      </c>
      <c r="AB186" s="76" t="s">
        <v>69</v>
      </c>
    </row>
    <row r="187" spans="1:28" s="38" customFormat="1" outlineLevel="1" x14ac:dyDescent="0.25">
      <c r="B187" s="249" t="s">
        <v>34</v>
      </c>
      <c r="C187" s="250"/>
      <c r="D187" s="49"/>
      <c r="E187" s="49"/>
      <c r="F187" s="49"/>
      <c r="G187" s="49"/>
      <c r="H187" s="47"/>
      <c r="I187" s="49">
        <f t="shared" ref="I187:AB187" si="422">I16/D16-1</f>
        <v>6.6883781520423957E-2</v>
      </c>
      <c r="J187" s="49">
        <f t="shared" si="422"/>
        <v>6.0241929023471696E-2</v>
      </c>
      <c r="K187" s="49">
        <f t="shared" si="422"/>
        <v>8.0851470026727768E-2</v>
      </c>
      <c r="L187" s="49">
        <f t="shared" si="422"/>
        <v>-2.2587197086425537E-3</v>
      </c>
      <c r="M187" s="47">
        <f t="shared" si="422"/>
        <v>5.0234801251647809E-2</v>
      </c>
      <c r="N187" s="49">
        <f t="shared" si="422"/>
        <v>5.9446353503462612E-2</v>
      </c>
      <c r="O187" s="49">
        <f t="shared" si="422"/>
        <v>0.1393653192293165</v>
      </c>
      <c r="P187" s="49">
        <f t="shared" si="422"/>
        <v>0.11459860461008575</v>
      </c>
      <c r="Q187" s="49">
        <f t="shared" si="422"/>
        <v>0.10623343804292507</v>
      </c>
      <c r="R187" s="48">
        <f t="shared" si="422"/>
        <v>0.10420249523154368</v>
      </c>
      <c r="S187" s="49">
        <f t="shared" si="422"/>
        <v>9.203615588521008E-2</v>
      </c>
      <c r="T187" s="49">
        <f t="shared" si="422"/>
        <v>4.5442488146158588E-2</v>
      </c>
      <c r="U187" s="49">
        <f t="shared" si="422"/>
        <v>6.5311860120624621E-2</v>
      </c>
      <c r="V187" s="49">
        <f t="shared" si="422"/>
        <v>7.6333717660393319E-2</v>
      </c>
      <c r="W187" s="201">
        <f t="shared" si="422"/>
        <v>6.9840488774997711E-2</v>
      </c>
      <c r="X187" s="49">
        <f t="shared" si="422"/>
        <v>8.7453035537245594E-2</v>
      </c>
      <c r="Y187" s="49">
        <f t="shared" si="422"/>
        <v>8.0609872359441281E-2</v>
      </c>
      <c r="Z187" s="49">
        <f t="shared" si="422"/>
        <v>8.301195842907827E-2</v>
      </c>
      <c r="AA187" s="49">
        <f t="shared" si="422"/>
        <v>8.3379709158442061E-2</v>
      </c>
      <c r="AB187" s="47">
        <f t="shared" si="422"/>
        <v>8.364737504135733E-2</v>
      </c>
    </row>
    <row r="188" spans="1:28" s="38" customFormat="1" outlineLevel="1" x14ac:dyDescent="0.25">
      <c r="B188" s="249" t="s">
        <v>4</v>
      </c>
      <c r="C188" s="250"/>
      <c r="D188" s="46">
        <f t="shared" ref="D188:AB188" si="423">D26/D16</f>
        <v>0.19689215595049786</v>
      </c>
      <c r="E188" s="46">
        <f t="shared" si="423"/>
        <v>0.17307538252022742</v>
      </c>
      <c r="F188" s="46">
        <f t="shared" si="423"/>
        <v>0.19516991218022131</v>
      </c>
      <c r="G188" s="46">
        <f t="shared" si="423"/>
        <v>0.21491105196806271</v>
      </c>
      <c r="H188" s="48">
        <f t="shared" si="423"/>
        <v>0.1957177505993179</v>
      </c>
      <c r="I188" s="46">
        <f t="shared" si="423"/>
        <v>0.19756144359748121</v>
      </c>
      <c r="J188" s="46">
        <f t="shared" si="423"/>
        <v>0.17669059312429156</v>
      </c>
      <c r="K188" s="46">
        <f t="shared" si="423"/>
        <v>0.18443875298065895</v>
      </c>
      <c r="L188" s="46">
        <f t="shared" si="423"/>
        <v>0.17943948195075715</v>
      </c>
      <c r="M188" s="48">
        <f t="shared" si="423"/>
        <v>0.18469448377831474</v>
      </c>
      <c r="N188" s="46">
        <f t="shared" si="423"/>
        <v>0.18375948762698191</v>
      </c>
      <c r="O188" s="46">
        <f t="shared" si="423"/>
        <v>0.12807122252064063</v>
      </c>
      <c r="P188" s="46">
        <f t="shared" si="423"/>
        <v>0.16452466602221769</v>
      </c>
      <c r="Q188" s="46">
        <f t="shared" si="423"/>
        <v>0.15176128116250107</v>
      </c>
      <c r="R188" s="48">
        <f t="shared" si="423"/>
        <v>0.15710098727924784</v>
      </c>
      <c r="S188" s="46">
        <f t="shared" si="423"/>
        <v>0.15313522396610751</v>
      </c>
      <c r="T188" s="46">
        <f t="shared" si="423"/>
        <v>0.13601547756862614</v>
      </c>
      <c r="U188" s="46">
        <f t="shared" si="423"/>
        <v>0.15879038214571151</v>
      </c>
      <c r="V188" s="46">
        <f t="shared" si="423"/>
        <v>0.15620978625224299</v>
      </c>
      <c r="W188" s="48">
        <f t="shared" si="423"/>
        <v>0.15127941135751696</v>
      </c>
      <c r="X188" s="46">
        <f t="shared" si="423"/>
        <v>0.15883412565945582</v>
      </c>
      <c r="Y188" s="46">
        <f t="shared" si="423"/>
        <v>0.14634313175494865</v>
      </c>
      <c r="Z188" s="46">
        <f t="shared" si="423"/>
        <v>0.16642406809986779</v>
      </c>
      <c r="AA188" s="46">
        <f t="shared" si="423"/>
        <v>0.16649565707179748</v>
      </c>
      <c r="AB188" s="48">
        <f t="shared" si="423"/>
        <v>0.15975737684400781</v>
      </c>
    </row>
    <row r="189" spans="1:28" s="38" customFormat="1" outlineLevel="1" x14ac:dyDescent="0.25">
      <c r="B189" s="249" t="s">
        <v>176</v>
      </c>
      <c r="C189" s="250"/>
      <c r="D189" s="46">
        <f t="shared" ref="D189:AB189" si="424">+D28/D16</f>
        <v>0.19918116683725695</v>
      </c>
      <c r="E189" s="46">
        <f t="shared" si="424"/>
        <v>0.17585916846911789</v>
      </c>
      <c r="F189" s="46">
        <f t="shared" si="424"/>
        <v>0.1984726995036272</v>
      </c>
      <c r="G189" s="46">
        <f t="shared" si="424"/>
        <v>0.19379464911051963</v>
      </c>
      <c r="H189" s="48">
        <f t="shared" si="424"/>
        <v>0.19210073231719046</v>
      </c>
      <c r="I189" s="46">
        <f t="shared" si="424"/>
        <v>0.20000348863576897</v>
      </c>
      <c r="J189" s="46">
        <f t="shared" si="424"/>
        <v>0.1792973177181714</v>
      </c>
      <c r="K189" s="46">
        <f t="shared" si="424"/>
        <v>0.20814271836085857</v>
      </c>
      <c r="L189" s="46">
        <f t="shared" si="424"/>
        <v>0.19976133232718521</v>
      </c>
      <c r="M189" s="48">
        <f t="shared" si="424"/>
        <v>0.19710363742757972</v>
      </c>
      <c r="N189" s="46">
        <f t="shared" si="424"/>
        <v>0.19222220392841266</v>
      </c>
      <c r="O189" s="46">
        <f t="shared" si="424"/>
        <v>0.16199144533969964</v>
      </c>
      <c r="P189" s="46">
        <f t="shared" si="424"/>
        <v>0.18539530608687388</v>
      </c>
      <c r="Q189" s="46">
        <f t="shared" si="424"/>
        <v>0.18134731465103551</v>
      </c>
      <c r="R189" s="48">
        <f t="shared" si="424"/>
        <v>0.18032965943821577</v>
      </c>
      <c r="S189" s="46">
        <f t="shared" si="424"/>
        <v>0.17394123056975308</v>
      </c>
      <c r="T189" s="46">
        <f t="shared" si="424"/>
        <v>0.15843892227913536</v>
      </c>
      <c r="U189" s="46">
        <f t="shared" si="424"/>
        <v>0.1766914567823302</v>
      </c>
      <c r="V189" s="46">
        <f t="shared" si="424"/>
        <v>0.17691076938136366</v>
      </c>
      <c r="W189" s="48">
        <f t="shared" si="424"/>
        <v>0.17170572209401963</v>
      </c>
      <c r="X189" s="46">
        <f t="shared" si="424"/>
        <v>0.17761013384795543</v>
      </c>
      <c r="Y189" s="46">
        <f t="shared" si="424"/>
        <v>0.16332597976824037</v>
      </c>
      <c r="Z189" s="46">
        <f t="shared" si="424"/>
        <v>0.1854463210695417</v>
      </c>
      <c r="AA189" s="46">
        <f t="shared" si="424"/>
        <v>0.18593362730731031</v>
      </c>
      <c r="AB189" s="48">
        <f t="shared" si="424"/>
        <v>0.17833935821489846</v>
      </c>
    </row>
    <row r="190" spans="1:28" s="38" customFormat="1" outlineLevel="1" x14ac:dyDescent="0.25">
      <c r="B190" s="249" t="s">
        <v>2</v>
      </c>
      <c r="C190" s="250"/>
      <c r="D190" s="46">
        <f t="shared" ref="D190:T190" si="425">D33/D32</f>
        <v>0.34479801829268281</v>
      </c>
      <c r="E190" s="46">
        <f t="shared" si="425"/>
        <v>0.33170618317061845</v>
      </c>
      <c r="F190" s="46">
        <f t="shared" si="425"/>
        <v>0.29709334823923994</v>
      </c>
      <c r="G190" s="46">
        <f t="shared" si="425"/>
        <v>0.34027320605661632</v>
      </c>
      <c r="H190" s="48">
        <f t="shared" si="425"/>
        <v>0.32860953651217067</v>
      </c>
      <c r="I190" s="46">
        <f t="shared" si="425"/>
        <v>0.3366581339924089</v>
      </c>
      <c r="J190" s="46">
        <f t="shared" si="425"/>
        <v>0.33414932680538584</v>
      </c>
      <c r="K190" s="46">
        <f t="shared" si="425"/>
        <v>0.34312048650703131</v>
      </c>
      <c r="L190" s="46">
        <f t="shared" si="425"/>
        <v>0.31472477860739728</v>
      </c>
      <c r="M190" s="48">
        <f t="shared" si="425"/>
        <v>0.33181239143022589</v>
      </c>
      <c r="N190" s="46">
        <f t="shared" si="425"/>
        <v>0.2514388369539905</v>
      </c>
      <c r="O190" s="46">
        <f t="shared" si="425"/>
        <v>0.19102501226091217</v>
      </c>
      <c r="P190" s="46">
        <f t="shared" si="425"/>
        <v>0.17023763147643162</v>
      </c>
      <c r="Q190" s="46">
        <f t="shared" si="425"/>
        <v>0.18833503246230618</v>
      </c>
      <c r="R190" s="48">
        <f t="shared" si="425"/>
        <v>0.21831613366435113</v>
      </c>
      <c r="S190" s="46">
        <f t="shared" si="425"/>
        <v>0.2124287933713099</v>
      </c>
      <c r="T190" s="46">
        <f t="shared" si="425"/>
        <v>0.1965853658536586</v>
      </c>
      <c r="U190" s="53">
        <v>0.2</v>
      </c>
      <c r="V190" s="53">
        <v>0.2</v>
      </c>
      <c r="W190" s="201">
        <f>W33/W32</f>
        <v>0.20243884968254688</v>
      </c>
      <c r="X190" s="53">
        <f>AVERAGE(V190,U190,T190,S190)</f>
        <v>0.20225353980624214</v>
      </c>
      <c r="Y190" s="53">
        <f>AVERAGE(X190,V190,U190,T190)</f>
        <v>0.19970972641497517</v>
      </c>
      <c r="Z190" s="53">
        <f>AVERAGE(Y190,X190,V190,U190)</f>
        <v>0.20049081655530432</v>
      </c>
      <c r="AA190" s="53">
        <f>AVERAGE(Z190,Y190,X190,V190)</f>
        <v>0.20061352069413041</v>
      </c>
      <c r="AB190" s="48">
        <f>AB33/AB32</f>
        <v>0.20079745943767413</v>
      </c>
    </row>
    <row r="191" spans="1:28" ht="18" x14ac:dyDescent="0.4">
      <c r="A191" s="209"/>
      <c r="B191" s="247" t="s">
        <v>175</v>
      </c>
      <c r="C191" s="248"/>
      <c r="D191" s="27" t="s">
        <v>44</v>
      </c>
      <c r="E191" s="27" t="s">
        <v>45</v>
      </c>
      <c r="F191" s="27" t="s">
        <v>46</v>
      </c>
      <c r="G191" s="27" t="s">
        <v>47</v>
      </c>
      <c r="H191" s="74" t="s">
        <v>48</v>
      </c>
      <c r="I191" s="27" t="s">
        <v>37</v>
      </c>
      <c r="J191" s="27" t="s">
        <v>38</v>
      </c>
      <c r="K191" s="27" t="s">
        <v>39</v>
      </c>
      <c r="L191" s="27" t="s">
        <v>40</v>
      </c>
      <c r="M191" s="74" t="s">
        <v>41</v>
      </c>
      <c r="N191" s="27" t="s">
        <v>50</v>
      </c>
      <c r="O191" s="27" t="s">
        <v>51</v>
      </c>
      <c r="P191" s="27" t="s">
        <v>52</v>
      </c>
      <c r="Q191" s="27" t="s">
        <v>53</v>
      </c>
      <c r="R191" s="74" t="s">
        <v>54</v>
      </c>
      <c r="S191" s="27" t="s">
        <v>55</v>
      </c>
      <c r="T191" s="27" t="s">
        <v>182</v>
      </c>
      <c r="U191" s="25" t="s">
        <v>62</v>
      </c>
      <c r="V191" s="25" t="s">
        <v>63</v>
      </c>
      <c r="W191" s="76" t="s">
        <v>64</v>
      </c>
      <c r="X191" s="25" t="s">
        <v>65</v>
      </c>
      <c r="Y191" s="25" t="s">
        <v>66</v>
      </c>
      <c r="Z191" s="25" t="s">
        <v>67</v>
      </c>
      <c r="AA191" s="25" t="s">
        <v>68</v>
      </c>
      <c r="AB191" s="76" t="s">
        <v>69</v>
      </c>
    </row>
    <row r="192" spans="1:28" outlineLevel="1" x14ac:dyDescent="0.25">
      <c r="A192" s="209"/>
      <c r="B192" s="249" t="s">
        <v>11</v>
      </c>
      <c r="C192" s="250"/>
      <c r="D192" s="46"/>
      <c r="E192" s="46"/>
      <c r="F192" s="46"/>
      <c r="G192" s="46"/>
      <c r="H192" s="47"/>
      <c r="I192" s="46">
        <f>(I39+I196)/G39-1</f>
        <v>6.7093947835106249E-5</v>
      </c>
      <c r="J192" s="46">
        <f>(J39+J196)/I39-1</f>
        <v>4.8365605488851493E-3</v>
      </c>
      <c r="K192" s="46">
        <f>(K39+K196)/J39-1</f>
        <v>-1.4048086980456009E-3</v>
      </c>
      <c r="L192" s="46">
        <f>(L39+L196)/K39-1</f>
        <v>5.372266878707066E-3</v>
      </c>
      <c r="M192" s="47"/>
      <c r="N192" s="46">
        <f>(N39+N196)/L39-1</f>
        <v>6.3082508211103061E-3</v>
      </c>
      <c r="O192" s="46">
        <f>(O39+O196)/N39-1</f>
        <v>9.3507741027454294E-4</v>
      </c>
      <c r="P192" s="46">
        <f>(P39+P196)/O39-1</f>
        <v>-5.0182808803522772E-4</v>
      </c>
      <c r="Q192" s="46">
        <f>(Q39+Q196)/P39-1</f>
        <v>-3.9407933531539152E-2</v>
      </c>
      <c r="R192" s="23"/>
      <c r="S192" s="46">
        <f>(S39+S196)/Q39-1</f>
        <v>3.9264665258121889E-2</v>
      </c>
      <c r="T192" s="46">
        <f>(T39+T196)/S39-1</f>
        <v>2.7823908212560422E-2</v>
      </c>
      <c r="U192" s="54">
        <v>2E-3</v>
      </c>
      <c r="V192" s="54">
        <v>2E-3</v>
      </c>
      <c r="W192" s="23"/>
      <c r="X192" s="54">
        <v>2E-3</v>
      </c>
      <c r="Y192" s="54">
        <v>2E-3</v>
      </c>
      <c r="Z192" s="54">
        <f t="shared" ref="Z192:Z193" si="426">AVERAGE(U192,V192,X192,Y192)</f>
        <v>2E-3</v>
      </c>
      <c r="AA192" s="54">
        <f t="shared" ref="AA192:AA193" si="427">AVERAGE(V192,X192,Y192,Z192)</f>
        <v>2E-3</v>
      </c>
      <c r="AB192" s="23"/>
    </row>
    <row r="193" spans="1:28" outlineLevel="1" x14ac:dyDescent="0.25">
      <c r="A193" s="209"/>
      <c r="B193" s="249" t="s">
        <v>12</v>
      </c>
      <c r="C193" s="250"/>
      <c r="D193" s="46"/>
      <c r="E193" s="46"/>
      <c r="F193" s="46"/>
      <c r="G193" s="46"/>
      <c r="H193" s="47"/>
      <c r="I193" s="46">
        <f>(I40+I196)/G40-1</f>
        <v>-9.1444645592464457E-4</v>
      </c>
      <c r="J193" s="46">
        <f>(J40+J196)/I40-1</f>
        <v>3.8417456647399373E-3</v>
      </c>
      <c r="K193" s="46">
        <f>(K40+K196)/J40-1</f>
        <v>-1.3254150737300741E-3</v>
      </c>
      <c r="L193" s="46">
        <f>(L40+L196)/K40-1</f>
        <v>4.7207873098533693E-3</v>
      </c>
      <c r="M193" s="47"/>
      <c r="N193" s="46">
        <f>(N40+N196)/L40-1</f>
        <v>8.1823608048510188E-3</v>
      </c>
      <c r="O193" s="46">
        <f>(O40+O196)/N40-1</f>
        <v>-3.981981040012128E-4</v>
      </c>
      <c r="P193" s="46">
        <f>(P40+P196)/O40-1</f>
        <v>-7.1093416749612448E-4</v>
      </c>
      <c r="Q193" s="46">
        <f>(Q40+Q196)/P40-1</f>
        <v>1.3472308246309073E-2</v>
      </c>
      <c r="R193" s="23"/>
      <c r="S193" s="46">
        <f>(S40+S196)/Q40-1</f>
        <v>-1.7299374212204399E-2</v>
      </c>
      <c r="T193" s="46">
        <f>(T40+T196)/S40-1</f>
        <v>2.76506254986435E-2</v>
      </c>
      <c r="U193" s="54">
        <v>2E-3</v>
      </c>
      <c r="V193" s="54">
        <v>2E-3</v>
      </c>
      <c r="W193" s="23"/>
      <c r="X193" s="54">
        <v>2E-3</v>
      </c>
      <c r="Y193" s="54">
        <v>2E-3</v>
      </c>
      <c r="Z193" s="54">
        <f t="shared" si="426"/>
        <v>2E-3</v>
      </c>
      <c r="AA193" s="54">
        <f t="shared" si="427"/>
        <v>2E-3</v>
      </c>
      <c r="AB193" s="23"/>
    </row>
    <row r="194" spans="1:28" outlineLevel="1" x14ac:dyDescent="0.25">
      <c r="A194" s="209"/>
      <c r="B194" s="249" t="s">
        <v>5</v>
      </c>
      <c r="C194" s="250"/>
      <c r="D194" s="55"/>
      <c r="E194" s="55"/>
      <c r="F194" s="55"/>
      <c r="G194" s="55"/>
      <c r="H194" s="58"/>
      <c r="I194" s="55">
        <v>54.18</v>
      </c>
      <c r="J194" s="55">
        <v>55.72</v>
      </c>
      <c r="K194" s="55">
        <v>60.11</v>
      </c>
      <c r="L194" s="55">
        <v>54.76</v>
      </c>
      <c r="M194" s="58"/>
      <c r="N194" s="55">
        <v>56.83</v>
      </c>
      <c r="O194" s="55">
        <v>56.63</v>
      </c>
      <c r="P194" s="55">
        <v>54.97</v>
      </c>
      <c r="Q194" s="55">
        <v>52.96</v>
      </c>
      <c r="R194" s="58"/>
      <c r="S194" s="55">
        <v>55.58</v>
      </c>
      <c r="T194" s="228">
        <v>70.489999999999995</v>
      </c>
      <c r="U194" s="57">
        <v>75</v>
      </c>
      <c r="V194" s="57">
        <f>+U194</f>
        <v>75</v>
      </c>
      <c r="W194" s="56"/>
      <c r="X194" s="57">
        <f>+V194</f>
        <v>75</v>
      </c>
      <c r="Y194" s="57">
        <f>+X194</f>
        <v>75</v>
      </c>
      <c r="Z194" s="57">
        <f>+Y194</f>
        <v>75</v>
      </c>
      <c r="AA194" s="57">
        <f>+Z194</f>
        <v>75</v>
      </c>
      <c r="AB194" s="56"/>
    </row>
    <row r="195" spans="1:28" outlineLevel="1" x14ac:dyDescent="0.25">
      <c r="A195" s="209"/>
      <c r="B195" s="249" t="s">
        <v>6</v>
      </c>
      <c r="C195" s="250"/>
      <c r="D195" s="29"/>
      <c r="E195" s="29"/>
      <c r="F195" s="29"/>
      <c r="G195" s="29"/>
      <c r="H195" s="30"/>
      <c r="I195" s="29">
        <v>413.65422252000002</v>
      </c>
      <c r="J195" s="29">
        <v>632.38227164</v>
      </c>
      <c r="K195" s="29">
        <v>207.89235851999996</v>
      </c>
      <c r="L195" s="29">
        <v>826.30195091999997</v>
      </c>
      <c r="M195" s="30">
        <f>SUM(I195:L195)</f>
        <v>2080.2308035999999</v>
      </c>
      <c r="N195" s="29">
        <v>1618.1911728599998</v>
      </c>
      <c r="O195" s="29">
        <v>1553.2898293499995</v>
      </c>
      <c r="P195" s="29">
        <v>939.98700000000008</v>
      </c>
      <c r="Q195" s="29">
        <v>3098.4936479999997</v>
      </c>
      <c r="R195" s="30">
        <f>SUM(N195:Q195)</f>
        <v>7209.9616502099989</v>
      </c>
      <c r="S195" s="29">
        <f>71.968334*55.58</f>
        <v>4000.0000037199998</v>
      </c>
      <c r="T195" s="212">
        <f>70.49*37.357294</f>
        <v>2633.3156540599998</v>
      </c>
      <c r="U195" s="52">
        <v>1500</v>
      </c>
      <c r="V195" s="52">
        <v>1000</v>
      </c>
      <c r="W195" s="30">
        <f>+SUM(S195:V195)</f>
        <v>9133.31565778</v>
      </c>
      <c r="X195" s="52">
        <v>500</v>
      </c>
      <c r="Y195" s="52">
        <v>500</v>
      </c>
      <c r="Z195" s="52">
        <v>500</v>
      </c>
      <c r="AA195" s="52">
        <v>500</v>
      </c>
      <c r="AB195" s="30">
        <f>+SUM(X195:AA195)</f>
        <v>2000</v>
      </c>
    </row>
    <row r="196" spans="1:28" outlineLevel="1" x14ac:dyDescent="0.25">
      <c r="A196" s="209"/>
      <c r="B196" s="271" t="s">
        <v>16</v>
      </c>
      <c r="C196" s="272"/>
      <c r="D196" s="59"/>
      <c r="E196" s="59"/>
      <c r="F196" s="59"/>
      <c r="G196" s="59"/>
      <c r="H196" s="94"/>
      <c r="I196" s="59">
        <f>IF((I195)&gt;0,(I195/I194),0)</f>
        <v>7.6348140000000004</v>
      </c>
      <c r="J196" s="59">
        <f>IF((J195)&gt;0,(J195/J194),0)</f>
        <v>11.349287</v>
      </c>
      <c r="K196" s="59">
        <f>IF((K195)&gt;0,(K195/K194),0)</f>
        <v>3.4585319999999995</v>
      </c>
      <c r="L196" s="59">
        <f>IF((L195)&gt;0,(L195/L194),0)</f>
        <v>15.089517000000001</v>
      </c>
      <c r="M196" s="94">
        <f>+SUM(I196:L196)</f>
        <v>37.532150000000001</v>
      </c>
      <c r="N196" s="59">
        <f>IF((N195)&gt;0,(N195/N194),0)</f>
        <v>28.474241999999997</v>
      </c>
      <c r="O196" s="59">
        <f>IF((O195)&gt;0,(O195/O194),0)</f>
        <v>27.428744999999992</v>
      </c>
      <c r="P196" s="59">
        <f>IF((P195)&gt;0,(P195/P194),0)</f>
        <v>17.100000000000001</v>
      </c>
      <c r="Q196" s="59">
        <f>IF((Q195)&gt;0,(Q195/Q194),0)</f>
        <v>58.506299999999996</v>
      </c>
      <c r="R196" s="94">
        <f>+SUM(N196:Q196)</f>
        <v>131.50928699999997</v>
      </c>
      <c r="S196" s="59">
        <f>IF((S195)&gt;0,(S195/S194),0)</f>
        <v>71.968333999999999</v>
      </c>
      <c r="T196" s="59">
        <f>IF((T195)&gt;0,(T195/T194),0)</f>
        <v>37.357294000000003</v>
      </c>
      <c r="U196" s="59">
        <f>IF((U195)&gt;0,(U195/U194),0)</f>
        <v>20</v>
      </c>
      <c r="V196" s="59">
        <f>IF((V195)&gt;0,(V195/V194),0)</f>
        <v>13.333333333333334</v>
      </c>
      <c r="W196" s="94">
        <f>+SUM(S196:V196)</f>
        <v>142.65896133333334</v>
      </c>
      <c r="X196" s="59">
        <f>IF((X195)&gt;0,(X195/X194),0)</f>
        <v>6.666666666666667</v>
      </c>
      <c r="Y196" s="59">
        <f>IF((Y195)&gt;0,(Y195/Y194),0)</f>
        <v>6.666666666666667</v>
      </c>
      <c r="Z196" s="59">
        <f>IF((Z195)&gt;0,(Z195/Z194),0)</f>
        <v>6.666666666666667</v>
      </c>
      <c r="AA196" s="59">
        <f>IF((AA195)&gt;0,(AA195/AA194),0)</f>
        <v>6.666666666666667</v>
      </c>
      <c r="AB196" s="94">
        <f>+SUM(X196:AA196)</f>
        <v>26.666666666666668</v>
      </c>
    </row>
    <row r="197" spans="1:28" ht="18" x14ac:dyDescent="0.4">
      <c r="A197" s="209"/>
      <c r="B197" s="247" t="s">
        <v>19</v>
      </c>
      <c r="C197" s="248"/>
      <c r="D197" s="27" t="s">
        <v>44</v>
      </c>
      <c r="E197" s="27" t="s">
        <v>45</v>
      </c>
      <c r="F197" s="27" t="s">
        <v>46</v>
      </c>
      <c r="G197" s="27" t="s">
        <v>47</v>
      </c>
      <c r="H197" s="74" t="s">
        <v>48</v>
      </c>
      <c r="I197" s="27" t="s">
        <v>37</v>
      </c>
      <c r="J197" s="27" t="s">
        <v>38</v>
      </c>
      <c r="K197" s="27" t="s">
        <v>39</v>
      </c>
      <c r="L197" s="27" t="s">
        <v>40</v>
      </c>
      <c r="M197" s="74" t="s">
        <v>41</v>
      </c>
      <c r="N197" s="27" t="s">
        <v>50</v>
      </c>
      <c r="O197" s="27" t="s">
        <v>51</v>
      </c>
      <c r="P197" s="27" t="s">
        <v>52</v>
      </c>
      <c r="Q197" s="27" t="s">
        <v>53</v>
      </c>
      <c r="R197" s="74" t="s">
        <v>54</v>
      </c>
      <c r="S197" s="27" t="s">
        <v>55</v>
      </c>
      <c r="T197" s="27" t="s">
        <v>182</v>
      </c>
      <c r="U197" s="25" t="s">
        <v>62</v>
      </c>
      <c r="V197" s="25" t="s">
        <v>63</v>
      </c>
      <c r="W197" s="76" t="s">
        <v>64</v>
      </c>
      <c r="X197" s="25" t="s">
        <v>65</v>
      </c>
      <c r="Y197" s="25" t="s">
        <v>66</v>
      </c>
      <c r="Z197" s="25" t="s">
        <v>67</v>
      </c>
      <c r="AA197" s="25" t="s">
        <v>68</v>
      </c>
      <c r="AB197" s="76" t="s">
        <v>69</v>
      </c>
    </row>
    <row r="198" spans="1:28" outlineLevel="1" x14ac:dyDescent="0.25">
      <c r="A198" s="209"/>
      <c r="B198" s="249" t="s">
        <v>154</v>
      </c>
      <c r="C198" s="250"/>
      <c r="D198" s="103"/>
      <c r="E198" s="103"/>
      <c r="F198" s="103">
        <v>0</v>
      </c>
      <c r="G198" s="103">
        <v>0</v>
      </c>
      <c r="H198" s="104"/>
      <c r="I198" s="103"/>
      <c r="J198" s="103"/>
      <c r="K198" s="103">
        <v>-120.2</v>
      </c>
      <c r="L198" s="103">
        <v>-44.6</v>
      </c>
      <c r="M198" s="104"/>
      <c r="N198" s="103">
        <f>-(1.6+30.4)</f>
        <v>-32</v>
      </c>
      <c r="O198" s="103">
        <f>-(0.9+31.3+103)</f>
        <v>-135.19999999999999</v>
      </c>
      <c r="P198" s="103">
        <f>-(18.4+4.3-1)</f>
        <v>-21.7</v>
      </c>
      <c r="Q198" s="103">
        <f>-(11+28.1+10.9)</f>
        <v>-50</v>
      </c>
      <c r="R198" s="104"/>
      <c r="S198" s="103">
        <f>-(22+5.3+0.6+20.9)</f>
        <v>-48.8</v>
      </c>
      <c r="T198" s="29">
        <v>-45.1</v>
      </c>
      <c r="U198" s="29">
        <f>-U23</f>
        <v>-53.170914282240609</v>
      </c>
      <c r="V198" s="29">
        <f>-V23</f>
        <v>-55.568767053342796</v>
      </c>
      <c r="W198" s="30"/>
      <c r="X198" s="29">
        <f>-X23</f>
        <v>-54.388137487371836</v>
      </c>
      <c r="Y198" s="29">
        <f>-Y23</f>
        <v>-47.452235978800196</v>
      </c>
      <c r="Z198" s="29">
        <f>-Z23</f>
        <v>-53.150398290468871</v>
      </c>
      <c r="AA198" s="29">
        <f>-AA23</f>
        <v>-52.99580307730308</v>
      </c>
      <c r="AB198" s="30"/>
    </row>
    <row r="199" spans="1:28" outlineLevel="1" x14ac:dyDescent="0.25">
      <c r="A199" s="209"/>
      <c r="B199" s="63" t="s">
        <v>153</v>
      </c>
      <c r="C199" s="64"/>
      <c r="D199" s="103"/>
      <c r="E199" s="103"/>
      <c r="F199" s="103"/>
      <c r="G199" s="103"/>
      <c r="H199" s="104"/>
      <c r="I199" s="103"/>
      <c r="J199" s="103"/>
      <c r="K199" s="103"/>
      <c r="L199" s="103"/>
      <c r="M199" s="104"/>
      <c r="N199" s="103"/>
      <c r="O199" s="103"/>
      <c r="P199" s="103">
        <f>-(-0.2-0.2+4.6+7.9)</f>
        <v>-12.1</v>
      </c>
      <c r="Q199" s="103">
        <f>-(39.6+9.7)</f>
        <v>-49.3</v>
      </c>
      <c r="R199" s="104"/>
      <c r="S199" s="103">
        <f>-(5.3+0.5)</f>
        <v>-5.8</v>
      </c>
      <c r="T199" s="29">
        <v>-4.3</v>
      </c>
      <c r="U199" s="29"/>
      <c r="V199" s="29"/>
      <c r="W199" s="30"/>
      <c r="X199" s="29"/>
      <c r="Y199" s="29"/>
      <c r="Z199" s="29"/>
      <c r="AA199" s="29"/>
      <c r="AB199" s="30"/>
    </row>
    <row r="200" spans="1:28" outlineLevel="1" x14ac:dyDescent="0.25">
      <c r="A200" s="209"/>
      <c r="B200" s="63" t="s">
        <v>155</v>
      </c>
      <c r="C200" s="64"/>
      <c r="D200" s="103"/>
      <c r="E200" s="103"/>
      <c r="F200" s="103"/>
      <c r="G200" s="103"/>
      <c r="H200" s="104"/>
      <c r="I200" s="103"/>
      <c r="J200" s="103"/>
      <c r="K200" s="103"/>
      <c r="L200" s="103"/>
      <c r="M200" s="104"/>
      <c r="N200" s="103">
        <f>-(14.9+3.6)</f>
        <v>-18.5</v>
      </c>
      <c r="O200" s="103">
        <f>-(63.9+3)</f>
        <v>-66.900000000000006</v>
      </c>
      <c r="P200" s="103">
        <f>-(75.2+0.6)</f>
        <v>-75.8</v>
      </c>
      <c r="Q200" s="103">
        <f>-(62.7+0.4)</f>
        <v>-63.1</v>
      </c>
      <c r="R200" s="104"/>
      <c r="S200" s="103">
        <f>-(60.6-0.3)</f>
        <v>-60.300000000000004</v>
      </c>
      <c r="T200" s="29">
        <v>-68.2</v>
      </c>
      <c r="U200" s="29"/>
      <c r="V200" s="29"/>
      <c r="W200" s="30"/>
      <c r="X200" s="29"/>
      <c r="Y200" s="29"/>
      <c r="Z200" s="29"/>
      <c r="AA200" s="29"/>
      <c r="AB200" s="30"/>
    </row>
    <row r="201" spans="1:28" outlineLevel="1" x14ac:dyDescent="0.25">
      <c r="A201" s="209"/>
      <c r="B201" s="63" t="s">
        <v>156</v>
      </c>
      <c r="C201" s="64"/>
      <c r="D201" s="103"/>
      <c r="E201" s="103"/>
      <c r="F201" s="103"/>
      <c r="G201" s="103"/>
      <c r="H201" s="104"/>
      <c r="I201" s="103"/>
      <c r="J201" s="103"/>
      <c r="K201" s="103"/>
      <c r="L201" s="103"/>
      <c r="M201" s="104"/>
      <c r="N201" s="103"/>
      <c r="O201" s="103"/>
      <c r="P201" s="103">
        <v>-21.7</v>
      </c>
      <c r="Q201" s="103">
        <v>-24.1</v>
      </c>
      <c r="R201" s="104"/>
      <c r="S201" s="103">
        <v>-23.1</v>
      </c>
      <c r="T201" s="29">
        <v>-23.8</v>
      </c>
      <c r="U201" s="29"/>
      <c r="V201" s="29"/>
      <c r="W201" s="30"/>
      <c r="X201" s="29"/>
      <c r="Y201" s="29"/>
      <c r="Z201" s="29"/>
      <c r="AA201" s="29"/>
      <c r="AB201" s="30"/>
    </row>
    <row r="202" spans="1:28" outlineLevel="1" x14ac:dyDescent="0.25">
      <c r="A202" s="209"/>
      <c r="B202" s="63" t="s">
        <v>174</v>
      </c>
      <c r="C202" s="64"/>
      <c r="D202" s="103"/>
      <c r="E202" s="103"/>
      <c r="F202" s="103">
        <v>-2.8</v>
      </c>
      <c r="G202" s="103"/>
      <c r="H202" s="104"/>
      <c r="I202" s="103"/>
      <c r="J202" s="103"/>
      <c r="K202" s="103"/>
      <c r="L202" s="103"/>
      <c r="M202" s="104"/>
      <c r="N202" s="103"/>
      <c r="O202" s="103"/>
      <c r="P202" s="103"/>
      <c r="Q202" s="103"/>
      <c r="R202" s="104"/>
      <c r="S202" s="103"/>
      <c r="T202" s="29"/>
      <c r="U202" s="29"/>
      <c r="V202" s="29"/>
      <c r="W202" s="30"/>
      <c r="X202" s="29"/>
      <c r="Y202" s="29"/>
      <c r="Z202" s="29"/>
      <c r="AA202" s="29"/>
      <c r="AB202" s="30"/>
    </row>
    <row r="203" spans="1:28" outlineLevel="1" x14ac:dyDescent="0.25">
      <c r="A203" s="209"/>
      <c r="B203" s="63" t="s">
        <v>161</v>
      </c>
      <c r="C203" s="64"/>
      <c r="D203" s="103"/>
      <c r="E203" s="103"/>
      <c r="F203" s="103"/>
      <c r="G203" s="103"/>
      <c r="H203" s="104"/>
      <c r="I203" s="103"/>
      <c r="J203" s="103"/>
      <c r="K203" s="103"/>
      <c r="L203" s="103"/>
      <c r="M203" s="104"/>
      <c r="N203" s="103">
        <v>-0.9</v>
      </c>
      <c r="O203" s="103">
        <v>-0.9</v>
      </c>
      <c r="P203" s="103">
        <v>-0.4</v>
      </c>
      <c r="Q203" s="103"/>
      <c r="R203" s="104"/>
      <c r="S203" s="103"/>
      <c r="T203" s="29"/>
      <c r="U203" s="29"/>
      <c r="V203" s="29"/>
      <c r="W203" s="30"/>
      <c r="X203" s="29"/>
      <c r="Y203" s="29"/>
      <c r="Z203" s="29"/>
      <c r="AA203" s="29"/>
      <c r="AB203" s="30"/>
    </row>
    <row r="204" spans="1:28" outlineLevel="1" x14ac:dyDescent="0.25">
      <c r="A204" s="209"/>
      <c r="B204" s="63" t="s">
        <v>160</v>
      </c>
      <c r="C204" s="64"/>
      <c r="D204" s="103"/>
      <c r="E204" s="103"/>
      <c r="F204" s="103"/>
      <c r="G204" s="103"/>
      <c r="H204" s="104"/>
      <c r="I204" s="103"/>
      <c r="J204" s="103"/>
      <c r="K204" s="103"/>
      <c r="L204" s="103"/>
      <c r="M204" s="104"/>
      <c r="N204" s="103"/>
      <c r="O204" s="103">
        <v>-1.6</v>
      </c>
      <c r="P204" s="103"/>
      <c r="Q204" s="103"/>
      <c r="R204" s="104"/>
      <c r="S204" s="103"/>
      <c r="T204" s="29"/>
      <c r="U204" s="29"/>
      <c r="V204" s="29"/>
      <c r="W204" s="30"/>
      <c r="X204" s="29"/>
      <c r="Y204" s="29"/>
      <c r="Z204" s="29"/>
      <c r="AA204" s="29"/>
      <c r="AB204" s="30"/>
    </row>
    <row r="205" spans="1:28" outlineLevel="1" x14ac:dyDescent="0.25">
      <c r="A205" s="209"/>
      <c r="B205" s="63" t="s">
        <v>162</v>
      </c>
      <c r="C205" s="64"/>
      <c r="D205" s="103"/>
      <c r="E205" s="103"/>
      <c r="F205" s="103"/>
      <c r="G205" s="103"/>
      <c r="H205" s="104"/>
      <c r="I205" s="103"/>
      <c r="J205" s="103"/>
      <c r="K205" s="103"/>
      <c r="L205" s="103">
        <v>-1.4</v>
      </c>
      <c r="M205" s="104"/>
      <c r="N205" s="103"/>
      <c r="O205" s="103"/>
      <c r="P205" s="103"/>
      <c r="Q205" s="103"/>
      <c r="R205" s="104"/>
      <c r="S205" s="103"/>
      <c r="T205" s="29"/>
      <c r="U205" s="29"/>
      <c r="V205" s="29"/>
      <c r="W205" s="30"/>
      <c r="X205" s="29"/>
      <c r="Y205" s="29"/>
      <c r="Z205" s="29"/>
      <c r="AA205" s="29"/>
      <c r="AB205" s="30"/>
    </row>
    <row r="206" spans="1:28" outlineLevel="1" x14ac:dyDescent="0.25">
      <c r="A206" s="209"/>
      <c r="B206" s="63" t="s">
        <v>163</v>
      </c>
      <c r="C206" s="64"/>
      <c r="D206" s="103"/>
      <c r="E206" s="103"/>
      <c r="F206" s="103"/>
      <c r="G206" s="103"/>
      <c r="H206" s="104"/>
      <c r="I206" s="103"/>
      <c r="J206" s="103"/>
      <c r="K206" s="103"/>
      <c r="L206" s="103">
        <v>-3.9</v>
      </c>
      <c r="M206" s="104"/>
      <c r="N206" s="103"/>
      <c r="O206" s="103"/>
      <c r="P206" s="103"/>
      <c r="Q206" s="103"/>
      <c r="R206" s="104"/>
      <c r="S206" s="103"/>
      <c r="T206" s="29"/>
      <c r="U206" s="29"/>
      <c r="V206" s="29"/>
      <c r="W206" s="30"/>
      <c r="X206" s="29"/>
      <c r="Y206" s="29"/>
      <c r="Z206" s="29"/>
      <c r="AA206" s="29"/>
      <c r="AB206" s="30"/>
    </row>
    <row r="207" spans="1:28" outlineLevel="1" x14ac:dyDescent="0.25">
      <c r="A207" s="209"/>
      <c r="B207" s="63" t="s">
        <v>164</v>
      </c>
      <c r="C207" s="64"/>
      <c r="D207" s="103">
        <v>-12.3</v>
      </c>
      <c r="E207" s="103">
        <v>-13.9</v>
      </c>
      <c r="F207" s="103">
        <v>-14.5</v>
      </c>
      <c r="G207" s="103">
        <v>-16.7</v>
      </c>
      <c r="H207" s="104"/>
      <c r="I207" s="103">
        <v>-14</v>
      </c>
      <c r="J207" s="103">
        <v>-13.8</v>
      </c>
      <c r="K207" s="103">
        <v>-14</v>
      </c>
      <c r="L207" s="103">
        <v>-15.9</v>
      </c>
      <c r="M207" s="104"/>
      <c r="N207" s="103"/>
      <c r="O207" s="103"/>
      <c r="P207" s="103"/>
      <c r="Q207" s="103"/>
      <c r="R207" s="104"/>
      <c r="S207" s="103"/>
      <c r="T207" s="29"/>
      <c r="U207" s="29"/>
      <c r="V207" s="29"/>
      <c r="W207" s="30"/>
      <c r="X207" s="29"/>
      <c r="Y207" s="29"/>
      <c r="Z207" s="29"/>
      <c r="AA207" s="29"/>
      <c r="AB207" s="30"/>
    </row>
    <row r="208" spans="1:28" outlineLevel="1" x14ac:dyDescent="0.25">
      <c r="A208" s="209"/>
      <c r="B208" s="63" t="s">
        <v>165</v>
      </c>
      <c r="C208" s="64"/>
      <c r="D208" s="103"/>
      <c r="E208" s="103"/>
      <c r="F208" s="103"/>
      <c r="G208" s="103"/>
      <c r="H208" s="104"/>
      <c r="I208" s="103"/>
      <c r="J208" s="103"/>
      <c r="K208" s="103"/>
      <c r="L208" s="103">
        <v>-50</v>
      </c>
      <c r="M208" s="104"/>
      <c r="N208" s="103"/>
      <c r="O208" s="103"/>
      <c r="P208" s="103"/>
      <c r="Q208" s="103"/>
      <c r="R208" s="104"/>
      <c r="S208" s="103"/>
      <c r="T208" s="29"/>
      <c r="U208" s="29"/>
      <c r="V208" s="29"/>
      <c r="W208" s="30"/>
      <c r="X208" s="29"/>
      <c r="Y208" s="29"/>
      <c r="Z208" s="29"/>
      <c r="AA208" s="29"/>
      <c r="AB208" s="30"/>
    </row>
    <row r="209" spans="1:28" ht="17.25" outlineLevel="1" x14ac:dyDescent="0.4">
      <c r="A209" s="209"/>
      <c r="B209" s="63" t="s">
        <v>177</v>
      </c>
      <c r="C209" s="64"/>
      <c r="D209" s="107">
        <v>0</v>
      </c>
      <c r="E209" s="107">
        <v>0</v>
      </c>
      <c r="F209" s="107">
        <v>0</v>
      </c>
      <c r="G209" s="107">
        <v>0</v>
      </c>
      <c r="H209" s="108"/>
      <c r="I209" s="107">
        <v>0</v>
      </c>
      <c r="J209" s="107">
        <v>0</v>
      </c>
      <c r="K209" s="107">
        <v>0</v>
      </c>
      <c r="L209" s="107">
        <v>0</v>
      </c>
      <c r="M209" s="108"/>
      <c r="N209" s="107">
        <v>0</v>
      </c>
      <c r="O209" s="107">
        <v>0</v>
      </c>
      <c r="P209" s="107">
        <v>0</v>
      </c>
      <c r="Q209" s="107">
        <v>0</v>
      </c>
      <c r="R209" s="108"/>
      <c r="S209" s="107">
        <v>0</v>
      </c>
      <c r="T209" s="227">
        <v>0</v>
      </c>
      <c r="U209" s="51">
        <v>-67.16793990864285</v>
      </c>
      <c r="V209" s="51">
        <v>-84.883905825760507</v>
      </c>
      <c r="W209" s="33"/>
      <c r="X209" s="51">
        <v>-81.038510857843477</v>
      </c>
      <c r="Y209" s="51">
        <f>AVERAGE(T209,U209,V209,X209)-10</f>
        <v>-68.272589148061712</v>
      </c>
      <c r="Z209" s="51">
        <f>AVERAGE(U209,V209,X209,Y209)-10</f>
        <v>-85.340736435077133</v>
      </c>
      <c r="AA209" s="51">
        <f>AVERAGE(V209,X209,Y209,Z209)-10</f>
        <v>-89.883935566685707</v>
      </c>
      <c r="AB209" s="30"/>
    </row>
    <row r="210" spans="1:28" s="21" customFormat="1" outlineLevel="1" x14ac:dyDescent="0.25">
      <c r="A210" s="224"/>
      <c r="B210" s="67" t="s">
        <v>157</v>
      </c>
      <c r="C210" s="68"/>
      <c r="D210" s="105">
        <f>SUM(D198:D209)</f>
        <v>-12.3</v>
      </c>
      <c r="E210" s="105">
        <f>SUM(E198:E209)</f>
        <v>-13.9</v>
      </c>
      <c r="F210" s="105">
        <f>SUM(F198:F209)</f>
        <v>-17.3</v>
      </c>
      <c r="G210" s="105">
        <f>SUM(G198:G209)</f>
        <v>-16.7</v>
      </c>
      <c r="H210" s="106"/>
      <c r="I210" s="105">
        <f>SUM(I198:I209)</f>
        <v>-14</v>
      </c>
      <c r="J210" s="105">
        <f>SUM(J198:J209)</f>
        <v>-13.8</v>
      </c>
      <c r="K210" s="105">
        <f>SUM(K198:K209)</f>
        <v>-134.19999999999999</v>
      </c>
      <c r="L210" s="105">
        <f>SUM(L198:L209)</f>
        <v>-115.8</v>
      </c>
      <c r="M210" s="106"/>
      <c r="N210" s="105">
        <f>SUM(N198:N209)</f>
        <v>-51.4</v>
      </c>
      <c r="O210" s="105">
        <f>SUM(O198:O209)</f>
        <v>-204.6</v>
      </c>
      <c r="P210" s="105">
        <f>SUM(P198:P209)</f>
        <v>-131.69999999999999</v>
      </c>
      <c r="Q210" s="105">
        <f>SUM(Q198:Q209)</f>
        <v>-186.5</v>
      </c>
      <c r="R210" s="106"/>
      <c r="S210" s="105">
        <f>SUM(S198:S209)</f>
        <v>-138</v>
      </c>
      <c r="T210" s="105">
        <f t="shared" ref="T210:AA210" si="428">SUM(T198:T209)</f>
        <v>-141.4</v>
      </c>
      <c r="U210" s="105">
        <f t="shared" si="428"/>
        <v>-120.33885419088347</v>
      </c>
      <c r="V210" s="105">
        <f t="shared" si="428"/>
        <v>-140.45267287910332</v>
      </c>
      <c r="W210" s="106">
        <f t="shared" si="428"/>
        <v>0</v>
      </c>
      <c r="X210" s="105">
        <f t="shared" si="428"/>
        <v>-135.42664834521531</v>
      </c>
      <c r="Y210" s="105">
        <f t="shared" si="428"/>
        <v>-115.7248251268619</v>
      </c>
      <c r="Z210" s="105">
        <f t="shared" si="428"/>
        <v>-138.491134725546</v>
      </c>
      <c r="AA210" s="105">
        <f t="shared" si="428"/>
        <v>-142.87973864398879</v>
      </c>
      <c r="AB210" s="37"/>
    </row>
    <row r="211" spans="1:28" ht="17.25" outlineLevel="1" x14ac:dyDescent="0.4">
      <c r="A211" s="209"/>
      <c r="B211" s="63" t="s">
        <v>166</v>
      </c>
      <c r="C211" s="64"/>
      <c r="D211" s="107">
        <v>0</v>
      </c>
      <c r="E211" s="107">
        <v>0</v>
      </c>
      <c r="F211" s="107">
        <v>0</v>
      </c>
      <c r="G211" s="107">
        <v>-137.30000000000001</v>
      </c>
      <c r="H211" s="104"/>
      <c r="I211" s="107">
        <v>0</v>
      </c>
      <c r="J211" s="107">
        <v>0</v>
      </c>
      <c r="K211" s="107">
        <v>0</v>
      </c>
      <c r="L211" s="107">
        <v>0</v>
      </c>
      <c r="M211" s="108"/>
      <c r="N211" s="107">
        <v>0</v>
      </c>
      <c r="O211" s="107">
        <v>0</v>
      </c>
      <c r="P211" s="107">
        <v>0</v>
      </c>
      <c r="Q211" s="107">
        <v>0</v>
      </c>
      <c r="R211" s="108"/>
      <c r="S211" s="107">
        <v>0</v>
      </c>
      <c r="T211" s="107">
        <v>0</v>
      </c>
      <c r="U211" s="107">
        <v>0</v>
      </c>
      <c r="V211" s="107">
        <v>0</v>
      </c>
      <c r="W211" s="30"/>
      <c r="X211" s="107">
        <v>0</v>
      </c>
      <c r="Y211" s="107">
        <v>0</v>
      </c>
      <c r="Z211" s="107">
        <v>0</v>
      </c>
      <c r="AA211" s="107">
        <v>0</v>
      </c>
      <c r="AB211" s="30"/>
    </row>
    <row r="212" spans="1:28" s="21" customFormat="1" outlineLevel="1" x14ac:dyDescent="0.25">
      <c r="A212" s="224"/>
      <c r="B212" s="67" t="s">
        <v>158</v>
      </c>
      <c r="C212" s="68"/>
      <c r="D212" s="105">
        <f t="shared" ref="D212:F212" si="429">-D210+D211</f>
        <v>12.3</v>
      </c>
      <c r="E212" s="105">
        <f t="shared" si="429"/>
        <v>13.9</v>
      </c>
      <c r="F212" s="105">
        <f t="shared" si="429"/>
        <v>17.3</v>
      </c>
      <c r="G212" s="105">
        <f>-G210+G211</f>
        <v>-120.60000000000001</v>
      </c>
      <c r="H212" s="106"/>
      <c r="I212" s="105">
        <f t="shared" ref="I212:S212" si="430">-I210+I211</f>
        <v>14</v>
      </c>
      <c r="J212" s="105">
        <f t="shared" si="430"/>
        <v>13.8</v>
      </c>
      <c r="K212" s="105">
        <f t="shared" si="430"/>
        <v>134.19999999999999</v>
      </c>
      <c r="L212" s="105">
        <f t="shared" si="430"/>
        <v>115.8</v>
      </c>
      <c r="M212" s="106"/>
      <c r="N212" s="105">
        <f t="shared" si="430"/>
        <v>51.4</v>
      </c>
      <c r="O212" s="105">
        <f t="shared" si="430"/>
        <v>204.6</v>
      </c>
      <c r="P212" s="105">
        <f t="shared" si="430"/>
        <v>131.69999999999999</v>
      </c>
      <c r="Q212" s="105">
        <f t="shared" si="430"/>
        <v>186.5</v>
      </c>
      <c r="R212" s="106"/>
      <c r="S212" s="105">
        <f t="shared" si="430"/>
        <v>138</v>
      </c>
      <c r="T212" s="105">
        <f t="shared" ref="T212:V212" si="431">-T210+T211</f>
        <v>141.4</v>
      </c>
      <c r="U212" s="105">
        <f t="shared" si="431"/>
        <v>120.33885419088347</v>
      </c>
      <c r="V212" s="105">
        <f t="shared" si="431"/>
        <v>140.45267287910332</v>
      </c>
      <c r="W212" s="37"/>
      <c r="X212" s="105">
        <f t="shared" ref="X212:AA212" si="432">-X210+X211</f>
        <v>135.42664834521531</v>
      </c>
      <c r="Y212" s="105">
        <f t="shared" si="432"/>
        <v>115.7248251268619</v>
      </c>
      <c r="Z212" s="105">
        <f t="shared" si="432"/>
        <v>138.491134725546</v>
      </c>
      <c r="AA212" s="105">
        <f t="shared" si="432"/>
        <v>142.87973864398879</v>
      </c>
      <c r="AB212" s="37"/>
    </row>
    <row r="213" spans="1:28" outlineLevel="1" x14ac:dyDescent="0.25">
      <c r="A213" s="209"/>
      <c r="B213" s="63" t="s">
        <v>159</v>
      </c>
      <c r="C213" s="64"/>
      <c r="D213" s="103">
        <v>0</v>
      </c>
      <c r="E213" s="103">
        <v>0</v>
      </c>
      <c r="F213" s="103">
        <v>0</v>
      </c>
      <c r="G213" s="103">
        <v>0</v>
      </c>
      <c r="H213" s="104"/>
      <c r="I213" s="103">
        <v>0</v>
      </c>
      <c r="J213" s="103">
        <v>0</v>
      </c>
      <c r="K213" s="103">
        <v>0</v>
      </c>
      <c r="L213" s="103">
        <v>0</v>
      </c>
      <c r="M213" s="104"/>
      <c r="N213" s="103">
        <f>1326.3+500.9</f>
        <v>1827.1999999999998</v>
      </c>
      <c r="O213" s="103">
        <f>47.6-4.9</f>
        <v>42.7</v>
      </c>
      <c r="P213" s="103">
        <v>2.5</v>
      </c>
      <c r="Q213" s="103">
        <v>2.9</v>
      </c>
      <c r="R213" s="104"/>
      <c r="S213" s="103">
        <v>0</v>
      </c>
      <c r="T213" s="212">
        <f>-0.02*T40</f>
        <v>-25.014000000000003</v>
      </c>
      <c r="U213" s="52">
        <v>0</v>
      </c>
      <c r="V213" s="52">
        <v>0</v>
      </c>
      <c r="W213" s="30"/>
      <c r="X213" s="52">
        <v>0</v>
      </c>
      <c r="Y213" s="52">
        <v>0</v>
      </c>
      <c r="Z213" s="52">
        <v>0</v>
      </c>
      <c r="AA213" s="52">
        <v>0</v>
      </c>
      <c r="AB213" s="30"/>
    </row>
    <row r="214" spans="1:28" outlineLevel="1" x14ac:dyDescent="0.25">
      <c r="A214" s="209"/>
      <c r="B214" s="63" t="s">
        <v>172</v>
      </c>
      <c r="C214" s="64"/>
      <c r="D214" s="103">
        <v>2</v>
      </c>
      <c r="E214" s="103">
        <v>3</v>
      </c>
      <c r="F214" s="103">
        <v>46.542999999999431</v>
      </c>
      <c r="G214" s="103">
        <v>59.443863153953373</v>
      </c>
      <c r="H214" s="104"/>
      <c r="I214" s="103">
        <v>2.5</v>
      </c>
      <c r="J214" s="103">
        <v>2</v>
      </c>
      <c r="K214" s="103">
        <v>23.130000000000553</v>
      </c>
      <c r="L214" s="103">
        <v>106.13999999999947</v>
      </c>
      <c r="M214" s="104"/>
      <c r="N214" s="103">
        <v>-458.08999999999958</v>
      </c>
      <c r="O214" s="103">
        <v>76.502000000000038</v>
      </c>
      <c r="P214" s="103">
        <v>120.8300000000003</v>
      </c>
      <c r="Q214" s="103">
        <v>103.15599999999993</v>
      </c>
      <c r="R214" s="104"/>
      <c r="S214" s="103">
        <v>-41.449999999998646</v>
      </c>
      <c r="T214" s="29">
        <v>79.193999999999548</v>
      </c>
      <c r="U214" s="29">
        <f>+U212*U215</f>
        <v>24.067770838176695</v>
      </c>
      <c r="V214" s="29">
        <f t="shared" ref="V214" si="433">+V212*V215</f>
        <v>28.090534575820666</v>
      </c>
      <c r="W214" s="30"/>
      <c r="X214" s="29">
        <f>+X212*X215</f>
        <v>27.085329669043062</v>
      </c>
      <c r="Y214" s="29">
        <f>+Y212*Y215</f>
        <v>23.144965025372382</v>
      </c>
      <c r="Z214" s="29">
        <f t="shared" ref="Z214" si="434">+Z212*Z215</f>
        <v>27.698226945109202</v>
      </c>
      <c r="AA214" s="29">
        <f t="shared" ref="AA214" si="435">+AA212*AA215</f>
        <v>28.575947728797757</v>
      </c>
      <c r="AB214" s="30"/>
    </row>
    <row r="215" spans="1:28" outlineLevel="1" x14ac:dyDescent="0.25">
      <c r="A215" s="209"/>
      <c r="B215" s="70" t="s">
        <v>173</v>
      </c>
      <c r="C215" s="91"/>
      <c r="D215" s="195">
        <f t="shared" ref="D215:F215" si="436">D214/D212</f>
        <v>0.16260162601626016</v>
      </c>
      <c r="E215" s="195">
        <f t="shared" si="436"/>
        <v>0.21582733812949639</v>
      </c>
      <c r="F215" s="195">
        <f t="shared" si="436"/>
        <v>2.6903468208092156</v>
      </c>
      <c r="G215" s="195">
        <f>G214/G212</f>
        <v>-0.49290102117705942</v>
      </c>
      <c r="H215" s="94"/>
      <c r="I215" s="195">
        <f t="shared" ref="I215" si="437">I214/I212</f>
        <v>0.17857142857142858</v>
      </c>
      <c r="J215" s="195">
        <f t="shared" ref="J215" si="438">J214/J212</f>
        <v>0.14492753623188406</v>
      </c>
      <c r="K215" s="195">
        <f t="shared" ref="K215" si="439">K214/K212</f>
        <v>0.17235469448584617</v>
      </c>
      <c r="L215" s="195">
        <f>L214/L212</f>
        <v>0.91658031088082448</v>
      </c>
      <c r="M215" s="94"/>
      <c r="N215" s="195">
        <f t="shared" ref="N215" si="440">N214/N212</f>
        <v>-8.9122568093385137</v>
      </c>
      <c r="O215" s="195">
        <f t="shared" ref="O215" si="441">O214/O212</f>
        <v>0.37391006842619767</v>
      </c>
      <c r="P215" s="195">
        <f t="shared" ref="P215" si="442">P214/P212</f>
        <v>0.91746393318147534</v>
      </c>
      <c r="Q215" s="195">
        <f>Q214/Q212</f>
        <v>0.55311528150134015</v>
      </c>
      <c r="R215" s="94"/>
      <c r="S215" s="195">
        <f t="shared" ref="S215:T215" si="443">S214/S212</f>
        <v>-0.30036231884056991</v>
      </c>
      <c r="T215" s="195">
        <f t="shared" si="443"/>
        <v>0.56007072135784686</v>
      </c>
      <c r="U215" s="196">
        <v>0.2</v>
      </c>
      <c r="V215" s="196">
        <v>0.2</v>
      </c>
      <c r="W215" s="61"/>
      <c r="X215" s="196">
        <v>0.2</v>
      </c>
      <c r="Y215" s="196">
        <v>0.2</v>
      </c>
      <c r="Z215" s="196">
        <v>0.2</v>
      </c>
      <c r="AA215" s="196">
        <v>0.2</v>
      </c>
      <c r="AB215" s="61"/>
    </row>
    <row r="216" spans="1:28" x14ac:dyDescent="0.25">
      <c r="B216" s="294" t="s">
        <v>187</v>
      </c>
      <c r="C216" s="294"/>
      <c r="D216" s="295"/>
      <c r="E216" s="295"/>
      <c r="F216" s="295"/>
      <c r="G216" s="295"/>
      <c r="H216" s="295"/>
      <c r="I216" s="295"/>
      <c r="J216" s="295"/>
      <c r="K216" s="295"/>
      <c r="L216" s="295"/>
      <c r="M216" s="296">
        <f>M68+M102+M137</f>
        <v>2320</v>
      </c>
      <c r="N216" s="296">
        <f t="shared" ref="M216:AB216" si="444">N68+N102+N137</f>
        <v>701</v>
      </c>
      <c r="O216" s="296">
        <f t="shared" si="444"/>
        <v>467</v>
      </c>
      <c r="P216" s="296">
        <f t="shared" si="444"/>
        <v>513</v>
      </c>
      <c r="Q216" s="296">
        <f t="shared" si="444"/>
        <v>611</v>
      </c>
      <c r="R216" s="296">
        <f t="shared" si="444"/>
        <v>2292</v>
      </c>
      <c r="S216" s="296">
        <f t="shared" si="444"/>
        <v>550</v>
      </c>
      <c r="T216" s="296">
        <f t="shared" si="444"/>
        <v>317</v>
      </c>
      <c r="U216" s="296">
        <f t="shared" si="444"/>
        <v>685</v>
      </c>
      <c r="V216" s="296">
        <f t="shared" si="444"/>
        <v>742</v>
      </c>
      <c r="W216" s="296">
        <f t="shared" si="444"/>
        <v>2294</v>
      </c>
      <c r="X216" s="296">
        <f t="shared" si="444"/>
        <v>558.25</v>
      </c>
      <c r="Y216" s="296">
        <f t="shared" si="444"/>
        <v>499.8125</v>
      </c>
      <c r="Z216" s="296">
        <f t="shared" si="444"/>
        <v>530.765625</v>
      </c>
      <c r="AA216" s="296">
        <f t="shared" si="444"/>
        <v>524.70703125</v>
      </c>
      <c r="AB216" s="296">
        <f t="shared" si="444"/>
        <v>2113.53515625</v>
      </c>
    </row>
    <row r="217" spans="1:28" x14ac:dyDescent="0.25">
      <c r="M217" s="14"/>
      <c r="N217" s="14"/>
      <c r="O217" s="14"/>
      <c r="P217" s="14"/>
      <c r="Q217" s="14"/>
      <c r="R217" s="14"/>
      <c r="S217" s="14"/>
      <c r="T217" s="14"/>
      <c r="U217" s="14"/>
      <c r="V217" s="14"/>
      <c r="W217" s="14"/>
      <c r="X217" s="14"/>
      <c r="Y217" s="14"/>
      <c r="Z217" s="14"/>
      <c r="AA217" s="14"/>
      <c r="AB217" s="14"/>
    </row>
  </sheetData>
  <dataConsolidate/>
  <mergeCells count="68">
    <mergeCell ref="A11:A12"/>
    <mergeCell ref="B48:C48"/>
    <mergeCell ref="B193:C193"/>
    <mergeCell ref="B192:C192"/>
    <mergeCell ref="B190:C190"/>
    <mergeCell ref="B180:C180"/>
    <mergeCell ref="B189:C189"/>
    <mergeCell ref="B188:C188"/>
    <mergeCell ref="B191:C191"/>
    <mergeCell ref="B187:C187"/>
    <mergeCell ref="B186:C186"/>
    <mergeCell ref="B11:C11"/>
    <mergeCell ref="B13:C13"/>
    <mergeCell ref="B14:C14"/>
    <mergeCell ref="B15:C15"/>
    <mergeCell ref="B17:C17"/>
    <mergeCell ref="B2:C2"/>
    <mergeCell ref="B196:C196"/>
    <mergeCell ref="B195:C195"/>
    <mergeCell ref="B3:C3"/>
    <mergeCell ref="B4:C4"/>
    <mergeCell ref="B5:C5"/>
    <mergeCell ref="B194:C194"/>
    <mergeCell ref="B12:C12"/>
    <mergeCell ref="B42:C42"/>
    <mergeCell ref="B41:C41"/>
    <mergeCell ref="B40:C40"/>
    <mergeCell ref="B39:C39"/>
    <mergeCell ref="B34:C34"/>
    <mergeCell ref="B16:C16"/>
    <mergeCell ref="B33:C33"/>
    <mergeCell ref="B32:C32"/>
    <mergeCell ref="B25:C25"/>
    <mergeCell ref="B151:C151"/>
    <mergeCell ref="B133:C133"/>
    <mergeCell ref="B134:C134"/>
    <mergeCell ref="B138:C138"/>
    <mergeCell ref="B139:C139"/>
    <mergeCell ref="B150:C150"/>
    <mergeCell ref="B117:C117"/>
    <mergeCell ref="B65:C65"/>
    <mergeCell ref="B70:C70"/>
    <mergeCell ref="B71:C71"/>
    <mergeCell ref="B49:C49"/>
    <mergeCell ref="B60:C60"/>
    <mergeCell ref="B64:C64"/>
    <mergeCell ref="B168:C168"/>
    <mergeCell ref="B170:C170"/>
    <mergeCell ref="B172:C172"/>
    <mergeCell ref="B153:C153"/>
    <mergeCell ref="B165:C165"/>
    <mergeCell ref="B166:C166"/>
    <mergeCell ref="B197:C197"/>
    <mergeCell ref="B198:C198"/>
    <mergeCell ref="B47:C47"/>
    <mergeCell ref="B46:C46"/>
    <mergeCell ref="B57:C57"/>
    <mergeCell ref="B104:C104"/>
    <mergeCell ref="B105:C105"/>
    <mergeCell ref="B118:C118"/>
    <mergeCell ref="B126:C126"/>
    <mergeCell ref="B129:C129"/>
    <mergeCell ref="B82:C82"/>
    <mergeCell ref="B83:C83"/>
    <mergeCell ref="B91:C91"/>
    <mergeCell ref="B94:C94"/>
    <mergeCell ref="B98:C98"/>
    <mergeCell ref="B99:C99"/>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topLeftCell="A7" zoomScaleNormal="100" workbookViewId="0">
      <selection activeCell="D25" sqref="D25"/>
    </sheetView>
  </sheetViews>
  <sheetFormatPr defaultColWidth="9.140625" defaultRowHeight="15" x14ac:dyDescent="0.25"/>
  <cols>
    <col min="1" max="1" width="1.140625" customWidth="1"/>
    <col min="2" max="2" width="22.5703125" customWidth="1"/>
    <col min="3" max="10" width="12.42578125" customWidth="1"/>
    <col min="11" max="11" width="1.140625" customWidth="1"/>
    <col min="12" max="12" width="22.5703125" customWidth="1"/>
    <col min="13" max="20" width="12.42578125" customWidth="1"/>
  </cols>
  <sheetData>
    <row r="1" spans="2:14" x14ac:dyDescent="0.25">
      <c r="B1" s="88" t="s">
        <v>185</v>
      </c>
    </row>
    <row r="2" spans="2:14" x14ac:dyDescent="0.25">
      <c r="B2" s="88"/>
    </row>
    <row r="3" spans="2:14" x14ac:dyDescent="0.25">
      <c r="B3" s="88"/>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86"/>
      <c r="I7" s="286"/>
      <c r="J7" s="286"/>
      <c r="K7" s="286"/>
      <c r="L7" s="286"/>
      <c r="M7" s="286"/>
      <c r="N7" s="286"/>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8"/>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8"/>
    </row>
    <row r="41" spans="2:2" x14ac:dyDescent="0.25">
      <c r="B41" s="88"/>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2019-07-23T13:52:38Z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