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8E46572A-AC77-4F1D-A9CD-EEF1E896F58F}" xr6:coauthVersionLast="43" xr6:coauthVersionMax="43" xr10:uidLastSave="{00000000-0000-0000-0000-000000000000}"/>
  <bookViews>
    <workbookView xWindow="1515" yWindow="1515" windowWidth="24255" windowHeight="13680"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3" l="1"/>
  <c r="D16" i="3"/>
  <c r="D24" i="3"/>
  <c r="D26" i="3"/>
  <c r="D32" i="3" s="1"/>
  <c r="D34" i="3" s="1"/>
  <c r="D36" i="3" s="1"/>
  <c r="E16" i="3"/>
  <c r="E24" i="3"/>
  <c r="F16" i="3"/>
  <c r="F24" i="3"/>
  <c r="G16" i="3"/>
  <c r="G19" i="3"/>
  <c r="G20" i="3"/>
  <c r="G21" i="3"/>
  <c r="H21" i="3" s="1"/>
  <c r="G22" i="3"/>
  <c r="G17" i="3"/>
  <c r="G25" i="3"/>
  <c r="H25" i="3" s="1"/>
  <c r="G30" i="3"/>
  <c r="H30" i="3" s="1"/>
  <c r="G31" i="3"/>
  <c r="G33" i="3"/>
  <c r="M13" i="3"/>
  <c r="M14" i="3"/>
  <c r="M15" i="3"/>
  <c r="M19" i="3"/>
  <c r="M20" i="3"/>
  <c r="M21" i="3"/>
  <c r="M22" i="3"/>
  <c r="M23" i="3"/>
  <c r="M17" i="3"/>
  <c r="M24" i="3"/>
  <c r="M25" i="3"/>
  <c r="L30" i="3"/>
  <c r="M30" i="3"/>
  <c r="L31" i="3"/>
  <c r="M31" i="3" s="1"/>
  <c r="M29" i="3"/>
  <c r="L33" i="3"/>
  <c r="M33" i="3"/>
  <c r="R13" i="3"/>
  <c r="R16" i="3" s="1"/>
  <c r="R14" i="3"/>
  <c r="R15" i="3"/>
  <c r="R19" i="3"/>
  <c r="R20" i="3"/>
  <c r="R21" i="3"/>
  <c r="R22" i="3"/>
  <c r="R23" i="3"/>
  <c r="R17" i="3"/>
  <c r="R25" i="3"/>
  <c r="N30" i="3"/>
  <c r="Q30" i="3"/>
  <c r="R30" i="3" s="1"/>
  <c r="R31" i="3"/>
  <c r="N29" i="3"/>
  <c r="O29" i="3"/>
  <c r="R29" i="3" s="1"/>
  <c r="R33" i="3"/>
  <c r="S16" i="3"/>
  <c r="S24" i="3"/>
  <c r="T16" i="3"/>
  <c r="T26" i="3" s="1"/>
  <c r="T32" i="3" s="1"/>
  <c r="T24" i="3"/>
  <c r="U51" i="3"/>
  <c r="P52" i="3"/>
  <c r="U52" i="3" s="1"/>
  <c r="T51" i="3"/>
  <c r="T58" i="3"/>
  <c r="S51" i="3"/>
  <c r="S58" i="3"/>
  <c r="Q51" i="3"/>
  <c r="Q58" i="3"/>
  <c r="Q56" i="3" s="1"/>
  <c r="Q59" i="3" s="1"/>
  <c r="P51" i="3"/>
  <c r="P58" i="3"/>
  <c r="P56" i="3"/>
  <c r="P59" i="3" s="1"/>
  <c r="U84" i="3"/>
  <c r="P85" i="3"/>
  <c r="U85" i="3" s="1"/>
  <c r="T84" i="3"/>
  <c r="T89" i="3" s="1"/>
  <c r="T92" i="3" s="1"/>
  <c r="T91" i="3"/>
  <c r="S84" i="3"/>
  <c r="S91" i="3"/>
  <c r="U118" i="3"/>
  <c r="P119" i="3"/>
  <c r="U119" i="3"/>
  <c r="T118" i="3"/>
  <c r="T123" i="3" s="1"/>
  <c r="T126" i="3" s="1"/>
  <c r="T125" i="3"/>
  <c r="S118" i="3"/>
  <c r="S123" i="3" s="1"/>
  <c r="S126" i="3" s="1"/>
  <c r="S125" i="3"/>
  <c r="Q118" i="3"/>
  <c r="Q123" i="3" s="1"/>
  <c r="Q125" i="3"/>
  <c r="P118" i="3"/>
  <c r="P125" i="3"/>
  <c r="U164" i="3"/>
  <c r="U60" i="3"/>
  <c r="U62" i="3" s="1"/>
  <c r="P62" i="3"/>
  <c r="P63" i="3" s="1"/>
  <c r="U63" i="3" s="1"/>
  <c r="Z63" i="3" s="1"/>
  <c r="U93" i="3"/>
  <c r="U95" i="3"/>
  <c r="P95" i="3"/>
  <c r="P96" i="3" s="1"/>
  <c r="U96" i="3" s="1"/>
  <c r="Z96" i="3" s="1"/>
  <c r="U127" i="3"/>
  <c r="U129" i="3" s="1"/>
  <c r="P129" i="3"/>
  <c r="P130" i="3"/>
  <c r="U130" i="3" s="1"/>
  <c r="S167" i="3"/>
  <c r="Q167" i="3"/>
  <c r="P167" i="3"/>
  <c r="U65" i="3"/>
  <c r="U98" i="3"/>
  <c r="Z98" i="3" s="1"/>
  <c r="T133" i="3"/>
  <c r="U133" i="3" s="1"/>
  <c r="S133" i="3"/>
  <c r="T150" i="3"/>
  <c r="S150" i="3"/>
  <c r="Q150" i="3"/>
  <c r="P150" i="3"/>
  <c r="T169" i="3"/>
  <c r="S169" i="3"/>
  <c r="Q169" i="3"/>
  <c r="P169" i="3"/>
  <c r="U169" i="3" s="1"/>
  <c r="T76" i="3"/>
  <c r="T79" i="3" s="1"/>
  <c r="T80" i="3" s="1"/>
  <c r="T109" i="3"/>
  <c r="T113" i="3" s="1"/>
  <c r="T143" i="3"/>
  <c r="T146" i="3" s="1"/>
  <c r="T157" i="3"/>
  <c r="T161" i="3" s="1"/>
  <c r="T162" i="3" s="1"/>
  <c r="Y162" i="3" s="1"/>
  <c r="U171" i="3"/>
  <c r="U172" i="3"/>
  <c r="V172" i="3" s="1"/>
  <c r="U174" i="3"/>
  <c r="V174" i="3" s="1"/>
  <c r="U175" i="3"/>
  <c r="U170" i="3"/>
  <c r="U110" i="3"/>
  <c r="V110" i="3" s="1"/>
  <c r="U158" i="3"/>
  <c r="V158" i="3" s="1"/>
  <c r="V51" i="3"/>
  <c r="Q52" i="3"/>
  <c r="V52" i="3" s="1"/>
  <c r="V84" i="3"/>
  <c r="Q85" i="3"/>
  <c r="V88" i="3"/>
  <c r="X88" i="3" s="1"/>
  <c r="Y88" i="3" s="1"/>
  <c r="Z88" i="3" s="1"/>
  <c r="V118" i="3"/>
  <c r="Q119" i="3"/>
  <c r="V119" i="3" s="1"/>
  <c r="V164" i="3"/>
  <c r="Q62" i="3"/>
  <c r="Q63" i="3" s="1"/>
  <c r="V63" i="3" s="1"/>
  <c r="AA63" i="3" s="1"/>
  <c r="V93" i="3"/>
  <c r="V95" i="3" s="1"/>
  <c r="Q95" i="3"/>
  <c r="Q96" i="3"/>
  <c r="V96" i="3" s="1"/>
  <c r="V127" i="3"/>
  <c r="X127" i="3" s="1"/>
  <c r="Y127" i="3" s="1"/>
  <c r="Q129" i="3"/>
  <c r="Q130" i="3"/>
  <c r="V130" i="3" s="1"/>
  <c r="AA130" i="3" s="1"/>
  <c r="V65" i="3"/>
  <c r="V98" i="3"/>
  <c r="V149" i="3"/>
  <c r="V171" i="3"/>
  <c r="V21" i="3"/>
  <c r="W21" i="3" s="1"/>
  <c r="V175" i="3"/>
  <c r="X175" i="3" s="1"/>
  <c r="Y175" i="3" s="1"/>
  <c r="Z175" i="3" s="1"/>
  <c r="AA175" i="3" s="1"/>
  <c r="V170" i="3"/>
  <c r="U194" i="3"/>
  <c r="U39" i="3" s="1"/>
  <c r="V39" i="3" s="1"/>
  <c r="Q16" i="3"/>
  <c r="P16" i="3"/>
  <c r="N16" i="3"/>
  <c r="N18" i="3" s="1"/>
  <c r="N24" i="3"/>
  <c r="O16" i="3"/>
  <c r="O26" i="3" s="1"/>
  <c r="O24" i="3"/>
  <c r="O32" i="3"/>
  <c r="O34" i="3" s="1"/>
  <c r="O36" i="3" s="1"/>
  <c r="P24" i="3"/>
  <c r="P26" i="3" s="1"/>
  <c r="P32" i="3" s="1"/>
  <c r="Q24" i="3"/>
  <c r="Q26" i="3" s="1"/>
  <c r="Q32" i="3" s="1"/>
  <c r="Q34" i="3" s="1"/>
  <c r="W30" i="3"/>
  <c r="W31" i="3"/>
  <c r="W29" i="3"/>
  <c r="Y51" i="3"/>
  <c r="O52" i="3"/>
  <c r="T52" i="3" s="1"/>
  <c r="Y84" i="3"/>
  <c r="O85" i="3"/>
  <c r="T85" i="3" s="1"/>
  <c r="Y85" i="3" s="1"/>
  <c r="Y118" i="3"/>
  <c r="O119" i="3"/>
  <c r="T119" i="3" s="1"/>
  <c r="Y164" i="3"/>
  <c r="S61" i="3"/>
  <c r="X61" i="3" s="1"/>
  <c r="Y61" i="3" s="1"/>
  <c r="Z61" i="3" s="1"/>
  <c r="T62" i="3"/>
  <c r="T63" i="3" s="1"/>
  <c r="Y63" i="3" s="1"/>
  <c r="S94" i="3"/>
  <c r="X94" i="3" s="1"/>
  <c r="X101" i="3" s="1"/>
  <c r="T95" i="3"/>
  <c r="T96" i="3" s="1"/>
  <c r="Y96" i="3" s="1"/>
  <c r="Y129" i="3"/>
  <c r="T129" i="3"/>
  <c r="T130" i="3" s="1"/>
  <c r="Y130" i="3" s="1"/>
  <c r="Y65" i="3"/>
  <c r="Y98" i="3"/>
  <c r="Y149" i="3"/>
  <c r="T69" i="3"/>
  <c r="X65" i="3"/>
  <c r="S62" i="3"/>
  <c r="S63" i="3" s="1"/>
  <c r="X63" i="3" s="1"/>
  <c r="X51" i="3"/>
  <c r="N52" i="3"/>
  <c r="S52" i="3"/>
  <c r="T102" i="3"/>
  <c r="X98" i="3"/>
  <c r="S95" i="3"/>
  <c r="S96" i="3" s="1"/>
  <c r="X96" i="3" s="1"/>
  <c r="X84" i="3"/>
  <c r="N85" i="3"/>
  <c r="S85" i="3" s="1"/>
  <c r="S109" i="3"/>
  <c r="S113" i="3"/>
  <c r="S114" i="3" s="1"/>
  <c r="X114" i="3" s="1"/>
  <c r="S102" i="3"/>
  <c r="T136" i="3"/>
  <c r="X129" i="3"/>
  <c r="S129" i="3"/>
  <c r="S130" i="3" s="1"/>
  <c r="X130" i="3" s="1"/>
  <c r="X131" i="3" s="1"/>
  <c r="X118" i="3"/>
  <c r="N119" i="3"/>
  <c r="S119" i="3"/>
  <c r="X119" i="3" s="1"/>
  <c r="S143" i="3"/>
  <c r="S146" i="3" s="1"/>
  <c r="S147" i="3" s="1"/>
  <c r="X147" i="3" s="1"/>
  <c r="S136" i="3"/>
  <c r="X149" i="3"/>
  <c r="S157" i="3"/>
  <c r="S161" i="3" s="1"/>
  <c r="S162" i="3" s="1"/>
  <c r="X162" i="3" s="1"/>
  <c r="X171" i="3"/>
  <c r="Y171" i="3"/>
  <c r="Z171" i="3" s="1"/>
  <c r="AA171" i="3" s="1"/>
  <c r="X164" i="3"/>
  <c r="Y21" i="3"/>
  <c r="X174" i="3"/>
  <c r="Y174" i="3" s="1"/>
  <c r="X170" i="3"/>
  <c r="Y170" i="3" s="1"/>
  <c r="Z170" i="3" s="1"/>
  <c r="AA170" i="3" s="1"/>
  <c r="X158" i="3"/>
  <c r="Y158" i="3" s="1"/>
  <c r="Y207" i="3"/>
  <c r="Z207" i="3" s="1"/>
  <c r="AA207" i="3" s="1"/>
  <c r="V44" i="3"/>
  <c r="V192" i="3"/>
  <c r="V194" i="3" s="1"/>
  <c r="X44" i="3"/>
  <c r="Y44" i="3" s="1"/>
  <c r="Z44" i="3" s="1"/>
  <c r="AA44" i="3" s="1"/>
  <c r="X21" i="3"/>
  <c r="U35" i="3"/>
  <c r="V35" i="3" s="1"/>
  <c r="X35" i="3" s="1"/>
  <c r="Y35" i="3" s="1"/>
  <c r="Z35" i="3" s="1"/>
  <c r="Z130" i="3"/>
  <c r="O118" i="3"/>
  <c r="O125" i="3"/>
  <c r="J118" i="3"/>
  <c r="J123" i="3" s="1"/>
  <c r="J125" i="3"/>
  <c r="K118" i="3"/>
  <c r="K125" i="3"/>
  <c r="I118" i="3"/>
  <c r="I125" i="3"/>
  <c r="I123" i="3"/>
  <c r="U116" i="3"/>
  <c r="V116" i="3" s="1"/>
  <c r="AA118" i="3" s="1"/>
  <c r="N118" i="3"/>
  <c r="L118" i="3"/>
  <c r="L123" i="3" s="1"/>
  <c r="L126" i="3" s="1"/>
  <c r="S83" i="3"/>
  <c r="W83" i="3" s="1"/>
  <c r="W94" i="3"/>
  <c r="O51" i="3"/>
  <c r="O56" i="3" s="1"/>
  <c r="O59" i="3" s="1"/>
  <c r="O58" i="3"/>
  <c r="K51" i="3"/>
  <c r="K58" i="3"/>
  <c r="K56" i="3" s="1"/>
  <c r="K59" i="3" s="1"/>
  <c r="J51" i="3"/>
  <c r="J56" i="3" s="1"/>
  <c r="J59" i="3" s="1"/>
  <c r="J58" i="3"/>
  <c r="I51" i="3"/>
  <c r="I56" i="3" s="1"/>
  <c r="I59" i="3" s="1"/>
  <c r="I58" i="3"/>
  <c r="N51" i="3"/>
  <c r="N58" i="3"/>
  <c r="N56" i="3" s="1"/>
  <c r="N59" i="3" s="1"/>
  <c r="U49" i="3"/>
  <c r="V49" i="3" s="1"/>
  <c r="S50" i="3"/>
  <c r="X50" i="3" s="1"/>
  <c r="L51" i="3"/>
  <c r="L56" i="3" s="1"/>
  <c r="L59" i="3" s="1"/>
  <c r="L84" i="3"/>
  <c r="L91" i="3"/>
  <c r="K84" i="3"/>
  <c r="K91" i="3"/>
  <c r="K89" i="3" s="1"/>
  <c r="K92" i="3" s="1"/>
  <c r="O84" i="3"/>
  <c r="O91" i="3"/>
  <c r="O89" i="3"/>
  <c r="O92" i="3" s="1"/>
  <c r="J84" i="3"/>
  <c r="J89" i="3" s="1"/>
  <c r="J92" i="3" s="1"/>
  <c r="J91" i="3"/>
  <c r="N84" i="3"/>
  <c r="N91" i="3"/>
  <c r="N89" i="3" s="1"/>
  <c r="N92" i="3" s="1"/>
  <c r="I84" i="3"/>
  <c r="I91" i="3"/>
  <c r="I89" i="3"/>
  <c r="I92" i="3" s="1"/>
  <c r="U82" i="3"/>
  <c r="V82" i="3" s="1"/>
  <c r="X82" i="3" s="1"/>
  <c r="X83" i="3"/>
  <c r="Y83" i="3" s="1"/>
  <c r="Z83" i="3" s="1"/>
  <c r="AA84" i="3"/>
  <c r="Q84" i="3"/>
  <c r="P84" i="3"/>
  <c r="P89" i="3" s="1"/>
  <c r="P92" i="3" s="1"/>
  <c r="T66" i="3"/>
  <c r="T211" i="3"/>
  <c r="T37" i="3" s="1"/>
  <c r="T208" i="3"/>
  <c r="T210" i="3" s="1"/>
  <c r="T213" i="3" s="1"/>
  <c r="T193" i="3"/>
  <c r="T194" i="3" s="1"/>
  <c r="T165" i="3"/>
  <c r="T99" i="3"/>
  <c r="T67" i="3"/>
  <c r="T68" i="3"/>
  <c r="I16" i="3"/>
  <c r="I24" i="3"/>
  <c r="J16" i="3"/>
  <c r="J26" i="3" s="1"/>
  <c r="J24" i="3"/>
  <c r="K16" i="3"/>
  <c r="K24" i="3"/>
  <c r="K26" i="3" s="1"/>
  <c r="K32" i="3" s="1"/>
  <c r="K34" i="3" s="1"/>
  <c r="K36" i="3" s="1"/>
  <c r="K41" i="3" s="1"/>
  <c r="L16" i="3"/>
  <c r="L26" i="3" s="1"/>
  <c r="L24" i="3"/>
  <c r="Q91" i="3"/>
  <c r="Q89" i="3"/>
  <c r="Q92" i="3" s="1"/>
  <c r="P91" i="3"/>
  <c r="S165" i="3"/>
  <c r="Q165" i="3"/>
  <c r="P165" i="3"/>
  <c r="O165" i="3"/>
  <c r="O95" i="3"/>
  <c r="O96" i="3"/>
  <c r="O129" i="3"/>
  <c r="O130" i="3" s="1"/>
  <c r="O167" i="3"/>
  <c r="O62" i="3"/>
  <c r="O63" i="3" s="1"/>
  <c r="O169" i="3"/>
  <c r="O150" i="3"/>
  <c r="O194" i="3"/>
  <c r="O190" i="3"/>
  <c r="P194" i="3"/>
  <c r="P190" i="3" s="1"/>
  <c r="Q194" i="3"/>
  <c r="Q191" i="3" s="1"/>
  <c r="S193" i="3"/>
  <c r="S194" i="3" s="1"/>
  <c r="S191" i="3" s="1"/>
  <c r="S76" i="3"/>
  <c r="S79" i="3" s="1"/>
  <c r="S117" i="3"/>
  <c r="X117" i="3"/>
  <c r="X116" i="3" s="1"/>
  <c r="X134" i="3" s="1"/>
  <c r="S69" i="3"/>
  <c r="Z164" i="3"/>
  <c r="Z127" i="3"/>
  <c r="Z129" i="3" s="1"/>
  <c r="Z65" i="3"/>
  <c r="Z114" i="3"/>
  <c r="Z147" i="3"/>
  <c r="Z162" i="3"/>
  <c r="Z174" i="3"/>
  <c r="AA174" i="3" s="1"/>
  <c r="Z158" i="3"/>
  <c r="AA158" i="3" s="1"/>
  <c r="AA164" i="3"/>
  <c r="AA149" i="3"/>
  <c r="AA114" i="3"/>
  <c r="AA147" i="3"/>
  <c r="AA162" i="3"/>
  <c r="AB31" i="3"/>
  <c r="AB29" i="3"/>
  <c r="O191" i="3"/>
  <c r="P191" i="3"/>
  <c r="W35" i="3"/>
  <c r="AA35" i="3"/>
  <c r="AB35" i="3" s="1"/>
  <c r="H13" i="3"/>
  <c r="H14" i="3"/>
  <c r="H15" i="3"/>
  <c r="H19" i="3"/>
  <c r="H20" i="3"/>
  <c r="H22" i="3"/>
  <c r="H23" i="3"/>
  <c r="H17" i="3"/>
  <c r="H31" i="3"/>
  <c r="H29" i="3"/>
  <c r="H33" i="3"/>
  <c r="G35" i="3"/>
  <c r="H35" i="3" s="1"/>
  <c r="M35" i="3"/>
  <c r="M149" i="3"/>
  <c r="R149" i="3"/>
  <c r="M57" i="3"/>
  <c r="R57" i="3"/>
  <c r="R193" i="3"/>
  <c r="R35" i="3"/>
  <c r="W208" i="3"/>
  <c r="O198" i="3"/>
  <c r="O208" i="3" s="1"/>
  <c r="O210" i="3" s="1"/>
  <c r="O27" i="3" s="1"/>
  <c r="O28" i="3" s="1"/>
  <c r="O187" i="3" s="1"/>
  <c r="O196" i="3"/>
  <c r="P198" i="3"/>
  <c r="P197" i="3"/>
  <c r="P196" i="3"/>
  <c r="Q198" i="3"/>
  <c r="Q197" i="3"/>
  <c r="Q208" i="3" s="1"/>
  <c r="Q210" i="3" s="1"/>
  <c r="Q196" i="3"/>
  <c r="N198" i="3"/>
  <c r="N196" i="3"/>
  <c r="S198" i="3"/>
  <c r="S197" i="3"/>
  <c r="S196" i="3"/>
  <c r="G37" i="3"/>
  <c r="E37" i="3"/>
  <c r="F37" i="3"/>
  <c r="I37" i="3"/>
  <c r="J37" i="3"/>
  <c r="K37" i="3"/>
  <c r="L37" i="3"/>
  <c r="P37" i="3"/>
  <c r="Q37" i="3"/>
  <c r="S37" i="3"/>
  <c r="D37" i="3"/>
  <c r="O211" i="3"/>
  <c r="O37" i="3" s="1"/>
  <c r="D208" i="3"/>
  <c r="D210" i="3" s="1"/>
  <c r="E208" i="3"/>
  <c r="E210" i="3" s="1"/>
  <c r="E27" i="3" s="1"/>
  <c r="F208" i="3"/>
  <c r="F210" i="3" s="1"/>
  <c r="G208" i="3"/>
  <c r="G210" i="3" s="1"/>
  <c r="I208" i="3"/>
  <c r="I210" i="3" s="1"/>
  <c r="J208" i="3"/>
  <c r="J210" i="3" s="1"/>
  <c r="K208" i="3"/>
  <c r="K210" i="3" s="1"/>
  <c r="K213" i="3" s="1"/>
  <c r="L208" i="3"/>
  <c r="L210" i="3" s="1"/>
  <c r="N211" i="3"/>
  <c r="N37" i="3" s="1"/>
  <c r="E61" i="3"/>
  <c r="F61" i="3"/>
  <c r="G61" i="3"/>
  <c r="E62" i="3"/>
  <c r="F62" i="3"/>
  <c r="G62" i="3"/>
  <c r="R44" i="3"/>
  <c r="M44" i="3"/>
  <c r="H44" i="3"/>
  <c r="W44" i="3"/>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K147" i="3" s="1"/>
  <c r="L136" i="3"/>
  <c r="N136" i="3"/>
  <c r="O136" i="3"/>
  <c r="P136" i="3"/>
  <c r="R136" i="3" s="1"/>
  <c r="Q136" i="3"/>
  <c r="S176" i="3"/>
  <c r="S177" i="3" s="1"/>
  <c r="Q176" i="3"/>
  <c r="Q177" i="3" s="1"/>
  <c r="P176" i="3"/>
  <c r="O176" i="3"/>
  <c r="O177" i="3" s="1"/>
  <c r="N176" i="3"/>
  <c r="N177" i="3" s="1"/>
  <c r="L176" i="3"/>
  <c r="K176" i="3"/>
  <c r="K177" i="3" s="1"/>
  <c r="J176" i="3"/>
  <c r="J177" i="3" s="1"/>
  <c r="I176" i="3"/>
  <c r="N169" i="3"/>
  <c r="S159" i="3"/>
  <c r="S160" i="3"/>
  <c r="Q157" i="3"/>
  <c r="Q161" i="3" s="1"/>
  <c r="Q162" i="3" s="1"/>
  <c r="P157" i="3"/>
  <c r="P161" i="3" s="1"/>
  <c r="P162" i="3" s="1"/>
  <c r="O157" i="3"/>
  <c r="O159" i="3" s="1"/>
  <c r="O160" i="3" s="1"/>
  <c r="N157" i="3"/>
  <c r="N161" i="3"/>
  <c r="N162" i="3" s="1"/>
  <c r="L157" i="3"/>
  <c r="L161" i="3" s="1"/>
  <c r="L162" i="3" s="1"/>
  <c r="K157" i="3"/>
  <c r="J157" i="3"/>
  <c r="J159" i="3" s="1"/>
  <c r="J160" i="3" s="1"/>
  <c r="I157" i="3"/>
  <c r="I161" i="3"/>
  <c r="I162" i="3" s="1"/>
  <c r="N150" i="3"/>
  <c r="Q143" i="3"/>
  <c r="Q146" i="3"/>
  <c r="Q147" i="3" s="1"/>
  <c r="P143" i="3"/>
  <c r="P146" i="3" s="1"/>
  <c r="O143" i="3"/>
  <c r="O146" i="3" s="1"/>
  <c r="O147" i="3" s="1"/>
  <c r="N143" i="3"/>
  <c r="N146" i="3" s="1"/>
  <c r="N147" i="3" s="1"/>
  <c r="L143" i="3"/>
  <c r="L146" i="3" s="1"/>
  <c r="L147" i="3" s="1"/>
  <c r="K143" i="3"/>
  <c r="K146" i="3" s="1"/>
  <c r="J143" i="3"/>
  <c r="J146" i="3" s="1"/>
  <c r="J147" i="3" s="1"/>
  <c r="I143" i="3"/>
  <c r="V135" i="3"/>
  <c r="U135" i="3"/>
  <c r="T135" i="3"/>
  <c r="S134" i="3"/>
  <c r="Q134" i="3"/>
  <c r="P134" i="3"/>
  <c r="O134" i="3"/>
  <c r="N134" i="3"/>
  <c r="L134" i="3"/>
  <c r="K134" i="3"/>
  <c r="J134" i="3"/>
  <c r="I134" i="3"/>
  <c r="N129" i="3"/>
  <c r="N130" i="3"/>
  <c r="L129" i="3"/>
  <c r="L130" i="3" s="1"/>
  <c r="K129" i="3"/>
  <c r="K130" i="3"/>
  <c r="J129" i="3"/>
  <c r="J130" i="3" s="1"/>
  <c r="I129" i="3"/>
  <c r="I130" i="3" s="1"/>
  <c r="G129" i="3"/>
  <c r="F129" i="3"/>
  <c r="E129" i="3"/>
  <c r="AB128" i="3"/>
  <c r="S128" i="3"/>
  <c r="W128" i="3" s="1"/>
  <c r="Q128" i="3"/>
  <c r="Q135" i="3" s="1"/>
  <c r="P128" i="3"/>
  <c r="O128" i="3"/>
  <c r="N128" i="3"/>
  <c r="L128" i="3"/>
  <c r="L135" i="3" s="1"/>
  <c r="K128" i="3"/>
  <c r="J128" i="3"/>
  <c r="I128" i="3"/>
  <c r="G128" i="3"/>
  <c r="F128" i="3"/>
  <c r="E128" i="3"/>
  <c r="N125" i="3"/>
  <c r="L125" i="3"/>
  <c r="N123" i="3"/>
  <c r="Q117" i="3"/>
  <c r="P117" i="3"/>
  <c r="O117" i="3"/>
  <c r="N117" i="3"/>
  <c r="L117" i="3"/>
  <c r="K117" i="3"/>
  <c r="J117" i="3"/>
  <c r="I117" i="3"/>
  <c r="Q109" i="3"/>
  <c r="Q113" i="3"/>
  <c r="Q114" i="3" s="1"/>
  <c r="P109" i="3"/>
  <c r="P113" i="3" s="1"/>
  <c r="O109" i="3"/>
  <c r="O113" i="3"/>
  <c r="N109" i="3"/>
  <c r="N113" i="3" s="1"/>
  <c r="N114" i="3" s="1"/>
  <c r="L109" i="3"/>
  <c r="L113" i="3" s="1"/>
  <c r="L114" i="3" s="1"/>
  <c r="K109" i="3"/>
  <c r="K113" i="3" s="1"/>
  <c r="J109" i="3"/>
  <c r="J113" i="3" s="1"/>
  <c r="I109" i="3"/>
  <c r="Q102" i="3"/>
  <c r="P102" i="3"/>
  <c r="P111" i="3" s="1"/>
  <c r="P112" i="3" s="1"/>
  <c r="O102" i="3"/>
  <c r="O114" i="3" s="1"/>
  <c r="N102" i="3"/>
  <c r="L102" i="3"/>
  <c r="K102" i="3"/>
  <c r="K111" i="3" s="1"/>
  <c r="K112" i="3" s="1"/>
  <c r="J102" i="3"/>
  <c r="I102" i="3"/>
  <c r="V101" i="3"/>
  <c r="U101" i="3"/>
  <c r="T101" i="3"/>
  <c r="S100" i="3"/>
  <c r="Q100" i="3"/>
  <c r="P100" i="3"/>
  <c r="O100" i="3"/>
  <c r="N100" i="3"/>
  <c r="L100" i="3"/>
  <c r="K100" i="3"/>
  <c r="J100" i="3"/>
  <c r="I100" i="3"/>
  <c r="S99" i="3"/>
  <c r="Q99" i="3"/>
  <c r="P99" i="3"/>
  <c r="O99" i="3"/>
  <c r="N99" i="3"/>
  <c r="N95" i="3"/>
  <c r="N96" i="3" s="1"/>
  <c r="L95" i="3"/>
  <c r="L96" i="3" s="1"/>
  <c r="K95" i="3"/>
  <c r="K96" i="3" s="1"/>
  <c r="J95" i="3"/>
  <c r="J96" i="3" s="1"/>
  <c r="I95" i="3"/>
  <c r="I96" i="3" s="1"/>
  <c r="G95" i="3"/>
  <c r="F95" i="3"/>
  <c r="E95" i="3"/>
  <c r="Q94" i="3"/>
  <c r="P94" i="3"/>
  <c r="O94" i="3"/>
  <c r="O101" i="3" s="1"/>
  <c r="N94" i="3"/>
  <c r="L94" i="3"/>
  <c r="K94" i="3"/>
  <c r="J94" i="3"/>
  <c r="J101" i="3" s="1"/>
  <c r="I94" i="3"/>
  <c r="G94" i="3"/>
  <c r="F94" i="3"/>
  <c r="E94" i="3"/>
  <c r="Q83" i="3"/>
  <c r="P83" i="3"/>
  <c r="O83" i="3"/>
  <c r="N83" i="3"/>
  <c r="L83" i="3"/>
  <c r="L101" i="3" s="1"/>
  <c r="K83" i="3"/>
  <c r="J83" i="3"/>
  <c r="I83" i="3"/>
  <c r="M83" i="3" s="1"/>
  <c r="Q76" i="3"/>
  <c r="I76" i="3"/>
  <c r="I79" i="3" s="1"/>
  <c r="J76" i="3"/>
  <c r="J79" i="3" s="1"/>
  <c r="J80" i="3" s="1"/>
  <c r="K76" i="3"/>
  <c r="K79" i="3" s="1"/>
  <c r="K80" i="3" s="1"/>
  <c r="L76" i="3"/>
  <c r="L79" i="3" s="1"/>
  <c r="O76" i="3"/>
  <c r="O79" i="3" s="1"/>
  <c r="O80" i="3" s="1"/>
  <c r="P76" i="3"/>
  <c r="P79" i="3" s="1"/>
  <c r="N76" i="3"/>
  <c r="N79" i="3"/>
  <c r="N80" i="3" s="1"/>
  <c r="I69" i="3"/>
  <c r="I77" i="3" s="1"/>
  <c r="J67" i="3"/>
  <c r="K67" i="3"/>
  <c r="L67" i="3"/>
  <c r="N67" i="3"/>
  <c r="O67" i="3"/>
  <c r="P67" i="3"/>
  <c r="Q67" i="3"/>
  <c r="S67" i="3"/>
  <c r="U68" i="3"/>
  <c r="V68" i="3"/>
  <c r="J69" i="3"/>
  <c r="J77" i="3" s="1"/>
  <c r="J78" i="3" s="1"/>
  <c r="K69" i="3"/>
  <c r="K77" i="3" s="1"/>
  <c r="L69" i="3"/>
  <c r="N69" i="3"/>
  <c r="O69" i="3"/>
  <c r="R69" i="3" s="1"/>
  <c r="P69" i="3"/>
  <c r="Q69" i="3"/>
  <c r="I67" i="3"/>
  <c r="S66" i="3"/>
  <c r="O66" i="3"/>
  <c r="P66" i="3"/>
  <c r="Q66" i="3"/>
  <c r="N66" i="3"/>
  <c r="L62" i="3"/>
  <c r="L63" i="3" s="1"/>
  <c r="K62" i="3"/>
  <c r="K63" i="3" s="1"/>
  <c r="J62" i="3"/>
  <c r="J63" i="3" s="1"/>
  <c r="I62" i="3"/>
  <c r="I63" i="3" s="1"/>
  <c r="N62" i="3"/>
  <c r="N63" i="3" s="1"/>
  <c r="Q61" i="3"/>
  <c r="Q68" i="3" s="1"/>
  <c r="P61" i="3"/>
  <c r="P68" i="3" s="1"/>
  <c r="O61" i="3"/>
  <c r="N61" i="3"/>
  <c r="L61" i="3"/>
  <c r="K61" i="3"/>
  <c r="K68" i="3" s="1"/>
  <c r="J61" i="3"/>
  <c r="I61" i="3"/>
  <c r="L58" i="3"/>
  <c r="Q50" i="3"/>
  <c r="P50" i="3"/>
  <c r="O50" i="3"/>
  <c r="N50" i="3"/>
  <c r="N68" i="3" s="1"/>
  <c r="L50" i="3"/>
  <c r="K50" i="3"/>
  <c r="J50" i="3"/>
  <c r="I50" i="3"/>
  <c r="I68" i="3" s="1"/>
  <c r="S144" i="3"/>
  <c r="W117" i="3"/>
  <c r="W135" i="3" s="1"/>
  <c r="N77" i="3"/>
  <c r="N78" i="3" s="1"/>
  <c r="W50" i="3"/>
  <c r="I185" i="3"/>
  <c r="I126" i="3"/>
  <c r="AB44" i="3"/>
  <c r="I177" i="3"/>
  <c r="P177" i="3"/>
  <c r="L177" i="3"/>
  <c r="Q159" i="3"/>
  <c r="Q160" i="3" s="1"/>
  <c r="L159" i="3"/>
  <c r="L160" i="3" s="1"/>
  <c r="P159" i="3"/>
  <c r="P160" i="3" s="1"/>
  <c r="N159" i="3"/>
  <c r="I159" i="3"/>
  <c r="I160" i="3" s="1"/>
  <c r="S111" i="3"/>
  <c r="S112" i="3" s="1"/>
  <c r="Q144" i="3"/>
  <c r="Q145" i="3" s="1"/>
  <c r="Q111" i="3"/>
  <c r="Q112" i="3" s="1"/>
  <c r="O144" i="3"/>
  <c r="O145" i="3" s="1"/>
  <c r="S145" i="3"/>
  <c r="N144" i="3"/>
  <c r="N145" i="3" s="1"/>
  <c r="P80" i="3"/>
  <c r="J126" i="3"/>
  <c r="L144" i="3"/>
  <c r="L145" i="3"/>
  <c r="J144" i="3"/>
  <c r="J145" i="3" s="1"/>
  <c r="L111" i="3"/>
  <c r="L112" i="3"/>
  <c r="N126" i="3"/>
  <c r="N135" i="3"/>
  <c r="S135" i="3"/>
  <c r="T134" i="3"/>
  <c r="P101" i="3"/>
  <c r="P77" i="3"/>
  <c r="P78" i="3" s="1"/>
  <c r="K101" i="3"/>
  <c r="Q101" i="3"/>
  <c r="S101" i="3"/>
  <c r="T100" i="3"/>
  <c r="L77" i="3"/>
  <c r="L78" i="3" s="1"/>
  <c r="S77" i="3"/>
  <c r="S78" i="3" s="1"/>
  <c r="J68" i="3"/>
  <c r="O68" i="3"/>
  <c r="S68" i="3"/>
  <c r="U67" i="3"/>
  <c r="X135" i="3"/>
  <c r="R18" i="3"/>
  <c r="T180" i="3"/>
  <c r="U134" i="3"/>
  <c r="T181" i="3"/>
  <c r="K42" i="3"/>
  <c r="O42" i="3"/>
  <c r="V134" i="3"/>
  <c r="V100" i="3"/>
  <c r="Q36" i="3"/>
  <c r="Q41" i="3" s="1"/>
  <c r="O41" i="3"/>
  <c r="O18" i="3"/>
  <c r="P18" i="3"/>
  <c r="Q18" i="3"/>
  <c r="I18" i="3"/>
  <c r="K18" i="3"/>
  <c r="L18" i="3"/>
  <c r="G18" i="3"/>
  <c r="D18" i="3"/>
  <c r="E18" i="3"/>
  <c r="F18" i="3"/>
  <c r="N194" i="3"/>
  <c r="R194" i="3" s="1"/>
  <c r="I194" i="3"/>
  <c r="K194" i="3"/>
  <c r="K190" i="3" s="1"/>
  <c r="L194" i="3"/>
  <c r="L190" i="3" s="1"/>
  <c r="N185" i="3"/>
  <c r="L185" i="3"/>
  <c r="K185" i="3"/>
  <c r="P185" i="3"/>
  <c r="J185" i="3"/>
  <c r="Q185" i="3"/>
  <c r="N190" i="3"/>
  <c r="I191" i="3"/>
  <c r="I190" i="3"/>
  <c r="W194" i="3"/>
  <c r="O186" i="3"/>
  <c r="M193" i="3"/>
  <c r="J194" i="3"/>
  <c r="P186" i="3"/>
  <c r="J190" i="3"/>
  <c r="J191" i="3"/>
  <c r="AB193" i="3"/>
  <c r="T176" i="3"/>
  <c r="T177" i="3" s="1"/>
  <c r="T111" i="3"/>
  <c r="T144" i="3"/>
  <c r="T145" i="3" s="1"/>
  <c r="T112" i="3"/>
  <c r="T185" i="3"/>
  <c r="T159" i="3"/>
  <c r="T18" i="3"/>
  <c r="T186" i="3"/>
  <c r="T160" i="3"/>
  <c r="Z21" i="3"/>
  <c r="AB21" i="3" s="1"/>
  <c r="AA21" i="3"/>
  <c r="AB30" i="3"/>
  <c r="T179" i="3"/>
  <c r="T77" i="3"/>
  <c r="T78" i="3" s="1"/>
  <c r="D27" i="3" l="1"/>
  <c r="D28" i="3" s="1"/>
  <c r="D213" i="3"/>
  <c r="R37" i="3"/>
  <c r="D38" i="3"/>
  <c r="D43" i="3" s="1"/>
  <c r="T27" i="3"/>
  <c r="T28" i="3" s="1"/>
  <c r="T187" i="3" s="1"/>
  <c r="J32" i="3"/>
  <c r="J186" i="3"/>
  <c r="I213" i="3"/>
  <c r="I27" i="3"/>
  <c r="Q27" i="3"/>
  <c r="Q28" i="3" s="1"/>
  <c r="Q213" i="3"/>
  <c r="H24" i="3"/>
  <c r="L27" i="3"/>
  <c r="L28" i="3" s="1"/>
  <c r="L213" i="3"/>
  <c r="M194" i="3"/>
  <c r="K191" i="3"/>
  <c r="F213" i="3"/>
  <c r="F27" i="3"/>
  <c r="P188" i="3"/>
  <c r="P34" i="3"/>
  <c r="P36" i="3" s="1"/>
  <c r="V176" i="3"/>
  <c r="X172" i="3"/>
  <c r="U176" i="3"/>
  <c r="Q186" i="3"/>
  <c r="L191" i="3"/>
  <c r="O185" i="3"/>
  <c r="J18" i="3"/>
  <c r="Q188" i="3"/>
  <c r="R128" i="3"/>
  <c r="Q126" i="3"/>
  <c r="W61" i="3"/>
  <c r="L80" i="3"/>
  <c r="K114" i="3"/>
  <c r="E213" i="3"/>
  <c r="H37" i="3"/>
  <c r="Q190" i="3"/>
  <c r="U40" i="3"/>
  <c r="V40" i="3" s="1"/>
  <c r="X192" i="3"/>
  <c r="T114" i="3"/>
  <c r="Y114" i="3" s="1"/>
  <c r="S89" i="3"/>
  <c r="S92" i="3" s="1"/>
  <c r="T56" i="3"/>
  <c r="F26" i="3"/>
  <c r="K186" i="3"/>
  <c r="W193" i="3"/>
  <c r="L183" i="3"/>
  <c r="K188" i="3"/>
  <c r="R94" i="3"/>
  <c r="R101" i="3" s="1"/>
  <c r="M136" i="3"/>
  <c r="I111" i="3"/>
  <c r="O161" i="3"/>
  <c r="O162" i="3" s="1"/>
  <c r="M37" i="3"/>
  <c r="S208" i="3"/>
  <c r="S210" i="3" s="1"/>
  <c r="P208" i="3"/>
  <c r="P210" i="3" s="1"/>
  <c r="AA127" i="3"/>
  <c r="AA129" i="3" s="1"/>
  <c r="AA131" i="3" s="1"/>
  <c r="S80" i="3"/>
  <c r="Z84" i="3"/>
  <c r="AA83" i="3"/>
  <c r="AB83" i="3" s="1"/>
  <c r="Z118" i="3"/>
  <c r="Y131" i="3"/>
  <c r="V129" i="3"/>
  <c r="V131" i="3" s="1"/>
  <c r="Z85" i="3"/>
  <c r="Q42" i="3"/>
  <c r="O188" i="3"/>
  <c r="K27" i="3"/>
  <c r="K28" i="3" s="1"/>
  <c r="K38" i="3" s="1"/>
  <c r="K43" i="3" s="1"/>
  <c r="M50" i="3"/>
  <c r="R50" i="3"/>
  <c r="M94" i="3"/>
  <c r="M101" i="3" s="1"/>
  <c r="N101" i="3"/>
  <c r="J114" i="3"/>
  <c r="P114" i="3"/>
  <c r="R117" i="3"/>
  <c r="M128" i="3"/>
  <c r="P135" i="3"/>
  <c r="P147" i="3"/>
  <c r="H16" i="3"/>
  <c r="H26" i="3" s="1"/>
  <c r="S190" i="3"/>
  <c r="Y82" i="3"/>
  <c r="Z82" i="3" s="1"/>
  <c r="K123" i="3"/>
  <c r="K126" i="3" s="1"/>
  <c r="U150" i="3"/>
  <c r="U149" i="3" s="1"/>
  <c r="W149" i="3" s="1"/>
  <c r="P123" i="3"/>
  <c r="P126" i="3" s="1"/>
  <c r="X68" i="3"/>
  <c r="W68" i="3"/>
  <c r="V60" i="3"/>
  <c r="X85" i="3"/>
  <c r="Y119" i="3"/>
  <c r="J27" i="3"/>
  <c r="J213" i="3"/>
  <c r="K187" i="3"/>
  <c r="P27" i="3"/>
  <c r="P28" i="3" s="1"/>
  <c r="P213" i="3"/>
  <c r="K78" i="3"/>
  <c r="I112" i="3"/>
  <c r="D42" i="3"/>
  <c r="R83" i="3"/>
  <c r="K161" i="3"/>
  <c r="K162" i="3" s="1"/>
  <c r="K159" i="3"/>
  <c r="K160" i="3" s="1"/>
  <c r="T34" i="3"/>
  <c r="T36" i="3" s="1"/>
  <c r="T188" i="3"/>
  <c r="S26" i="3"/>
  <c r="S18" i="3"/>
  <c r="S185" i="3"/>
  <c r="S183" i="3"/>
  <c r="N191" i="3"/>
  <c r="D187" i="3"/>
  <c r="R61" i="3"/>
  <c r="R68" i="3" s="1"/>
  <c r="O135" i="3"/>
  <c r="O111" i="3"/>
  <c r="O112" i="3" s="1"/>
  <c r="O213" i="3"/>
  <c r="I80" i="3"/>
  <c r="P144" i="3"/>
  <c r="P145" i="3" s="1"/>
  <c r="K144" i="3"/>
  <c r="K145" i="3" s="1"/>
  <c r="T38" i="3"/>
  <c r="T43" i="3" s="1"/>
  <c r="L32" i="3"/>
  <c r="L186" i="3"/>
  <c r="Z51" i="3"/>
  <c r="M77" i="3"/>
  <c r="Q79" i="3"/>
  <c r="Q80" i="3" s="1"/>
  <c r="Q77" i="3"/>
  <c r="J111" i="3"/>
  <c r="J112" i="3" s="1"/>
  <c r="M102" i="3"/>
  <c r="AA61" i="3"/>
  <c r="L68" i="3"/>
  <c r="R159" i="3"/>
  <c r="R160" i="3" s="1"/>
  <c r="O38" i="3"/>
  <c r="O43" i="3" s="1"/>
  <c r="T183" i="3"/>
  <c r="D41" i="3"/>
  <c r="D188" i="3"/>
  <c r="D186" i="3"/>
  <c r="I78" i="3"/>
  <c r="N160" i="3"/>
  <c r="I101" i="3"/>
  <c r="O77" i="3"/>
  <c r="K135" i="3"/>
  <c r="M69" i="3"/>
  <c r="M61" i="3"/>
  <c r="M68" i="3" s="1"/>
  <c r="R102" i="3"/>
  <c r="N111" i="3"/>
  <c r="I113" i="3"/>
  <c r="I114" i="3" s="1"/>
  <c r="I135" i="3"/>
  <c r="M117" i="3"/>
  <c r="M135" i="3" s="1"/>
  <c r="J135" i="3"/>
  <c r="I146" i="3"/>
  <c r="I147" i="3" s="1"/>
  <c r="I144" i="3"/>
  <c r="I183" i="3" s="1"/>
  <c r="J161" i="3"/>
  <c r="J162" i="3" s="1"/>
  <c r="G27" i="3"/>
  <c r="H27" i="3" s="1"/>
  <c r="G213" i="3"/>
  <c r="AA98" i="3"/>
  <c r="V97" i="3"/>
  <c r="AA96" i="3"/>
  <c r="U168" i="3"/>
  <c r="V169" i="3"/>
  <c r="U156" i="3"/>
  <c r="T191" i="3"/>
  <c r="T190" i="3"/>
  <c r="AA82" i="3"/>
  <c r="L89" i="3"/>
  <c r="L92" i="3" s="1"/>
  <c r="U97" i="3"/>
  <c r="Z131" i="3"/>
  <c r="Y117" i="3"/>
  <c r="Z117" i="3" s="1"/>
  <c r="Z135" i="3" s="1"/>
  <c r="S56" i="3"/>
  <c r="U100" i="3"/>
  <c r="N208" i="3"/>
  <c r="N210" i="3" s="1"/>
  <c r="AA65" i="3"/>
  <c r="Y50" i="3"/>
  <c r="W101" i="3"/>
  <c r="AA119" i="3"/>
  <c r="AA124" i="3" s="1"/>
  <c r="Z119" i="3"/>
  <c r="X93" i="3"/>
  <c r="Y94" i="3"/>
  <c r="Z94" i="3"/>
  <c r="Z101" i="3" s="1"/>
  <c r="V85" i="3"/>
  <c r="I26" i="3"/>
  <c r="O123" i="3"/>
  <c r="O126" i="3" s="1"/>
  <c r="N26" i="3"/>
  <c r="U132" i="3"/>
  <c r="V133" i="3"/>
  <c r="U131" i="3"/>
  <c r="U64" i="3"/>
  <c r="R24" i="3"/>
  <c r="R26" i="3" s="1"/>
  <c r="M16" i="3"/>
  <c r="V25" i="3"/>
  <c r="V182" i="3" s="1"/>
  <c r="X110" i="3"/>
  <c r="U25" i="3"/>
  <c r="T147" i="3"/>
  <c r="Y147" i="3" s="1"/>
  <c r="U123" i="3"/>
  <c r="V123" i="3" s="1"/>
  <c r="X123" i="3" s="1"/>
  <c r="Y123" i="3" s="1"/>
  <c r="Z123" i="3" s="1"/>
  <c r="AA123" i="3" s="1"/>
  <c r="G24" i="3"/>
  <c r="G26" i="3" s="1"/>
  <c r="E26" i="3"/>
  <c r="AA88" i="3"/>
  <c r="AA52" i="3"/>
  <c r="Y52" i="3"/>
  <c r="X52" i="3"/>
  <c r="L187" i="3" l="1"/>
  <c r="L38" i="3"/>
  <c r="L43" i="3" s="1"/>
  <c r="U155" i="3"/>
  <c r="U151" i="3"/>
  <c r="U157" i="3" s="1"/>
  <c r="N183" i="3"/>
  <c r="P42" i="3"/>
  <c r="P41" i="3"/>
  <c r="M78" i="3"/>
  <c r="U124" i="3"/>
  <c r="U89" i="3"/>
  <c r="V89" i="3" s="1"/>
  <c r="X89" i="3" s="1"/>
  <c r="Y89" i="3" s="1"/>
  <c r="Z89" i="3" s="1"/>
  <c r="Z149" i="3"/>
  <c r="U152" i="3"/>
  <c r="H18" i="3"/>
  <c r="X124" i="3"/>
  <c r="F32" i="3"/>
  <c r="F28" i="3"/>
  <c r="F186" i="3"/>
  <c r="X194" i="3"/>
  <c r="X39" i="3" s="1"/>
  <c r="Y192" i="3"/>
  <c r="Y172" i="3"/>
  <c r="X176" i="3"/>
  <c r="V90" i="3"/>
  <c r="V92" i="3" s="1"/>
  <c r="Z124" i="3"/>
  <c r="U153" i="3"/>
  <c r="S213" i="3"/>
  <c r="S27" i="3"/>
  <c r="S28" i="3" s="1"/>
  <c r="U56" i="3"/>
  <c r="T59" i="3"/>
  <c r="R135" i="3"/>
  <c r="Q187" i="3"/>
  <c r="Q38" i="3"/>
  <c r="Q43" i="3" s="1"/>
  <c r="J34" i="3"/>
  <c r="J36" i="3" s="1"/>
  <c r="J188" i="3"/>
  <c r="X60" i="3"/>
  <c r="V62" i="3"/>
  <c r="V64" i="3" s="1"/>
  <c r="Z126" i="3"/>
  <c r="G32" i="3"/>
  <c r="G186" i="3"/>
  <c r="G28" i="3"/>
  <c r="AA126" i="3"/>
  <c r="V167" i="3"/>
  <c r="U166" i="3"/>
  <c r="U14" i="3" s="1"/>
  <c r="U180" i="3" s="1"/>
  <c r="V168" i="3"/>
  <c r="X169" i="3"/>
  <c r="AA51" i="3"/>
  <c r="V67" i="3"/>
  <c r="X49" i="3"/>
  <c r="T42" i="3"/>
  <c r="T41" i="3"/>
  <c r="R144" i="3"/>
  <c r="R145" i="3" s="1"/>
  <c r="V91" i="3"/>
  <c r="O78" i="3"/>
  <c r="O183" i="3"/>
  <c r="Y124" i="3"/>
  <c r="M111" i="3"/>
  <c r="M112" i="3" s="1"/>
  <c r="K183" i="3"/>
  <c r="AA85" i="3"/>
  <c r="X25" i="3"/>
  <c r="X182" i="3" s="1"/>
  <c r="Y110" i="3"/>
  <c r="M26" i="3"/>
  <c r="R185" i="3"/>
  <c r="M185" i="3"/>
  <c r="M18" i="3"/>
  <c r="V124" i="3"/>
  <c r="Y93" i="3"/>
  <c r="X95" i="3"/>
  <c r="X97" i="3" s="1"/>
  <c r="X100" i="3"/>
  <c r="S59" i="3"/>
  <c r="Y90" i="3"/>
  <c r="M144" i="3"/>
  <c r="M145" i="3" s="1"/>
  <c r="I145" i="3"/>
  <c r="P183" i="3"/>
  <c r="Q78" i="3"/>
  <c r="Q183" i="3"/>
  <c r="L34" i="3"/>
  <c r="L36" i="3" s="1"/>
  <c r="L188" i="3"/>
  <c r="J183" i="3"/>
  <c r="S32" i="3"/>
  <c r="S186" i="3"/>
  <c r="U125" i="3"/>
  <c r="U126" i="3"/>
  <c r="X133" i="3"/>
  <c r="V132" i="3"/>
  <c r="R111" i="3"/>
  <c r="R112" i="3" s="1"/>
  <c r="N112" i="3"/>
  <c r="X125" i="3"/>
  <c r="X126" i="3"/>
  <c r="U136" i="3"/>
  <c r="I28" i="3"/>
  <c r="I32" i="3"/>
  <c r="I186" i="3"/>
  <c r="Y101" i="3"/>
  <c r="Y68" i="3"/>
  <c r="R32" i="3"/>
  <c r="R186" i="3"/>
  <c r="E32" i="3"/>
  <c r="E28" i="3"/>
  <c r="E186" i="3"/>
  <c r="W25" i="3"/>
  <c r="U182" i="3"/>
  <c r="U15" i="3"/>
  <c r="U181" i="3" s="1"/>
  <c r="N32" i="3"/>
  <c r="N186" i="3"/>
  <c r="AA94" i="3"/>
  <c r="AA101" i="3" s="1"/>
  <c r="Z50" i="3"/>
  <c r="N27" i="3"/>
  <c r="R27" i="3" s="1"/>
  <c r="R28" i="3" s="1"/>
  <c r="N213" i="3"/>
  <c r="U90" i="3"/>
  <c r="Y135" i="3"/>
  <c r="AA117" i="3"/>
  <c r="AA135" i="3" s="1"/>
  <c r="AB149" i="3"/>
  <c r="V102" i="3"/>
  <c r="X90" i="3"/>
  <c r="M159" i="3"/>
  <c r="M160" i="3" s="1"/>
  <c r="AB61" i="3"/>
  <c r="Y116" i="3"/>
  <c r="H32" i="3"/>
  <c r="H28" i="3"/>
  <c r="H186" i="3"/>
  <c r="R77" i="3"/>
  <c r="R78" i="3" s="1"/>
  <c r="P38" i="3"/>
  <c r="P43" i="3" s="1"/>
  <c r="P187" i="3"/>
  <c r="J28" i="3"/>
  <c r="M27" i="3"/>
  <c r="Z52" i="3"/>
  <c r="Z172" i="3" l="1"/>
  <c r="Y176" i="3"/>
  <c r="F187" i="3"/>
  <c r="F38" i="3"/>
  <c r="F43" i="3" s="1"/>
  <c r="Y194" i="3"/>
  <c r="Z192" i="3"/>
  <c r="F34" i="3"/>
  <c r="F36" i="3" s="1"/>
  <c r="F188" i="3"/>
  <c r="Y39" i="3"/>
  <c r="AA89" i="3"/>
  <c r="Z90" i="3"/>
  <c r="AA90" i="3"/>
  <c r="J42" i="3"/>
  <c r="J41" i="3"/>
  <c r="X40" i="3"/>
  <c r="Y60" i="3"/>
  <c r="X62" i="3"/>
  <c r="X64" i="3" s="1"/>
  <c r="R187" i="3"/>
  <c r="R38" i="3"/>
  <c r="R43" i="3" s="1"/>
  <c r="N28" i="3"/>
  <c r="V136" i="3"/>
  <c r="V15" i="3"/>
  <c r="V181" i="3" s="1"/>
  <c r="V166" i="3"/>
  <c r="X167" i="3"/>
  <c r="H34" i="3"/>
  <c r="H36" i="3" s="1"/>
  <c r="H188" i="3"/>
  <c r="Z68" i="3"/>
  <c r="AA50" i="3"/>
  <c r="AA68" i="3" s="1"/>
  <c r="N34" i="3"/>
  <c r="N36" i="3" s="1"/>
  <c r="N188" i="3"/>
  <c r="Y133" i="3"/>
  <c r="X132" i="3"/>
  <c r="U161" i="3"/>
  <c r="U159" i="3"/>
  <c r="V56" i="3"/>
  <c r="U57" i="3"/>
  <c r="X102" i="3"/>
  <c r="Y25" i="3"/>
  <c r="Y182" i="3" s="1"/>
  <c r="Z110" i="3"/>
  <c r="G34" i="3"/>
  <c r="G36" i="3" s="1"/>
  <c r="G188" i="3"/>
  <c r="X91" i="3"/>
  <c r="X92" i="3"/>
  <c r="U92" i="3"/>
  <c r="U91" i="3"/>
  <c r="E38" i="3"/>
  <c r="E43" i="3" s="1"/>
  <c r="E187" i="3"/>
  <c r="I34" i="3"/>
  <c r="I36" i="3" s="1"/>
  <c r="I188" i="3"/>
  <c r="U142" i="3"/>
  <c r="U138" i="3"/>
  <c r="U141" i="3"/>
  <c r="U139" i="3"/>
  <c r="U137" i="3"/>
  <c r="W136" i="3"/>
  <c r="S187" i="3"/>
  <c r="S38" i="3"/>
  <c r="S43" i="3" s="1"/>
  <c r="L41" i="3"/>
  <c r="L42" i="3"/>
  <c r="Z93" i="3"/>
  <c r="Y95" i="3"/>
  <c r="Y97" i="3" s="1"/>
  <c r="Y100" i="3"/>
  <c r="Y125" i="3"/>
  <c r="Y126" i="3"/>
  <c r="U102" i="3"/>
  <c r="Y169" i="3"/>
  <c r="X168" i="3"/>
  <c r="H38" i="3"/>
  <c r="H187" i="3"/>
  <c r="R34" i="3"/>
  <c r="R36" i="3" s="1"/>
  <c r="R188" i="3"/>
  <c r="J38" i="3"/>
  <c r="J43" i="3" s="1"/>
  <c r="J187" i="3"/>
  <c r="Z116" i="3"/>
  <c r="Y134" i="3"/>
  <c r="AB117" i="3"/>
  <c r="AB135" i="3" s="1"/>
  <c r="E34" i="3"/>
  <c r="E36" i="3" s="1"/>
  <c r="E188" i="3"/>
  <c r="AB94" i="3"/>
  <c r="AB101" i="3" s="1"/>
  <c r="I38" i="3"/>
  <c r="I43" i="3" s="1"/>
  <c r="I187" i="3"/>
  <c r="S34" i="3"/>
  <c r="S36" i="3" s="1"/>
  <c r="S188" i="3"/>
  <c r="X188" i="3" s="1"/>
  <c r="Y188" i="3" s="1"/>
  <c r="Z188" i="3" s="1"/>
  <c r="AA188" i="3" s="1"/>
  <c r="Y91" i="3"/>
  <c r="Y92" i="3"/>
  <c r="V126" i="3"/>
  <c r="V125" i="3"/>
  <c r="M32" i="3"/>
  <c r="M28" i="3"/>
  <c r="M186" i="3"/>
  <c r="Y49" i="3"/>
  <c r="X67" i="3"/>
  <c r="U177" i="3"/>
  <c r="G38" i="3"/>
  <c r="G43" i="3" s="1"/>
  <c r="G187" i="3"/>
  <c r="AA92" i="3" l="1"/>
  <c r="AA91" i="3"/>
  <c r="Y40" i="3"/>
  <c r="Z92" i="3"/>
  <c r="Z91" i="3"/>
  <c r="F41" i="3"/>
  <c r="F42" i="3"/>
  <c r="AA192" i="3"/>
  <c r="AA194" i="3" s="1"/>
  <c r="AB194" i="3" s="1"/>
  <c r="Z194" i="3"/>
  <c r="Z39" i="3" s="1"/>
  <c r="AA39" i="3" s="1"/>
  <c r="AA172" i="3"/>
  <c r="AA176" i="3" s="1"/>
  <c r="Z176" i="3"/>
  <c r="Y62" i="3"/>
  <c r="Y64" i="3" s="1"/>
  <c r="Z60" i="3"/>
  <c r="U143" i="3"/>
  <c r="U146" i="3" s="1"/>
  <c r="Z49" i="3"/>
  <c r="Y67" i="3"/>
  <c r="Z25" i="3"/>
  <c r="Z182" i="3" s="1"/>
  <c r="AA110" i="3"/>
  <c r="X136" i="3"/>
  <c r="X15" i="3"/>
  <c r="X181" i="3" s="1"/>
  <c r="S42" i="3"/>
  <c r="S41" i="3"/>
  <c r="AA116" i="3"/>
  <c r="Z134" i="3"/>
  <c r="Z125" i="3"/>
  <c r="Z95" i="3"/>
  <c r="Z97" i="3" s="1"/>
  <c r="AA93" i="3"/>
  <c r="Z100" i="3"/>
  <c r="W15" i="3"/>
  <c r="X56" i="3"/>
  <c r="V57" i="3"/>
  <c r="Z133" i="3"/>
  <c r="Y132" i="3"/>
  <c r="Y167" i="3"/>
  <c r="X166" i="3"/>
  <c r="U58" i="3"/>
  <c r="U59" i="3"/>
  <c r="U69" i="3"/>
  <c r="U13" i="3"/>
  <c r="N41" i="3"/>
  <c r="R39" i="3"/>
  <c r="R41" i="3" s="1"/>
  <c r="N42" i="3"/>
  <c r="M187" i="3"/>
  <c r="M38" i="3"/>
  <c r="E42" i="3"/>
  <c r="E41" i="3"/>
  <c r="R42" i="3"/>
  <c r="Y168" i="3"/>
  <c r="Z169" i="3"/>
  <c r="I41" i="3"/>
  <c r="I42" i="3"/>
  <c r="U160" i="3"/>
  <c r="AB50" i="3"/>
  <c r="AB68" i="3" s="1"/>
  <c r="V177" i="3"/>
  <c r="V14" i="3"/>
  <c r="W14" i="3" s="1"/>
  <c r="V137" i="3"/>
  <c r="V143" i="3" s="1"/>
  <c r="V146" i="3" s="1"/>
  <c r="V138" i="3"/>
  <c r="V142" i="3"/>
  <c r="V139" i="3"/>
  <c r="V141" i="3"/>
  <c r="Y102" i="3"/>
  <c r="H39" i="3"/>
  <c r="H41" i="3" s="1"/>
  <c r="H40" i="3"/>
  <c r="H43" i="3" s="1"/>
  <c r="M34" i="3"/>
  <c r="M36" i="3" s="1"/>
  <c r="M39" i="3" s="1"/>
  <c r="M188" i="3"/>
  <c r="U104" i="3"/>
  <c r="U107" i="3"/>
  <c r="W102" i="3"/>
  <c r="U105" i="3"/>
  <c r="U108" i="3"/>
  <c r="U103" i="3"/>
  <c r="U144" i="3"/>
  <c r="G41" i="3"/>
  <c r="G42" i="3"/>
  <c r="V151" i="3"/>
  <c r="V152" i="3"/>
  <c r="V153" i="3"/>
  <c r="V155" i="3"/>
  <c r="V156" i="3"/>
  <c r="N187" i="3"/>
  <c r="N38" i="3"/>
  <c r="N43" i="3" s="1"/>
  <c r="Z40" i="3" l="1"/>
  <c r="AA40" i="3" s="1"/>
  <c r="M40" i="3"/>
  <c r="AA60" i="3"/>
  <c r="AA62" i="3" s="1"/>
  <c r="AA64" i="3" s="1"/>
  <c r="Z62" i="3"/>
  <c r="Z64" i="3" s="1"/>
  <c r="V180" i="3"/>
  <c r="U109" i="3"/>
  <c r="U113" i="3" s="1"/>
  <c r="V103" i="3" s="1"/>
  <c r="X177" i="3"/>
  <c r="X14" i="3"/>
  <c r="X180" i="3" s="1"/>
  <c r="AA25" i="3"/>
  <c r="AB25" i="3" s="1"/>
  <c r="M43" i="3"/>
  <c r="Y166" i="3"/>
  <c r="Z167" i="3"/>
  <c r="Y56" i="3"/>
  <c r="X57" i="3"/>
  <c r="AA95" i="3"/>
  <c r="AA97" i="3" s="1"/>
  <c r="AA100" i="3"/>
  <c r="AA134" i="3"/>
  <c r="AA125" i="3"/>
  <c r="V157" i="3"/>
  <c r="U72" i="3"/>
  <c r="U20" i="3" s="1"/>
  <c r="U74" i="3"/>
  <c r="U22" i="3" s="1"/>
  <c r="U71" i="3"/>
  <c r="U19" i="3" s="1"/>
  <c r="U75" i="3"/>
  <c r="U23" i="3" s="1"/>
  <c r="U196" i="3" s="1"/>
  <c r="U208" i="3" s="1"/>
  <c r="U210" i="3" s="1"/>
  <c r="U27" i="3" s="1"/>
  <c r="U70" i="3"/>
  <c r="V58" i="3"/>
  <c r="V13" i="3"/>
  <c r="W13" i="3" s="1"/>
  <c r="W16" i="3" s="1"/>
  <c r="W185" i="3" s="1"/>
  <c r="V59" i="3"/>
  <c r="V69" i="3"/>
  <c r="W69" i="3" s="1"/>
  <c r="H42" i="3"/>
  <c r="W57" i="3"/>
  <c r="Y136" i="3"/>
  <c r="Y15" i="3"/>
  <c r="Y181" i="3" s="1"/>
  <c r="Z102" i="3"/>
  <c r="X141" i="3"/>
  <c r="X138" i="3"/>
  <c r="X142" i="3"/>
  <c r="X137" i="3"/>
  <c r="X139" i="3"/>
  <c r="V144" i="3"/>
  <c r="V145" i="3" s="1"/>
  <c r="U145" i="3"/>
  <c r="M42" i="3"/>
  <c r="M41" i="3"/>
  <c r="AA169" i="3"/>
  <c r="AA168" i="3" s="1"/>
  <c r="Z168" i="3"/>
  <c r="U179" i="3"/>
  <c r="U16" i="3"/>
  <c r="U185" i="3" s="1"/>
  <c r="AA133" i="3"/>
  <c r="AA132" i="3" s="1"/>
  <c r="Z132" i="3"/>
  <c r="AA49" i="3"/>
  <c r="AA67" i="3" s="1"/>
  <c r="Z67" i="3"/>
  <c r="W144" i="3" l="1"/>
  <c r="W145" i="3" s="1"/>
  <c r="U111" i="3"/>
  <c r="U112" i="3" s="1"/>
  <c r="U212" i="3"/>
  <c r="U37" i="3" s="1"/>
  <c r="Z15" i="3"/>
  <c r="Z181" i="3" s="1"/>
  <c r="Z136" i="3"/>
  <c r="AA102" i="3"/>
  <c r="AB102" i="3" s="1"/>
  <c r="X13" i="3"/>
  <c r="X59" i="3"/>
  <c r="X58" i="3"/>
  <c r="X69" i="3"/>
  <c r="X179" i="3"/>
  <c r="V104" i="3"/>
  <c r="V108" i="3"/>
  <c r="V105" i="3"/>
  <c r="X143" i="3"/>
  <c r="V179" i="3"/>
  <c r="V16" i="3"/>
  <c r="V185" i="3" s="1"/>
  <c r="Z56" i="3"/>
  <c r="Y57" i="3"/>
  <c r="U17" i="3"/>
  <c r="U76" i="3"/>
  <c r="Y177" i="3"/>
  <c r="Y14" i="3"/>
  <c r="Y180" i="3" s="1"/>
  <c r="AA136" i="3"/>
  <c r="AA15" i="3"/>
  <c r="AA181" i="3"/>
  <c r="V161" i="3"/>
  <c r="V159" i="3"/>
  <c r="AA167" i="3"/>
  <c r="AA166" i="3" s="1"/>
  <c r="Z166" i="3"/>
  <c r="AA182" i="3"/>
  <c r="V107" i="3"/>
  <c r="V109" i="3" l="1"/>
  <c r="V111" i="3" s="1"/>
  <c r="V160" i="3"/>
  <c r="W159" i="3"/>
  <c r="W160" i="3" s="1"/>
  <c r="Y58" i="3"/>
  <c r="Y59" i="3"/>
  <c r="Y69" i="3"/>
  <c r="Y13" i="3"/>
  <c r="Y179" i="3" s="1"/>
  <c r="X146" i="3"/>
  <c r="X144" i="3"/>
  <c r="U18" i="3"/>
  <c r="U24" i="3"/>
  <c r="U26" i="3" s="1"/>
  <c r="V113" i="3"/>
  <c r="X105" i="3" s="1"/>
  <c r="X152" i="3"/>
  <c r="X156" i="3"/>
  <c r="X151" i="3"/>
  <c r="X153" i="3"/>
  <c r="X155" i="3"/>
  <c r="AA56" i="3"/>
  <c r="AA57" i="3" s="1"/>
  <c r="Z57" i="3"/>
  <c r="X16" i="3"/>
  <c r="X185" i="3" s="1"/>
  <c r="AB136" i="3"/>
  <c r="AA177" i="3"/>
  <c r="Z177" i="3"/>
  <c r="Z14" i="3"/>
  <c r="Z180" i="3" s="1"/>
  <c r="U77" i="3"/>
  <c r="U79" i="3"/>
  <c r="AA14" i="3"/>
  <c r="AA180" i="3" s="1"/>
  <c r="AB15" i="3"/>
  <c r="V112" i="3"/>
  <c r="W111" i="3"/>
  <c r="W112" i="3" s="1"/>
  <c r="AB14" i="3" l="1"/>
  <c r="X107" i="3"/>
  <c r="X103" i="3"/>
  <c r="X108" i="3"/>
  <c r="X104" i="3"/>
  <c r="Y16" i="3"/>
  <c r="Y185" i="3" s="1"/>
  <c r="AB57" i="3"/>
  <c r="X145" i="3"/>
  <c r="V75" i="3"/>
  <c r="V23" i="3" s="1"/>
  <c r="V196" i="3" s="1"/>
  <c r="V208" i="3" s="1"/>
  <c r="V210" i="3" s="1"/>
  <c r="V70" i="3"/>
  <c r="V71" i="3"/>
  <c r="V19" i="3" s="1"/>
  <c r="W19" i="3" s="1"/>
  <c r="V74" i="3"/>
  <c r="V22" i="3" s="1"/>
  <c r="W22" i="3" s="1"/>
  <c r="V72" i="3"/>
  <c r="V20" i="3" s="1"/>
  <c r="W20" i="3" s="1"/>
  <c r="Y139" i="3"/>
  <c r="Y141" i="3"/>
  <c r="Y142" i="3"/>
  <c r="Y137" i="3"/>
  <c r="Y138" i="3"/>
  <c r="U183" i="3"/>
  <c r="U78" i="3"/>
  <c r="Z13" i="3"/>
  <c r="Z58" i="3"/>
  <c r="Z59" i="3"/>
  <c r="Z69" i="3"/>
  <c r="X157" i="3"/>
  <c r="U28" i="3"/>
  <c r="U32" i="3"/>
  <c r="U33" i="3" s="1"/>
  <c r="U34" i="3" s="1"/>
  <c r="U36" i="3" s="1"/>
  <c r="U186" i="3"/>
  <c r="AA58" i="3"/>
  <c r="AA59" i="3"/>
  <c r="AA13" i="3"/>
  <c r="AA179" i="3" s="1"/>
  <c r="AA69" i="3"/>
  <c r="X109" i="3" l="1"/>
  <c r="W23" i="3"/>
  <c r="AA16" i="3"/>
  <c r="AA185" i="3" s="1"/>
  <c r="X161" i="3"/>
  <c r="X159" i="3"/>
  <c r="Z179" i="3"/>
  <c r="Z16" i="3"/>
  <c r="Z185" i="3" s="1"/>
  <c r="AB13" i="3"/>
  <c r="AB16" i="3" s="1"/>
  <c r="AB185" i="3" s="1"/>
  <c r="Y143" i="3"/>
  <c r="V76" i="3"/>
  <c r="V17" i="3"/>
  <c r="U38" i="3"/>
  <c r="U43" i="3" s="1"/>
  <c r="U187" i="3"/>
  <c r="U41" i="3"/>
  <c r="U42" i="3"/>
  <c r="AB69" i="3"/>
  <c r="V212" i="3"/>
  <c r="V37" i="3" s="1"/>
  <c r="W37" i="3" s="1"/>
  <c r="V27" i="3"/>
  <c r="X113" i="3"/>
  <c r="X111" i="3"/>
  <c r="V24" i="3" l="1"/>
  <c r="V26" i="3" s="1"/>
  <c r="V28" i="3" s="1"/>
  <c r="W17" i="3"/>
  <c r="V18" i="3"/>
  <c r="V79" i="3"/>
  <c r="V77" i="3"/>
  <c r="Y156" i="3"/>
  <c r="Y155" i="3"/>
  <c r="Y153" i="3"/>
  <c r="Y151" i="3"/>
  <c r="Y152" i="3"/>
  <c r="Y146" i="3"/>
  <c r="Y144" i="3"/>
  <c r="X160" i="3"/>
  <c r="W27" i="3"/>
  <c r="X112" i="3"/>
  <c r="Y107" i="3"/>
  <c r="Y108" i="3"/>
  <c r="Y104" i="3"/>
  <c r="Y103" i="3"/>
  <c r="Y105" i="3"/>
  <c r="Z138" i="3" l="1"/>
  <c r="Z139" i="3"/>
  <c r="Z137" i="3"/>
  <c r="Z142" i="3"/>
  <c r="Z141" i="3"/>
  <c r="W18" i="3"/>
  <c r="W24" i="3"/>
  <c r="W26" i="3" s="1"/>
  <c r="W28" i="3" s="1"/>
  <c r="W187" i="3" s="1"/>
  <c r="Y145" i="3"/>
  <c r="X72" i="3"/>
  <c r="X20" i="3" s="1"/>
  <c r="X70" i="3"/>
  <c r="X75" i="3"/>
  <c r="X23" i="3" s="1"/>
  <c r="X196" i="3" s="1"/>
  <c r="X208" i="3" s="1"/>
  <c r="X210" i="3" s="1"/>
  <c r="X212" i="3" s="1"/>
  <c r="X37" i="3" s="1"/>
  <c r="X74" i="3"/>
  <c r="X22" i="3" s="1"/>
  <c r="X71" i="3"/>
  <c r="X19" i="3" s="1"/>
  <c r="Y157" i="3"/>
  <c r="W77" i="3"/>
  <c r="W78" i="3" s="1"/>
  <c r="V78" i="3"/>
  <c r="V183" i="3"/>
  <c r="V32" i="3"/>
  <c r="V186" i="3"/>
  <c r="V187" i="3"/>
  <c r="Y109" i="3"/>
  <c r="X27" i="3" l="1"/>
  <c r="Y161" i="3"/>
  <c r="Y159" i="3"/>
  <c r="W186" i="3"/>
  <c r="W32" i="3"/>
  <c r="Z143" i="3"/>
  <c r="X17" i="3"/>
  <c r="X76" i="3"/>
  <c r="V33" i="3"/>
  <c r="Y113" i="3"/>
  <c r="Y111" i="3"/>
  <c r="X18" i="3" l="1"/>
  <c r="X24" i="3"/>
  <c r="X26" i="3" s="1"/>
  <c r="Z146" i="3"/>
  <c r="Z144" i="3"/>
  <c r="Y160" i="3"/>
  <c r="W33" i="3"/>
  <c r="W34" i="3" s="1"/>
  <c r="W36" i="3" s="1"/>
  <c r="V38" i="3"/>
  <c r="V43" i="3" s="1"/>
  <c r="V34" i="3"/>
  <c r="V36" i="3" s="1"/>
  <c r="X79" i="3"/>
  <c r="X77" i="3"/>
  <c r="Z156" i="3"/>
  <c r="Z151" i="3"/>
  <c r="Z155" i="3"/>
  <c r="Z152" i="3"/>
  <c r="Z153" i="3"/>
  <c r="Z105" i="3"/>
  <c r="Z104" i="3"/>
  <c r="Z103" i="3"/>
  <c r="Z108" i="3"/>
  <c r="Z107" i="3"/>
  <c r="Y112" i="3"/>
  <c r="W39" i="3" l="1"/>
  <c r="W41" i="3" s="1"/>
  <c r="W40" i="3"/>
  <c r="W42" i="3" s="1"/>
  <c r="X183" i="3"/>
  <c r="X78" i="3"/>
  <c r="W188" i="3"/>
  <c r="W38" i="3"/>
  <c r="AA141" i="3"/>
  <c r="AA142" i="3"/>
  <c r="AA137" i="3"/>
  <c r="AA139" i="3"/>
  <c r="AA138" i="3"/>
  <c r="Z157" i="3"/>
  <c r="Y72" i="3"/>
  <c r="Y20" i="3" s="1"/>
  <c r="Y75" i="3"/>
  <c r="Y23" i="3" s="1"/>
  <c r="Y196" i="3" s="1"/>
  <c r="Y208" i="3" s="1"/>
  <c r="Y210" i="3" s="1"/>
  <c r="Y27" i="3" s="1"/>
  <c r="Y74" i="3"/>
  <c r="Y22" i="3" s="1"/>
  <c r="Y71" i="3"/>
  <c r="Y19" i="3" s="1"/>
  <c r="Y70" i="3"/>
  <c r="X186" i="3"/>
  <c r="X28" i="3"/>
  <c r="X32" i="3"/>
  <c r="Z145" i="3"/>
  <c r="V41" i="3"/>
  <c r="V42" i="3"/>
  <c r="Z109" i="3"/>
  <c r="W43" i="3" l="1"/>
  <c r="Y76" i="3"/>
  <c r="Y17" i="3"/>
  <c r="Y212" i="3"/>
  <c r="Y37" i="3" s="1"/>
  <c r="X33" i="3"/>
  <c r="X34" i="3" s="1"/>
  <c r="X36" i="3" s="1"/>
  <c r="Z161" i="3"/>
  <c r="Z159" i="3"/>
  <c r="AA143" i="3"/>
  <c r="X187" i="3"/>
  <c r="Z113" i="3"/>
  <c r="Z111" i="3"/>
  <c r="X41" i="3" l="1"/>
  <c r="X42" i="3"/>
  <c r="AA146" i="3"/>
  <c r="AA144" i="3"/>
  <c r="Z160" i="3"/>
  <c r="X38" i="3"/>
  <c r="X43" i="3" s="1"/>
  <c r="AA151" i="3"/>
  <c r="AA156" i="3"/>
  <c r="AA153" i="3"/>
  <c r="AA155" i="3"/>
  <c r="AA152" i="3"/>
  <c r="Y18" i="3"/>
  <c r="Y24" i="3"/>
  <c r="Y26" i="3" s="1"/>
  <c r="Y77" i="3"/>
  <c r="Y79" i="3"/>
  <c r="AA105" i="3"/>
  <c r="AA107" i="3"/>
  <c r="AA103" i="3"/>
  <c r="AA104" i="3"/>
  <c r="AA108" i="3"/>
  <c r="Z112" i="3"/>
  <c r="Z71" i="3" l="1"/>
  <c r="Z19" i="3" s="1"/>
  <c r="Z75" i="3"/>
  <c r="Z23" i="3" s="1"/>
  <c r="Z196" i="3" s="1"/>
  <c r="Z208" i="3" s="1"/>
  <c r="Z210" i="3" s="1"/>
  <c r="Z72" i="3"/>
  <c r="Z20" i="3" s="1"/>
  <c r="Z70" i="3"/>
  <c r="Z74" i="3"/>
  <c r="Z22" i="3" s="1"/>
  <c r="AA145" i="3"/>
  <c r="AB144" i="3"/>
  <c r="AB145" i="3" s="1"/>
  <c r="Y183" i="3"/>
  <c r="Y78" i="3"/>
  <c r="Y28" i="3"/>
  <c r="Y187" i="3" s="1"/>
  <c r="Y32" i="3"/>
  <c r="Y33" i="3" s="1"/>
  <c r="Y186" i="3"/>
  <c r="AA157" i="3"/>
  <c r="AA109" i="3"/>
  <c r="Y38" i="3" l="1"/>
  <c r="Y43" i="3" s="1"/>
  <c r="Z212" i="3"/>
  <c r="Z37" i="3" s="1"/>
  <c r="Z27" i="3"/>
  <c r="Z76" i="3"/>
  <c r="Z17" i="3"/>
  <c r="Z18" i="3" s="1"/>
  <c r="Y34" i="3"/>
  <c r="Y36" i="3" s="1"/>
  <c r="Y41" i="3" s="1"/>
  <c r="AA161" i="3"/>
  <c r="AA159" i="3"/>
  <c r="AA113" i="3"/>
  <c r="AA111" i="3"/>
  <c r="Y42" i="3" l="1"/>
  <c r="AA160" i="3"/>
  <c r="AB159" i="3"/>
  <c r="AB160" i="3" s="1"/>
  <c r="Z77" i="3"/>
  <c r="Z79" i="3"/>
  <c r="Z24" i="3"/>
  <c r="Z26" i="3" s="1"/>
  <c r="AA112" i="3"/>
  <c r="AB111" i="3"/>
  <c r="AB112" i="3" s="1"/>
  <c r="AA72" i="3" l="1"/>
  <c r="AA20" i="3" s="1"/>
  <c r="AB20" i="3" s="1"/>
  <c r="AA71" i="3"/>
  <c r="AA19" i="3" s="1"/>
  <c r="AB19" i="3" s="1"/>
  <c r="AA74" i="3"/>
  <c r="AA22" i="3" s="1"/>
  <c r="AB22" i="3" s="1"/>
  <c r="AA70" i="3"/>
  <c r="AA75" i="3"/>
  <c r="AA23" i="3" s="1"/>
  <c r="Z78" i="3"/>
  <c r="Z183" i="3"/>
  <c r="Z32" i="3"/>
  <c r="Z33" i="3" s="1"/>
  <c r="Z34" i="3" s="1"/>
  <c r="Z36" i="3" s="1"/>
  <c r="Z186" i="3"/>
  <c r="Z28" i="3"/>
  <c r="AA76" i="3" l="1"/>
  <c r="AA17" i="3"/>
  <c r="Z187" i="3"/>
  <c r="Z38" i="3"/>
  <c r="Z43" i="3" s="1"/>
  <c r="Z42" i="3"/>
  <c r="Z41" i="3"/>
  <c r="AB23" i="3"/>
  <c r="AA196" i="3"/>
  <c r="AA208" i="3" s="1"/>
  <c r="AA210" i="3" s="1"/>
  <c r="AA212" i="3" l="1"/>
  <c r="AA37" i="3" s="1"/>
  <c r="AB37" i="3" s="1"/>
  <c r="AA27" i="3"/>
  <c r="AB27" i="3" s="1"/>
  <c r="AA18" i="3"/>
  <c r="AB17" i="3"/>
  <c r="AA24" i="3"/>
  <c r="AA26" i="3" s="1"/>
  <c r="AA77" i="3"/>
  <c r="AA79" i="3"/>
  <c r="AB18" i="3" l="1"/>
  <c r="AB24" i="3"/>
  <c r="AB26" i="3" s="1"/>
  <c r="AA78" i="3"/>
  <c r="AB77" i="3"/>
  <c r="AB78" i="3" s="1"/>
  <c r="AA183" i="3"/>
  <c r="AA28" i="3"/>
  <c r="AA186" i="3"/>
  <c r="AA32" i="3"/>
  <c r="AA33" i="3" l="1"/>
  <c r="AB33" i="3" s="1"/>
  <c r="AA187" i="3"/>
  <c r="AB186" i="3"/>
  <c r="AB28" i="3"/>
  <c r="AB32" i="3"/>
  <c r="AA38" i="3" l="1"/>
  <c r="AA43" i="3" s="1"/>
  <c r="AB34" i="3"/>
  <c r="AB36" i="3" s="1"/>
  <c r="AA34" i="3"/>
  <c r="AA36" i="3" s="1"/>
  <c r="AB38" i="3"/>
  <c r="AB187" i="3"/>
  <c r="AB188" i="3"/>
  <c r="AB40" i="3" l="1"/>
  <c r="AB42" i="3" s="1"/>
  <c r="AA41" i="3"/>
  <c r="AB39" i="3"/>
  <c r="AB41" i="3" s="1"/>
  <c r="AA42" i="3"/>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B9B1F949-59C3-4F66-B6B5-C4844C014784}">
      <text>
        <r>
          <rPr>
            <sz val="9"/>
            <color indexed="81"/>
            <rFont val="Tahoma"/>
            <family val="2"/>
          </rPr>
          <t>Management views as a percentage of total net revenue. Margin % tends to shift with changes in food/beverage mix, cost of coffee, and changes in fx.</t>
        </r>
      </text>
    </comment>
    <comment ref="B25"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2" authorId="0" shapeId="0" xr:uid="{DF6AC6E6-CF62-4BDB-9DE1-43B44074A433}">
      <text>
        <r>
          <rPr>
            <b/>
            <sz val="9"/>
            <color rgb="FF000000"/>
            <rFont val="Tahoma"/>
            <family val="2"/>
          </rPr>
          <t xml:space="preserve">F2Q2019 Earnings call guidance for FY2019: </t>
        </r>
        <r>
          <rPr>
            <sz val="9"/>
            <color rgb="FF000000"/>
            <rFont val="Tahoma"/>
            <family val="2"/>
          </rPr>
          <t xml:space="preserve">GAAP EPS in the range of $2.40 to $2.44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GAAP EPS in the range of $2.32 to $2.37
</t>
        </r>
      </text>
    </comment>
    <comment ref="W43" authorId="0" shapeId="0" xr:uid="{F7FB76D6-F1C4-4BDC-B91F-D34DB0107C07}">
      <text>
        <r>
          <rPr>
            <b/>
            <sz val="9"/>
            <color indexed="81"/>
            <rFont val="Tahoma"/>
            <family val="2"/>
          </rPr>
          <t>F2Q2019 Earnings call guidance for FY2019:</t>
        </r>
        <r>
          <rPr>
            <sz val="9"/>
            <color indexed="81"/>
            <rFont val="Tahoma"/>
            <family val="2"/>
          </rPr>
          <t xml:space="preserve"> Non-GAAP EPS in the range of $2.75 to $2.79 
</t>
        </r>
        <r>
          <rPr>
            <b/>
            <sz val="9"/>
            <color indexed="81"/>
            <rFont val="Tahoma"/>
            <family val="2"/>
          </rPr>
          <t>Past Guidance (F1Q2019 Earnings call guidance for FY2019):</t>
        </r>
        <r>
          <rPr>
            <sz val="9"/>
            <color indexed="81"/>
            <rFont val="Tahoma"/>
            <family val="2"/>
          </rPr>
          <t xml:space="preserve"> Non-GAAP EPS in the range of $2.68 to $2.73 </t>
        </r>
      </text>
    </comment>
    <comment ref="W68" authorId="0" shapeId="0" xr:uid="{BABABC73-1D12-4DF2-9E5E-E841BFA2DCB7}">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78" authorId="0" shapeId="0" xr:uid="{1D79115A-EE07-4E1F-A6A6-CD8AF6211E06}">
      <text>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t>
        </r>
        <r>
          <rPr>
            <u/>
            <sz val="9"/>
            <color rgb="FF000000"/>
            <rFont val="Tahoma"/>
            <family val="2"/>
          </rPr>
          <t>up</t>
        </r>
        <r>
          <rPr>
            <sz val="9"/>
            <color rgb="FF000000"/>
            <rFont val="Tahoma"/>
            <family val="2"/>
          </rPr>
          <t xml:space="preserve">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t>
        </r>
        <r>
          <rPr>
            <u/>
            <sz val="9"/>
            <color rgb="FF000000"/>
            <rFont val="Tahoma"/>
            <family val="2"/>
          </rPr>
          <t>mid-30%</t>
        </r>
        <r>
          <rPr>
            <sz val="9"/>
            <color rgb="FF000000"/>
            <rFont val="Tahoma"/>
            <family val="2"/>
          </rPr>
          <t xml:space="preserve">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01" authorId="0" shapeId="0" xr:uid="{BD699E6D-A529-44B1-B616-7FB2D824B0D1}">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12" authorId="0" shapeId="0" xr:uid="{6998F1F0-C6D7-4458-8051-CEBE7DEAEBD7}">
      <text>
        <r>
          <rPr>
            <b/>
            <sz val="9"/>
            <color indexed="81"/>
            <rFont val="Tahoma"/>
            <family val="2"/>
          </rPr>
          <t xml:space="preserve">F2Q2019 Earnings call guidance for FY2019:
</t>
        </r>
        <r>
          <rPr>
            <sz val="9"/>
            <color indexed="81"/>
            <rFont val="Tahoma"/>
            <family val="2"/>
          </rPr>
          <t>Consolidated operating margin down moderately</t>
        </r>
        <r>
          <rPr>
            <b/>
            <sz val="9"/>
            <color indexed="81"/>
            <rFont val="Tahoma"/>
            <family val="2"/>
          </rPr>
          <t xml:space="preserve">
</t>
        </r>
        <r>
          <rPr>
            <sz val="9"/>
            <color indexed="81"/>
            <rFont val="Tahoma"/>
            <family val="2"/>
          </rPr>
          <t>&gt;Americas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35" authorId="0" shapeId="0" xr:uid="{7C18DCA1-EA49-4EFF-83B8-F62D9C732814}">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45" authorId="0" shapeId="0" xr:uid="{83E698E5-1A2F-4654-B06D-FC4B931AC052}">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60" authorId="0" shapeId="0" xr:uid="{0AFB8492-6631-4EBA-A90B-77B9FC895AA5}">
      <text>
        <r>
          <rPr>
            <b/>
            <sz val="9"/>
            <color indexed="81"/>
            <rFont val="Tahoma"/>
            <family val="2"/>
          </rPr>
          <t xml:space="preserve">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85" authorId="0" shapeId="0" xr:uid="{09086669-1B74-4F2F-9BFD-613EEE8C272D}">
      <text>
        <r>
          <rPr>
            <b/>
            <sz val="9"/>
            <color indexed="81"/>
            <rFont val="Tahoma"/>
            <family val="2"/>
          </rPr>
          <t xml:space="preserve">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88" authorId="0" shapeId="0" xr:uid="{1AC5A6FE-2E7D-4292-8526-475FE5AC6A6E}">
      <text>
        <r>
          <rPr>
            <b/>
            <sz val="9"/>
            <color indexed="81"/>
            <rFont val="Tahoma"/>
            <family val="2"/>
          </rPr>
          <t xml:space="preserve">F2Q2019 Earnings call guidance for FY2019: </t>
        </r>
        <r>
          <rPr>
            <sz val="9"/>
            <color indexed="81"/>
            <rFont val="Tahoma"/>
            <family val="2"/>
          </rPr>
          <t xml:space="preserve">20% to 22%, Non-GAAP tax rate in the range of 19% to 21%.
</t>
        </r>
        <r>
          <rPr>
            <b/>
            <sz val="9"/>
            <color indexed="81"/>
            <rFont val="Tahoma"/>
            <family val="2"/>
          </rPr>
          <t>Past Guidance (F1Q2019 Earnings call guidance for FY2019):</t>
        </r>
        <r>
          <rPr>
            <sz val="9"/>
            <color indexed="81"/>
            <rFont val="Tahoma"/>
            <family val="2"/>
          </rPr>
          <t xml:space="preserve"> 21% to 23%</t>
        </r>
      </text>
    </comment>
  </commentList>
</comments>
</file>

<file path=xl/sharedStrings.xml><?xml version="1.0" encoding="utf-8"?>
<sst xmlns="http://schemas.openxmlformats.org/spreadsheetml/2006/main" count="511" uniqueCount="188">
  <si>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</si>
  <si>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</si>
  <si>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</si>
  <si>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</si>
  <si>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</si>
  <si>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</si>
  <si>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</si>
  <si>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</si>
  <si>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</si>
  <si>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</si>
  <si>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</si>
  <si>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</si>
  <si>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</si>
  <si>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</si>
  <si>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</si>
  <si>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</si>
  <si>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</si>
  <si>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</si>
  <si>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</si>
  <si>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</si>
  <si>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</si>
  <si>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</si>
  <si>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</si>
  <si>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</si>
  <si>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</si>
  <si>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</si>
  <si>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</si>
  <si>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</si>
  <si>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</si>
  <si>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</si>
  <si>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</si>
  <si>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</si>
  <si>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</si>
  <si>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</si>
  <si>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</si>
  <si>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</si>
  <si>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</si>
  <si>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</si>
  <si>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</si>
  <si>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</si>
  <si>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</si>
  <si>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</si>
  <si>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</si>
  <si>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</si>
  <si>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</si>
  <si>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</si>
  <si>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</si>
  <si>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</si>
  <si>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</si>
  <si>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</si>
  <si>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</si>
  <si>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</si>
  <si>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</si>
  <si>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</si>
  <si>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</si>
  <si>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</si>
  <si>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</si>
  <si>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</si>
  <si>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</si>
  <si>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</si>
  <si>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</si>
  <si>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</si>
  <si>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</si>
  <si>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</si>
  <si>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</si>
  <si>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</si>
  <si>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</si>
  <si>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</si>
  <si>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</si>
  <si>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</si>
  <si>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</si>
  <si>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</si>
  <si>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</si>
  <si>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</si>
  <si>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</si>
  <si>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</si>
  <si>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</si>
  <si>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</si>
  <si>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</si>
  <si>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</si>
  <si>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</si>
  <si>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</si>
  <si>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</si>
  <si>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</si>
  <si>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</si>
  <si>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</si>
  <si>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</si>
  <si>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</si>
  <si>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</si>
  <si>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</si>
  <si>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</si>
  <si>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</si>
  <si>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</si>
  <si>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</si>
  <si>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</si>
  <si>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</si>
  <si>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</si>
  <si>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</si>
  <si>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</si>
  <si>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</si>
  <si>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</si>
  <si>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</si>
  <si>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</si>
  <si>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</si>
  <si>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</si>
  <si>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</si>
  <si>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</si>
  <si>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</si>
  <si>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</si>
  <si>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</si>
  <si>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</si>
  <si>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</si>
  <si>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</si>
  <si>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</si>
  <si>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</si>
  <si>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</si>
  <si>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</si>
  <si>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</si>
  <si>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</si>
  <si>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</si>
  <si>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</si>
  <si>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</si>
  <si>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</si>
  <si>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</si>
  <si>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</si>
  <si>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</si>
  <si>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</si>
  <si>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</si>
  <si>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</si>
  <si>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</si>
  <si>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</si>
  <si>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</si>
  <si>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</si>
  <si>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</si>
  <si>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</si>
  <si>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</si>
  <si>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</si>
  <si>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</si>
  <si>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</si>
  <si>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</si>
  <si>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</si>
  <si>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</si>
  <si>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</si>
  <si>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</si>
  <si>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</si>
  <si>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</si>
  <si>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</si>
  <si>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</si>
  <si>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</si>
  <si>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</si>
  <si>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</si>
  <si>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</si>
  <si>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</si>
  <si>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</si>
  <si>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</si>
  <si>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</si>
  <si>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</si>
  <si>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</si>
  <si>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</si>
  <si>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</si>
  <si>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</si>
  <si>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</si>
  <si>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</si>
  <si>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</si>
  <si>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</si>
  <si>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</si>
  <si>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</si>
  <si>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</si>
  <si>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</si>
  <si>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</si>
  <si>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</si>
  <si>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</si>
  <si>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</si>
  <si>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</si>
  <si>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</si>
  <si>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</si>
  <si>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</si>
  <si>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</si>
  <si>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</si>
  <si>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</si>
  <si>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</si>
  <si>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</si>
  <si>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</si>
  <si>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</si>
  <si>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</si>
  <si>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r>
      <t xml:space="preserve">Last updated: </t>
    </r>
    <r>
      <rPr>
        <sz val="11"/>
        <color theme="1"/>
        <rFont val="Calibri"/>
        <family val="2"/>
        <scheme val="minor"/>
      </rPr>
      <t>5/19/2019</t>
    </r>
  </si>
  <si>
    <t>Blue cells = Primary estimates (last updated 5/27/2019)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</si>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</sst>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b/>
      <sz val="9"/>
      <color rgb="FF000000"/>
      <name val="Tahoma"/>
      <family val="2"/>
    </font>
    <font>
      <sz val="9"/>
      <color rgb="FF000000"/>
      <name val="Tahoma"/>
      <family val="2"/>
    </font>
    <font>
      <u/>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82">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6" fontId="61" fillId="0" borderId="5" xfId="2" quotePrefix="1" applyNumberFormat="1" applyFont="1" applyBorder="1" applyAlignment="1">
      <alignment horizontal="right"/>
    </xf>
    <xf numFmtId="0" fontId="62" fillId="0" borderId="3" xfId="0" applyFont="1" applyBorder="1" applyAlignment="1">
      <alignment horizontal="left" indent="2"/>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6" fontId="61" fillId="0" borderId="0" xfId="2" applyNumberFormat="1" applyFont="1" applyAlignment="1">
      <alignment horizontal="left"/>
    </xf>
    <xf numFmtId="9" fontId="61" fillId="0" borderId="0" xfId="1" applyNumberFormat="1" applyFont="1" applyAlignment="1">
      <alignment horizontal="left"/>
    </xf>
    <xf numFmtId="0" fontId="61" fillId="0" borderId="10" xfId="0" applyFont="1" applyBorder="1" applyAlignment="1">
      <alignment horizontal="left"/>
    </xf>
    <xf numFmtId="0" fontId="61" fillId="0" borderId="4" xfId="0" applyFont="1" applyBorder="1"/>
    <xf numFmtId="165" fontId="66" fillId="0" borderId="5" xfId="1" quotePrefix="1" applyNumberFormat="1" applyFont="1" applyBorder="1" applyAlignment="1">
      <alignment horizontal="right"/>
    </xf>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1" fillId="0" borderId="0" xfId="1" applyNumberFormat="1" applyFont="1" applyAlignment="1">
      <alignment horizontal="right" wrapText="1"/>
    </xf>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3" fillId="9" borderId="0" xfId="1" applyNumberFormat="1" applyFont="1" applyFill="1" applyAlignment="1">
      <alignment horizontal="right"/>
    </xf>
    <xf numFmtId="0" fontId="66" fillId="0" borderId="0" xfId="0" applyFont="1"/>
    <xf numFmtId="165" fontId="67"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5" fontId="61" fillId="0" borderId="30" xfId="1" applyNumberFormat="1" applyFont="1" applyBorder="1" applyAlignment="1">
      <alignment horizontal="right"/>
    </xf>
    <xf numFmtId="165" fontId="65"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2" fillId="0" borderId="0" xfId="2" applyFont="1" applyAlignment="1">
      <alignment horizontal="right"/>
    </xf>
    <xf numFmtId="9" fontId="68" fillId="0" borderId="0" xfId="2" applyFont="1" applyAlignment="1">
      <alignment horizontal="right"/>
    </xf>
    <xf numFmtId="9" fontId="68" fillId="0" borderId="5" xfId="2" applyFont="1" applyBorder="1" applyAlignment="1">
      <alignment horizontal="right"/>
    </xf>
    <xf numFmtId="9" fontId="62" fillId="0" borderId="5" xfId="2" applyFont="1" applyBorder="1" applyAlignment="1">
      <alignment horizontal="right"/>
    </xf>
    <xf numFmtId="164" fontId="67"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69" fillId="0" borderId="0" xfId="0" applyFont="1"/>
    <xf numFmtId="0" fontId="69" fillId="0" borderId="3" xfId="0" applyFont="1" applyBorder="1" applyAlignment="1">
      <alignment horizontal="left"/>
    </xf>
    <xf numFmtId="0" fontId="69" fillId="0" borderId="4" xfId="0" applyFont="1" applyBorder="1" applyAlignment="1">
      <alignment horizontal="left"/>
    </xf>
    <xf numFmtId="165" fontId="69" fillId="0" borderId="0" xfId="1" applyNumberFormat="1" applyFont="1" applyAlignment="1">
      <alignment horizontal="right"/>
    </xf>
    <xf numFmtId="165" fontId="70" fillId="0" borderId="5" xfId="1" quotePrefix="1" applyNumberFormat="1" applyFont="1" applyBorder="1" applyAlignment="1">
      <alignment horizontal="right"/>
    </xf>
    <xf numFmtId="165" fontId="69" fillId="9" borderId="0" xfId="1" applyNumberFormat="1" applyFont="1" applyFill="1" applyAlignment="1">
      <alignment horizontal="right"/>
    </xf>
    <xf numFmtId="165" fontId="69" fillId="0" borderId="5" xfId="1" quotePrefix="1" applyNumberFormat="1" applyFont="1" applyBorder="1" applyAlignment="1">
      <alignment horizontal="right"/>
    </xf>
    <xf numFmtId="167" fontId="69" fillId="9" borderId="0" xfId="1" applyNumberFormat="1" applyFont="1" applyFill="1" applyAlignment="1">
      <alignment horizontal="right"/>
    </xf>
    <xf numFmtId="0" fontId="69" fillId="0" borderId="3" xfId="0" applyFont="1" applyBorder="1" applyAlignment="1">
      <alignment horizontal="left" indent="2"/>
    </xf>
    <xf numFmtId="0" fontId="69" fillId="0" borderId="4" xfId="0" applyFont="1" applyBorder="1" applyAlignment="1">
      <alignment horizontal="left" indent="1"/>
    </xf>
    <xf numFmtId="164" fontId="69" fillId="0" borderId="0" xfId="1" applyNumberFormat="1" applyFont="1" applyAlignment="1">
      <alignment horizontal="right"/>
    </xf>
    <xf numFmtId="164" fontId="70" fillId="0" borderId="5" xfId="1" quotePrefix="1" applyNumberFormat="1" applyFont="1" applyBorder="1" applyAlignment="1">
      <alignment horizontal="right"/>
    </xf>
    <xf numFmtId="164" fontId="69" fillId="0" borderId="5" xfId="1" quotePrefix="1" applyNumberFormat="1" applyFont="1" applyBorder="1" applyAlignment="1">
      <alignment horizontal="right"/>
    </xf>
    <xf numFmtId="167" fontId="69" fillId="0" borderId="0" xfId="1" applyNumberFormat="1" applyFont="1" applyAlignment="1">
      <alignment horizontal="right"/>
    </xf>
    <xf numFmtId="167" fontId="69" fillId="0" borderId="5" xfId="1" quotePrefix="1" applyNumberFormat="1" applyFont="1" applyBorder="1" applyAlignment="1">
      <alignment horizontal="right"/>
    </xf>
    <xf numFmtId="165" fontId="62" fillId="0" borderId="31" xfId="1" applyNumberFormat="1" applyFont="1" applyBorder="1" applyAlignment="1">
      <alignment horizontal="right"/>
    </xf>
    <xf numFmtId="165" fontId="67" fillId="0" borderId="32" xfId="1" quotePrefix="1" applyNumberFormat="1" applyFont="1" applyBorder="1" applyAlignment="1">
      <alignment horizontal="right"/>
    </xf>
    <xf numFmtId="165" fontId="55"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0" borderId="30" xfId="2" applyFont="1" applyBorder="1" applyAlignment="1">
      <alignment horizontal="right"/>
    </xf>
    <xf numFmtId="9" fontId="61" fillId="9" borderId="30" xfId="2" applyFont="1" applyFill="1" applyBorder="1" applyAlignment="1">
      <alignment horizontal="right"/>
    </xf>
    <xf numFmtId="165" fontId="62" fillId="0" borderId="30" xfId="1" applyNumberFormat="1" applyFont="1" applyBorder="1" applyAlignment="1">
      <alignment horizontal="right"/>
    </xf>
    <xf numFmtId="165" fontId="67" fillId="0" borderId="29" xfId="1" quotePrefix="1" applyNumberFormat="1" applyFont="1" applyBorder="1" applyAlignment="1">
      <alignment horizontal="right"/>
    </xf>
    <xf numFmtId="164" fontId="62" fillId="0" borderId="30" xfId="1" applyNumberFormat="1" applyFont="1" applyBorder="1" applyAlignment="1">
      <alignment horizontal="right"/>
    </xf>
    <xf numFmtId="164" fontId="67" fillId="0" borderId="29" xfId="1" quotePrefix="1" applyNumberFormat="1" applyFont="1" applyBorder="1" applyAlignment="1">
      <alignment horizontal="right"/>
    </xf>
    <xf numFmtId="164" fontId="55" fillId="0" borderId="29" xfId="1" quotePrefix="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55" fillId="0" borderId="5" xfId="2" quotePrefix="1" applyNumberFormat="1" applyFont="1" applyBorder="1" applyAlignment="1">
      <alignment horizontal="right"/>
    </xf>
    <xf numFmtId="43" fontId="69" fillId="0" borderId="0" xfId="1" applyFont="1"/>
    <xf numFmtId="43" fontId="69" fillId="0" borderId="4" xfId="1" applyFont="1" applyBorder="1"/>
    <xf numFmtId="43" fontId="69" fillId="0" borderId="0" xfId="1" applyFont="1" applyAlignment="1">
      <alignment horizontal="right"/>
    </xf>
    <xf numFmtId="43" fontId="69" fillId="0" borderId="5" xfId="1" quotePrefix="1" applyFont="1" applyBorder="1" applyAlignment="1">
      <alignment horizontal="right"/>
    </xf>
    <xf numFmtId="43" fontId="69" fillId="0" borderId="3" xfId="1" applyFont="1" applyBorder="1" applyAlignment="1">
      <alignment horizontal="left" indent="4"/>
    </xf>
    <xf numFmtId="165" fontId="69" fillId="0" borderId="5" xfId="1" applyNumberFormat="1" applyFont="1" applyBorder="1" applyAlignment="1">
      <alignment horizontal="right"/>
    </xf>
    <xf numFmtId="166" fontId="69" fillId="0" borderId="0" xfId="2" applyNumberFormat="1" applyFont="1" applyAlignment="1">
      <alignment horizontal="right"/>
    </xf>
    <xf numFmtId="166" fontId="69" fillId="0" borderId="5" xfId="2" applyNumberFormat="1" applyFont="1" applyBorder="1" applyAlignment="1">
      <alignment horizontal="right"/>
    </xf>
    <xf numFmtId="166" fontId="69"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9" fontId="61" fillId="0" borderId="3" xfId="2" applyFont="1" applyBorder="1" applyAlignment="1">
      <alignment horizontal="right"/>
    </xf>
    <xf numFmtId="164" fontId="61" fillId="0" borderId="3" xfId="1" applyNumberFormat="1" applyFont="1" applyBorder="1" applyAlignment="1">
      <alignment horizontal="right"/>
    </xf>
    <xf numFmtId="0" fontId="72" fillId="0" borderId="0" xfId="0" applyFont="1"/>
    <xf numFmtId="0" fontId="73" fillId="0" borderId="4" xfId="0" applyFont="1" applyBorder="1" applyAlignment="1">
      <alignment horizontal="left"/>
    </xf>
    <xf numFmtId="0" fontId="71" fillId="0" borderId="13" xfId="0" applyFont="1" applyBorder="1"/>
    <xf numFmtId="164" fontId="71" fillId="0" borderId="30" xfId="1" applyNumberFormat="1" applyFont="1" applyBorder="1" applyAlignment="1">
      <alignment horizontal="right"/>
    </xf>
    <xf numFmtId="164" fontId="71" fillId="0" borderId="29" xfId="1" applyNumberFormat="1" applyFont="1" applyBorder="1" applyAlignment="1">
      <alignment horizontal="right"/>
    </xf>
    <xf numFmtId="43" fontId="71" fillId="0" borderId="36" xfId="1" applyFont="1" applyBorder="1" applyAlignment="1">
      <alignment horizontal="right"/>
    </xf>
    <xf numFmtId="43" fontId="71" fillId="0" borderId="34" xfId="1" applyFont="1" applyBorder="1" applyAlignment="1">
      <alignment horizontal="righ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9" fontId="65" fillId="0" borderId="0" xfId="2" applyFont="1" applyAlignment="1">
      <alignment horizontal="right"/>
    </xf>
    <xf numFmtId="0" fontId="71" fillId="0" borderId="26" xfId="0" applyFont="1" applyBorder="1" applyAlignment="1">
      <alignment horizontal="left"/>
    </xf>
    <xf numFmtId="0" fontId="71" fillId="0" borderId="12" xfId="0" applyFont="1" applyBorder="1" applyAlignment="1">
      <alignment horizontal="left" indent="2"/>
    </xf>
    <xf numFmtId="0" fontId="71" fillId="0" borderId="13" xfId="0" applyFont="1" applyBorder="1" applyAlignment="1">
      <alignment horizontal="left"/>
    </xf>
    <xf numFmtId="0" fontId="69" fillId="0" borderId="25" xfId="0" applyFont="1" applyBorder="1" applyAlignment="1">
      <alignment horizontal="left" indent="1"/>
    </xf>
    <xf numFmtId="0" fontId="69" fillId="0" borderId="26" xfId="0" applyFont="1" applyBorder="1"/>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164" fontId="75" fillId="0" borderId="31" xfId="1" applyNumberFormat="1" applyFont="1" applyBorder="1" applyAlignment="1">
      <alignment horizontal="right"/>
    </xf>
    <xf numFmtId="164" fontId="75" fillId="0" borderId="32" xfId="1" applyNumberFormat="1" applyFont="1" applyBorder="1" applyAlignment="1">
      <alignment horizontal="right"/>
    </xf>
    <xf numFmtId="0" fontId="71" fillId="0" borderId="35" xfId="0" applyFont="1" applyBorder="1" applyAlignment="1">
      <alignment horizontal="left" indent="2"/>
    </xf>
    <xf numFmtId="43" fontId="65" fillId="0" borderId="0" xfId="2" applyNumberFormat="1" applyFont="1" applyAlignment="1">
      <alignment horizontal="right"/>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43" fontId="61" fillId="0" borderId="5" xfId="1" quotePrefix="1" applyFont="1" applyBorder="1" applyAlignment="1">
      <alignment horizontal="right"/>
    </xf>
    <xf numFmtId="10" fontId="4" fillId="0" borderId="0" xfId="2" applyNumberFormat="1" applyFont="1" applyAlignment="1">
      <alignment horizontal="right"/>
    </xf>
    <xf numFmtId="0" fontId="61" fillId="0" borderId="6" xfId="0" applyFont="1" applyBorder="1" applyAlignment="1">
      <alignment horizontal="left" indent="2"/>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4" fontId="62" fillId="0" borderId="5" xfId="2" quotePrefix="1" applyNumberFormat="1" applyFont="1" applyBorder="1" applyAlignment="1">
      <alignment horizontal="right"/>
    </xf>
    <xf numFmtId="43" fontId="4" fillId="0" borderId="0" xfId="1" applyFont="1" applyAlignment="1">
      <alignment horizontal="left"/>
    </xf>
    <xf numFmtId="0" fontId="76" fillId="0" borderId="0" xfId="0" applyFont="1"/>
    <xf numFmtId="0" fontId="4" fillId="0" borderId="0" xfId="0" applyFont="1" applyFill="1"/>
    <xf numFmtId="0" fontId="71" fillId="0" borderId="37" xfId="0" applyFont="1" applyBorder="1" applyAlignment="1">
      <alignment horizontal="left" indent="1"/>
    </xf>
    <xf numFmtId="0" fontId="61" fillId="0" borderId="10"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4" fillId="0" borderId="0" xfId="1" applyNumberFormat="1" applyFont="1" applyFill="1" applyAlignment="1">
      <alignment horizontal="right"/>
    </xf>
    <xf numFmtId="164" fontId="74" fillId="0" borderId="31" xfId="1" applyNumberFormat="1" applyFont="1" applyFill="1" applyBorder="1" applyAlignment="1">
      <alignment horizontal="right"/>
    </xf>
    <xf numFmtId="164" fontId="71" fillId="0" borderId="30" xfId="1" applyNumberFormat="1" applyFont="1" applyFill="1" applyBorder="1" applyAlignment="1">
      <alignment horizontal="right"/>
    </xf>
    <xf numFmtId="164" fontId="75" fillId="0" borderId="31" xfId="1" applyNumberFormat="1" applyFont="1" applyFill="1" applyBorder="1" applyAlignment="1">
      <alignment horizontal="right"/>
    </xf>
    <xf numFmtId="43" fontId="62" fillId="0" borderId="0" xfId="1" applyFont="1" applyFill="1" applyAlignment="1">
      <alignment horizontal="right"/>
    </xf>
    <xf numFmtId="43" fontId="71" fillId="0" borderId="36" xfId="1" applyFont="1" applyFill="1" applyBorder="1" applyAlignment="1">
      <alignment horizontal="right"/>
    </xf>
    <xf numFmtId="43" fontId="61" fillId="0" borderId="7" xfId="1" applyFont="1" applyFill="1" applyBorder="1" applyAlignment="1">
      <alignment horizontal="right"/>
    </xf>
    <xf numFmtId="9" fontId="62" fillId="0" borderId="0" xfId="2" applyFont="1" applyFill="1" applyAlignment="1">
      <alignment horizontal="right"/>
    </xf>
    <xf numFmtId="0" fontId="55" fillId="0" borderId="0" xfId="0" applyFont="1" applyFill="1"/>
    <xf numFmtId="43" fontId="69" fillId="0" borderId="0" xfId="1" applyFont="1" applyFill="1"/>
    <xf numFmtId="0" fontId="61" fillId="0" borderId="0" xfId="2" applyNumberFormat="1" applyFont="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69"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69" fillId="0" borderId="0" xfId="1" applyNumberFormat="1" applyFont="1" applyFill="1" applyAlignment="1">
      <alignment horizontal="right"/>
    </xf>
    <xf numFmtId="9" fontId="62" fillId="9" borderId="0" xfId="2" applyNumberFormat="1" applyFont="1" applyFill="1" applyAlignment="1">
      <alignment horizontal="right"/>
    </xf>
    <xf numFmtId="166" fontId="62" fillId="9" borderId="0" xfId="2" applyNumberFormat="1" applyFont="1" applyFill="1" applyAlignment="1">
      <alignment horizontal="right"/>
    </xf>
    <xf numFmtId="165" fontId="61" fillId="0" borderId="0" xfId="1" quotePrefix="1" applyNumberFormat="1" applyFont="1" applyFill="1" applyAlignment="1">
      <alignment horizontal="right"/>
    </xf>
    <xf numFmtId="164" fontId="61" fillId="9" borderId="0" xfId="2" applyNumberFormat="1" applyFont="1" applyFill="1" applyAlignment="1">
      <alignment horizontal="right"/>
    </xf>
    <xf numFmtId="43" fontId="62" fillId="0" borderId="5" xfId="1" applyFont="1" applyFill="1" applyBorder="1" applyAlignment="1">
      <alignment horizontal="right"/>
    </xf>
    <xf numFmtId="43" fontId="71" fillId="0" borderId="36" xfId="1" applyNumberFormat="1" applyFont="1" applyFill="1" applyBorder="1" applyAlignment="1">
      <alignment horizontal="right"/>
    </xf>
    <xf numFmtId="43" fontId="71" fillId="0" borderId="34" xfId="1" applyFont="1" applyFill="1" applyBorder="1" applyAlignment="1">
      <alignment horizontal="right"/>
    </xf>
    <xf numFmtId="165" fontId="61"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166" fontId="61" fillId="0" borderId="5" xfId="2" quotePrefix="1" applyNumberFormat="1" applyFont="1" applyFill="1" applyBorder="1" applyAlignment="1">
      <alignment horizontal="right"/>
    </xf>
    <xf numFmtId="166" fontId="61" fillId="0" borderId="5" xfId="2" applyNumberFormat="1" applyFont="1" applyFill="1" applyBorder="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12" xfId="0" applyFont="1" applyBorder="1" applyAlignment="1">
      <alignment horizontal="left"/>
    </xf>
    <xf numFmtId="0" fontId="62" fillId="0" borderId="13"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1" fillId="0" borderId="3" xfId="0" applyFont="1" applyBorder="1" applyAlignment="1">
      <alignment horizontal="left" indent="6"/>
    </xf>
    <xf numFmtId="0" fontId="61" fillId="0" borderId="4" xfId="0" applyFont="1" applyBorder="1" applyAlignment="1">
      <alignment horizontal="left" indent="6"/>
    </xf>
    <xf numFmtId="0" fontId="62" fillId="0" borderId="25" xfId="0" applyFont="1" applyBorder="1" applyAlignment="1">
      <alignment horizontal="left" indent="1"/>
    </xf>
    <xf numFmtId="0" fontId="62" fillId="0" borderId="26" xfId="0" applyFont="1" applyBorder="1" applyAlignment="1">
      <alignment horizontal="left" inden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9" borderId="1" xfId="0" applyFont="1" applyFill="1" applyBorder="1" applyAlignment="1">
      <alignment horizontal="left"/>
    </xf>
    <xf numFmtId="0" fontId="61" fillId="9" borderId="11" xfId="0" applyFont="1" applyFill="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xf numFmtId="0" fontId="61" fillId="0" borderId="6" xfId="0" applyFont="1" applyFill="1" applyBorder="1" applyAlignment="1">
      <alignment horizontal="left"/>
    </xf>
    <xf numFmtId="0" fontId="61" fillId="0" borderId="10" xfId="0" applyFont="1" applyFill="1" applyBorder="1" applyAlignment="1">
      <alignment horizontal="left"/>
    </xf>
    <xf numFmtId="0" fontId="61" fillId="10" borderId="6" xfId="0" applyFont="1" applyFill="1" applyBorder="1" applyAlignment="1">
      <alignment horizontal="left"/>
    </xf>
    <xf numFmtId="0" fontId="61" fillId="10" borderId="10" xfId="0" applyFont="1" applyFill="1" applyBorder="1" applyAlignment="1">
      <alignment horizontal="lef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9867</c:v>
                </c:pt>
                <c:pt idx="5">
                  <c:v>9952</c:v>
                </c:pt>
                <c:pt idx="6">
                  <c:v>10019</c:v>
                </c:pt>
                <c:pt idx="7">
                  <c:v>10081.75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0.22808752400733071</c:v>
                </c:pt>
                <c:pt idx="5">
                  <c:v>0.22621968333136921</c:v>
                </c:pt>
                <c:pt idx="6">
                  <c:v>0.22780775046329382</c:v>
                </c:pt>
                <c:pt idx="7">
                  <c:v>0.21784062852912373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5683</c:v>
                </c:pt>
                <c:pt idx="5">
                  <c:v>5898</c:v>
                </c:pt>
                <c:pt idx="6">
                  <c:v>6082.75</c:v>
                </c:pt>
                <c:pt idx="7">
                  <c:v>6265.9375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0.21638806031257454</c:v>
                </c:pt>
                <c:pt idx="5">
                  <c:v>0.20344057024777965</c:v>
                </c:pt>
                <c:pt idx="6">
                  <c:v>0.17850404041589948</c:v>
                </c:pt>
                <c:pt idx="7">
                  <c:v>0.18021952664063698</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078456153305453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4"/>
  <sheetViews>
    <sheetView showGridLines="0" tabSelected="1" zoomScaleNormal="100" workbookViewId="0">
      <pane xSplit="3" ySplit="12" topLeftCell="P13" activePane="bottomRight" state="frozen"/>
      <selection pane="topRight" activeCell="D1" sqref="D1"/>
      <selection pane="bottomLeft" activeCell="A13" sqref="A13"/>
      <selection pane="bottomRight" activeCell="W44" sqref="W44"/>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1" width="8.85546875" style="4"/>
    <col min="32" max="32" width="10.42578125" style="4" bestFit="1" customWidth="1"/>
    <col min="33" max="16384" width="8.85546875" style="4"/>
  </cols>
  <sheetData>
    <row r="1" spans="1:56" ht="9" customHeight="1" x14ac:dyDescent="0.25">
      <c r="B1" s="206" t="s">
        <v>14</v>
      </c>
    </row>
    <row r="2" spans="1:56" ht="45" customHeight="1" x14ac:dyDescent="0.25">
      <c r="B2" s="264" t="s">
        <v>13</v>
      </c>
      <c r="C2" s="265"/>
      <c r="K2" s="12"/>
    </row>
    <row r="3" spans="1:56" x14ac:dyDescent="0.25">
      <c r="B3" s="268" t="s">
        <v>186</v>
      </c>
      <c r="C3" s="269"/>
      <c r="D3" s="13"/>
      <c r="G3" s="14"/>
      <c r="H3" s="14"/>
    </row>
    <row r="4" spans="1:56" x14ac:dyDescent="0.25">
      <c r="B4" s="280" t="s">
        <v>181</v>
      </c>
      <c r="C4" s="281"/>
      <c r="D4" s="13"/>
      <c r="G4" s="14"/>
      <c r="H4" s="14"/>
      <c r="BD4" s="4" t="s">
        <v>14</v>
      </c>
    </row>
    <row r="5" spans="1:56" hidden="1" x14ac:dyDescent="0.25">
      <c r="B5" s="278"/>
      <c r="C5" s="279"/>
      <c r="D5" s="205"/>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3"/>
      <c r="U9" s="91"/>
      <c r="V9" s="91"/>
      <c r="W9" s="42"/>
      <c r="X9" s="91"/>
      <c r="Y9" s="91"/>
      <c r="Z9" s="42"/>
      <c r="AA9" s="91"/>
      <c r="AB9" s="47"/>
    </row>
    <row r="10" spans="1:56" ht="8.25" customHeight="1" x14ac:dyDescent="0.25">
      <c r="B10" s="206"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74"/>
      <c r="B11" s="242" t="s">
        <v>35</v>
      </c>
      <c r="C11" s="243"/>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74"/>
      <c r="B12" s="246" t="s">
        <v>3</v>
      </c>
      <c r="C12" s="247"/>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52" t="s">
        <v>70</v>
      </c>
      <c r="C13" s="253"/>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5485.7484286965855</v>
      </c>
      <c r="V13" s="104">
        <f t="shared" si="0"/>
        <v>5428.8310448652601</v>
      </c>
      <c r="W13" s="105">
        <f>SUM(S13:V13)</f>
        <v>21443.879473561843</v>
      </c>
      <c r="X13" s="104">
        <f>+X57+X90+X124+X164</f>
        <v>5756.3017011844286</v>
      </c>
      <c r="Y13" s="104">
        <f>+Y57+Y90+Y124+Y164</f>
        <v>5488.6703576917416</v>
      </c>
      <c r="Z13" s="104">
        <f t="shared" ref="Z13:AA13" si="1">+Z57+Z90+Z124+Z164</f>
        <v>5815.151329745393</v>
      </c>
      <c r="AA13" s="104">
        <f t="shared" si="1"/>
        <v>5822.4897842509072</v>
      </c>
      <c r="AB13" s="105">
        <f>SUM(X13:AA13)</f>
        <v>22882.613172872472</v>
      </c>
    </row>
    <row r="14" spans="1:56" outlineLevel="1" x14ac:dyDescent="0.25">
      <c r="B14" s="252" t="s">
        <v>71</v>
      </c>
      <c r="C14" s="253"/>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729.8194735466534</v>
      </c>
      <c r="V14" s="104">
        <f t="shared" si="5"/>
        <v>757.09488877978094</v>
      </c>
      <c r="W14" s="105">
        <f t="shared" ref="W14:W15" si="6">SUM(S14:V14)</f>
        <v>2902.2143623264342</v>
      </c>
      <c r="X14" s="104">
        <f>+X64+X97+X131+X166</f>
        <v>813.98970406277454</v>
      </c>
      <c r="Y14" s="104">
        <f>+Y64+Y97+Y131+Y166</f>
        <v>746.08630227963681</v>
      </c>
      <c r="Z14" s="104">
        <f t="shared" ref="Z14:AA14" si="7">+Z64+Z97+Z131+Z166</f>
        <v>797.69924272892274</v>
      </c>
      <c r="AA14" s="104">
        <f t="shared" si="7"/>
        <v>819.53880897745637</v>
      </c>
      <c r="AB14" s="105">
        <f t="shared" ref="AB14:AB15" si="8">SUM(X14:AA14)</f>
        <v>3177.3140580487907</v>
      </c>
    </row>
    <row r="15" spans="1:56" ht="17.25" outlineLevel="1" x14ac:dyDescent="0.4">
      <c r="B15" s="252" t="s">
        <v>33</v>
      </c>
      <c r="C15" s="253"/>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72" t="s">
        <v>72</v>
      </c>
      <c r="C16" s="273"/>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1">
        <f t="shared" si="11"/>
        <v>6305.9</v>
      </c>
      <c r="U16" s="211">
        <f t="shared" si="11"/>
        <v>6747.639793423733</v>
      </c>
      <c r="V16" s="211">
        <f t="shared" si="11"/>
        <v>6721.6417240746805</v>
      </c>
      <c r="W16" s="229">
        <f t="shared" si="11"/>
        <v>26407.881517498412</v>
      </c>
      <c r="X16" s="211">
        <f t="shared" si="11"/>
        <v>7124.3168065950704</v>
      </c>
      <c r="Y16" s="211">
        <f t="shared" si="11"/>
        <v>6731.3837641721575</v>
      </c>
      <c r="Z16" s="211">
        <f t="shared" si="11"/>
        <v>7175.2225589700374</v>
      </c>
      <c r="AA16" s="211">
        <f t="shared" si="11"/>
        <v>7208.5183843711065</v>
      </c>
      <c r="AB16" s="229">
        <f t="shared" si="11"/>
        <v>28239.441514108374</v>
      </c>
    </row>
    <row r="17" spans="2:28" ht="17.25" outlineLevel="1" x14ac:dyDescent="0.4">
      <c r="B17" s="252" t="s">
        <v>73</v>
      </c>
      <c r="C17" s="253"/>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2">
        <v>2603.8000000000002</v>
      </c>
      <c r="U17" s="108">
        <f t="shared" ref="U17:V17" si="12">+U70+U103+U137+U151+U170</f>
        <v>2733.4755099484933</v>
      </c>
      <c r="V17" s="108">
        <f t="shared" si="12"/>
        <v>2739.9070393467196</v>
      </c>
      <c r="W17" s="109">
        <f>SUM(S17:V17)</f>
        <v>10835.882549295213</v>
      </c>
      <c r="X17" s="108">
        <f>+X70+X103+X137+X151+X170</f>
        <v>2901.380305655498</v>
      </c>
      <c r="Y17" s="108">
        <f t="shared" ref="Y17:AA17" si="13">+Y70+Y103+Y137+Y151+Y170</f>
        <v>2755.3148897026308</v>
      </c>
      <c r="Z17" s="108">
        <f t="shared" si="13"/>
        <v>2901.3312000247906</v>
      </c>
      <c r="AA17" s="108">
        <f t="shared" si="13"/>
        <v>2918.9924473181254</v>
      </c>
      <c r="AB17" s="109">
        <f>SUM(X17:AA17)</f>
        <v>11477.018842701045</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1">
        <f t="shared" ref="T18:V18" si="21">+T16-T17</f>
        <v>3702.0999999999995</v>
      </c>
      <c r="U18" s="106">
        <f t="shared" si="21"/>
        <v>4014.1642834752397</v>
      </c>
      <c r="V18" s="106">
        <f t="shared" si="21"/>
        <v>3981.7346847279609</v>
      </c>
      <c r="W18" s="107">
        <f>+W16-W17</f>
        <v>15571.998968203199</v>
      </c>
      <c r="X18" s="106">
        <f t="shared" ref="X18:AA18" si="22">+X16-X17</f>
        <v>4222.9365009395724</v>
      </c>
      <c r="Y18" s="106">
        <f t="shared" si="22"/>
        <v>3976.0688744695267</v>
      </c>
      <c r="Z18" s="106">
        <f t="shared" si="22"/>
        <v>4273.8913589452468</v>
      </c>
      <c r="AA18" s="106">
        <f t="shared" si="22"/>
        <v>4289.5259370529811</v>
      </c>
      <c r="AB18" s="107">
        <f>+AB16-AB17</f>
        <v>16762.42267140733</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3">
        <v>1949.6</v>
      </c>
      <c r="U19" s="104">
        <f t="shared" ref="U19:V19" si="26">+U71+U104+U138+U152+U171</f>
        <v>2012.6708333287975</v>
      </c>
      <c r="V19" s="104">
        <f t="shared" si="26"/>
        <v>2010.6304962829233</v>
      </c>
      <c r="W19" s="105">
        <f t="shared" ref="W19:W22" si="27">SUM(S19:V19)</f>
        <v>7965.9013296117209</v>
      </c>
      <c r="X19" s="104">
        <f>+X71+X104+X138+X152+X171</f>
        <v>2148.9898871495566</v>
      </c>
      <c r="Y19" s="104">
        <f t="shared" ref="Y19:AA19" si="28">+Y71+Y104+Y138+Y152+Y171</f>
        <v>2056.5500473577836</v>
      </c>
      <c r="Z19" s="104">
        <f t="shared" si="28"/>
        <v>2133.5304304899723</v>
      </c>
      <c r="AA19" s="104">
        <f t="shared" si="28"/>
        <v>2144.362366331407</v>
      </c>
      <c r="AB19" s="105">
        <f t="shared" ref="AB19:AB22" si="29">SUM(X19:AA19)</f>
        <v>8483.4327313287195</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3">
        <v>82.3</v>
      </c>
      <c r="U20" s="104">
        <f t="shared" ref="U20:V20" si="30">+U72+U105+U139+U153+U172</f>
        <v>88.696945401599635</v>
      </c>
      <c r="V20" s="104">
        <f t="shared" si="30"/>
        <v>89.737899589950416</v>
      </c>
      <c r="W20" s="105">
        <f t="shared" si="27"/>
        <v>353.93484499155005</v>
      </c>
      <c r="X20" s="104">
        <f>+X72+X105+X139+X153+X172</f>
        <v>91.467005500480539</v>
      </c>
      <c r="Y20" s="104">
        <f t="shared" ref="Y20:AA20" si="31">+Y72+Y105+Y139+Y153+Y172</f>
        <v>84.321424263605365</v>
      </c>
      <c r="Z20" s="104">
        <f t="shared" si="31"/>
        <v>90.975265748448933</v>
      </c>
      <c r="AA20" s="104">
        <f t="shared" si="31"/>
        <v>91.562883615307726</v>
      </c>
      <c r="AB20" s="105">
        <f t="shared" si="29"/>
        <v>358.32657912784254</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3">
        <v>356.2</v>
      </c>
      <c r="U21" s="104">
        <f>+U73+U106+U140+U154+U173</f>
        <v>358.65533729683352</v>
      </c>
      <c r="V21" s="104">
        <f t="shared" ref="V21" si="35">+V73+V106+V140+V154+V173</f>
        <v>369.65283463093755</v>
      </c>
      <c r="W21" s="105">
        <f t="shared" ref="W21" si="36">SUM(S21:V21)</f>
        <v>1417.908171927771</v>
      </c>
      <c r="X21" s="104">
        <f>+X73+X106+X140+X154+X173</f>
        <v>375.54828950092525</v>
      </c>
      <c r="Y21" s="104">
        <f t="shared" ref="Y21:AA21" si="37">+Y73+Y106+Y140+Y154+Y173</f>
        <v>384.60603028440755</v>
      </c>
      <c r="Z21" s="104">
        <f t="shared" si="37"/>
        <v>382.18598073935743</v>
      </c>
      <c r="AA21" s="104">
        <f t="shared" si="37"/>
        <v>382.91593710042105</v>
      </c>
      <c r="AB21" s="105">
        <f t="shared" ref="AB21" si="38">SUM(X21:AA21)</f>
        <v>1525.2562376251112</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3">
        <v>475.6</v>
      </c>
      <c r="U22" s="104">
        <f t="shared" ref="U22:V22" si="39">+U74+U107+U141+U155+U174</f>
        <v>468.78288595485037</v>
      </c>
      <c r="V22" s="104">
        <f t="shared" si="39"/>
        <v>474.09158147673156</v>
      </c>
      <c r="W22" s="105">
        <f t="shared" si="27"/>
        <v>1881.774467431582</v>
      </c>
      <c r="X22" s="104">
        <f>+X74+X107+X141+X155+X174</f>
        <v>482.71926086833139</v>
      </c>
      <c r="Y22" s="104">
        <f t="shared" ref="Y22:AA22" si="40">+Y74+Y107+Y141+Y155+Y174</f>
        <v>478.06391241862832</v>
      </c>
      <c r="Z22" s="104">
        <f t="shared" si="40"/>
        <v>485.0258727714845</v>
      </c>
      <c r="AA22" s="104">
        <f t="shared" si="40"/>
        <v>485.68687303191348</v>
      </c>
      <c r="AB22" s="228">
        <f t="shared" si="29"/>
        <v>1931.4959190903578</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2">
        <v>43</v>
      </c>
      <c r="U23" s="108">
        <f t="shared" ref="U23:V23" si="44">+U75+U108+U142+U156+U175</f>
        <v>53.301984900378969</v>
      </c>
      <c r="V23" s="108">
        <f t="shared" si="44"/>
        <v>55.396118748952972</v>
      </c>
      <c r="W23" s="109">
        <f t="shared" ref="W23" si="45">SUM(S23:V23)</f>
        <v>194.89810364933194</v>
      </c>
      <c r="X23" s="108">
        <f>+X75+X108+X142+X156+X175</f>
        <v>53.664021701123275</v>
      </c>
      <c r="Y23" s="108">
        <f t="shared" ref="Y23:AA23" si="46">+Y75+Y108+Y142+Y156+Y175</f>
        <v>46.930628403980727</v>
      </c>
      <c r="Z23" s="108">
        <f t="shared" si="46"/>
        <v>52.891281197920364</v>
      </c>
      <c r="AA23" s="108">
        <f t="shared" si="46"/>
        <v>52.668246021084954</v>
      </c>
      <c r="AB23" s="109">
        <f t="shared" ref="AB23" si="47">SUM(X23:AA23)</f>
        <v>206.1541773241093</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14">
        <f t="shared" si="48"/>
        <v>5510.5</v>
      </c>
      <c r="U24" s="110">
        <f t="shared" ref="U24:V24" si="49">SUM(U19:U23)+U17</f>
        <v>5715.5834968309537</v>
      </c>
      <c r="V24" s="110">
        <f t="shared" si="49"/>
        <v>5739.4159700762157</v>
      </c>
      <c r="W24" s="111">
        <f t="shared" si="48"/>
        <v>22650.29946690717</v>
      </c>
      <c r="X24" s="110">
        <f t="shared" ref="X24:AA24" si="50">SUM(X19:X23)+X17</f>
        <v>6053.7687703759148</v>
      </c>
      <c r="Y24" s="110">
        <f t="shared" si="50"/>
        <v>5805.7869324310359</v>
      </c>
      <c r="Z24" s="110">
        <f t="shared" si="50"/>
        <v>6045.9400309719749</v>
      </c>
      <c r="AA24" s="110">
        <f t="shared" si="50"/>
        <v>6076.1887534182597</v>
      </c>
      <c r="AB24" s="111">
        <f t="shared" si="48"/>
        <v>23981.684487197184</v>
      </c>
    </row>
    <row r="25" spans="2:28" s="39" customFormat="1" ht="17.25" customHeight="1" x14ac:dyDescent="0.4">
      <c r="B25" s="260" t="s">
        <v>78</v>
      </c>
      <c r="C25" s="261"/>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2">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1">
        <f t="shared" si="58"/>
        <v>857.69999999999959</v>
      </c>
      <c r="U26" s="106">
        <f t="shared" si="58"/>
        <v>1104.3562965927792</v>
      </c>
      <c r="V26" s="106">
        <f t="shared" si="58"/>
        <v>1054.7507539984649</v>
      </c>
      <c r="W26" s="107">
        <f t="shared" si="58"/>
        <v>4032.5070505912418</v>
      </c>
      <c r="X26" s="106">
        <f t="shared" si="58"/>
        <v>1139.2792862191557</v>
      </c>
      <c r="Y26" s="106">
        <f t="shared" si="58"/>
        <v>994.56089424112156</v>
      </c>
      <c r="Z26" s="106">
        <f t="shared" si="58"/>
        <v>1199.9126061230625</v>
      </c>
      <c r="AA26" s="106">
        <f t="shared" si="58"/>
        <v>1202.5422286090968</v>
      </c>
      <c r="AB26" s="107">
        <f t="shared" si="58"/>
        <v>4536.2950151924397</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15">
        <f>+T210</f>
        <v>141.4</v>
      </c>
      <c r="U27" s="190">
        <f>+U210</f>
        <v>120.46992480902182</v>
      </c>
      <c r="V27" s="190">
        <f>+V210</f>
        <v>140.28002457471348</v>
      </c>
      <c r="W27" s="191">
        <f>SUM(S27:V27)</f>
        <v>540.14994938373525</v>
      </c>
      <c r="X27" s="190">
        <f>+X210</f>
        <v>134.70253255896677</v>
      </c>
      <c r="Y27" s="190">
        <f>+Y210</f>
        <v>115.20321755204245</v>
      </c>
      <c r="Z27" s="190">
        <f>+Z210</f>
        <v>138.2320176329975</v>
      </c>
      <c r="AA27" s="190">
        <f>+AA210</f>
        <v>142.55218158777066</v>
      </c>
      <c r="AB27" s="191">
        <f>SUM(X27:AA27)</f>
        <v>530.68994933177737</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16">
        <f t="shared" si="59"/>
        <v>999.09999999999957</v>
      </c>
      <c r="U28" s="177">
        <f t="shared" si="59"/>
        <v>1224.8262214018011</v>
      </c>
      <c r="V28" s="177">
        <f t="shared" si="59"/>
        <v>1195.0307785731784</v>
      </c>
      <c r="W28" s="178">
        <f t="shared" ref="W28" si="62">+W26+W27</f>
        <v>4572.6569999749772</v>
      </c>
      <c r="X28" s="177">
        <f t="shared" si="59"/>
        <v>1273.9818187781225</v>
      </c>
      <c r="Y28" s="177">
        <f t="shared" si="59"/>
        <v>1109.7641117931639</v>
      </c>
      <c r="Z28" s="177">
        <f t="shared" si="59"/>
        <v>1338.1446237560599</v>
      </c>
      <c r="AA28" s="177">
        <f t="shared" si="59"/>
        <v>1345.0944101968676</v>
      </c>
      <c r="AB28" s="178">
        <f t="shared" ref="AB28" si="63">+AB26+AB27</f>
        <v>5066.9849645242175</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3">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3">
        <v>15.2</v>
      </c>
      <c r="U30" s="198">
        <v>22.4</v>
      </c>
      <c r="V30" s="198">
        <v>16.600000000000001</v>
      </c>
      <c r="W30" s="105">
        <f t="shared" ref="W30" si="67">SUM(S30:V30)</f>
        <v>79</v>
      </c>
      <c r="X30" s="198">
        <v>12.8</v>
      </c>
      <c r="Y30" s="198">
        <v>9.6999999999999993</v>
      </c>
      <c r="Z30" s="198">
        <v>8.6</v>
      </c>
      <c r="AA30" s="198">
        <v>5.0999999999999996</v>
      </c>
      <c r="AB30" s="105">
        <f t="shared" ref="AB30" si="68">SUM(X30:AA30)</f>
        <v>36.200000000000003</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2">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70" t="s">
        <v>18</v>
      </c>
      <c r="C32" s="271"/>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1">
        <f t="shared" si="76"/>
        <v>819.99999999999966</v>
      </c>
      <c r="U32" s="106">
        <f t="shared" si="76"/>
        <v>1053.0242965927794</v>
      </c>
      <c r="V32" s="106">
        <f t="shared" si="76"/>
        <v>993.61875399846485</v>
      </c>
      <c r="W32" s="107">
        <f t="shared" si="76"/>
        <v>3832.1430505912417</v>
      </c>
      <c r="X32" s="106">
        <f t="shared" si="76"/>
        <v>1065.9911726824935</v>
      </c>
      <c r="Y32" s="106">
        <f t="shared" si="76"/>
        <v>916.28501156339235</v>
      </c>
      <c r="Z32" s="106">
        <f t="shared" si="76"/>
        <v>1118.6250633399875</v>
      </c>
      <c r="AA32" s="106">
        <f t="shared" si="76"/>
        <v>1115.7114665930792</v>
      </c>
      <c r="AB32" s="107">
        <f t="shared" si="76"/>
        <v>4216.6127141789557</v>
      </c>
    </row>
    <row r="33" spans="1:29" ht="17.25" x14ac:dyDescent="0.4">
      <c r="B33" s="244" t="s">
        <v>7</v>
      </c>
      <c r="C33" s="245"/>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2">
        <v>161.19999999999999</v>
      </c>
      <c r="U33" s="108">
        <f>+U32*U188</f>
        <v>210.6048593185559</v>
      </c>
      <c r="V33" s="108">
        <f>+V32*V188</f>
        <v>198.72375079969299</v>
      </c>
      <c r="W33" s="109">
        <f>SUM(S33:V33)</f>
        <v>775.62861011824884</v>
      </c>
      <c r="X33" s="108">
        <f>+X32*X188</f>
        <v>215.60048807724144</v>
      </c>
      <c r="Y33" s="108">
        <f>+Y32*Y188</f>
        <v>182.99102897746744</v>
      </c>
      <c r="Z33" s="108">
        <f>+Z32*Z188</f>
        <v>224.27405236826311</v>
      </c>
      <c r="AA33" s="108">
        <f>+AA32*AA188</f>
        <v>223.82680539204929</v>
      </c>
      <c r="AB33" s="109">
        <f>SUM(X33:AA33)</f>
        <v>846.69237481502137</v>
      </c>
    </row>
    <row r="34" spans="1:29" x14ac:dyDescent="0.25">
      <c r="A34" s="39"/>
      <c r="B34" s="270" t="s">
        <v>81</v>
      </c>
      <c r="C34" s="271"/>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1">
        <f t="shared" si="77"/>
        <v>658.79999999999973</v>
      </c>
      <c r="U34" s="106">
        <f t="shared" si="77"/>
        <v>842.41943727422347</v>
      </c>
      <c r="V34" s="106">
        <f t="shared" si="77"/>
        <v>794.89500319877186</v>
      </c>
      <c r="W34" s="107">
        <f t="shared" ref="W34" si="80">+W32-W33</f>
        <v>3056.5144404729926</v>
      </c>
      <c r="X34" s="106">
        <f t="shared" si="77"/>
        <v>850.39068460525209</v>
      </c>
      <c r="Y34" s="106">
        <f t="shared" si="77"/>
        <v>733.29398258592494</v>
      </c>
      <c r="Z34" s="106">
        <f t="shared" si="77"/>
        <v>894.35101097172435</v>
      </c>
      <c r="AA34" s="106">
        <f t="shared" si="77"/>
        <v>891.88466120102987</v>
      </c>
      <c r="AB34" s="107">
        <f t="shared" ref="AB34" si="81">+AB32-AB33</f>
        <v>3369.9203393639345</v>
      </c>
    </row>
    <row r="35" spans="1:29"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2">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9"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1">
        <f t="shared" si="85"/>
        <v>663.1999999999997</v>
      </c>
      <c r="U36" s="106">
        <f t="shared" si="85"/>
        <v>843.54443727422347</v>
      </c>
      <c r="V36" s="106">
        <f t="shared" si="85"/>
        <v>796.17625319877186</v>
      </c>
      <c r="W36" s="107">
        <f t="shared" si="85"/>
        <v>3063.5206904729926</v>
      </c>
      <c r="X36" s="106">
        <f t="shared" si="85"/>
        <v>852.14224710525207</v>
      </c>
      <c r="Y36" s="106">
        <f t="shared" si="85"/>
        <v>735.43343571092498</v>
      </c>
      <c r="Z36" s="106">
        <f t="shared" si="85"/>
        <v>895.92532737797433</v>
      </c>
      <c r="AA36" s="106">
        <f t="shared" si="85"/>
        <v>893.57130670884237</v>
      </c>
      <c r="AB36" s="107">
        <f t="shared" si="85"/>
        <v>3377.072316902997</v>
      </c>
    </row>
    <row r="37" spans="1:29"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17">
        <f>-T211-T212</f>
        <v>-54.179999999999545</v>
      </c>
      <c r="U37" s="192">
        <f>-U211-U212</f>
        <v>-24.093984961804367</v>
      </c>
      <c r="V37" s="192">
        <f>-V211-V212</f>
        <v>-28.056004914942697</v>
      </c>
      <c r="W37" s="193">
        <f>SUM(S37:V37)</f>
        <v>-64.87998987674797</v>
      </c>
      <c r="X37" s="192">
        <f>-X211-X212</f>
        <v>-26.940506511793355</v>
      </c>
      <c r="Y37" s="192">
        <f>-Y211-Y212</f>
        <v>-23.04064351040849</v>
      </c>
      <c r="Z37" s="192">
        <f>-Z211-Z212</f>
        <v>-27.646403526599499</v>
      </c>
      <c r="AA37" s="192">
        <f>-AA211-AA212</f>
        <v>-28.510436317554134</v>
      </c>
      <c r="AB37" s="193">
        <f>SUM(X37:AA37)</f>
        <v>-106.13798986635548</v>
      </c>
    </row>
    <row r="38" spans="1:29"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16">
        <f t="shared" si="86"/>
        <v>750.42000000000007</v>
      </c>
      <c r="U38" s="177">
        <f t="shared" si="86"/>
        <v>939.92037712144099</v>
      </c>
      <c r="V38" s="177">
        <f t="shared" si="86"/>
        <v>908.40027285854262</v>
      </c>
      <c r="W38" s="178">
        <f t="shared" si="86"/>
        <v>3538.790649979981</v>
      </c>
      <c r="X38" s="177">
        <f t="shared" si="86"/>
        <v>959.90427315242528</v>
      </c>
      <c r="Y38" s="177">
        <f t="shared" si="86"/>
        <v>827.59600975255887</v>
      </c>
      <c r="Z38" s="177">
        <f t="shared" si="86"/>
        <v>1006.5109414843726</v>
      </c>
      <c r="AA38" s="177">
        <f t="shared" si="86"/>
        <v>1007.6130519790592</v>
      </c>
      <c r="AB38" s="178">
        <f t="shared" si="86"/>
        <v>3801.6242763684195</v>
      </c>
    </row>
    <row r="39" spans="1:29" x14ac:dyDescent="0.25">
      <c r="B39" s="244" t="s">
        <v>0</v>
      </c>
      <c r="C39" s="245"/>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0">
        <v>1239.2</v>
      </c>
      <c r="U39" s="30">
        <f>T39*(1+U190)-U194</f>
        <v>1243.9840000000002</v>
      </c>
      <c r="V39" s="30">
        <f>U39*(1+V190)-V194</f>
        <v>1243.0905066666669</v>
      </c>
      <c r="W39" s="31">
        <f>+(S36/W36*S39)+(T36/W36*T39)+(U36/W36*U39)+(V36/W36*V39)</f>
        <v>1242.2235557532358</v>
      </c>
      <c r="X39" s="30">
        <f>V39*(1+X190)-X194</f>
        <v>1246.3685640533336</v>
      </c>
      <c r="Y39" s="30">
        <f>X39*(1+Y190)-Y194</f>
        <v>1247.1801087709869</v>
      </c>
      <c r="Z39" s="30">
        <f>Y39*(1+Z190)-Z194</f>
        <v>1243.0078023218621</v>
      </c>
      <c r="AA39" s="30">
        <f>Z39*(1+AA190)-AA194</f>
        <v>1238.827151259839</v>
      </c>
      <c r="AB39" s="31">
        <f>+(X36/AB36*X39)+(Y36/AB36*Y39)+(Z36/AB36*Z39)+(AA36/AB36*AA39)</f>
        <v>1243.6582446820023</v>
      </c>
    </row>
    <row r="40" spans="1:29" ht="15.75" customHeight="1" x14ac:dyDescent="0.25">
      <c r="B40" s="244" t="s">
        <v>1</v>
      </c>
      <c r="C40" s="245"/>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0">
        <v>1250.7</v>
      </c>
      <c r="U40" s="30">
        <f>T40*(1+U191)-U194</f>
        <v>1255.7140000000002</v>
      </c>
      <c r="V40" s="30">
        <f>U40*(1+V191)-V194</f>
        <v>1254.937806666667</v>
      </c>
      <c r="W40" s="31">
        <f>+(S36/W36*S40)+(T36/W36*T40)+(U36/W36*U40)+(V36/W36*V40)</f>
        <v>1253.8523184655412</v>
      </c>
      <c r="X40" s="30">
        <f>V40*(1+X191)-X194</f>
        <v>1258.3106424533337</v>
      </c>
      <c r="Y40" s="30">
        <f>X40*(1+Y191)-Y194</f>
        <v>1259.1938396413871</v>
      </c>
      <c r="Z40" s="30">
        <f>Y40*(1+Z191)-Z194</f>
        <v>1255.0455606540031</v>
      </c>
      <c r="AA40" s="30">
        <f>Z40*(1+AA191)-AA194</f>
        <v>1250.8889851086444</v>
      </c>
      <c r="AB40" s="31">
        <f>+(X36/AB36*X40)+(Y36/AB36*Y40)+(Z36/AB36*Z40)+(AA36/AB36*AA40)</f>
        <v>1255.6729977856669</v>
      </c>
    </row>
    <row r="41" spans="1:29" ht="15.75" customHeight="1" x14ac:dyDescent="0.25">
      <c r="B41" s="248" t="s">
        <v>8</v>
      </c>
      <c r="C41" s="249"/>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18">
        <f t="shared" si="87"/>
        <v>0.53518398967075509</v>
      </c>
      <c r="U41" s="40">
        <f t="shared" si="87"/>
        <v>0.67809910519285088</v>
      </c>
      <c r="V41" s="40">
        <f t="shared" si="87"/>
        <v>0.64048132370804556</v>
      </c>
      <c r="W41" s="41">
        <f t="shared" si="87"/>
        <v>2.466158910193418</v>
      </c>
      <c r="X41" s="40">
        <f t="shared" si="87"/>
        <v>0.6837000480291221</v>
      </c>
      <c r="Y41" s="40">
        <f t="shared" si="87"/>
        <v>0.58967700858831507</v>
      </c>
      <c r="Z41" s="40">
        <f t="shared" si="87"/>
        <v>0.72077208663086501</v>
      </c>
      <c r="AA41" s="40">
        <f t="shared" si="87"/>
        <v>0.72130426411797255</v>
      </c>
      <c r="AB41" s="41">
        <f t="shared" si="87"/>
        <v>2.7154343497047284</v>
      </c>
    </row>
    <row r="42" spans="1:29" x14ac:dyDescent="0.25">
      <c r="B42" s="248" t="s">
        <v>9</v>
      </c>
      <c r="C42" s="249"/>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18">
        <f t="shared" si="88"/>
        <v>0.53026305269049312</v>
      </c>
      <c r="U42" s="218">
        <f t="shared" si="88"/>
        <v>0.67176477866315365</v>
      </c>
      <c r="V42" s="218">
        <f t="shared" si="88"/>
        <v>0.63443482933513207</v>
      </c>
      <c r="W42" s="235">
        <f t="shared" si="88"/>
        <v>2.4432866976089458</v>
      </c>
      <c r="X42" s="40">
        <f t="shared" si="88"/>
        <v>0.67721134857750753</v>
      </c>
      <c r="Y42" s="40">
        <f t="shared" si="88"/>
        <v>0.58405101149507943</v>
      </c>
      <c r="Z42" s="40">
        <f t="shared" si="88"/>
        <v>0.7138588075727772</v>
      </c>
      <c r="AA42" s="40">
        <f t="shared" si="88"/>
        <v>0.71434900886207131</v>
      </c>
      <c r="AB42" s="41">
        <f t="shared" si="88"/>
        <v>2.6894520491070044</v>
      </c>
    </row>
    <row r="43" spans="1:29" x14ac:dyDescent="0.25">
      <c r="B43" s="194" t="s">
        <v>171</v>
      </c>
      <c r="C43" s="208"/>
      <c r="D43" s="179">
        <f>+D38/D40</f>
        <v>0.46424532694738263</v>
      </c>
      <c r="E43" s="179">
        <f t="shared" ref="E43:AB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19">
        <f t="shared" si="89"/>
        <v>0.60000000000000009</v>
      </c>
      <c r="U43" s="236">
        <f t="shared" si="89"/>
        <v>0.74851469134009885</v>
      </c>
      <c r="V43" s="236">
        <f t="shared" si="89"/>
        <v>0.72386079057687458</v>
      </c>
      <c r="W43" s="237">
        <f t="shared" si="89"/>
        <v>2.8223344949513169</v>
      </c>
      <c r="X43" s="219">
        <f t="shared" si="89"/>
        <v>0.76285158908049588</v>
      </c>
      <c r="Y43" s="219">
        <f t="shared" si="89"/>
        <v>0.65724274031411611</v>
      </c>
      <c r="Z43" s="219">
        <f t="shared" si="89"/>
        <v>0.80197163596186949</v>
      </c>
      <c r="AA43" s="219">
        <f t="shared" si="89"/>
        <v>0.80551756708573474</v>
      </c>
      <c r="AB43" s="237">
        <f t="shared" si="89"/>
        <v>3.0275591520025071</v>
      </c>
      <c r="AC43" s="207"/>
    </row>
    <row r="44" spans="1:29" x14ac:dyDescent="0.25">
      <c r="B44" s="201" t="s">
        <v>83</v>
      </c>
      <c r="C44" s="209"/>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0">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9" x14ac:dyDescent="0.25">
      <c r="B45" s="206"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9" ht="15.75" x14ac:dyDescent="0.25">
      <c r="B46" s="242" t="s">
        <v>20</v>
      </c>
      <c r="C46" s="243"/>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9" ht="17.25" x14ac:dyDescent="0.4">
      <c r="B47" s="246"/>
      <c r="C47" s="247"/>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9" ht="18" x14ac:dyDescent="0.4">
      <c r="B48" s="275" t="s">
        <v>84</v>
      </c>
      <c r="C48" s="276"/>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54" t="s">
        <v>86</v>
      </c>
      <c r="C49" s="255"/>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9867</v>
      </c>
      <c r="V49" s="37">
        <f t="shared" si="90"/>
        <v>9952</v>
      </c>
      <c r="W49" s="115"/>
      <c r="X49" s="37">
        <f>+V49+X50</f>
        <v>10019</v>
      </c>
      <c r="Y49" s="37">
        <f>+X49+Y50</f>
        <v>10081.75</v>
      </c>
      <c r="Z49" s="37">
        <f t="shared" ref="Z49" si="91">+Y49+Z50</f>
        <v>10160.4375</v>
      </c>
      <c r="AA49" s="37">
        <f t="shared" ref="AA49" si="92">+Z49+AA50</f>
        <v>10233.796875</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0">
        <v>-1</v>
      </c>
      <c r="U50" s="53">
        <v>100</v>
      </c>
      <c r="V50" s="53">
        <v>85</v>
      </c>
      <c r="W50" s="44">
        <f>+SUM(S50:V50)</f>
        <v>268</v>
      </c>
      <c r="X50" s="53">
        <f>AVERAGE(S50,T50,U50,V50)</f>
        <v>67</v>
      </c>
      <c r="Y50" s="53">
        <f>AVERAGE(T50,U50,V50,X50)</f>
        <v>62.75</v>
      </c>
      <c r="Z50" s="53">
        <f>AVERAGE(U50,V50,X50,Y50)</f>
        <v>78.6875</v>
      </c>
      <c r="AA50" s="53">
        <f>AVERAGE(V50,X50,Y50,Z50)</f>
        <v>73.359375</v>
      </c>
      <c r="AB50" s="44">
        <f>+SUM(X50:AA50)</f>
        <v>281.796875</v>
      </c>
    </row>
    <row r="51" spans="1:28" s="127" customFormat="1" outlineLevel="1" x14ac:dyDescent="0.25">
      <c r="A51" s="227"/>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9867</v>
      </c>
      <c r="AA51" s="132">
        <f>V49</f>
        <v>9952</v>
      </c>
      <c r="AB51" s="133"/>
    </row>
    <row r="52" spans="1:28" s="127" customFormat="1" outlineLevel="1" x14ac:dyDescent="0.25">
      <c r="A52" s="227"/>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0.4086890229003593</v>
      </c>
      <c r="V52" s="134">
        <f t="shared" si="94"/>
        <v>0.40255695999999996</v>
      </c>
      <c r="W52" s="133"/>
      <c r="X52" s="134">
        <f>+S52*(1+X55)</f>
        <v>0.42668426249416153</v>
      </c>
      <c r="Y52" s="134">
        <f>+T52*(1+Y55)</f>
        <v>0.40114904280242536</v>
      </c>
      <c r="Z52" s="134">
        <f t="shared" ref="Z52" si="95">+U52*(1+Z55)</f>
        <v>0.4127759131293629</v>
      </c>
      <c r="AA52" s="134">
        <f t="shared" ref="AA52" si="96">+V52*(1+AA55)</f>
        <v>0.41463366879999997</v>
      </c>
      <c r="AB52" s="133"/>
    </row>
    <row r="53" spans="1:28" outlineLevel="1" x14ac:dyDescent="0.25">
      <c r="A53" s="207"/>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07"/>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2"/>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21">
        <v>4.2999999999999997E-2</v>
      </c>
      <c r="U55" s="231">
        <v>0.04</v>
      </c>
      <c r="V55" s="125">
        <v>0.03</v>
      </c>
      <c r="W55" s="122"/>
      <c r="X55" s="125">
        <v>0.02</v>
      </c>
      <c r="Y55" s="232">
        <v>0.02</v>
      </c>
      <c r="Z55" s="125">
        <v>0.01</v>
      </c>
      <c r="AA55" s="125">
        <v>0.03</v>
      </c>
      <c r="AB55" s="122"/>
    </row>
    <row r="56" spans="1:28" ht="17.25" outlineLevel="1" x14ac:dyDescent="0.4">
      <c r="A56" s="207"/>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2"/>
      <c r="B57" s="248" t="s">
        <v>101</v>
      </c>
      <c r="C57" s="249"/>
      <c r="D57" s="106"/>
      <c r="E57" s="106"/>
      <c r="F57" s="106"/>
      <c r="G57" s="106"/>
      <c r="H57" s="123"/>
      <c r="I57" s="106">
        <v>3561</v>
      </c>
      <c r="J57" s="106">
        <v>3334.9</v>
      </c>
      <c r="K57" s="106">
        <v>3576.4</v>
      </c>
      <c r="L57" s="106">
        <v>3524.1</v>
      </c>
      <c r="M57" s="202">
        <f>SUM(I57:L57)</f>
        <v>13996.4</v>
      </c>
      <c r="N57" s="106">
        <v>3787</v>
      </c>
      <c r="O57" s="106">
        <v>3564.8</v>
      </c>
      <c r="P57" s="106">
        <v>3768.5</v>
      </c>
      <c r="Q57" s="106">
        <v>3784.7</v>
      </c>
      <c r="R57" s="202">
        <f>SUM(N57:Q57)</f>
        <v>14905</v>
      </c>
      <c r="S57" s="106">
        <v>4085.7</v>
      </c>
      <c r="T57" s="106">
        <v>3841.4</v>
      </c>
      <c r="U57" s="106">
        <f t="shared" ref="U57:V57" si="97">+U51*U52+U56</f>
        <v>4026.2537285667104</v>
      </c>
      <c r="V57" s="106">
        <f t="shared" si="97"/>
        <v>4003.6276368694344</v>
      </c>
      <c r="W57" s="202">
        <f>SUM(S57:V57)</f>
        <v>15956.981365436146</v>
      </c>
      <c r="X57" s="106">
        <f>+X51*X52+X56</f>
        <v>4272.9563724863101</v>
      </c>
      <c r="Y57" s="106">
        <f>+Y51*Y52+Y56</f>
        <v>4023.9931787921955</v>
      </c>
      <c r="Z57" s="106">
        <f t="shared" ref="Z57" si="98">+Z51*Z52+Z56</f>
        <v>4178.6766871889104</v>
      </c>
      <c r="AA57" s="106">
        <f t="shared" ref="AA57" si="99">+AA51*AA52+AA56</f>
        <v>4231.9737125863912</v>
      </c>
      <c r="AB57" s="202">
        <f>SUM(X57:AA57)</f>
        <v>16707.599951053806</v>
      </c>
    </row>
    <row r="58" spans="1:28" s="22" customFormat="1" outlineLevel="1" x14ac:dyDescent="0.25">
      <c r="A58" s="222"/>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0.4080524707172099</v>
      </c>
      <c r="V58" s="140">
        <f t="shared" ref="V58" si="104">+V57/V49</f>
        <v>0.40229377380118914</v>
      </c>
      <c r="W58" s="124"/>
      <c r="X58" s="140">
        <f t="shared" ref="X58:Y58" si="105">+X57/X49</f>
        <v>0.42648531514984628</v>
      </c>
      <c r="Y58" s="140">
        <f t="shared" si="105"/>
        <v>0.39913637798915819</v>
      </c>
      <c r="Z58" s="140">
        <f t="shared" ref="Z58" si="106">+Z57/Z49</f>
        <v>0.41126936583084245</v>
      </c>
      <c r="AA58" s="140">
        <f t="shared" ref="AA58" si="107">+AA57/AA49</f>
        <v>0.41352918806944672</v>
      </c>
      <c r="AB58" s="124"/>
    </row>
    <row r="59" spans="1:28" s="127" customFormat="1" outlineLevel="1" x14ac:dyDescent="0.25">
      <c r="A59" s="227"/>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2"/>
      <c r="B60" s="256" t="s">
        <v>87</v>
      </c>
      <c r="C60" s="257"/>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8167</v>
      </c>
      <c r="W60" s="144"/>
      <c r="X60" s="142">
        <f>+V60+X61</f>
        <v>8266.25</v>
      </c>
      <c r="Y60" s="142">
        <f>+X60+Y61</f>
        <v>8363.8125</v>
      </c>
      <c r="Z60" s="142">
        <f t="shared" ref="Z60" si="109">+Y60+Z61</f>
        <v>8469.015625</v>
      </c>
      <c r="AA60" s="142">
        <f t="shared" ref="AA60" si="110">+Z60+AA61</f>
        <v>8569.51953125</v>
      </c>
      <c r="AB60" s="144"/>
    </row>
    <row r="61" spans="1:28" outlineLevel="1" x14ac:dyDescent="0.25">
      <c r="A61" s="207"/>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0">
        <v>67</v>
      </c>
      <c r="U61" s="53">
        <v>124</v>
      </c>
      <c r="V61" s="53">
        <v>100</v>
      </c>
      <c r="W61" s="44">
        <f>+SUM(S61:V61)</f>
        <v>397</v>
      </c>
      <c r="X61" s="53">
        <f>AVERAGE(S61,T61,U61,V61)</f>
        <v>99.25</v>
      </c>
      <c r="Y61" s="53">
        <f>AVERAGE(T61,U61,V61,X61)</f>
        <v>97.5625</v>
      </c>
      <c r="Z61" s="53">
        <f>AVERAGE(U61,V61,X61,Y61)</f>
        <v>105.203125</v>
      </c>
      <c r="AA61" s="53">
        <f>AVERAGE(V61,X61,Y61,Z61)</f>
        <v>100.50390625</v>
      </c>
      <c r="AB61" s="44">
        <f>+SUM(X61:AA61)</f>
        <v>402.51953125</v>
      </c>
    </row>
    <row r="62" spans="1:28" outlineLevel="1" x14ac:dyDescent="0.25">
      <c r="A62" s="207"/>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8117</v>
      </c>
      <c r="W62" s="44"/>
      <c r="X62" s="30">
        <f>AVERAGE(X60,V60)</f>
        <v>8216.625</v>
      </c>
      <c r="Y62" s="30">
        <f>AVERAGE(Y60,X60)</f>
        <v>8315.03125</v>
      </c>
      <c r="Z62" s="30">
        <f t="shared" ref="Z62:AA62" si="115">AVERAGE(Z60,Y60)</f>
        <v>8416.4140625</v>
      </c>
      <c r="AA62" s="30">
        <f t="shared" si="115"/>
        <v>8519.267578125</v>
      </c>
      <c r="AB62" s="20"/>
    </row>
    <row r="63" spans="1:28" outlineLevel="1" x14ac:dyDescent="0.25">
      <c r="A63" s="207"/>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2"/>
      <c r="B64" s="258" t="s">
        <v>100</v>
      </c>
      <c r="C64" s="259"/>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501.58248049921997</v>
      </c>
      <c r="W64" s="153"/>
      <c r="X64" s="151">
        <f>+X62*X63</f>
        <v>551.30266259746907</v>
      </c>
      <c r="Y64" s="151">
        <f>+Y62*Y63</f>
        <v>496.47343803337759</v>
      </c>
      <c r="Z64" s="151">
        <f t="shared" ref="Z64" si="120">+Z62*Z63</f>
        <v>522.77236958955223</v>
      </c>
      <c r="AA64" s="151">
        <f t="shared" ref="AA64" si="121">+AA62*AA63</f>
        <v>536.96903673154748</v>
      </c>
      <c r="AB64" s="153"/>
    </row>
    <row r="65" spans="1:28" s="22" customFormat="1" outlineLevel="1" x14ac:dyDescent="0.25">
      <c r="A65" s="222"/>
      <c r="B65" s="248" t="s">
        <v>99</v>
      </c>
      <c r="C65" s="249"/>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07"/>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07"/>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17934</v>
      </c>
      <c r="V67" s="30">
        <f t="shared" si="125"/>
        <v>18119</v>
      </c>
      <c r="W67" s="44"/>
      <c r="X67" s="30">
        <f>+X60+X49</f>
        <v>18285.25</v>
      </c>
      <c r="Y67" s="30">
        <f t="shared" ref="Y67:AA67" si="126">+Y60+Y49</f>
        <v>18445.5625</v>
      </c>
      <c r="Z67" s="30">
        <f t="shared" si="126"/>
        <v>18629.453125</v>
      </c>
      <c r="AA67" s="30">
        <f t="shared" si="126"/>
        <v>18803.31640625</v>
      </c>
      <c r="AB67" s="20"/>
    </row>
    <row r="68" spans="1:28" outlineLevel="1" x14ac:dyDescent="0.25">
      <c r="A68" s="207"/>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224</v>
      </c>
      <c r="V68" s="30">
        <f t="shared" si="127"/>
        <v>185</v>
      </c>
      <c r="W68" s="238">
        <f>+W61+W50</f>
        <v>665</v>
      </c>
      <c r="X68" s="30">
        <f>+X61+X50</f>
        <v>166.25</v>
      </c>
      <c r="Y68" s="30">
        <f t="shared" ref="Y68:AA68" si="129">+Y61+Y50</f>
        <v>160.3125</v>
      </c>
      <c r="Z68" s="30">
        <f t="shared" si="129"/>
        <v>183.890625</v>
      </c>
      <c r="AA68" s="30">
        <f t="shared" si="129"/>
        <v>173.86328125</v>
      </c>
      <c r="AB68" s="44">
        <f>+AB61+AB50</f>
        <v>684.31640625</v>
      </c>
    </row>
    <row r="69" spans="1:28" outlineLevel="1" x14ac:dyDescent="0.25">
      <c r="A69" s="207"/>
      <c r="B69" s="250" t="s">
        <v>103</v>
      </c>
      <c r="C69" s="251"/>
      <c r="D69" s="149"/>
      <c r="E69" s="149"/>
      <c r="F69" s="149"/>
      <c r="G69" s="149"/>
      <c r="H69" s="150"/>
      <c r="I69" s="151">
        <f>+I65+I64+I57</f>
        <v>3983.8</v>
      </c>
      <c r="J69" s="151">
        <f t="shared" ref="J69:V69" si="130">+J65+J64+J57</f>
        <v>3713</v>
      </c>
      <c r="K69" s="151">
        <f t="shared" si="130"/>
        <v>3981.8</v>
      </c>
      <c r="L69" s="151">
        <f t="shared" si="130"/>
        <v>3941.2999999999997</v>
      </c>
      <c r="M69" s="202">
        <f>SUM(I69:L69)</f>
        <v>15619.9</v>
      </c>
      <c r="N69" s="151">
        <f t="shared" si="130"/>
        <v>4257.6000000000004</v>
      </c>
      <c r="O69" s="151">
        <f t="shared" si="130"/>
        <v>3996.3</v>
      </c>
      <c r="P69" s="151">
        <f t="shared" si="130"/>
        <v>4224</v>
      </c>
      <c r="Q69" s="151">
        <f t="shared" si="130"/>
        <v>4254.2</v>
      </c>
      <c r="R69" s="202">
        <f>SUM(N69:Q69)</f>
        <v>16732.100000000002</v>
      </c>
      <c r="S69" s="151">
        <f t="shared" si="130"/>
        <v>4606</v>
      </c>
      <c r="T69" s="151">
        <f t="shared" si="130"/>
        <v>4305.8999999999996</v>
      </c>
      <c r="U69" s="151">
        <f t="shared" si="130"/>
        <v>4518.7973852831283</v>
      </c>
      <c r="V69" s="151">
        <f t="shared" si="130"/>
        <v>4510.285117368654</v>
      </c>
      <c r="W69" s="202">
        <f>SUM(S69:V69)</f>
        <v>17940.982502651783</v>
      </c>
      <c r="X69" s="151">
        <f>+X65+X64+X57</f>
        <v>4831.3840350837791</v>
      </c>
      <c r="Y69" s="151">
        <f t="shared" ref="Y69:AA69" si="131">+Y65+Y64+Y57</f>
        <v>4522.6416168255728</v>
      </c>
      <c r="Z69" s="151">
        <f t="shared" si="131"/>
        <v>4708.8078067784627</v>
      </c>
      <c r="AA69" s="151">
        <f t="shared" si="131"/>
        <v>4776.3014993179386</v>
      </c>
      <c r="AB69" s="202">
        <f>SUM(X69:AA69)</f>
        <v>18839.134958005754</v>
      </c>
    </row>
    <row r="70" spans="1:28" outlineLevel="1" x14ac:dyDescent="0.25">
      <c r="A70" s="207"/>
      <c r="B70" s="252" t="s">
        <v>73</v>
      </c>
      <c r="C70" s="253"/>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1630.8953030840996</v>
      </c>
      <c r="V70" s="104">
        <f>+(V69*V80)*(U70/U79)</f>
        <v>1630.0378353895769</v>
      </c>
      <c r="W70" s="170"/>
      <c r="X70" s="104">
        <f>+(X69*X80)*(V70/V79)</f>
        <v>1747.7336955822445</v>
      </c>
      <c r="Y70" s="104">
        <f>+(Y69*Y80)*(X70/X79)</f>
        <v>1651.1312341421733</v>
      </c>
      <c r="Z70" s="104">
        <f>+(Z69*Z80)*(Y70/Y79)</f>
        <v>1697.1604352455702</v>
      </c>
      <c r="AA70" s="104">
        <f>+(AA69*AA80)*(Z70/Z79)</f>
        <v>1714.4506337327257</v>
      </c>
      <c r="AB70" s="170"/>
    </row>
    <row r="71" spans="1:28" outlineLevel="1" x14ac:dyDescent="0.25">
      <c r="A71" s="207"/>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1575.2697757874173</v>
      </c>
      <c r="V71" s="104">
        <f>+(V69*V80)*(U71/U79)</f>
        <v>1574.4415540491232</v>
      </c>
      <c r="W71" s="105"/>
      <c r="X71" s="104">
        <f>+(X69*X80)*(V71/V79)</f>
        <v>1688.1231195954861</v>
      </c>
      <c r="Y71" s="104">
        <f>+(Y69*Y80)*(X71/X79)</f>
        <v>1594.8155127335106</v>
      </c>
      <c r="Z71" s="104">
        <f>+(Z69*Z80)*(Y71/Y79)</f>
        <v>1639.2747794716668</v>
      </c>
      <c r="AA71" s="104">
        <f>+(AA69*AA80)*(Z71/Z79)</f>
        <v>1655.975254997395</v>
      </c>
      <c r="AB71" s="105"/>
    </row>
    <row r="72" spans="1:28" outlineLevel="1" x14ac:dyDescent="0.25">
      <c r="A72" s="207"/>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39.820488175484904</v>
      </c>
      <c r="V72" s="104">
        <f>+(V69*V80)*(U72/U79)</f>
        <v>39.799551955896781</v>
      </c>
      <c r="W72" s="105"/>
      <c r="X72" s="104">
        <f>+(X69*X80)*(V72/V79)</f>
        <v>42.673253658417394</v>
      </c>
      <c r="Y72" s="104">
        <f>+(Y69*Y80)*(X72/X79)</f>
        <v>40.314575473359966</v>
      </c>
      <c r="Z72" s="104">
        <f>+(Z69*Z80)*(Y72/Y79)</f>
        <v>41.438439926705762</v>
      </c>
      <c r="AA72" s="104">
        <f>+(AA69*AA80)*(Z72/Z79)</f>
        <v>41.860603227505983</v>
      </c>
      <c r="AB72" s="105"/>
    </row>
    <row r="73" spans="1:28" outlineLevel="1" x14ac:dyDescent="0.25">
      <c r="A73" s="207"/>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34">
        <v>166.8</v>
      </c>
      <c r="V73" s="234">
        <v>170.4</v>
      </c>
      <c r="W73" s="20"/>
      <c r="X73" s="234">
        <v>171.5</v>
      </c>
      <c r="Y73" s="234">
        <v>174.9</v>
      </c>
      <c r="Z73" s="234">
        <v>173.4</v>
      </c>
      <c r="AA73" s="234">
        <v>173.8</v>
      </c>
      <c r="AB73" s="20"/>
    </row>
    <row r="74" spans="1:28" outlineLevel="1" x14ac:dyDescent="0.25">
      <c r="A74" s="207"/>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56.651828538318739</v>
      </c>
      <c r="V74" s="104">
        <f t="shared" si="132"/>
        <v>56.622042988801617</v>
      </c>
      <c r="W74" s="105"/>
      <c r="X74" s="104">
        <f>+(X69*X80)*(V74/V79)</f>
        <v>60.710402111975263</v>
      </c>
      <c r="Y74" s="104">
        <f>+(Y69*Y80)*(X74/X79)</f>
        <v>57.354756859006955</v>
      </c>
      <c r="Z74" s="104">
        <f t="shared" ref="Z74:AA74" si="133">+(Z69*Z80)*(Y74/Y79)</f>
        <v>58.953656802942213</v>
      </c>
      <c r="AA74" s="104">
        <f t="shared" si="133"/>
        <v>59.554260261812622</v>
      </c>
      <c r="AB74" s="105"/>
    </row>
    <row r="75" spans="1:28" ht="17.25" outlineLevel="1" x14ac:dyDescent="0.4">
      <c r="A75" s="207"/>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18.678682597779002</v>
      </c>
      <c r="V75" s="156">
        <f>+(V69*V80)*(U75/U79)</f>
        <v>18.668861999930964</v>
      </c>
      <c r="W75" s="171"/>
      <c r="X75" s="156">
        <f>+(X69*X80)*(V75/V79)</f>
        <v>20.016835478948366</v>
      </c>
      <c r="Y75" s="156">
        <f>+(Y69*Y80)*(X75/X79)</f>
        <v>18.910445196266785</v>
      </c>
      <c r="Z75" s="156">
        <f t="shared" ref="Z75" si="135">+(Z69*Z80)*(Y75/Y79)</f>
        <v>19.437618728506308</v>
      </c>
      <c r="AA75" s="156">
        <f>+(AA69*AA80)*(Z75/Z79)</f>
        <v>19.635643781974451</v>
      </c>
      <c r="AB75" s="171"/>
    </row>
    <row r="76" spans="1:28" outlineLevel="1" x14ac:dyDescent="0.25">
      <c r="A76" s="207"/>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3488.1160781830995</v>
      </c>
      <c r="V76" s="106">
        <f t="shared" ref="V76" si="142">SUM(V70:V75)</f>
        <v>3489.9698463833297</v>
      </c>
      <c r="W76" s="20"/>
      <c r="X76" s="106">
        <f t="shared" ref="X76" si="143">SUM(X70:X75)</f>
        <v>3730.7573064270719</v>
      </c>
      <c r="Y76" s="106">
        <f t="shared" ref="Y76" si="144">SUM(Y70:Y75)</f>
        <v>3537.4265244043177</v>
      </c>
      <c r="Z76" s="106">
        <f t="shared" ref="Z76" si="145">SUM(Z70:Z75)</f>
        <v>3629.6649301753905</v>
      </c>
      <c r="AA76" s="106">
        <f t="shared" ref="AA76" si="146">SUM(AA70:AA75)</f>
        <v>3665.276396001414</v>
      </c>
      <c r="AB76" s="20"/>
    </row>
    <row r="77" spans="1:28" outlineLevel="1" x14ac:dyDescent="0.25">
      <c r="A77" s="207"/>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2">
        <f>SUM(I77:L77)</f>
        <v>3653.4</v>
      </c>
      <c r="N77" s="157">
        <f>+N69-N76</f>
        <v>977.70000000000027</v>
      </c>
      <c r="O77" s="157">
        <f t="shared" ref="O77:P77" si="148">+O69-O76</f>
        <v>801.29999999999973</v>
      </c>
      <c r="P77" s="157">
        <f t="shared" si="148"/>
        <v>906.80000000000018</v>
      </c>
      <c r="Q77" s="157">
        <f t="shared" ref="Q77" si="149">+Q69-Q76</f>
        <v>928.49999999999955</v>
      </c>
      <c r="R77" s="202">
        <f>SUM(N77:Q77)</f>
        <v>3614.2999999999997</v>
      </c>
      <c r="S77" s="157">
        <f t="shared" ref="S77" si="150">+S69-S76</f>
        <v>1011.5</v>
      </c>
      <c r="T77" s="157">
        <f t="shared" ref="T77" si="151">+T69-T76</f>
        <v>899</v>
      </c>
      <c r="U77" s="157">
        <f t="shared" ref="U77" si="152">+U69-U76</f>
        <v>1030.6813071000288</v>
      </c>
      <c r="V77" s="157">
        <f t="shared" ref="V77" si="153">+V69-V76</f>
        <v>1020.3152709853243</v>
      </c>
      <c r="W77" s="202">
        <f>SUM(S77:V77)</f>
        <v>3961.4965780853531</v>
      </c>
      <c r="X77" s="157">
        <f t="shared" ref="X77" si="154">+X69-X76</f>
        <v>1100.6267286567072</v>
      </c>
      <c r="Y77" s="157">
        <f t="shared" ref="Y77" si="155">+Y69-Y76</f>
        <v>985.21509242125512</v>
      </c>
      <c r="Z77" s="157">
        <f t="shared" ref="Z77" si="156">+Z69-Z76</f>
        <v>1079.1428766030722</v>
      </c>
      <c r="AA77" s="157">
        <f t="shared" ref="AA77" si="157">+AA69-AA76</f>
        <v>1111.0251033165246</v>
      </c>
      <c r="AB77" s="202">
        <f>SUM(X77:AA77)</f>
        <v>4276.0098009975591</v>
      </c>
    </row>
    <row r="78" spans="1:28" outlineLevel="1" x14ac:dyDescent="0.25">
      <c r="A78" s="207"/>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3">
        <f>M77/M69</f>
        <v>0.23389394298298966</v>
      </c>
      <c r="N78" s="158">
        <f>+N77/N69</f>
        <v>0.22963641488162351</v>
      </c>
      <c r="O78" s="158">
        <f t="shared" ref="O78:P78" si="159">+O77/O69</f>
        <v>0.20051047218677268</v>
      </c>
      <c r="P78" s="158">
        <f t="shared" si="159"/>
        <v>0.21467803030303034</v>
      </c>
      <c r="Q78" s="158">
        <f t="shared" ref="Q78" si="160">+Q77/Q69</f>
        <v>0.21825490103897316</v>
      </c>
      <c r="R78" s="203">
        <f>R77/R69</f>
        <v>0.21600994495610229</v>
      </c>
      <c r="S78" s="158">
        <f t="shared" ref="S78" si="161">+S77/S69</f>
        <v>0.21960486322188449</v>
      </c>
      <c r="T78" s="158">
        <f t="shared" ref="T78" si="162">+T77/T69</f>
        <v>0.20878329733621312</v>
      </c>
      <c r="U78" s="158">
        <f t="shared" ref="U78" si="163">+U77/U69</f>
        <v>0.22808752400733071</v>
      </c>
      <c r="V78" s="158">
        <f t="shared" ref="V78" si="164">+V77/V69</f>
        <v>0.22621968333136921</v>
      </c>
      <c r="W78" s="239">
        <f>W77/W69</f>
        <v>0.22080711452117077</v>
      </c>
      <c r="X78" s="158">
        <f t="shared" ref="X78" si="165">+X77/X69</f>
        <v>0.22780775046329382</v>
      </c>
      <c r="Y78" s="158">
        <f t="shared" ref="Y78" si="166">+Y77/Y69</f>
        <v>0.21784062852912373</v>
      </c>
      <c r="Z78" s="158">
        <f t="shared" ref="Z78" si="167">+Z77/Z69</f>
        <v>0.22917539234657558</v>
      </c>
      <c r="AA78" s="158">
        <f t="shared" ref="AA78" si="168">+AA77/AA69</f>
        <v>0.232612012343689</v>
      </c>
      <c r="AB78" s="203">
        <f>AB77/AB69</f>
        <v>0.22697484839559762</v>
      </c>
    </row>
    <row r="79" spans="1:28" s="160" customFormat="1" outlineLevel="1" x14ac:dyDescent="0.25">
      <c r="A79" s="223"/>
      <c r="B79" s="164" t="s">
        <v>110</v>
      </c>
      <c r="C79" s="161"/>
      <c r="D79" s="162"/>
      <c r="E79" s="162"/>
      <c r="F79" s="162"/>
      <c r="G79" s="162"/>
      <c r="H79" s="163"/>
      <c r="I79" s="130">
        <f>+I76-I73</f>
        <v>2875.3999999999996</v>
      </c>
      <c r="J79" s="130">
        <f t="shared" ref="J79:V79" si="169">+J76-J73</f>
        <v>2733.3</v>
      </c>
      <c r="K79" s="130">
        <f t="shared" si="169"/>
        <v>2857.3999999999996</v>
      </c>
      <c r="L79" s="130">
        <f t="shared" si="169"/>
        <v>2885.5</v>
      </c>
      <c r="M79" s="165"/>
      <c r="N79" s="130">
        <f t="shared" si="169"/>
        <v>3121.9</v>
      </c>
      <c r="O79" s="130">
        <f t="shared" si="169"/>
        <v>3034.6000000000004</v>
      </c>
      <c r="P79" s="130">
        <f t="shared" si="169"/>
        <v>3157.8999999999996</v>
      </c>
      <c r="Q79" s="130">
        <f t="shared" si="169"/>
        <v>3165.1000000000004</v>
      </c>
      <c r="R79" s="165"/>
      <c r="S79" s="130">
        <f t="shared" si="169"/>
        <v>3428.7</v>
      </c>
      <c r="T79" s="130">
        <f t="shared" si="169"/>
        <v>3236.2</v>
      </c>
      <c r="U79" s="130">
        <f t="shared" si="169"/>
        <v>3321.3160781830993</v>
      </c>
      <c r="V79" s="130">
        <f t="shared" si="169"/>
        <v>3319.5698463833296</v>
      </c>
      <c r="W79" s="133"/>
      <c r="X79" s="130">
        <f t="shared" ref="X79" si="170">+X76-X73</f>
        <v>3559.2573064270719</v>
      </c>
      <c r="Y79" s="130">
        <f t="shared" ref="Y79:AA79" si="171">+Y76-Y73</f>
        <v>3362.5265244043176</v>
      </c>
      <c r="Z79" s="130">
        <f t="shared" si="171"/>
        <v>3456.2649301753904</v>
      </c>
      <c r="AA79" s="130">
        <f t="shared" si="171"/>
        <v>3491.4763960014138</v>
      </c>
      <c r="AB79" s="163"/>
    </row>
    <row r="80" spans="1:28" s="160" customFormat="1" outlineLevel="1" x14ac:dyDescent="0.25">
      <c r="A80" s="223"/>
      <c r="B80" s="164" t="s">
        <v>111</v>
      </c>
      <c r="C80" s="161"/>
      <c r="D80" s="162"/>
      <c r="E80" s="162"/>
      <c r="F80" s="162"/>
      <c r="G80" s="162"/>
      <c r="H80" s="163"/>
      <c r="I80" s="166">
        <f>+I79/I69</f>
        <v>0.72177318138460755</v>
      </c>
      <c r="J80" s="166">
        <f t="shared" ref="J80:T80" si="172">+J79/J69</f>
        <v>0.73614328036628074</v>
      </c>
      <c r="K80" s="166">
        <f t="shared" si="172"/>
        <v>0.71761514892762057</v>
      </c>
      <c r="L80" s="166">
        <f t="shared" si="172"/>
        <v>0.73211884403623173</v>
      </c>
      <c r="M80" s="167"/>
      <c r="N80" s="166">
        <f t="shared" si="172"/>
        <v>0.73325347613679059</v>
      </c>
      <c r="O80" s="166">
        <f t="shared" si="172"/>
        <v>0.75935240097089818</v>
      </c>
      <c r="P80" s="166">
        <f t="shared" si="172"/>
        <v>0.74760890151515147</v>
      </c>
      <c r="Q80" s="166">
        <f t="shared" si="172"/>
        <v>0.74399417046683292</v>
      </c>
      <c r="R80" s="167"/>
      <c r="S80" s="166">
        <f t="shared" si="172"/>
        <v>0.74439861050803291</v>
      </c>
      <c r="T80" s="166">
        <f t="shared" si="172"/>
        <v>0.75157342251329573</v>
      </c>
      <c r="U80" s="168">
        <v>0.73499999999999999</v>
      </c>
      <c r="V80" s="168">
        <v>0.73599999999999999</v>
      </c>
      <c r="W80" s="163"/>
      <c r="X80" s="168">
        <v>0.73669517483624181</v>
      </c>
      <c r="Y80" s="168">
        <v>0.74348728227651695</v>
      </c>
      <c r="Z80" s="168">
        <v>0.73399999999999999</v>
      </c>
      <c r="AA80" s="168">
        <v>0.73099999999999998</v>
      </c>
      <c r="AB80" s="163"/>
    </row>
    <row r="81" spans="1:28" ht="18" x14ac:dyDescent="0.4">
      <c r="B81" s="242" t="s">
        <v>106</v>
      </c>
      <c r="C81" s="243"/>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54" t="s">
        <v>107</v>
      </c>
      <c r="C82" s="255"/>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3">+T82+U83</f>
        <v>5683</v>
      </c>
      <c r="V82" s="37">
        <f t="shared" ref="V82" si="174">+U82+V83</f>
        <v>5898</v>
      </c>
      <c r="W82" s="115"/>
      <c r="X82" s="37">
        <f>+V82+X83</f>
        <v>6082.75</v>
      </c>
      <c r="Y82" s="37">
        <f>+X82+Y83</f>
        <v>6265.9375</v>
      </c>
      <c r="Z82" s="37">
        <f t="shared" ref="Z82" si="175">+Y82+Z83</f>
        <v>6461.671875</v>
      </c>
      <c r="AA82" s="37">
        <f t="shared" ref="AA82" si="176">+Z82+AA83</f>
        <v>6656.33984375</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0">
        <v>133</v>
      </c>
      <c r="U83" s="53">
        <v>200</v>
      </c>
      <c r="V83" s="53">
        <v>215</v>
      </c>
      <c r="W83" s="44">
        <f>+SUM(S83:V83)</f>
        <v>739</v>
      </c>
      <c r="X83" s="53">
        <f>AVERAGE(S83,T83,U83,V83)</f>
        <v>184.75</v>
      </c>
      <c r="Y83" s="53">
        <f>AVERAGE(T83,U83,V83,X83)</f>
        <v>183.1875</v>
      </c>
      <c r="Z83" s="53">
        <f>AVERAGE(U83,V83,X83,Y83)</f>
        <v>195.734375</v>
      </c>
      <c r="AA83" s="53">
        <f>AVERAGE(V83,X83,Y83,Z83)</f>
        <v>194.66796875</v>
      </c>
      <c r="AB83" s="44">
        <f>+SUM(X83:AA83)</f>
        <v>758.33984375</v>
      </c>
    </row>
    <row r="84" spans="1:28" s="127" customFormat="1" outlineLevel="1" x14ac:dyDescent="0.25">
      <c r="A84" s="227"/>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5683</v>
      </c>
      <c r="AA84" s="132">
        <f>V82</f>
        <v>5898</v>
      </c>
      <c r="AB84" s="133"/>
    </row>
    <row r="85" spans="1:28" s="127" customFormat="1" outlineLevel="1" x14ac:dyDescent="0.25">
      <c r="A85" s="227"/>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7">K85*(1+P88)</f>
        <v>0.22819386453854917</v>
      </c>
      <c r="Q85" s="134">
        <f>L85*(1+Q88)</f>
        <v>0.21687672585898918</v>
      </c>
      <c r="R85" s="133"/>
      <c r="S85" s="134">
        <f>N85*(1+S88)</f>
        <v>0.21846299999999999</v>
      </c>
      <c r="T85" s="134">
        <f>+O85*(1+T88)</f>
        <v>0.2161214539307123</v>
      </c>
      <c r="U85" s="134">
        <f t="shared" ref="U85" si="178">+P85*(1+U88)</f>
        <v>0.23732161912009114</v>
      </c>
      <c r="V85" s="134">
        <f t="shared" ref="V85" si="179">+Q85*(1+V88)</f>
        <v>0.2222986440054639</v>
      </c>
      <c r="W85" s="133"/>
      <c r="X85" s="134">
        <f>+S85*(1+X88)</f>
        <v>0.22474381125000001</v>
      </c>
      <c r="Y85" s="134">
        <f>+T85*(1+Y88)</f>
        <v>0.22442862231617403</v>
      </c>
      <c r="Z85" s="134">
        <f t="shared" ref="Z85" si="180">+U85*(1+Z88)</f>
        <v>0.24516435700195038</v>
      </c>
      <c r="AA85" s="134">
        <f t="shared" ref="AA85" si="181">+V85*(1+AA88)</f>
        <v>0.22925850194180683</v>
      </c>
      <c r="AB85" s="133"/>
    </row>
    <row r="86" spans="1:28" outlineLevel="1" x14ac:dyDescent="0.25">
      <c r="A86" s="207"/>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07"/>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2"/>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1">
        <v>0.02</v>
      </c>
      <c r="U88" s="231">
        <v>0.04</v>
      </c>
      <c r="V88" s="125">
        <f>AVERAGE(U88,T88,S88,Q88)</f>
        <v>2.4999999999999998E-2</v>
      </c>
      <c r="W88" s="122"/>
      <c r="X88" s="125">
        <f>AVERAGE(V88,U88,T88,S88)</f>
        <v>2.8750000000000001E-2</v>
      </c>
      <c r="Y88" s="125">
        <f>AVERAGE(X88,V88,U88,T88)+1%</f>
        <v>3.8437499999999999E-2</v>
      </c>
      <c r="Z88" s="125">
        <f>AVERAGE(Y88,X88,V88,U88)</f>
        <v>3.3046874999999996E-2</v>
      </c>
      <c r="AA88" s="125">
        <f>AVERAGE(Z88,Y88,X88,V88)</f>
        <v>3.1308593749999995E-2</v>
      </c>
      <c r="AB88" s="122"/>
    </row>
    <row r="89" spans="1:28" ht="17.25" outlineLevel="1" x14ac:dyDescent="0.4">
      <c r="A89" s="207"/>
      <c r="B89" s="101" t="s">
        <v>152</v>
      </c>
      <c r="C89" s="100"/>
      <c r="D89" s="30"/>
      <c r="E89" s="30"/>
      <c r="F89" s="30"/>
      <c r="G89" s="30"/>
      <c r="H89" s="45" t="s">
        <v>187</v>
      </c>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2"/>
      <c r="B90" s="248" t="s">
        <v>108</v>
      </c>
      <c r="C90" s="249"/>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2">+U84*U85+U89</f>
        <v>1304.4215716813806</v>
      </c>
      <c r="V90" s="106">
        <f t="shared" ref="V90" si="183">+V84*V85+V89</f>
        <v>1269.6359345066353</v>
      </c>
      <c r="W90" s="124"/>
      <c r="X90" s="106">
        <f>+X84*X85+X89</f>
        <v>1325.1766202699469</v>
      </c>
      <c r="Y90" s="106">
        <f>+Y84*Y85+Y89</f>
        <v>1358.693701800024</v>
      </c>
      <c r="Z90" s="106">
        <f t="shared" ref="Z90" si="184">+Z84*Z85+Z89</f>
        <v>1517.4048548140295</v>
      </c>
      <c r="AA90" s="106">
        <f t="shared" ref="AA90" si="185">+AA84*AA85+AA89</f>
        <v>1476.6371043970969</v>
      </c>
      <c r="AB90" s="124"/>
    </row>
    <row r="91" spans="1:28" s="22" customFormat="1" outlineLevel="1" x14ac:dyDescent="0.25">
      <c r="A91" s="222"/>
      <c r="B91" s="135" t="s">
        <v>96</v>
      </c>
      <c r="C91" s="67"/>
      <c r="D91" s="106"/>
      <c r="E91" s="106"/>
      <c r="F91" s="106"/>
      <c r="G91" s="106"/>
      <c r="H91" s="123"/>
      <c r="I91" s="140">
        <f>+I90/I82</f>
        <v>0.23722126929674101</v>
      </c>
      <c r="J91" s="140">
        <f t="shared" ref="J91" si="186">+J90/J82</f>
        <v>0.23065057008718978</v>
      </c>
      <c r="K91" s="140">
        <f t="shared" ref="K91" si="187">+K90/K82</f>
        <v>0.24428663653970301</v>
      </c>
      <c r="L91" s="140">
        <f t="shared" ref="L91" si="188">+L90/L82</f>
        <v>0.250814332247557</v>
      </c>
      <c r="M91" s="141"/>
      <c r="N91" s="140">
        <f t="shared" ref="N91" si="189">+N90/N82</f>
        <v>0.15858607432721059</v>
      </c>
      <c r="O91" s="140">
        <f t="shared" ref="O91" si="190">+O90/O82</f>
        <v>0.22811461794019933</v>
      </c>
      <c r="P91" s="140">
        <f t="shared" ref="P91" si="191">+P90/P82</f>
        <v>0.22825868648322956</v>
      </c>
      <c r="Q91" s="140">
        <f t="shared" ref="Q91" si="192">+Q90/Q82</f>
        <v>0.21696065128900949</v>
      </c>
      <c r="R91" s="141"/>
      <c r="S91" s="140">
        <f t="shared" ref="S91" si="193">+S90/S82</f>
        <v>0.21014953271028036</v>
      </c>
      <c r="T91" s="140">
        <f t="shared" ref="T91" si="194">+T90/T82</f>
        <v>0.21621375159584169</v>
      </c>
      <c r="U91" s="140">
        <f t="shared" ref="U91" si="195">+U90/U82</f>
        <v>0.22953045428143243</v>
      </c>
      <c r="V91" s="140">
        <f t="shared" ref="V91" si="196">+V90/V82</f>
        <v>0.21526550262913449</v>
      </c>
      <c r="W91" s="124"/>
      <c r="X91" s="140">
        <f t="shared" ref="X91" si="197">+X90/X82</f>
        <v>0.21785814315399232</v>
      </c>
      <c r="Y91" s="140">
        <f t="shared" ref="Y91" si="198">+Y90/Y82</f>
        <v>0.21683805524712366</v>
      </c>
      <c r="Z91" s="140">
        <f t="shared" ref="Z91" si="199">+Z90/Z82</f>
        <v>0.23483161698210334</v>
      </c>
      <c r="AA91" s="140">
        <f t="shared" ref="AA91" si="200">+AA90/AA82</f>
        <v>0.22183919977937905</v>
      </c>
      <c r="AB91" s="124"/>
    </row>
    <row r="92" spans="1:28" s="127" customFormat="1" outlineLevel="1" x14ac:dyDescent="0.25">
      <c r="A92" s="227"/>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2"/>
      <c r="B93" s="256" t="s">
        <v>109</v>
      </c>
      <c r="C93" s="257"/>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1">+T93+U94</f>
        <v>3620</v>
      </c>
      <c r="V93" s="142">
        <f t="shared" ref="V93" si="202">+U93+V94</f>
        <v>3732</v>
      </c>
      <c r="W93" s="144"/>
      <c r="X93" s="142">
        <f>+V93+X94</f>
        <v>3822.25</v>
      </c>
      <c r="Y93" s="142">
        <f>+X93+Y94</f>
        <v>3918.0625</v>
      </c>
      <c r="Z93" s="142">
        <f t="shared" ref="Z93" si="203">+Y93+Z94</f>
        <v>4020.078125</v>
      </c>
      <c r="AA93" s="142">
        <f t="shared" ref="AA93" si="204">+Z93+AA94</f>
        <v>4120.09765625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0">
        <v>71</v>
      </c>
      <c r="U94" s="53">
        <v>110</v>
      </c>
      <c r="V94" s="53">
        <v>112</v>
      </c>
      <c r="W94" s="44">
        <f>+SUM(S94:V94)</f>
        <v>361</v>
      </c>
      <c r="X94" s="53">
        <f>AVERAGE(S94,T94,U94,V94)</f>
        <v>90.25</v>
      </c>
      <c r="Y94" s="53">
        <f>AVERAGE(T94,U94,V94,X94)</f>
        <v>95.8125</v>
      </c>
      <c r="Z94" s="53">
        <f>AVERAGE(U94,V94,X94,Y94)</f>
        <v>102.015625</v>
      </c>
      <c r="AA94" s="53">
        <f>AVERAGE(V94,X94,Y94,Z94)</f>
        <v>100.01953125</v>
      </c>
      <c r="AB94" s="44">
        <f>+SUM(X94:AA94)</f>
        <v>388.09765625</v>
      </c>
    </row>
    <row r="95" spans="1:28" outlineLevel="1" x14ac:dyDescent="0.25">
      <c r="B95" s="43" t="s">
        <v>98</v>
      </c>
      <c r="C95" s="65"/>
      <c r="D95" s="30"/>
      <c r="E95" s="30">
        <f>AVERAGE(E93,D93)</f>
        <v>3261.5</v>
      </c>
      <c r="F95" s="30">
        <f t="shared" ref="F95:G95" si="205">AVERAGE(F93,E93)</f>
        <v>3387</v>
      </c>
      <c r="G95" s="30">
        <f t="shared" si="205"/>
        <v>3542</v>
      </c>
      <c r="H95" s="45"/>
      <c r="I95" s="30">
        <f>AVERAGE(I93,G93)</f>
        <v>3731.5</v>
      </c>
      <c r="J95" s="30">
        <f>AVERAGE(J93,I93)</f>
        <v>3891</v>
      </c>
      <c r="K95" s="30">
        <f t="shared" ref="K95:L95" si="206">AVERAGE(K93,J93)</f>
        <v>4018</v>
      </c>
      <c r="L95" s="30">
        <f t="shared" si="206"/>
        <v>4247</v>
      </c>
      <c r="M95" s="44"/>
      <c r="N95" s="30">
        <f>AVERAGE(N93,L93)</f>
        <v>3753</v>
      </c>
      <c r="O95" s="30">
        <f>AVERAGE(O93,N93)</f>
        <v>3138</v>
      </c>
      <c r="P95" s="30">
        <f t="shared" ref="P95:Q95" si="207">AVERAGE(P93,O93)</f>
        <v>3226</v>
      </c>
      <c r="Q95" s="30">
        <f t="shared" si="207"/>
        <v>3322</v>
      </c>
      <c r="R95" s="44"/>
      <c r="S95" s="30">
        <f>AVERAGE(S93,Q93)</f>
        <v>3405</v>
      </c>
      <c r="T95" s="30">
        <f>AVERAGE(T93,S93)</f>
        <v>3474.5</v>
      </c>
      <c r="U95" s="30">
        <f t="shared" ref="U95:V95" si="208">AVERAGE(U93,T93)</f>
        <v>3565</v>
      </c>
      <c r="V95" s="30">
        <f t="shared" si="208"/>
        <v>3676</v>
      </c>
      <c r="W95" s="44"/>
      <c r="X95" s="30">
        <f>AVERAGE(X93,V93)</f>
        <v>3777.125</v>
      </c>
      <c r="Y95" s="30">
        <f>AVERAGE(Y93,X93)</f>
        <v>3870.15625</v>
      </c>
      <c r="Z95" s="30">
        <f t="shared" ref="Z95:AA95" si="209">AVERAGE(Z93,Y93)</f>
        <v>3969.0703125</v>
      </c>
      <c r="AA95" s="30">
        <f t="shared" si="209"/>
        <v>4070.087890625</v>
      </c>
      <c r="AB95" s="20"/>
    </row>
    <row r="96" spans="1:28" outlineLevel="1" x14ac:dyDescent="0.25">
      <c r="B96" s="43" t="s">
        <v>97</v>
      </c>
      <c r="C96" s="65"/>
      <c r="D96" s="30"/>
      <c r="E96" s="30"/>
      <c r="F96" s="30"/>
      <c r="G96" s="30"/>
      <c r="H96" s="45"/>
      <c r="I96" s="81">
        <f>+I97/I95</f>
        <v>2.0903122068873108E-2</v>
      </c>
      <c r="J96" s="81">
        <f t="shared" ref="J96" si="210">+J97/J95</f>
        <v>2.0149061937805194E-2</v>
      </c>
      <c r="K96" s="81">
        <f t="shared" ref="K96" si="211">+K97/K95</f>
        <v>2.0482827277252362E-2</v>
      </c>
      <c r="L96" s="81">
        <f>+L97/L95</f>
        <v>2.0885330821756535E-2</v>
      </c>
      <c r="M96" s="44"/>
      <c r="N96" s="81">
        <f>+N97/N95</f>
        <v>2.6219024780175862E-2</v>
      </c>
      <c r="O96" s="81">
        <f t="shared" ref="O96" si="212">+O97/O95</f>
        <v>2.6864244741873804E-2</v>
      </c>
      <c r="P96" s="81">
        <f t="shared" ref="P96" si="213">+P97/P95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58" t="s">
        <v>112</v>
      </c>
      <c r="C97" s="259"/>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4">+U95*U96</f>
        <v>101.55940173589585</v>
      </c>
      <c r="V97" s="151">
        <f t="shared" ref="V97" si="215">+V95*V96</f>
        <v>104.96850090307045</v>
      </c>
      <c r="W97" s="153"/>
      <c r="X97" s="151">
        <f>+X95*X96</f>
        <v>114.37090128487519</v>
      </c>
      <c r="Y97" s="151">
        <f>+Y95*Y96</f>
        <v>113.81122031947044</v>
      </c>
      <c r="Z97" s="151">
        <f t="shared" ref="Z97" si="216">+Z95*Z96</f>
        <v>116.46263634691763</v>
      </c>
      <c r="AA97" s="151">
        <f t="shared" ref="AA97" si="217">+AA95*AA96</f>
        <v>119.70836647315718</v>
      </c>
      <c r="AB97" s="153"/>
    </row>
    <row r="98" spans="2:28" s="22" customFormat="1" outlineLevel="1" x14ac:dyDescent="0.25">
      <c r="B98" s="248" t="s">
        <v>113</v>
      </c>
      <c r="C98" s="249"/>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8">+Q98*(1+V99)</f>
        <v>3.3349999999999995</v>
      </c>
      <c r="W98" s="115"/>
      <c r="X98" s="106">
        <f>+S98*(1+X99)</f>
        <v>3.625</v>
      </c>
      <c r="Y98" s="106">
        <f>+T98*(1+Y99)</f>
        <v>6.38</v>
      </c>
      <c r="Z98" s="106">
        <f>+U98*(1+Z99)</f>
        <v>5.0460000000000003</v>
      </c>
      <c r="AA98" s="106">
        <f t="shared" ref="AA98" si="219">+V98*(1+AA99)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20">+O98/J98-1</f>
        <v>0.29629629629629628</v>
      </c>
      <c r="P99" s="147">
        <f t="shared" ref="P99" si="221">+P98/K98-1</f>
        <v>0.59999999999999987</v>
      </c>
      <c r="Q99" s="147">
        <f t="shared" ref="Q99" si="222">+Q98/L98-1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3">+J93+J82</f>
        <v>6933</v>
      </c>
      <c r="K100" s="30">
        <f t="shared" si="223"/>
        <v>7183</v>
      </c>
      <c r="L100" s="30">
        <f t="shared" si="223"/>
        <v>7479</v>
      </c>
      <c r="M100" s="44"/>
      <c r="N100" s="30">
        <f t="shared" ref="N100:Q100" si="224">+N93+N82</f>
        <v>7779</v>
      </c>
      <c r="O100" s="30">
        <f t="shared" si="224"/>
        <v>7995</v>
      </c>
      <c r="P100" s="30">
        <f t="shared" si="224"/>
        <v>8252</v>
      </c>
      <c r="Q100" s="30">
        <f t="shared" si="224"/>
        <v>8530</v>
      </c>
      <c r="R100" s="44"/>
      <c r="S100" s="30">
        <f t="shared" ref="S100:V100" si="225">+S93+S82</f>
        <v>8789</v>
      </c>
      <c r="T100" s="30">
        <f t="shared" si="225"/>
        <v>8993</v>
      </c>
      <c r="U100" s="30">
        <f t="shared" si="225"/>
        <v>9303</v>
      </c>
      <c r="V100" s="30">
        <f t="shared" si="225"/>
        <v>9630</v>
      </c>
      <c r="W100" s="44"/>
      <c r="X100" s="30">
        <f>+X93+X82</f>
        <v>9905</v>
      </c>
      <c r="Y100" s="30">
        <f t="shared" ref="Y100:AA100" si="226">+Y93+Y82</f>
        <v>10184</v>
      </c>
      <c r="Z100" s="30">
        <f t="shared" si="226"/>
        <v>10481.75</v>
      </c>
      <c r="AA100" s="30">
        <f t="shared" si="226"/>
        <v>10776.4375</v>
      </c>
      <c r="AB100" s="20"/>
    </row>
    <row r="101" spans="2:28" outlineLevel="1" x14ac:dyDescent="0.25">
      <c r="B101" s="43" t="s">
        <v>115</v>
      </c>
      <c r="C101" s="100"/>
      <c r="D101" s="30"/>
      <c r="E101" s="30"/>
      <c r="F101" s="30"/>
      <c r="G101" s="30"/>
      <c r="H101" s="45"/>
      <c r="I101" s="30">
        <f>+I94+I83</f>
        <v>303</v>
      </c>
      <c r="J101" s="30">
        <f t="shared" ref="J101:V101" si="227">+J94+J83</f>
        <v>187</v>
      </c>
      <c r="K101" s="30">
        <f t="shared" si="227"/>
        <v>250</v>
      </c>
      <c r="L101" s="30">
        <f t="shared" si="227"/>
        <v>296</v>
      </c>
      <c r="M101" s="44">
        <f t="shared" si="227"/>
        <v>1036</v>
      </c>
      <c r="N101" s="30">
        <f t="shared" si="227"/>
        <v>300</v>
      </c>
      <c r="O101" s="30">
        <f t="shared" si="227"/>
        <v>216</v>
      </c>
      <c r="P101" s="30">
        <f t="shared" si="227"/>
        <v>257</v>
      </c>
      <c r="Q101" s="30">
        <f t="shared" si="227"/>
        <v>278</v>
      </c>
      <c r="R101" s="44">
        <f t="shared" si="227"/>
        <v>1051</v>
      </c>
      <c r="S101" s="30">
        <f t="shared" si="227"/>
        <v>259</v>
      </c>
      <c r="T101" s="30">
        <f t="shared" si="227"/>
        <v>204</v>
      </c>
      <c r="U101" s="30">
        <f t="shared" si="227"/>
        <v>310</v>
      </c>
      <c r="V101" s="30">
        <f t="shared" si="227"/>
        <v>327</v>
      </c>
      <c r="W101" s="238">
        <f>+W94+W83</f>
        <v>1100</v>
      </c>
      <c r="X101" s="30">
        <f>+X94+X83</f>
        <v>275</v>
      </c>
      <c r="Y101" s="30">
        <f t="shared" ref="Y101:AA101" si="228">+Y94+Y83</f>
        <v>279</v>
      </c>
      <c r="Z101" s="30">
        <f t="shared" si="228"/>
        <v>297.75</v>
      </c>
      <c r="AA101" s="30">
        <f t="shared" si="228"/>
        <v>294.6875</v>
      </c>
      <c r="AB101" s="44">
        <f>+AB94+AB83</f>
        <v>1146.4375</v>
      </c>
    </row>
    <row r="102" spans="2:28" outlineLevel="1" x14ac:dyDescent="0.25">
      <c r="B102" s="250" t="s">
        <v>116</v>
      </c>
      <c r="C102" s="251"/>
      <c r="D102" s="149"/>
      <c r="E102" s="149"/>
      <c r="F102" s="149"/>
      <c r="G102" s="149"/>
      <c r="H102" s="150"/>
      <c r="I102" s="151">
        <f>+I98+I97+I90</f>
        <v>770.8</v>
      </c>
      <c r="J102" s="151">
        <f t="shared" ref="J102:L102" si="229">+J98+J97+J90</f>
        <v>768.9</v>
      </c>
      <c r="K102" s="151">
        <f t="shared" si="229"/>
        <v>840.59999999999991</v>
      </c>
      <c r="L102" s="151">
        <f t="shared" si="229"/>
        <v>859.9</v>
      </c>
      <c r="M102" s="154">
        <f>SUM(I102:L102)</f>
        <v>3240.2</v>
      </c>
      <c r="N102" s="151">
        <f t="shared" ref="N102:Q102" si="230">+N98+N97+N90</f>
        <v>843.7</v>
      </c>
      <c r="O102" s="151">
        <f t="shared" si="230"/>
        <v>1186.3999999999999</v>
      </c>
      <c r="P102" s="151">
        <f t="shared" si="230"/>
        <v>1229</v>
      </c>
      <c r="Q102" s="151">
        <f t="shared" si="230"/>
        <v>1214.5999999999999</v>
      </c>
      <c r="R102" s="154">
        <f>SUM(N102:Q102)</f>
        <v>4473.7</v>
      </c>
      <c r="S102" s="151">
        <f t="shared" ref="S102:V102" si="231">+S98+S97+S90</f>
        <v>1227.3</v>
      </c>
      <c r="T102" s="151">
        <f>+T98+T97+T90</f>
        <v>1289.0999999999999</v>
      </c>
      <c r="U102" s="151">
        <f t="shared" si="231"/>
        <v>1409.4609734172764</v>
      </c>
      <c r="V102" s="151">
        <f t="shared" si="231"/>
        <v>1377.9394354097058</v>
      </c>
      <c r="W102" s="154">
        <f>SUM(S102:V102)</f>
        <v>5303.8004088269818</v>
      </c>
      <c r="X102" s="151">
        <f>+X98+X97+X90</f>
        <v>1443.172521554822</v>
      </c>
      <c r="Y102" s="151">
        <f t="shared" ref="Y102:AA102" si="232">+Y98+Y97+Y90</f>
        <v>1478.8849221194944</v>
      </c>
      <c r="Z102" s="151">
        <f t="shared" si="232"/>
        <v>1638.9134911609472</v>
      </c>
      <c r="AA102" s="151">
        <f t="shared" si="232"/>
        <v>1601.181220870254</v>
      </c>
      <c r="AB102" s="154">
        <f>SUM(X102:AA102)</f>
        <v>6162.1521557055175</v>
      </c>
    </row>
    <row r="103" spans="2:28" outlineLevel="1" x14ac:dyDescent="0.25">
      <c r="B103" s="252" t="s">
        <v>73</v>
      </c>
      <c r="C103" s="253"/>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573.15000082830682</v>
      </c>
      <c r="V103" s="104">
        <f>+(V102*V114)*(U103/U113)</f>
        <v>566.62779513668454</v>
      </c>
      <c r="W103" s="170"/>
      <c r="X103" s="104">
        <f>+(X102*X114)*(V103/V113)</f>
        <v>614.83858463402782</v>
      </c>
      <c r="Y103" s="104">
        <f>+(Y102*Y114)*(X103/X113)</f>
        <v>627.76032067627614</v>
      </c>
      <c r="Z103" s="104">
        <f>+(Z102*Z114)*(Y103/Y113)</f>
        <v>666.45567811569617</v>
      </c>
      <c r="AA103" s="104">
        <f>+(AA102*AA114)*(Z103/Z113)</f>
        <v>658.427911620234</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362.51318583091552</v>
      </c>
      <c r="V104" s="104">
        <f>+(V102*V114)*(U104/U113)</f>
        <v>358.38793840790657</v>
      </c>
      <c r="W104" s="105"/>
      <c r="X104" s="104">
        <f>+(X102*X114)*(V104/V113)</f>
        <v>388.88091034692434</v>
      </c>
      <c r="Y104" s="104">
        <f>+(Y102*Y114)*(X104/X113)</f>
        <v>397.05381393651152</v>
      </c>
      <c r="Z104" s="104">
        <f>+(Z102*Z114)*(Y104/Y113)</f>
        <v>421.52834465614467</v>
      </c>
      <c r="AA104" s="104">
        <f>+(AA102*AA114)*(Z104/Z113)</f>
        <v>416.45084103026852</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5.4466008850643188</v>
      </c>
      <c r="V105" s="104">
        <f>+(V102*V114)*(U105/U113)</f>
        <v>5.3846208602170309</v>
      </c>
      <c r="W105" s="105"/>
      <c r="X105" s="104">
        <f>+(X102*X114)*(V105/V113)</f>
        <v>5.8427643276625449</v>
      </c>
      <c r="Y105" s="104">
        <f>+(Y102*Y114)*(X105/X113)</f>
        <v>5.9655586029178274</v>
      </c>
      <c r="Z105" s="104">
        <f>+(Z102*Z114)*(Y105/Y113)</f>
        <v>6.3332776429123161</v>
      </c>
      <c r="AA105" s="104">
        <f>+(AA102*AA114)*(Z105/Z113)</f>
        <v>6.2569903882039775</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34">
        <v>125.55923422013792</v>
      </c>
      <c r="V106" s="234">
        <v>130.40050740806373</v>
      </c>
      <c r="W106" s="20"/>
      <c r="X106" s="234">
        <v>133.53888056826057</v>
      </c>
      <c r="Y106" s="234">
        <v>137.2415745365341</v>
      </c>
      <c r="Z106" s="234">
        <v>136.63945046769811</v>
      </c>
      <c r="AA106" s="234">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3">+(U102*U114)*(T107/T113)</f>
        <v>62.426425528814114</v>
      </c>
      <c r="V107" s="104">
        <f t="shared" si="233"/>
        <v>61.716039090179812</v>
      </c>
      <c r="W107" s="105"/>
      <c r="X107" s="104">
        <f>+(X102*X114)*(V107/V113)</f>
        <v>66.967068063209169</v>
      </c>
      <c r="Y107" s="104">
        <f>+(Y102*Y114)*(X107/X113)</f>
        <v>68.374479371904329</v>
      </c>
      <c r="Z107" s="104">
        <f t="shared" ref="Z107:AA107" si="234">+(Z102*Z114)*(Y107/Y113)</f>
        <v>72.589105291841165</v>
      </c>
      <c r="AA107" s="104">
        <f t="shared" si="234"/>
        <v>71.714735987876352</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5">+(U102*U114)*(T108/T113)</f>
        <v>0</v>
      </c>
      <c r="V108" s="156">
        <f>+(V102*V114)*(U108/U113)</f>
        <v>0</v>
      </c>
      <c r="W108" s="171"/>
      <c r="X108" s="156">
        <f>+(X102*X114)*(V108/V113)</f>
        <v>0</v>
      </c>
      <c r="Y108" s="156">
        <f>+(Y102*Y114)*(X108/X113)</f>
        <v>0</v>
      </c>
      <c r="Z108" s="156">
        <f t="shared" ref="Z108" si="236">+(Z102*Z114)*(Y108/Y113)</f>
        <v>0</v>
      </c>
      <c r="AA108" s="156">
        <f>+(AA102*AA114)*(Z108/Z113)</f>
        <v>0</v>
      </c>
      <c r="AB108" s="171"/>
    </row>
    <row r="109" spans="2:28" outlineLevel="1" x14ac:dyDescent="0.25">
      <c r="B109" s="102" t="s">
        <v>119</v>
      </c>
      <c r="C109" s="35"/>
      <c r="D109" s="30"/>
      <c r="E109" s="30"/>
      <c r="F109" s="30"/>
      <c r="G109" s="30"/>
      <c r="H109" s="23"/>
      <c r="I109" s="106">
        <f t="shared" ref="I109" si="237">SUM(I103:I108)</f>
        <v>649.90000000000009</v>
      </c>
      <c r="J109" s="106">
        <f t="shared" ref="J109" si="238">SUM(J103:J108)</f>
        <v>637.1</v>
      </c>
      <c r="K109" s="106">
        <f t="shared" ref="K109" si="239">SUM(K103:K108)</f>
        <v>668.6</v>
      </c>
      <c r="L109" s="106">
        <f t="shared" ref="L109" si="240">SUM(L103:L108)</f>
        <v>716.79999999999984</v>
      </c>
      <c r="M109" s="20"/>
      <c r="N109" s="106">
        <f>SUM(N103:N108)</f>
        <v>697.6</v>
      </c>
      <c r="O109" s="106">
        <f t="shared" ref="O109" si="241">SUM(O103:O108)</f>
        <v>998.50000000000011</v>
      </c>
      <c r="P109" s="106">
        <f t="shared" ref="P109" si="242">SUM(P103:P108)</f>
        <v>1018.4</v>
      </c>
      <c r="Q109" s="106">
        <f t="shared" ref="Q109" si="243">SUM(Q103:Q108)</f>
        <v>1008.9</v>
      </c>
      <c r="R109" s="20"/>
      <c r="S109" s="106">
        <f t="shared" ref="S109:T109" si="244">SUM(S103:S108)</f>
        <v>1032.2</v>
      </c>
      <c r="T109" s="106">
        <f t="shared" si="244"/>
        <v>1079.5</v>
      </c>
      <c r="U109" s="106">
        <f t="shared" ref="U109" si="245">SUM(U103:U108)</f>
        <v>1129.0954472932387</v>
      </c>
      <c r="V109" s="106">
        <f t="shared" ref="V109" si="246">SUM(V103:V108)</f>
        <v>1122.5169009030517</v>
      </c>
      <c r="W109" s="20"/>
      <c r="X109" s="106">
        <f t="shared" ref="X109" si="247">SUM(X103:X108)</f>
        <v>1210.0682079400844</v>
      </c>
      <c r="Y109" s="106">
        <f t="shared" ref="Y109" si="248">SUM(Y103:Y108)</f>
        <v>1236.3957471241438</v>
      </c>
      <c r="Z109" s="106">
        <f t="shared" ref="Z109" si="249">SUM(Z103:Z108)</f>
        <v>1303.5458561742923</v>
      </c>
      <c r="AA109" s="106">
        <f t="shared" ref="AA109" si="250">SUM(AA103:AA108)</f>
        <v>1289.7058685898774</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2">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1">+J102-J109+J110</f>
        <v>175.89999999999995</v>
      </c>
      <c r="K111" s="157">
        <f t="shared" si="251"/>
        <v>223.7999999999999</v>
      </c>
      <c r="L111" s="157">
        <f t="shared" si="251"/>
        <v>201.70000000000013</v>
      </c>
      <c r="M111" s="202">
        <f>SUM(I111:L111)</f>
        <v>764.79999999999984</v>
      </c>
      <c r="N111" s="157">
        <f>+N102-N109+N110</f>
        <v>196.8</v>
      </c>
      <c r="O111" s="157">
        <f t="shared" ref="O111:AA111" si="252">+O102-O109+O110</f>
        <v>204.59999999999974</v>
      </c>
      <c r="P111" s="157">
        <f t="shared" si="252"/>
        <v>234.10000000000002</v>
      </c>
      <c r="Q111" s="157">
        <f t="shared" si="252"/>
        <v>232.19999999999993</v>
      </c>
      <c r="R111" s="202">
        <f>SUM(N111:Q111)</f>
        <v>867.6999999999997</v>
      </c>
      <c r="S111" s="157">
        <f t="shared" si="252"/>
        <v>221.49999999999991</v>
      </c>
      <c r="T111" s="157">
        <f t="shared" si="252"/>
        <v>231.6999999999999</v>
      </c>
      <c r="U111" s="157">
        <f t="shared" si="252"/>
        <v>304.99052612403761</v>
      </c>
      <c r="V111" s="157">
        <f t="shared" si="252"/>
        <v>280.32878450665407</v>
      </c>
      <c r="W111" s="202">
        <f>SUM(S111:V111)</f>
        <v>1038.5193106306915</v>
      </c>
      <c r="X111" s="157">
        <f t="shared" si="252"/>
        <v>257.61212611473752</v>
      </c>
      <c r="Y111" s="157">
        <f t="shared" si="252"/>
        <v>266.52394062035057</v>
      </c>
      <c r="Z111" s="157">
        <f t="shared" si="252"/>
        <v>359.88609201790484</v>
      </c>
      <c r="AA111" s="157">
        <f t="shared" si="252"/>
        <v>335.96717356943918</v>
      </c>
      <c r="AB111" s="202">
        <f>SUM(X111:AA111)</f>
        <v>1219.9893323224321</v>
      </c>
    </row>
    <row r="112" spans="2:28" outlineLevel="1" x14ac:dyDescent="0.25">
      <c r="B112" s="102" t="s">
        <v>117</v>
      </c>
      <c r="C112" s="93"/>
      <c r="D112" s="30"/>
      <c r="E112" s="30"/>
      <c r="F112" s="30"/>
      <c r="G112" s="30"/>
      <c r="H112" s="20"/>
      <c r="I112" s="158">
        <f t="shared" ref="I112" si="253">+I111/I102</f>
        <v>0.2119875454073688</v>
      </c>
      <c r="J112" s="158">
        <f t="shared" ref="J112" si="254">+J111/J102</f>
        <v>0.22876837039927161</v>
      </c>
      <c r="K112" s="158">
        <f t="shared" ref="K112" si="255">+K111/K102</f>
        <v>0.26623840114204128</v>
      </c>
      <c r="L112" s="158">
        <f t="shared" ref="L112" si="256">+L111/L102</f>
        <v>0.23456215839051067</v>
      </c>
      <c r="M112" s="203">
        <f>M111/M102</f>
        <v>0.23603481266588477</v>
      </c>
      <c r="N112" s="158">
        <f>+N111/N102</f>
        <v>0.23325826715657225</v>
      </c>
      <c r="O112" s="158">
        <f t="shared" ref="O112" si="257">+O111/O102</f>
        <v>0.1724544841537422</v>
      </c>
      <c r="P112" s="158">
        <f t="shared" ref="P112" si="258">+P111/P102</f>
        <v>0.19048006509357202</v>
      </c>
      <c r="Q112" s="158">
        <f t="shared" ref="Q112" si="259">+Q111/Q102</f>
        <v>0.19117404906965252</v>
      </c>
      <c r="R112" s="203">
        <f>R111/R102</f>
        <v>0.19395578603840216</v>
      </c>
      <c r="S112" s="158">
        <f t="shared" ref="S112" si="260">+S111/S102</f>
        <v>0.18047747087101762</v>
      </c>
      <c r="T112" s="158">
        <f t="shared" ref="T112" si="261">+T111/T102</f>
        <v>0.17973780156698466</v>
      </c>
      <c r="U112" s="158">
        <f t="shared" ref="U112" si="262">+U111/U102</f>
        <v>0.21638806031257454</v>
      </c>
      <c r="V112" s="158">
        <f t="shared" ref="V112" si="263">+V111/V102</f>
        <v>0.20344057024777965</v>
      </c>
      <c r="W112" s="239">
        <f>W111/W102</f>
        <v>0.19580663497485876</v>
      </c>
      <c r="X112" s="158">
        <f t="shared" ref="X112" si="264">+X111/X102</f>
        <v>0.17850404041589948</v>
      </c>
      <c r="Y112" s="158">
        <f t="shared" ref="Y112" si="265">+Y111/Y102</f>
        <v>0.18021952664063698</v>
      </c>
      <c r="Z112" s="158">
        <f t="shared" ref="Z112" si="266">+Z111/Z102</f>
        <v>0.21958821741285106</v>
      </c>
      <c r="AA112" s="158">
        <f t="shared" ref="AA112" si="267">+AA111/AA102</f>
        <v>0.20982457774944333</v>
      </c>
      <c r="AB112" s="203">
        <f>AB111/AB102</f>
        <v>0.19798104647462295</v>
      </c>
    </row>
    <row r="113" spans="1:28" s="160" customFormat="1" outlineLevel="1" x14ac:dyDescent="0.25">
      <c r="B113" s="164" t="s">
        <v>110</v>
      </c>
      <c r="C113" s="161"/>
      <c r="D113" s="162"/>
      <c r="E113" s="162"/>
      <c r="F113" s="162"/>
      <c r="G113" s="162"/>
      <c r="H113" s="163"/>
      <c r="I113" s="130">
        <f>+I109-I106</f>
        <v>601.30000000000007</v>
      </c>
      <c r="J113" s="130">
        <f t="shared" ref="J113:L113" si="268">+J109-J106</f>
        <v>587.80000000000007</v>
      </c>
      <c r="K113" s="130">
        <f t="shared" si="268"/>
        <v>617.6</v>
      </c>
      <c r="L113" s="130">
        <f t="shared" si="268"/>
        <v>663.49999999999989</v>
      </c>
      <c r="M113" s="165"/>
      <c r="N113" s="130">
        <f t="shared" ref="N113:Q113" si="269">+N109-N106</f>
        <v>643.9</v>
      </c>
      <c r="O113" s="130">
        <f t="shared" si="269"/>
        <v>876.90000000000009</v>
      </c>
      <c r="P113" s="130">
        <f t="shared" si="269"/>
        <v>897.69999999999993</v>
      </c>
      <c r="Q113" s="130">
        <f t="shared" si="269"/>
        <v>892.8</v>
      </c>
      <c r="R113" s="165"/>
      <c r="S113" s="130">
        <f t="shared" ref="S113:V113" si="270">+S109-S106</f>
        <v>915.5</v>
      </c>
      <c r="T113" s="130">
        <f t="shared" si="270"/>
        <v>958.1</v>
      </c>
      <c r="U113" s="130">
        <f t="shared" si="270"/>
        <v>1003.5362130731008</v>
      </c>
      <c r="V113" s="130">
        <f t="shared" si="270"/>
        <v>992.11639349498796</v>
      </c>
      <c r="W113" s="133"/>
      <c r="X113" s="130">
        <f t="shared" ref="X113:AA113" si="271">+X109-X106</f>
        <v>1076.5293273718239</v>
      </c>
      <c r="Y113" s="130">
        <f t="shared" si="271"/>
        <v>1099.1541725876098</v>
      </c>
      <c r="Z113" s="130">
        <f t="shared" si="271"/>
        <v>1166.9064057065943</v>
      </c>
      <c r="AA113" s="130">
        <f t="shared" si="271"/>
        <v>1152.8504790265829</v>
      </c>
      <c r="AB113" s="163"/>
    </row>
    <row r="114" spans="1:28" s="160" customFormat="1" outlineLevel="1" x14ac:dyDescent="0.25">
      <c r="B114" s="164" t="s">
        <v>111</v>
      </c>
      <c r="C114" s="161"/>
      <c r="D114" s="162"/>
      <c r="E114" s="162"/>
      <c r="F114" s="162"/>
      <c r="G114" s="162"/>
      <c r="H114" s="163"/>
      <c r="I114" s="166">
        <f>+I113/I102</f>
        <v>0.78009859885832911</v>
      </c>
      <c r="J114" s="166">
        <f t="shared" ref="J114" si="272">+J113/J102</f>
        <v>0.76446872155026668</v>
      </c>
      <c r="K114" s="166">
        <f t="shared" ref="K114" si="273">+K113/K102</f>
        <v>0.73471330002379265</v>
      </c>
      <c r="L114" s="166">
        <f t="shared" ref="L114" si="274">+L113/L102</f>
        <v>0.77160134899406896</v>
      </c>
      <c r="M114" s="167"/>
      <c r="N114" s="166">
        <f t="shared" ref="N114" si="275">+N113/N102</f>
        <v>0.76318596657579707</v>
      </c>
      <c r="O114" s="166">
        <f t="shared" ref="O114" si="276">+O113/O102</f>
        <v>0.73912677006068794</v>
      </c>
      <c r="P114" s="166">
        <f t="shared" ref="P114" si="277">+P113/P102</f>
        <v>0.73043124491456468</v>
      </c>
      <c r="Q114" s="166">
        <f t="shared" ref="Q114" si="278">+Q113/Q102</f>
        <v>0.73505680882595092</v>
      </c>
      <c r="R114" s="167"/>
      <c r="S114" s="166">
        <f t="shared" ref="S114:T114" si="279">+S113/S102</f>
        <v>0.74594638637659905</v>
      </c>
      <c r="T114" s="166">
        <f t="shared" si="279"/>
        <v>0.74323171204716476</v>
      </c>
      <c r="U114" s="168">
        <v>0.71199999999999997</v>
      </c>
      <c r="V114" s="168">
        <v>0.72</v>
      </c>
      <c r="W114" s="163"/>
      <c r="X114" s="168">
        <f>+S114</f>
        <v>0.74594638637659905</v>
      </c>
      <c r="Y114" s="168">
        <f>+T114</f>
        <v>0.74323171204716476</v>
      </c>
      <c r="Z114" s="168">
        <f>+U114</f>
        <v>0.71199999999999997</v>
      </c>
      <c r="AA114" s="168">
        <f>+V114</f>
        <v>0.72</v>
      </c>
      <c r="AB114" s="163"/>
    </row>
    <row r="115" spans="1:28" ht="18" x14ac:dyDescent="0.4">
      <c r="B115" s="242" t="s">
        <v>121</v>
      </c>
      <c r="C115" s="243"/>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2"/>
      <c r="B116" s="254" t="s">
        <v>120</v>
      </c>
      <c r="C116" s="255"/>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80">+T116+U117</f>
        <v>367</v>
      </c>
      <c r="V116" s="37">
        <f t="shared" ref="V116" si="281">+U116+V117</f>
        <v>342</v>
      </c>
      <c r="W116" s="115"/>
      <c r="X116" s="37">
        <f>+V116+X117</f>
        <v>305</v>
      </c>
      <c r="Y116" s="37">
        <f>+X116+Y117</f>
        <v>259.5</v>
      </c>
      <c r="Z116" s="37">
        <f t="shared" ref="Z116" si="282">+Y116+Z117</f>
        <v>226.375</v>
      </c>
      <c r="AA116" s="37">
        <f t="shared" ref="AA116" si="283">+Z116+AA117</f>
        <v>191.21875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0">
        <v>-95</v>
      </c>
      <c r="U117" s="53">
        <v>-25</v>
      </c>
      <c r="V117" s="53">
        <v>-25</v>
      </c>
      <c r="W117" s="44">
        <f>+SUM(S117:V117)</f>
        <v>-148</v>
      </c>
      <c r="X117" s="53">
        <f>AVERAGE(S117,T117,U117,V117)</f>
        <v>-37</v>
      </c>
      <c r="Y117" s="53">
        <f>AVERAGE(T117,U117,V117,X117)</f>
        <v>-45.5</v>
      </c>
      <c r="Z117" s="53">
        <f>AVERAGE(U117,V117,X117,Y117)</f>
        <v>-33.125</v>
      </c>
      <c r="AA117" s="53">
        <f>AVERAGE(V117,X117,Y117,Z117)</f>
        <v>-35.15625</v>
      </c>
      <c r="AB117" s="44">
        <f>+SUM(X117:AA117)</f>
        <v>-150.78125</v>
      </c>
    </row>
    <row r="118" spans="1:28" s="127" customFormat="1" outlineLevel="1" x14ac:dyDescent="0.25">
      <c r="B118" s="128" t="s">
        <v>92</v>
      </c>
      <c r="C118" s="129"/>
      <c r="D118" s="130"/>
      <c r="E118" s="130"/>
      <c r="F118" s="130"/>
      <c r="G118" s="130"/>
      <c r="H118" s="131"/>
      <c r="I118" s="132">
        <f>D116</f>
        <v>698</v>
      </c>
      <c r="J118" s="132">
        <f t="shared" ref="J118:L118" si="284">E116</f>
        <v>688</v>
      </c>
      <c r="K118" s="132">
        <f t="shared" si="284"/>
        <v>541</v>
      </c>
      <c r="L118" s="132">
        <f t="shared" si="284"/>
        <v>523</v>
      </c>
      <c r="M118" s="133"/>
      <c r="N118" s="132">
        <f>I116</f>
        <v>505</v>
      </c>
      <c r="O118" s="132">
        <f t="shared" ref="O118" si="285">J116</f>
        <v>505</v>
      </c>
      <c r="P118" s="132">
        <f t="shared" ref="P118" si="286">K116</f>
        <v>506</v>
      </c>
      <c r="Q118" s="132">
        <f t="shared" ref="Q118" si="287">L116</f>
        <v>502</v>
      </c>
      <c r="R118" s="133"/>
      <c r="S118" s="132">
        <f>N116</f>
        <v>503</v>
      </c>
      <c r="T118" s="132">
        <f t="shared" ref="T118" si="288">O116</f>
        <v>496</v>
      </c>
      <c r="U118" s="132">
        <f t="shared" ref="U118" si="289">P116</f>
        <v>496</v>
      </c>
      <c r="V118" s="132">
        <f t="shared" ref="V118" si="290">Q116</f>
        <v>490</v>
      </c>
      <c r="W118" s="133"/>
      <c r="X118" s="132">
        <f>S116</f>
        <v>487</v>
      </c>
      <c r="Y118" s="132">
        <f t="shared" ref="Y118" si="291">T116</f>
        <v>392</v>
      </c>
      <c r="Z118" s="132">
        <f t="shared" ref="Z118" si="292">U116</f>
        <v>367</v>
      </c>
      <c r="AA118" s="132">
        <f t="shared" ref="AA118" si="293">V116</f>
        <v>342</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4">J119*(1+O122)</f>
        <v>0.2127619139586864</v>
      </c>
      <c r="P119" s="134">
        <f t="shared" ref="P119" si="295">K119*(1+P122)</f>
        <v>0.28752245777937474</v>
      </c>
      <c r="Q119" s="134">
        <f>L119*(1+Q122)</f>
        <v>0.29017984063745017</v>
      </c>
      <c r="R119" s="133"/>
      <c r="S119" s="134">
        <f>N119*(1+S122)</f>
        <v>0.29531749009901004</v>
      </c>
      <c r="T119" s="134">
        <f>+O119*(1+T122)</f>
        <v>0.21701715223786014</v>
      </c>
      <c r="U119" s="134">
        <f t="shared" ref="U119" si="296">+P119*(1+U122)</f>
        <v>0.29327290693496222</v>
      </c>
      <c r="V119" s="134">
        <f t="shared" ref="V119" si="297">+Q119*(1+V122)</f>
        <v>0.29308163904382467</v>
      </c>
      <c r="W119" s="133"/>
      <c r="X119" s="134">
        <f>+S119*(1+X122)</f>
        <v>0.29236431519801992</v>
      </c>
      <c r="Y119" s="134">
        <f>+T119*(1+Y122)</f>
        <v>0.21701715223786014</v>
      </c>
      <c r="Z119" s="134">
        <f t="shared" ref="Z119" si="298">+U119*(1+Z122)</f>
        <v>0.29620563600431182</v>
      </c>
      <c r="AA119" s="134">
        <f t="shared" ref="AA119" si="299">+V119*(1+AA122)</f>
        <v>0.29601245543426291</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1">
        <v>0.02</v>
      </c>
      <c r="U122" s="125">
        <v>0.02</v>
      </c>
      <c r="V122" s="125">
        <v>0.01</v>
      </c>
      <c r="W122" s="122"/>
      <c r="X122" s="231">
        <v>-0.01</v>
      </c>
      <c r="Y122" s="125">
        <v>0</v>
      </c>
      <c r="Z122" s="125">
        <v>0.01</v>
      </c>
      <c r="AA122" s="125">
        <v>0.01</v>
      </c>
      <c r="AB122" s="122"/>
    </row>
    <row r="123" spans="1:28" ht="17.25" outlineLevel="1" x14ac:dyDescent="0.4">
      <c r="B123" s="101" t="s">
        <v>151</v>
      </c>
      <c r="C123" s="100"/>
      <c r="D123" s="30"/>
      <c r="E123" s="30"/>
      <c r="F123" s="30"/>
      <c r="G123" s="30"/>
      <c r="H123" s="45" t="s">
        <v>187</v>
      </c>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48" t="s">
        <v>122</v>
      </c>
      <c r="C124" s="249"/>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300">+U118*U119+U123</f>
        <v>143.57312844849446</v>
      </c>
      <c r="V124" s="106">
        <f t="shared" ref="V124" si="301">+V118*V119+V123</f>
        <v>141.96747348918979</v>
      </c>
      <c r="W124" s="124"/>
      <c r="X124" s="106">
        <f>+X118*X119+X123</f>
        <v>141.20070842817216</v>
      </c>
      <c r="Y124" s="106">
        <f>+Y118*Y119+Y123</f>
        <v>84.773477099522097</v>
      </c>
      <c r="Z124" s="106">
        <f t="shared" ref="Z124" si="302">+Z118*Z119+Z123</f>
        <v>107.45478774245399</v>
      </c>
      <c r="AA124" s="106">
        <f t="shared" ref="AA124" si="303">+AA118*AA119+AA123</f>
        <v>100.14296726741907</v>
      </c>
      <c r="AB124" s="124"/>
    </row>
    <row r="125" spans="1:28" s="22" customFormat="1" outlineLevel="1" x14ac:dyDescent="0.25">
      <c r="B125" s="135" t="s">
        <v>96</v>
      </c>
      <c r="C125" s="67"/>
      <c r="D125" s="106"/>
      <c r="E125" s="106"/>
      <c r="F125" s="106"/>
      <c r="G125" s="106"/>
      <c r="H125" s="123"/>
      <c r="I125" s="140">
        <f>+I124/I116</f>
        <v>0.28891089108910895</v>
      </c>
      <c r="J125" s="140">
        <f t="shared" ref="J125" si="304">+J124/J116</f>
        <v>0.25247524752475248</v>
      </c>
      <c r="K125" s="140">
        <f t="shared" ref="K125" si="305">+K124/K116</f>
        <v>0.2691699604743083</v>
      </c>
      <c r="L125" s="140">
        <f t="shared" ref="L125" si="306">+L124/L116</f>
        <v>0.28167330677290836</v>
      </c>
      <c r="M125" s="141"/>
      <c r="N125" s="140">
        <f t="shared" ref="N125" si="307">+N124/N116</f>
        <v>0.30139165009940355</v>
      </c>
      <c r="O125" s="140">
        <f t="shared" ref="O125" si="308">+O124/O116</f>
        <v>0.27963709677419352</v>
      </c>
      <c r="P125" s="140">
        <f t="shared" ref="P125" si="309">+P124/P116</f>
        <v>0.28810483870967746</v>
      </c>
      <c r="Q125" s="140">
        <f t="shared" ref="Q125" si="310">+Q124/Q116</f>
        <v>0.29081632653061223</v>
      </c>
      <c r="R125" s="141"/>
      <c r="S125" s="140">
        <f t="shared" ref="S125" si="311">+S124/S116</f>
        <v>0.29466119096509241</v>
      </c>
      <c r="T125" s="140">
        <f t="shared" ref="T125" si="312">+T124/T116</f>
        <v>0.28341836734693876</v>
      </c>
      <c r="U125" s="140">
        <f t="shared" ref="U125" si="313">+U124/U116</f>
        <v>0.39120743446456258</v>
      </c>
      <c r="V125" s="140">
        <f t="shared" ref="V125" si="314">+V124/V116</f>
        <v>0.41510957160581807</v>
      </c>
      <c r="W125" s="124"/>
      <c r="X125" s="140">
        <f t="shared" ref="X125" si="315">+X124/X116</f>
        <v>0.46295314238744972</v>
      </c>
      <c r="Y125" s="140">
        <f t="shared" ref="Y125" si="316">+Y124/Y116</f>
        <v>0.32668006589411214</v>
      </c>
      <c r="Z125" s="140">
        <f t="shared" ref="Z125" si="317">+Z124/Z116</f>
        <v>0.47467603641061951</v>
      </c>
      <c r="AA125" s="140">
        <f t="shared" ref="AA125" si="318">+AA124/AA116</f>
        <v>0.52370893161585397</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0">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56" t="s">
        <v>123</v>
      </c>
      <c r="C127" s="257"/>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9">+T127+U128</f>
        <v>3221</v>
      </c>
      <c r="V127" s="142">
        <f t="shared" ref="V127" si="320">+U127+V128</f>
        <v>3378</v>
      </c>
      <c r="W127" s="144"/>
      <c r="X127" s="142">
        <f>+V127+X128</f>
        <v>3403</v>
      </c>
      <c r="Y127" s="142">
        <f>+X127+Y128</f>
        <v>3428</v>
      </c>
      <c r="Z127" s="142">
        <f t="shared" ref="Z127" si="321">+Y127+Z128</f>
        <v>3453</v>
      </c>
      <c r="AA127" s="142">
        <f t="shared" ref="AA127" si="322">+Z127+AA128</f>
        <v>3478</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0">
        <v>142</v>
      </c>
      <c r="U128" s="53">
        <v>145</v>
      </c>
      <c r="V128" s="53">
        <v>157</v>
      </c>
      <c r="W128" s="44">
        <f>+SUM(S128:V128)</f>
        <v>548</v>
      </c>
      <c r="X128" s="53">
        <v>25</v>
      </c>
      <c r="Y128" s="53">
        <v>25</v>
      </c>
      <c r="Z128" s="53">
        <v>25</v>
      </c>
      <c r="AA128" s="53">
        <v>25</v>
      </c>
      <c r="AB128" s="44">
        <f>+SUM(X128:AA128)</f>
        <v>100</v>
      </c>
    </row>
    <row r="129" spans="2:28" outlineLevel="1" x14ac:dyDescent="0.25">
      <c r="B129" s="43" t="s">
        <v>98</v>
      </c>
      <c r="C129" s="65"/>
      <c r="D129" s="30"/>
      <c r="E129" s="30">
        <f>AVERAGE(E127,D127)</f>
        <v>1771.5</v>
      </c>
      <c r="F129" s="30">
        <f t="shared" ref="F129:G129" si="323">AVERAGE(F127,E127)</f>
        <v>1912</v>
      </c>
      <c r="G129" s="30">
        <f t="shared" si="323"/>
        <v>2071.5</v>
      </c>
      <c r="H129" s="45"/>
      <c r="I129" s="30">
        <f>AVERAGE(I127,G127)</f>
        <v>2175.5</v>
      </c>
      <c r="J129" s="30">
        <f>AVERAGE(J127,I127)</f>
        <v>2255</v>
      </c>
      <c r="K129" s="30">
        <f t="shared" ref="K129:L129" si="324">AVERAGE(K127,J127)</f>
        <v>2321</v>
      </c>
      <c r="L129" s="30">
        <f t="shared" si="324"/>
        <v>2418</v>
      </c>
      <c r="M129" s="44"/>
      <c r="N129" s="30">
        <f>AVERAGE(N127,L127)</f>
        <v>2533</v>
      </c>
      <c r="O129" s="30">
        <f>AVERAGE(O127,N127)</f>
        <v>2629.5</v>
      </c>
      <c r="P129" s="30">
        <f t="shared" ref="P129:Q129" si="325">AVERAGE(P127,O127)</f>
        <v>2703</v>
      </c>
      <c r="Q129" s="30">
        <f t="shared" si="325"/>
        <v>2785.5</v>
      </c>
      <c r="R129" s="44"/>
      <c r="S129" s="30">
        <f>AVERAGE(S127,Q127)</f>
        <v>2882</v>
      </c>
      <c r="T129" s="30">
        <f>AVERAGE(T127,S127)</f>
        <v>3005</v>
      </c>
      <c r="U129" s="30">
        <f t="shared" ref="U129:V129" si="326">AVERAGE(U127,T127)</f>
        <v>3148.5</v>
      </c>
      <c r="V129" s="30">
        <f t="shared" si="326"/>
        <v>3299.5</v>
      </c>
      <c r="W129" s="44"/>
      <c r="X129" s="30">
        <f>AVERAGE(X127,V127)</f>
        <v>3390.5</v>
      </c>
      <c r="Y129" s="30">
        <f>AVERAGE(Y127,X127)</f>
        <v>3415.5</v>
      </c>
      <c r="Z129" s="30">
        <f t="shared" ref="Z129:AA129" si="327">AVERAGE(Z127,Y127)</f>
        <v>3440.5</v>
      </c>
      <c r="AA129" s="30">
        <f t="shared" si="327"/>
        <v>3465.5</v>
      </c>
      <c r="AB129" s="20"/>
    </row>
    <row r="130" spans="2:28" outlineLevel="1" x14ac:dyDescent="0.25">
      <c r="B130" s="43" t="s">
        <v>97</v>
      </c>
      <c r="C130" s="65"/>
      <c r="D130" s="30"/>
      <c r="E130" s="30"/>
      <c r="F130" s="30"/>
      <c r="G130" s="30"/>
      <c r="H130" s="45"/>
      <c r="I130" s="81">
        <f>+I131/I129</f>
        <v>4.6977706274419676E-2</v>
      </c>
      <c r="J130" s="81">
        <f t="shared" ref="J130" si="328">+J131/J129</f>
        <v>4.0310421286031045E-2</v>
      </c>
      <c r="K130" s="81">
        <f t="shared" ref="K130" si="329">+K131/K129</f>
        <v>4.3472641102972859E-2</v>
      </c>
      <c r="L130" s="81">
        <f>+L131/L129</f>
        <v>4.7022332506203475E-2</v>
      </c>
      <c r="M130" s="44"/>
      <c r="N130" s="81">
        <f>+N131/N129</f>
        <v>4.58744571654165E-2</v>
      </c>
      <c r="O130" s="81">
        <f t="shared" ref="O130" si="330">+O131/O129</f>
        <v>4.2593648982696332E-2</v>
      </c>
      <c r="P130" s="81">
        <f t="shared" ref="P130" si="331">+P131/P129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58" t="s">
        <v>124</v>
      </c>
      <c r="C131" s="259"/>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2">+U129*U130</f>
        <v>140.79141509433961</v>
      </c>
      <c r="V131" s="151">
        <f t="shared" ref="V131" si="333">+V129*V130</f>
        <v>150.54390737749057</v>
      </c>
      <c r="W131" s="153"/>
      <c r="X131" s="151">
        <f>+X129*X130</f>
        <v>148.31614018043027</v>
      </c>
      <c r="Y131" s="151">
        <f>+Y129*Y130</f>
        <v>135.8016439267887</v>
      </c>
      <c r="Z131" s="151">
        <f t="shared" ref="Z131" si="334">+Z129*Z130</f>
        <v>158.46423679245285</v>
      </c>
      <c r="AA131" s="151">
        <f t="shared" ref="AA131" si="335">+AA129*AA130</f>
        <v>162.86140577275174</v>
      </c>
      <c r="AB131" s="153"/>
    </row>
    <row r="132" spans="2:28" s="22" customFormat="1" outlineLevel="1" x14ac:dyDescent="0.25">
      <c r="B132" s="262" t="s">
        <v>125</v>
      </c>
      <c r="C132" s="263"/>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6">+Q132*(1+V133)</f>
        <v>0.26666666666666672</v>
      </c>
      <c r="W132" s="115"/>
      <c r="X132" s="106">
        <f>+S132*(1+X133)</f>
        <v>0.53333333333333344</v>
      </c>
      <c r="Y132" s="106">
        <f>+T132*(1+Y133)</f>
        <v>0.53333333333333344</v>
      </c>
      <c r="Z132" s="106">
        <f>+U132*(1+Z133)</f>
        <v>0.53333333333333344</v>
      </c>
      <c r="AA132" s="106">
        <f t="shared" ref="AA132" si="337">+V132*(1+AA133)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8">+I127+I116</f>
        <v>2737</v>
      </c>
      <c r="J134" s="30">
        <f t="shared" si="338"/>
        <v>2783</v>
      </c>
      <c r="K134" s="30">
        <f t="shared" si="338"/>
        <v>2870</v>
      </c>
      <c r="L134" s="30">
        <f t="shared" si="338"/>
        <v>2974</v>
      </c>
      <c r="M134" s="44"/>
      <c r="N134" s="30">
        <f t="shared" ref="N134:Q135" si="339">+N127+N116</f>
        <v>3097</v>
      </c>
      <c r="O134" s="30">
        <f t="shared" si="339"/>
        <v>3161</v>
      </c>
      <c r="P134" s="30">
        <f t="shared" si="339"/>
        <v>3237</v>
      </c>
      <c r="Q134" s="30">
        <f t="shared" si="339"/>
        <v>3320</v>
      </c>
      <c r="R134" s="44"/>
      <c r="S134" s="30">
        <f t="shared" ref="S134:V135" si="340">+S127+S116</f>
        <v>3421</v>
      </c>
      <c r="T134" s="30">
        <f t="shared" si="340"/>
        <v>3468</v>
      </c>
      <c r="U134" s="30">
        <f t="shared" si="340"/>
        <v>3588</v>
      </c>
      <c r="V134" s="30">
        <f t="shared" si="340"/>
        <v>3720</v>
      </c>
      <c r="W134" s="44"/>
      <c r="X134" s="30">
        <f t="shared" ref="X134:AA135" si="341">+X127+X116</f>
        <v>3708</v>
      </c>
      <c r="Y134" s="30">
        <f t="shared" si="341"/>
        <v>3687.5</v>
      </c>
      <c r="Z134" s="30">
        <f t="shared" si="341"/>
        <v>3679.375</v>
      </c>
      <c r="AA134" s="30">
        <f t="shared" si="341"/>
        <v>3669.21875</v>
      </c>
      <c r="AB134" s="20"/>
    </row>
    <row r="135" spans="2:28" outlineLevel="1" x14ac:dyDescent="0.25">
      <c r="B135" s="43" t="s">
        <v>127</v>
      </c>
      <c r="C135" s="100"/>
      <c r="D135" s="30"/>
      <c r="E135" s="30"/>
      <c r="F135" s="30"/>
      <c r="G135" s="30"/>
      <c r="H135" s="45"/>
      <c r="I135" s="30">
        <f t="shared" si="338"/>
        <v>95</v>
      </c>
      <c r="J135" s="30">
        <f t="shared" si="338"/>
        <v>46</v>
      </c>
      <c r="K135" s="30">
        <f t="shared" si="338"/>
        <v>87</v>
      </c>
      <c r="L135" s="30">
        <f t="shared" si="338"/>
        <v>104</v>
      </c>
      <c r="M135" s="44">
        <f>+M128+M117</f>
        <v>332</v>
      </c>
      <c r="N135" s="30">
        <f t="shared" si="339"/>
        <v>123</v>
      </c>
      <c r="O135" s="30">
        <f t="shared" si="339"/>
        <v>64</v>
      </c>
      <c r="P135" s="30">
        <f t="shared" si="339"/>
        <v>76</v>
      </c>
      <c r="Q135" s="30">
        <f t="shared" si="339"/>
        <v>83</v>
      </c>
      <c r="R135" s="44">
        <f>+R128+R117</f>
        <v>346</v>
      </c>
      <c r="S135" s="30">
        <f t="shared" si="340"/>
        <v>101</v>
      </c>
      <c r="T135" s="30">
        <f t="shared" si="340"/>
        <v>47</v>
      </c>
      <c r="U135" s="30">
        <f t="shared" si="340"/>
        <v>120</v>
      </c>
      <c r="V135" s="30">
        <f t="shared" si="340"/>
        <v>132</v>
      </c>
      <c r="W135" s="238">
        <f>+W128+W117</f>
        <v>400</v>
      </c>
      <c r="X135" s="30">
        <f t="shared" si="341"/>
        <v>-12</v>
      </c>
      <c r="Y135" s="30">
        <f t="shared" si="341"/>
        <v>-20.5</v>
      </c>
      <c r="Z135" s="30">
        <f t="shared" si="341"/>
        <v>-8.125</v>
      </c>
      <c r="AA135" s="30">
        <f t="shared" si="341"/>
        <v>-10.15625</v>
      </c>
      <c r="AB135" s="44">
        <f>+AB128+AB117</f>
        <v>-50.78125</v>
      </c>
    </row>
    <row r="136" spans="2:28" outlineLevel="1" x14ac:dyDescent="0.25">
      <c r="B136" s="250" t="s">
        <v>128</v>
      </c>
      <c r="C136" s="251"/>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284.76454354283408</v>
      </c>
      <c r="V136" s="151">
        <f>+V132+V131+V124</f>
        <v>292.77804753334703</v>
      </c>
      <c r="W136" s="154">
        <f>SUM(S136:V136)</f>
        <v>1071.3425910761812</v>
      </c>
      <c r="X136" s="151">
        <f>+X132+X131+X124</f>
        <v>290.05018194193576</v>
      </c>
      <c r="Y136" s="151">
        <f>+Y132+Y131+Y124</f>
        <v>221.10845435964413</v>
      </c>
      <c r="Z136" s="151">
        <f>+Z132+Z131+Z124</f>
        <v>266.45235786824014</v>
      </c>
      <c r="AA136" s="151">
        <f>+AA132+AA131+AA124</f>
        <v>263.35992859572639</v>
      </c>
      <c r="AB136" s="154">
        <f>SUM(X136:AA136)</f>
        <v>1040.9709227655464</v>
      </c>
    </row>
    <row r="137" spans="2:28" outlineLevel="1" x14ac:dyDescent="0.25">
      <c r="B137" s="252" t="s">
        <v>73</v>
      </c>
      <c r="C137" s="253"/>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148.86786710510523</v>
      </c>
      <c r="V137" s="104">
        <f>+(V136*V147)*(U137/U146)</f>
        <v>151.4792204390975</v>
      </c>
      <c r="W137" s="25"/>
      <c r="X137" s="104">
        <f>+(X136*X147)*(V137/V146)</f>
        <v>135.83404963277425</v>
      </c>
      <c r="Y137" s="104">
        <f>+(Y136*Y147)*(X137/X146)</f>
        <v>117.01739738418088</v>
      </c>
      <c r="Z137" s="104">
        <f>+(Z136*Z147)*(Y137/Y146)</f>
        <v>139.29470891099388</v>
      </c>
      <c r="AA137" s="104">
        <f>+(AA136*AA147)*(Z137/Z146)</f>
        <v>136.25870182098672</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58.11287171046466</v>
      </c>
      <c r="V138" s="104">
        <f>+(V136*V147)*(U138/U146)</f>
        <v>59.132253825893535</v>
      </c>
      <c r="W138" s="25"/>
      <c r="X138" s="104">
        <f>+(X136*X147)*(V138/V146)</f>
        <v>53.024919707146083</v>
      </c>
      <c r="Y138" s="104">
        <f>+(Y136*Y147)*(X138/X146)</f>
        <v>45.679548812761631</v>
      </c>
      <c r="Z138" s="104">
        <f>+(Z136*Z147)*(Y138/Y146)</f>
        <v>54.375841518411221</v>
      </c>
      <c r="AA138" s="104">
        <f>+(AA136*AA147)*(Z138/Z146)</f>
        <v>53.19068924905627</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20.772260526293753</v>
      </c>
      <c r="V139" s="104">
        <f>+(V136*V147)*(U139/U146)</f>
        <v>21.136635410106628</v>
      </c>
      <c r="W139" s="25"/>
      <c r="X139" s="104">
        <f>+(X136*X147)*(V139/V146)</f>
        <v>18.953588320852219</v>
      </c>
      <c r="Y139" s="104">
        <f>+(Y136*Y147)*(X139/X146)</f>
        <v>16.328008937327564</v>
      </c>
      <c r="Z139" s="104">
        <f>+(Z136*Z147)*(Y139/Y146)</f>
        <v>19.436471010836353</v>
      </c>
      <c r="AA139" s="104">
        <f>+(AA136*AA147)*(Z139/Z146)</f>
        <v>19.012842114556285</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34">
        <v>7.136397991095154</v>
      </c>
      <c r="V140" s="234">
        <v>7.4115609647087286</v>
      </c>
      <c r="W140" s="25"/>
      <c r="X140" s="234">
        <v>7.5899363749670323</v>
      </c>
      <c r="Y140" s="234">
        <v>7.8003860321423817</v>
      </c>
      <c r="Z140" s="234">
        <v>7.7661631649680132</v>
      </c>
      <c r="AA140" s="234">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2">+(U136*U147)*(T141/T146)</f>
        <v>18.670305592085455</v>
      </c>
      <c r="V141" s="104">
        <f t="shared" si="342"/>
        <v>18.997809207893454</v>
      </c>
      <c r="W141" s="25"/>
      <c r="X141" s="104">
        <f>+(X136*X147)*(V141/V146)</f>
        <v>17.035665693146932</v>
      </c>
      <c r="Y141" s="104">
        <f>+(Y136*Y147)*(X141/X146)</f>
        <v>14.675769937717034</v>
      </c>
      <c r="Z141" s="104">
        <f t="shared" ref="Z141:AA141" si="343">+(Z136*Z147)*(Y141/Y146)</f>
        <v>17.469685253787436</v>
      </c>
      <c r="AA141" s="104">
        <f t="shared" si="343"/>
        <v>17.088923567249992</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4">+(U136*U147)*(T142/T146)</f>
        <v>29.798302302599968</v>
      </c>
      <c r="V142" s="156">
        <f>+(V136*V147)*(U142/U146)</f>
        <v>30.321006749022008</v>
      </c>
      <c r="W142" s="25"/>
      <c r="X142" s="156">
        <f>+(X136*X147)*(V142/V146)</f>
        <v>27.18937372217491</v>
      </c>
      <c r="Y142" s="156">
        <f>+(Y136*Y147)*(X142/X146)</f>
        <v>23.422917582713946</v>
      </c>
      <c r="Z142" s="156">
        <f t="shared" ref="Z142" si="345">+(Z136*Z147)*(Y142/Y146)</f>
        <v>27.882080438164056</v>
      </c>
      <c r="AA142" s="156">
        <f>+(AA136*AA147)*(Z142/Z146)</f>
        <v>27.274374700048007</v>
      </c>
      <c r="AB142" s="25"/>
    </row>
    <row r="143" spans="2:28" outlineLevel="1" x14ac:dyDescent="0.25">
      <c r="B143" s="102" t="s">
        <v>129</v>
      </c>
      <c r="C143" s="35"/>
      <c r="D143" s="30"/>
      <c r="E143" s="30"/>
      <c r="F143" s="30"/>
      <c r="G143" s="30"/>
      <c r="H143" s="23"/>
      <c r="I143" s="106">
        <f t="shared" ref="I143" si="346">SUM(I137:I142)</f>
        <v>209.89999999999998</v>
      </c>
      <c r="J143" s="106">
        <f t="shared" ref="J143" si="347">SUM(J137:J142)</f>
        <v>196.10000000000002</v>
      </c>
      <c r="K143" s="106">
        <f t="shared" ref="K143" si="348">SUM(K137:K142)</f>
        <v>232.00000000000003</v>
      </c>
      <c r="L143" s="106">
        <f t="shared" ref="L143" si="349">SUM(L137:L142)</f>
        <v>226.1</v>
      </c>
      <c r="M143" s="159"/>
      <c r="N143" s="106">
        <f>SUM(N137:N142)</f>
        <v>235.70000000000002</v>
      </c>
      <c r="O143" s="106">
        <f t="shared" ref="O143" si="350">SUM(O137:O142)</f>
        <v>261.90000000000003</v>
      </c>
      <c r="P143" s="106">
        <f t="shared" ref="P143" si="351">SUM(P137:P142)</f>
        <v>232.5</v>
      </c>
      <c r="Q143" s="106">
        <f t="shared" ref="Q143" si="352">SUM(Q137:Q142)</f>
        <v>256.5</v>
      </c>
      <c r="R143" s="159"/>
      <c r="S143" s="106">
        <f>SUM(S137:S142)</f>
        <v>239.3</v>
      </c>
      <c r="T143" s="106">
        <f>SUM(T137:T142)</f>
        <v>230.3</v>
      </c>
      <c r="U143" s="106">
        <f t="shared" ref="U143" si="353">SUM(U137:U142)</f>
        <v>283.35800522764424</v>
      </c>
      <c r="V143" s="106">
        <f t="shared" ref="V143" si="354">SUM(V137:V142)</f>
        <v>288.47848659672184</v>
      </c>
      <c r="W143" s="159"/>
      <c r="X143" s="106">
        <f t="shared" ref="X143" si="355">SUM(X137:X142)</f>
        <v>259.62753345106148</v>
      </c>
      <c r="Y143" s="106">
        <f t="shared" ref="Y143" si="356">SUM(Y137:Y142)</f>
        <v>224.92402868684343</v>
      </c>
      <c r="Z143" s="106">
        <f t="shared" ref="Z143" si="357">SUM(Z137:Z142)</f>
        <v>266.224950297161</v>
      </c>
      <c r="AA143" s="106">
        <f t="shared" ref="AA143" si="358">SUM(AA137:AA142)</f>
        <v>260.60396792625255</v>
      </c>
      <c r="AB143" s="159"/>
    </row>
    <row r="144" spans="2:28" outlineLevel="1" x14ac:dyDescent="0.25">
      <c r="B144" s="102" t="s">
        <v>130</v>
      </c>
      <c r="C144" s="93"/>
      <c r="D144" s="30"/>
      <c r="E144" s="30"/>
      <c r="F144" s="30"/>
      <c r="G144" s="30"/>
      <c r="H144" s="23"/>
      <c r="I144" s="157">
        <f t="shared" ref="I144" si="359">+I136-I143</f>
        <v>38.200000000000045</v>
      </c>
      <c r="J144" s="157">
        <f t="shared" ref="J144" si="360">+J136-J143</f>
        <v>22.299999999999983</v>
      </c>
      <c r="K144" s="157">
        <f t="shared" ref="K144" si="361">+K136-K143</f>
        <v>5.0999999999999659</v>
      </c>
      <c r="L144" s="157">
        <f t="shared" ref="L144" si="362">+L136-L143</f>
        <v>29.000000000000028</v>
      </c>
      <c r="M144" s="204">
        <f>SUM(I144:L144)</f>
        <v>94.600000000000023</v>
      </c>
      <c r="N144" s="157">
        <f>+N136-N143</f>
        <v>32.400000000000006</v>
      </c>
      <c r="O144" s="157">
        <f t="shared" ref="O144" si="363">+O136-O143</f>
        <v>-10.900000000000034</v>
      </c>
      <c r="P144" s="157">
        <f t="shared" ref="P144" si="364">+P136-P143</f>
        <v>29.199999999999989</v>
      </c>
      <c r="Q144" s="157">
        <f t="shared" ref="Q144" si="365">+Q136-Q143</f>
        <v>10.800000000000011</v>
      </c>
      <c r="R144" s="204">
        <f>SUM(N144:Q144)</f>
        <v>61.499999999999972</v>
      </c>
      <c r="S144" s="157">
        <f>+S136-S143</f>
        <v>27</v>
      </c>
      <c r="T144" s="157">
        <f>+T136-T143</f>
        <v>-2.8000000000000114</v>
      </c>
      <c r="U144" s="157">
        <f t="shared" ref="U144" si="366">+U136-U143</f>
        <v>1.4065383151898345</v>
      </c>
      <c r="V144" s="157">
        <f t="shared" ref="V144" si="367">+V136-V143</f>
        <v>4.2995609366251983</v>
      </c>
      <c r="W144" s="204">
        <f>SUM(S144:V144)</f>
        <v>29.906099251815021</v>
      </c>
      <c r="X144" s="157">
        <f t="shared" ref="X144" si="368">+X136-X143</f>
        <v>30.42264849087428</v>
      </c>
      <c r="Y144" s="157">
        <f t="shared" ref="Y144" si="369">+Y136-Y143</f>
        <v>-3.8155743271993003</v>
      </c>
      <c r="Z144" s="157">
        <f t="shared" ref="Z144" si="370">+Z136-Z143</f>
        <v>0.22740757107914078</v>
      </c>
      <c r="AA144" s="157">
        <f t="shared" ref="AA144" si="371">+AA136-AA143</f>
        <v>2.7559606694738363</v>
      </c>
      <c r="AB144" s="204">
        <f>SUM(X144:AA144)</f>
        <v>29.590442404227957</v>
      </c>
    </row>
    <row r="145" spans="2:28" outlineLevel="1" x14ac:dyDescent="0.25">
      <c r="B145" s="102" t="s">
        <v>131</v>
      </c>
      <c r="C145" s="93"/>
      <c r="D145" s="30"/>
      <c r="E145" s="30"/>
      <c r="F145" s="30"/>
      <c r="G145" s="30"/>
      <c r="H145" s="20"/>
      <c r="I145" s="158">
        <f t="shared" ref="I145" si="372">+I144/I136</f>
        <v>0.15397017331721097</v>
      </c>
      <c r="J145" s="158">
        <f t="shared" ref="J145" si="373">+J144/J136</f>
        <v>0.10210622710622702</v>
      </c>
      <c r="K145" s="158">
        <f t="shared" ref="K145" si="374">+K144/K136</f>
        <v>2.1509911429776322E-2</v>
      </c>
      <c r="L145" s="158">
        <f t="shared" ref="L145" si="375">+L144/L136</f>
        <v>0.11368090944727569</v>
      </c>
      <c r="M145" s="203">
        <f>M144/M136</f>
        <v>9.8675289454469614E-2</v>
      </c>
      <c r="N145" s="158">
        <f>+N144/N136</f>
        <v>0.12085042894442373</v>
      </c>
      <c r="O145" s="158">
        <f t="shared" ref="O145" si="376">+O144/O136</f>
        <v>-4.3426294820717269E-2</v>
      </c>
      <c r="P145" s="158">
        <f t="shared" ref="P145" si="377">+P144/P136</f>
        <v>0.11157814291173095</v>
      </c>
      <c r="Q145" s="158">
        <f t="shared" ref="Q145" si="378">+Q144/Q136</f>
        <v>4.0404040404040442E-2</v>
      </c>
      <c r="R145" s="203">
        <f>R144/R136</f>
        <v>5.8677607098559278E-2</v>
      </c>
      <c r="S145" s="158">
        <f t="shared" ref="S145" si="379">+S144/S136</f>
        <v>0.10138941043935411</v>
      </c>
      <c r="T145" s="158">
        <f t="shared" ref="T145" si="380">+T144/T136</f>
        <v>-1.2307692307692358E-2</v>
      </c>
      <c r="U145" s="158">
        <f t="shared" ref="U145" si="381">+U144/U136</f>
        <v>4.9393028278405171E-3</v>
      </c>
      <c r="V145" s="158">
        <f t="shared" ref="V145" si="382">+V144/V136</f>
        <v>1.4685393843045845E-2</v>
      </c>
      <c r="W145" s="239">
        <f>W144/W136</f>
        <v>2.7914599401647849E-2</v>
      </c>
      <c r="X145" s="158">
        <f t="shared" ref="X145" si="383">+X144/X136</f>
        <v>0.10488753458863369</v>
      </c>
      <c r="Y145" s="158">
        <f t="shared" ref="Y145" si="384">+Y144/Y136</f>
        <v>-1.7256573649567803E-2</v>
      </c>
      <c r="Z145" s="158">
        <f t="shared" ref="Z145" si="385">+Z144/Z136</f>
        <v>8.5346428494204995E-4</v>
      </c>
      <c r="AA145" s="158">
        <f t="shared" ref="AA145" si="386">+AA144/AA136</f>
        <v>1.0464616557913807E-2</v>
      </c>
      <c r="AB145" s="203">
        <f>AB144/AB136</f>
        <v>2.8425810709116695E-2</v>
      </c>
    </row>
    <row r="146" spans="2:28" s="160" customFormat="1" outlineLevel="1" x14ac:dyDescent="0.25">
      <c r="B146" s="164" t="s">
        <v>110</v>
      </c>
      <c r="C146" s="161"/>
      <c r="D146" s="162"/>
      <c r="E146" s="162"/>
      <c r="F146" s="162"/>
      <c r="G146" s="162"/>
      <c r="H146" s="163"/>
      <c r="I146" s="130">
        <f>+I143-I140</f>
        <v>202.39999999999998</v>
      </c>
      <c r="J146" s="130">
        <f t="shared" ref="J146:L146" si="387">+J143-J140</f>
        <v>188.70000000000002</v>
      </c>
      <c r="K146" s="130">
        <f t="shared" si="387"/>
        <v>224.50000000000003</v>
      </c>
      <c r="L146" s="130">
        <f t="shared" si="387"/>
        <v>217.9</v>
      </c>
      <c r="M146" s="165"/>
      <c r="N146" s="130">
        <f t="shared" ref="N146:Q146" si="388">+N143-N140</f>
        <v>228.20000000000002</v>
      </c>
      <c r="O146" s="130">
        <f t="shared" si="388"/>
        <v>253.90000000000003</v>
      </c>
      <c r="P146" s="130">
        <f t="shared" si="388"/>
        <v>224.5</v>
      </c>
      <c r="Q146" s="130">
        <f t="shared" si="388"/>
        <v>248.3</v>
      </c>
      <c r="R146" s="165"/>
      <c r="S146" s="130">
        <f t="shared" ref="S146:V146" si="389">+S143-S140</f>
        <v>231.4</v>
      </c>
      <c r="T146" s="130">
        <f t="shared" si="389"/>
        <v>223.4</v>
      </c>
      <c r="U146" s="130">
        <f t="shared" si="389"/>
        <v>276.22160723654906</v>
      </c>
      <c r="V146" s="130">
        <f t="shared" si="389"/>
        <v>281.06692563201312</v>
      </c>
      <c r="W146" s="133"/>
      <c r="X146" s="130">
        <f t="shared" ref="X146:AA146" si="390">+X143-X140</f>
        <v>252.03759707609444</v>
      </c>
      <c r="Y146" s="130">
        <f t="shared" si="390"/>
        <v>217.12364265470106</v>
      </c>
      <c r="Z146" s="130">
        <f t="shared" si="390"/>
        <v>258.45878713219298</v>
      </c>
      <c r="AA146" s="130">
        <f t="shared" si="390"/>
        <v>252.82553145189726</v>
      </c>
      <c r="AB146" s="163"/>
    </row>
    <row r="147" spans="2:28" s="160" customFormat="1" outlineLevel="1" x14ac:dyDescent="0.25">
      <c r="B147" s="164" t="s">
        <v>111</v>
      </c>
      <c r="C147" s="161"/>
      <c r="D147" s="162"/>
      <c r="E147" s="162"/>
      <c r="F147" s="162"/>
      <c r="G147" s="162"/>
      <c r="H147" s="163"/>
      <c r="I147" s="166">
        <f>+I146/I136</f>
        <v>0.81580008061265608</v>
      </c>
      <c r="J147" s="166">
        <f t="shared" ref="J147" si="391">+J146/J136</f>
        <v>0.86401098901098905</v>
      </c>
      <c r="K147" s="166">
        <f t="shared" ref="K147" si="392">+K146/K136</f>
        <v>0.94685786587937593</v>
      </c>
      <c r="L147" s="166">
        <f t="shared" ref="L147" si="393">+L146/L136</f>
        <v>0.85417483339866718</v>
      </c>
      <c r="M147" s="167"/>
      <c r="N147" s="166">
        <f t="shared" ref="N147" si="394">+N146/N136</f>
        <v>0.8511749347258486</v>
      </c>
      <c r="O147" s="166">
        <f t="shared" ref="O147" si="395">+O146/O136</f>
        <v>1.0115537848605578</v>
      </c>
      <c r="P147" s="166">
        <f t="shared" ref="P147" si="396">+P146/P136</f>
        <v>0.857852502865877</v>
      </c>
      <c r="Q147" s="166">
        <f t="shared" ref="Q147" si="397">+Q146/Q136</f>
        <v>0.92891881780770669</v>
      </c>
      <c r="R147" s="165"/>
      <c r="S147" s="166">
        <f t="shared" ref="S147:T147" si="398">+S146/S136</f>
        <v>0.86894479909876077</v>
      </c>
      <c r="T147" s="166">
        <f t="shared" si="398"/>
        <v>0.98197802197802198</v>
      </c>
      <c r="U147" s="168">
        <v>0.97</v>
      </c>
      <c r="V147" s="168">
        <v>0.96</v>
      </c>
      <c r="W147" s="163"/>
      <c r="X147" s="168">
        <f>+S147</f>
        <v>0.86894479909876077</v>
      </c>
      <c r="Y147" s="168">
        <f>+T147</f>
        <v>0.98197802197802198</v>
      </c>
      <c r="Z147" s="168">
        <f>+U147</f>
        <v>0.97</v>
      </c>
      <c r="AA147" s="168">
        <f>+V147</f>
        <v>0.96</v>
      </c>
      <c r="AB147" s="163"/>
    </row>
    <row r="148" spans="2:28" ht="18" x14ac:dyDescent="0.4">
      <c r="B148" s="242" t="s">
        <v>132</v>
      </c>
      <c r="C148" s="243"/>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48" t="s">
        <v>139</v>
      </c>
      <c r="C149" s="249"/>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9">+Q149*(1+V150)</f>
        <v>512.33499999999992</v>
      </c>
      <c r="W149" s="51">
        <f>SUM(S149:V149)</f>
        <v>1971.665918113014</v>
      </c>
      <c r="X149" s="106">
        <f>+S149*(1+X150)</f>
        <v>529.83000000000004</v>
      </c>
      <c r="Y149" s="106">
        <f>+T149*(1+Y150)</f>
        <v>468.93000000000006</v>
      </c>
      <c r="Z149" s="106">
        <f>+U149*(1+Z150)</f>
        <v>533.53746401866488</v>
      </c>
      <c r="AA149" s="106">
        <f t="shared" ref="AA149" si="400">+V149*(1+AA150)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1">+O149/J149-1</f>
        <v>8.5262345679012475E-2</v>
      </c>
      <c r="P150" s="147">
        <f t="shared" ref="P150" si="402">+P149/K149-1</f>
        <v>4.938043277233195E-2</v>
      </c>
      <c r="Q150" s="147">
        <f t="shared" ref="Q150" si="403">+Q149/L149-1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52" t="s">
        <v>73</v>
      </c>
      <c r="C151" s="253"/>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34">
        <v>12.721405114560929</v>
      </c>
      <c r="V154" s="234">
        <v>13.211913024045996</v>
      </c>
      <c r="W154" s="20"/>
      <c r="X154" s="234">
        <v>13.529886581462971</v>
      </c>
      <c r="Y154" s="234">
        <v>13.905035970340769</v>
      </c>
      <c r="Z154" s="234">
        <v>13.844029989725593</v>
      </c>
      <c r="AA154" s="234">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4">SUM(I151:I156)</f>
        <v>398.90000000000003</v>
      </c>
      <c r="J157" s="106">
        <f t="shared" ref="J157" si="405">SUM(J151:J156)</f>
        <v>350.9</v>
      </c>
      <c r="K157" s="106">
        <f t="shared" ref="K157" si="406">SUM(K151:K156)</f>
        <v>359.9</v>
      </c>
      <c r="L157" s="106">
        <f t="shared" ref="L157" si="407">SUM(L151:L156)</f>
        <v>374.39999999999992</v>
      </c>
      <c r="M157" s="20"/>
      <c r="N157" s="106">
        <f>SUM(N151:N156)</f>
        <v>397.09999999999997</v>
      </c>
      <c r="O157" s="106">
        <f t="shared" ref="O157" si="408">SUM(O151:O156)</f>
        <v>364.6</v>
      </c>
      <c r="P157" s="106">
        <f t="shared" ref="P157" si="409">SUM(P151:P156)</f>
        <v>382.5</v>
      </c>
      <c r="Q157" s="106">
        <f t="shared" ref="Q157" si="410">SUM(Q151:Q156)</f>
        <v>409.70000000000005</v>
      </c>
      <c r="R157" s="20"/>
      <c r="S157" s="106">
        <f>SUM(S151:S156)</f>
        <v>370.29999999999995</v>
      </c>
      <c r="T157" s="106">
        <f t="shared" ref="T157:V157" si="411">SUM(T151:T156)</f>
        <v>337.8</v>
      </c>
      <c r="U157" s="106">
        <f t="shared" si="411"/>
        <v>378.57566615593112</v>
      </c>
      <c r="V157" s="106">
        <f t="shared" si="411"/>
        <v>390.49688295899358</v>
      </c>
      <c r="W157" s="20"/>
      <c r="X157" s="106">
        <f t="shared" ref="X157" si="412">SUM(X151:X156)</f>
        <v>402.3448865814629</v>
      </c>
      <c r="Y157" s="106">
        <f t="shared" ref="Y157" si="413">SUM(Y151:Y156)</f>
        <v>355.68003597034078</v>
      </c>
      <c r="Z157" s="106">
        <f t="shared" ref="Z157:AA157" si="414">SUM(Z151:Z156)</f>
        <v>397.99100408316428</v>
      </c>
      <c r="AA157" s="106">
        <f t="shared" si="414"/>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2">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5">I149-I157+I158</f>
        <v>263.89999999999992</v>
      </c>
      <c r="J159" s="157">
        <f t="shared" si="415"/>
        <v>207.5</v>
      </c>
      <c r="K159" s="157">
        <f t="shared" si="415"/>
        <v>230.00000000000006</v>
      </c>
      <c r="L159" s="157">
        <f t="shared" si="415"/>
        <v>265.40000000000009</v>
      </c>
      <c r="M159" s="51">
        <f>SUM(I159:L159)</f>
        <v>966.80000000000007</v>
      </c>
      <c r="N159" s="157">
        <f t="shared" si="415"/>
        <v>269.60000000000002</v>
      </c>
      <c r="O159" s="157">
        <f t="shared" si="415"/>
        <v>234</v>
      </c>
      <c r="P159" s="157">
        <f t="shared" si="415"/>
        <v>232.79999999999998</v>
      </c>
      <c r="Q159" s="157">
        <f t="shared" si="415"/>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6">X149-X157+X158</f>
        <v>171.70855091853716</v>
      </c>
      <c r="Y159" s="157">
        <f t="shared" si="416"/>
        <v>158.17926090465929</v>
      </c>
      <c r="Z159" s="157">
        <f t="shared" si="416"/>
        <v>181.65808102925061</v>
      </c>
      <c r="AA159" s="157">
        <f t="shared" si="416"/>
        <v>173.65739943772871</v>
      </c>
      <c r="AB159" s="51">
        <f>SUM(X159:AA159)</f>
        <v>685.2032922901758</v>
      </c>
    </row>
    <row r="160" spans="2:28" outlineLevel="1" x14ac:dyDescent="0.25">
      <c r="B160" s="102" t="s">
        <v>135</v>
      </c>
      <c r="C160" s="93"/>
      <c r="D160" s="30"/>
      <c r="E160" s="30"/>
      <c r="F160" s="30"/>
      <c r="G160" s="30"/>
      <c r="H160" s="20"/>
      <c r="I160" s="158">
        <f t="shared" ref="I160:Q160" si="417">+I159/I149</f>
        <v>0.42502818489289729</v>
      </c>
      <c r="J160" s="158">
        <f t="shared" si="417"/>
        <v>0.40027006172839508</v>
      </c>
      <c r="K160" s="158">
        <f t="shared" si="417"/>
        <v>0.42537451451821717</v>
      </c>
      <c r="L160" s="158">
        <f t="shared" si="417"/>
        <v>0.46036426712922823</v>
      </c>
      <c r="M160" s="72">
        <f>M159/M149</f>
        <v>0.42845114114779531</v>
      </c>
      <c r="N160" s="158">
        <f t="shared" si="417"/>
        <v>0.42929936305732486</v>
      </c>
      <c r="O160" s="158">
        <f t="shared" si="417"/>
        <v>0.41592605758976181</v>
      </c>
      <c r="P160" s="158">
        <f t="shared" si="417"/>
        <v>0.41029256256609092</v>
      </c>
      <c r="Q160" s="158">
        <f t="shared" si="417"/>
        <v>0.35379195253105861</v>
      </c>
      <c r="R160" s="72">
        <f>R159/R149</f>
        <v>0.40360423105384569</v>
      </c>
      <c r="S160" s="158">
        <f>+S159/S149</f>
        <v>0.34819659135949282</v>
      </c>
      <c r="T160" s="158">
        <f>+T159/T149</f>
        <v>0.33363188535602328</v>
      </c>
      <c r="U160" s="158">
        <f>+U159/U149</f>
        <v>0.34878856145034853</v>
      </c>
      <c r="V160" s="158">
        <f>+V159/V149</f>
        <v>0.33075403210986243</v>
      </c>
      <c r="W160" s="240">
        <f>W159/W149</f>
        <v>0.3405176875201259</v>
      </c>
      <c r="X160" s="158">
        <f t="shared" ref="X160:AA160" si="418">+X159/X149</f>
        <v>0.32408234890160453</v>
      </c>
      <c r="Y160" s="158">
        <f t="shared" si="418"/>
        <v>0.33731955921919959</v>
      </c>
      <c r="Z160" s="158">
        <f t="shared" si="418"/>
        <v>0.34047858544174436</v>
      </c>
      <c r="AA160" s="158">
        <f t="shared" si="418"/>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9">+J157-J154</f>
        <v>350.09999999999997</v>
      </c>
      <c r="K161" s="130">
        <f t="shared" si="419"/>
        <v>359.2</v>
      </c>
      <c r="L161" s="130">
        <f t="shared" si="419"/>
        <v>373.69999999999993</v>
      </c>
      <c r="M161" s="165"/>
      <c r="N161" s="130">
        <f t="shared" ref="N161:Q161" si="420">+N157-N154</f>
        <v>396.49999999999994</v>
      </c>
      <c r="O161" s="130">
        <f t="shared" si="420"/>
        <v>364.3</v>
      </c>
      <c r="P161" s="130">
        <f t="shared" si="420"/>
        <v>382.3</v>
      </c>
      <c r="Q161" s="130">
        <f t="shared" si="420"/>
        <v>409.6</v>
      </c>
      <c r="R161" s="165"/>
      <c r="S161" s="130">
        <f t="shared" ref="S161" si="421">+S157-S154</f>
        <v>370.29999999999995</v>
      </c>
      <c r="T161" s="130">
        <f>+T157-T154</f>
        <v>325.5</v>
      </c>
      <c r="U161" s="130">
        <f>+U157-U154</f>
        <v>365.85426104137019</v>
      </c>
      <c r="V161" s="130">
        <f>+V157-V154</f>
        <v>377.28496993494758</v>
      </c>
      <c r="W161" s="133"/>
      <c r="X161" s="130">
        <f t="shared" ref="X161:AA161" si="422">+X157-X154</f>
        <v>388.81499999999994</v>
      </c>
      <c r="Y161" s="130">
        <f t="shared" si="422"/>
        <v>341.77500000000003</v>
      </c>
      <c r="Z161" s="130">
        <f t="shared" si="422"/>
        <v>384.1469740934387</v>
      </c>
      <c r="AA161" s="130">
        <f t="shared" si="422"/>
        <v>396.14921843169498</v>
      </c>
      <c r="AB161" s="163"/>
    </row>
    <row r="162" spans="2:28" s="160" customFormat="1" outlineLevel="1" x14ac:dyDescent="0.25">
      <c r="B162" s="164" t="s">
        <v>111</v>
      </c>
      <c r="C162" s="161"/>
      <c r="D162" s="162"/>
      <c r="E162" s="162"/>
      <c r="F162" s="162"/>
      <c r="G162" s="162"/>
      <c r="H162" s="163"/>
      <c r="I162" s="166">
        <f t="shared" ref="I162:Q162" si="423">+I161/I149</f>
        <v>0.64116604928329846</v>
      </c>
      <c r="J162" s="166">
        <f t="shared" si="423"/>
        <v>0.67534722222222221</v>
      </c>
      <c r="K162" s="166">
        <f t="shared" si="423"/>
        <v>0.66432402441279814</v>
      </c>
      <c r="L162" s="166">
        <f t="shared" si="423"/>
        <v>0.64822202948829133</v>
      </c>
      <c r="M162" s="167"/>
      <c r="N162" s="166">
        <f t="shared" si="423"/>
        <v>0.63136942675159224</v>
      </c>
      <c r="O162" s="166">
        <f t="shared" si="423"/>
        <v>0.64752932811944541</v>
      </c>
      <c r="P162" s="166">
        <f t="shared" si="423"/>
        <v>0.67377511455763139</v>
      </c>
      <c r="Q162" s="166">
        <f t="shared" si="423"/>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42" t="s">
        <v>136</v>
      </c>
      <c r="C163" s="243"/>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44" t="s">
        <v>143</v>
      </c>
      <c r="C164" s="245"/>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11.5</v>
      </c>
      <c r="V164" s="104">
        <f t="shared" ref="V164" si="424">+Q164*(1+V165)</f>
        <v>13.6</v>
      </c>
      <c r="W164" s="20"/>
      <c r="X164" s="104">
        <f>+S164*(1+X165)</f>
        <v>16.968</v>
      </c>
      <c r="Y164" s="104">
        <f>+T164*(1+Y165)</f>
        <v>21.21</v>
      </c>
      <c r="Z164" s="104">
        <f>+U164*(1+Z165)</f>
        <v>11.615</v>
      </c>
      <c r="AA164" s="104">
        <f t="shared" ref="AA164" si="425">+V164*(1+AA165)</f>
        <v>13.735999999999999</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6">+O164/J164-1</f>
        <v>-0.42699115044247793</v>
      </c>
      <c r="P165" s="50">
        <f t="shared" ref="P165" si="427">+P164/K164-1</f>
        <v>-0.68434343434343436</v>
      </c>
      <c r="Q165" s="50">
        <f t="shared" ref="Q165" si="428">+Q164/L164-1</f>
        <v>-0.67228915662650601</v>
      </c>
      <c r="R165" s="20"/>
      <c r="S165" s="50">
        <f>+S164/N164-1</f>
        <v>-0.7232289950576607</v>
      </c>
      <c r="T165" s="50">
        <f>+T164/O164-1</f>
        <v>-0.18918918918918914</v>
      </c>
      <c r="U165" s="54">
        <v>-0.08</v>
      </c>
      <c r="V165" s="54">
        <v>0</v>
      </c>
      <c r="W165" s="20"/>
      <c r="X165" s="54">
        <v>0.01</v>
      </c>
      <c r="Y165" s="54">
        <v>0.01</v>
      </c>
      <c r="Z165" s="54">
        <v>0.01</v>
      </c>
      <c r="AA165" s="54">
        <v>0.01</v>
      </c>
      <c r="AB165" s="20"/>
    </row>
    <row r="166" spans="2:28" s="22" customFormat="1" outlineLevel="1" x14ac:dyDescent="0.25">
      <c r="B166" s="244" t="s">
        <v>144</v>
      </c>
      <c r="C166" s="245"/>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9">+Q166*(1+V167)</f>
        <v>0</v>
      </c>
      <c r="W166" s="20"/>
      <c r="X166" s="104">
        <f>+S166*(1+X167)</f>
        <v>0</v>
      </c>
      <c r="Y166" s="104">
        <f>+T166*(1+Y167)</f>
        <v>0</v>
      </c>
      <c r="Z166" s="104">
        <f>+U166*(1+Z167)</f>
        <v>0</v>
      </c>
      <c r="AA166" s="104">
        <f t="shared" ref="AA166" si="430">+V166*(1+AA167)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1">+O166/J166-1</f>
        <v>-1</v>
      </c>
      <c r="P167" s="50">
        <f t="shared" ref="P167" si="432">+P166/K166-1</f>
        <v>-1</v>
      </c>
      <c r="Q167" s="50">
        <f t="shared" ref="Q167" si="433">+Q166/L166-1</f>
        <v>-1</v>
      </c>
      <c r="R167" s="20"/>
      <c r="S167" s="50">
        <f>+S166/N166-1</f>
        <v>-1</v>
      </c>
      <c r="T167" s="224"/>
      <c r="U167" s="125">
        <v>0</v>
      </c>
      <c r="V167" s="125">
        <f>AVERAGE(U167,T167,S167,Q167)</f>
        <v>-0.66666666666666663</v>
      </c>
      <c r="W167" s="122"/>
      <c r="X167" s="125">
        <f>AVERAGE(V167,U167,T167,S167)</f>
        <v>-0.55555555555555547</v>
      </c>
      <c r="Y167" s="125">
        <f>AVERAGE(X167,V167,U167,T167)</f>
        <v>-0.40740740740740738</v>
      </c>
      <c r="Z167" s="125">
        <f>AVERAGE(Y167,X167,V167,U167)</f>
        <v>-0.40740740740740733</v>
      </c>
      <c r="AA167" s="125">
        <f>AVERAGE(Z167,Y167,X167,V167)</f>
        <v>-0.50925925925925919</v>
      </c>
      <c r="AB167" s="122"/>
    </row>
    <row r="168" spans="2:28" s="22" customFormat="1" outlineLevel="1" x14ac:dyDescent="0.25">
      <c r="B168" s="244" t="s">
        <v>145</v>
      </c>
      <c r="C168" s="245"/>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4">+Q168*(1+V169)</f>
        <v>14.704123762972614</v>
      </c>
      <c r="W168" s="20"/>
      <c r="X168" s="104">
        <f>+S168*(1+X169)</f>
        <v>12.912068014534103</v>
      </c>
      <c r="Y168" s="104">
        <f>+T168*(1+Y169)</f>
        <v>18.608770867445941</v>
      </c>
      <c r="Z168" s="104">
        <f>+U168*(1+Z169)</f>
        <v>15.896439143723764</v>
      </c>
      <c r="AA168" s="104">
        <f t="shared" ref="AA168" si="435">+V168*(1+AA169)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6">+O168/J168-1</f>
        <v>-0.67346938775510201</v>
      </c>
      <c r="P169" s="147">
        <f t="shared" ref="P169" si="437">+P168/K168-1</f>
        <v>-0.25592417061611383</v>
      </c>
      <c r="Q169" s="147">
        <f t="shared" ref="Q169" si="438">+Q168/L168-1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52" t="s">
        <v>73</v>
      </c>
      <c r="C170" s="253"/>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9">AVERAGE(T171,S171,Q171,P171)</f>
        <v>16.775000000000002</v>
      </c>
      <c r="V171" s="104">
        <f t="shared" ref="V171:V175" si="440">AVERAGE(U171,T171,S171,Q171)</f>
        <v>18.668749999999999</v>
      </c>
      <c r="W171" s="105"/>
      <c r="X171" s="104">
        <f t="shared" ref="X171:X175" si="441">AVERAGE(V171,U171,T171,S171)</f>
        <v>18.9609375</v>
      </c>
      <c r="Y171" s="104">
        <f t="shared" ref="Y171:Y172" si="442">AVERAGE(X171,V171,U171,T171)</f>
        <v>19.001171875000004</v>
      </c>
      <c r="Z171" s="104">
        <f t="shared" ref="Z171:Z172" si="443">AVERAGE(Y171,X171,V171,U171)</f>
        <v>18.351464843750001</v>
      </c>
      <c r="AA171" s="104">
        <f t="shared" ref="AA171:AA172" si="444">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9"/>
        <v>3.5500000000000003</v>
      </c>
      <c r="V172" s="104">
        <f t="shared" si="440"/>
        <v>3.7125000000000004</v>
      </c>
      <c r="W172" s="105"/>
      <c r="X172" s="104">
        <f t="shared" si="441"/>
        <v>3.6906250000000003</v>
      </c>
      <c r="Y172" s="104">
        <f t="shared" si="442"/>
        <v>3.8632812500000004</v>
      </c>
      <c r="Z172" s="104">
        <f t="shared" si="443"/>
        <v>3.7041015625000004</v>
      </c>
      <c r="AA172" s="104">
        <f t="shared" si="444"/>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34">
        <v>46.438299971039477</v>
      </c>
      <c r="V173" s="234">
        <v>48.228853234119114</v>
      </c>
      <c r="W173" s="20"/>
      <c r="X173" s="234">
        <v>49.389585976234748</v>
      </c>
      <c r="Y173" s="234">
        <v>50.759033745390276</v>
      </c>
      <c r="Z173" s="234">
        <v>50.536337116965761</v>
      </c>
      <c r="AA173" s="234">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5">AVERAGE(T174,S174,Q174,P174)</f>
        <v>327.55</v>
      </c>
      <c r="V174" s="104">
        <f t="shared" si="440"/>
        <v>333.16250000000002</v>
      </c>
      <c r="W174" s="105"/>
      <c r="X174" s="104">
        <f t="shared" si="441"/>
        <v>334.30312500000002</v>
      </c>
      <c r="Y174" s="104">
        <f t="shared" ref="Y174:Y175" si="446">AVERAGE(X174,V174,U174,T174)</f>
        <v>334.40390624999998</v>
      </c>
      <c r="Z174" s="104">
        <f t="shared" ref="Z174:Z175" si="447">AVERAGE(Y174,X174,V174,U174)</f>
        <v>332.35488281250002</v>
      </c>
      <c r="AA174" s="104">
        <f t="shared" ref="AA174:AA175" si="448">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5"/>
        <v>4.8250000000000002</v>
      </c>
      <c r="V175" s="156">
        <f t="shared" si="440"/>
        <v>6.40625</v>
      </c>
      <c r="W175" s="171"/>
      <c r="X175" s="156">
        <f t="shared" si="441"/>
        <v>6.4578124999999993</v>
      </c>
      <c r="Y175" s="156">
        <f t="shared" si="446"/>
        <v>4.5972656249999995</v>
      </c>
      <c r="Z175" s="156">
        <f t="shared" si="447"/>
        <v>5.5715820312499993</v>
      </c>
      <c r="AA175" s="156">
        <f t="shared" si="448"/>
        <v>5.7582275390624993</v>
      </c>
      <c r="AB175" s="20"/>
    </row>
    <row r="176" spans="2:28" outlineLevel="1" x14ac:dyDescent="0.25">
      <c r="B176" s="102" t="s">
        <v>137</v>
      </c>
      <c r="C176" s="35"/>
      <c r="D176" s="30"/>
      <c r="E176" s="30"/>
      <c r="F176" s="30"/>
      <c r="G176" s="30"/>
      <c r="H176" s="23"/>
      <c r="I176" s="106">
        <f t="shared" ref="I176" si="449">SUM(I170:I175)</f>
        <v>398.2</v>
      </c>
      <c r="J176" s="106">
        <f t="shared" ref="J176" si="450">SUM(J170:J175)</f>
        <v>369.9</v>
      </c>
      <c r="K176" s="106">
        <f t="shared" ref="K176" si="451">SUM(K170:K175)</f>
        <v>447.6</v>
      </c>
      <c r="L176" s="106">
        <f t="shared" ref="L176" si="452">SUM(L170:L175)</f>
        <v>440.59999999999997</v>
      </c>
      <c r="M176" s="159"/>
      <c r="N176" s="106">
        <f>SUM(N170:N175)</f>
        <v>436.7</v>
      </c>
      <c r="O176" s="106">
        <f t="shared" ref="O176" si="453">SUM(O170:O175)</f>
        <v>492.00000000000006</v>
      </c>
      <c r="P176" s="106">
        <f t="shared" ref="P176" si="454">SUM(P170:P175)</f>
        <v>392.9</v>
      </c>
      <c r="Q176" s="106">
        <f t="shared" ref="Q176" si="455">SUM(Q170:Q175)</f>
        <v>433.90000000000003</v>
      </c>
      <c r="R176" s="159"/>
      <c r="S176" s="106">
        <f t="shared" ref="S176" si="456">SUM(S170:S175)</f>
        <v>448.49999999999994</v>
      </c>
      <c r="T176" s="106">
        <f>SUM(T170:T175)</f>
        <v>456.00000000000006</v>
      </c>
      <c r="U176" s="106">
        <f t="shared" ref="U176" si="457">SUM(U170:U175)</f>
        <v>436.4382999710395</v>
      </c>
      <c r="V176" s="106">
        <f t="shared" ref="V176" si="458">SUM(V170:V175)</f>
        <v>447.95385323411915</v>
      </c>
      <c r="W176" s="20"/>
      <c r="X176" s="106">
        <f t="shared" ref="X176" si="459">SUM(X170:X175)</f>
        <v>450.97083597623475</v>
      </c>
      <c r="Y176" s="106">
        <f t="shared" ref="Y176" si="460">SUM(Y170:Y175)</f>
        <v>451.36059624539024</v>
      </c>
      <c r="Z176" s="106">
        <f t="shared" ref="Z176" si="461">SUM(Z170:Z175)</f>
        <v>448.51329024196576</v>
      </c>
      <c r="AA176" s="106">
        <f t="shared" ref="AA176" si="462">SUM(AA170:AA175)</f>
        <v>450.58739397125754</v>
      </c>
      <c r="AB176" s="23"/>
    </row>
    <row r="177" spans="1:28" outlineLevel="1" x14ac:dyDescent="0.25">
      <c r="B177" s="102" t="s">
        <v>138</v>
      </c>
      <c r="C177" s="93"/>
      <c r="D177" s="30"/>
      <c r="E177" s="30"/>
      <c r="F177" s="30"/>
      <c r="G177" s="30"/>
      <c r="H177" s="23"/>
      <c r="I177" s="157">
        <f t="shared" ref="I177:Q177" si="463">I164+I166+I168-I176</f>
        <v>-288.89999999999998</v>
      </c>
      <c r="J177" s="157">
        <f t="shared" si="463"/>
        <v>-294.59999999999997</v>
      </c>
      <c r="K177" s="157">
        <f t="shared" si="463"/>
        <v>-386.3</v>
      </c>
      <c r="L177" s="157">
        <f t="shared" si="463"/>
        <v>-375.09999999999997</v>
      </c>
      <c r="M177" s="159">
        <f t="shared" si="463"/>
        <v>0</v>
      </c>
      <c r="N177" s="157">
        <f t="shared" si="463"/>
        <v>-360.4</v>
      </c>
      <c r="O177" s="157">
        <f t="shared" si="463"/>
        <v>-456.50000000000006</v>
      </c>
      <c r="P177" s="157">
        <f t="shared" si="463"/>
        <v>-364.7</v>
      </c>
      <c r="Q177" s="157">
        <f t="shared" si="463"/>
        <v>-405.70000000000005</v>
      </c>
      <c r="R177" s="159"/>
      <c r="S177" s="157">
        <f>S164+S166+S168-S176</f>
        <v>-419.99999999999994</v>
      </c>
      <c r="T177" s="157">
        <f>T164+T166+T168-T176</f>
        <v>-419.20000000000005</v>
      </c>
      <c r="U177" s="157">
        <f t="shared" ref="U177:AA177" si="464">U164+U166+U168-U176</f>
        <v>-409.95232690355931</v>
      </c>
      <c r="V177" s="157">
        <f t="shared" si="464"/>
        <v>-419.64972947114654</v>
      </c>
      <c r="W177" s="169"/>
      <c r="X177" s="157">
        <f t="shared" si="464"/>
        <v>-421.09076796170064</v>
      </c>
      <c r="Y177" s="157">
        <f t="shared" si="464"/>
        <v>-411.54182537794429</v>
      </c>
      <c r="Z177" s="157">
        <f t="shared" si="464"/>
        <v>-421.00185109824201</v>
      </c>
      <c r="AA177" s="157">
        <f t="shared" si="464"/>
        <v>-420.8634083840696</v>
      </c>
      <c r="AB177" s="23"/>
    </row>
    <row r="178" spans="1:28" ht="18" x14ac:dyDescent="0.4">
      <c r="B178" s="242" t="s">
        <v>21</v>
      </c>
      <c r="C178" s="243"/>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0</v>
      </c>
      <c r="V183" s="130">
        <f>+V77+V111+V144+V159+V177-V26</f>
        <v>-1.8189894035458565E-12</v>
      </c>
      <c r="W183" s="133"/>
      <c r="X183" s="130">
        <f>+X77+X111+X144+X159+X177-X26</f>
        <v>0</v>
      </c>
      <c r="Y183" s="130">
        <f>+Y77+Y111+Y144+Y159+Y177-Y26</f>
        <v>0</v>
      </c>
      <c r="Z183" s="130">
        <f>+Z77+Z111+Z144+Z159+Z177-Z26</f>
        <v>2.2737367544323206E-12</v>
      </c>
      <c r="AA183" s="130">
        <f>+AA77+AA111+AA144+AA159+AA177-AA26</f>
        <v>0</v>
      </c>
      <c r="AB183" s="133"/>
    </row>
    <row r="184" spans="1:28" ht="15" customHeight="1" x14ac:dyDescent="0.4">
      <c r="B184" s="242" t="s">
        <v>15</v>
      </c>
      <c r="C184" s="243"/>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44" t="s">
        <v>34</v>
      </c>
      <c r="C185" s="245"/>
      <c r="D185" s="50"/>
      <c r="E185" s="50"/>
      <c r="F185" s="50"/>
      <c r="G185" s="50"/>
      <c r="H185" s="48"/>
      <c r="I185" s="50">
        <f>I16/D16-1</f>
        <v>6.6883781520423957E-2</v>
      </c>
      <c r="J185" s="50">
        <f t="shared" ref="J185:AB185" si="465">J16/E16-1</f>
        <v>6.0241929023471696E-2</v>
      </c>
      <c r="K185" s="50">
        <f t="shared" si="465"/>
        <v>8.0851470026727768E-2</v>
      </c>
      <c r="L185" s="50">
        <f t="shared" si="465"/>
        <v>-2.2587197086425537E-3</v>
      </c>
      <c r="M185" s="48">
        <f t="shared" si="465"/>
        <v>5.0234801251647809E-2</v>
      </c>
      <c r="N185" s="50">
        <f t="shared" si="465"/>
        <v>5.9446353503462612E-2</v>
      </c>
      <c r="O185" s="50">
        <f t="shared" si="465"/>
        <v>0.1393653192293165</v>
      </c>
      <c r="P185" s="50">
        <f t="shared" si="465"/>
        <v>0.11459860461008575</v>
      </c>
      <c r="Q185" s="50">
        <f t="shared" si="465"/>
        <v>0.10623343804292507</v>
      </c>
      <c r="R185" s="49">
        <f>R16/M16-1</f>
        <v>0.10420249523154368</v>
      </c>
      <c r="S185" s="50">
        <f>S16/N16-1</f>
        <v>9.203615588521008E-2</v>
      </c>
      <c r="T185" s="50">
        <f t="shared" si="465"/>
        <v>4.5442488146158588E-2</v>
      </c>
      <c r="U185" s="50">
        <f t="shared" si="465"/>
        <v>6.9305705501122361E-2</v>
      </c>
      <c r="V185" s="50">
        <f t="shared" si="465"/>
        <v>6.6309475315837751E-2</v>
      </c>
      <c r="W185" s="241">
        <f t="shared" si="465"/>
        <v>6.8303765557017337E-2</v>
      </c>
      <c r="X185" s="50">
        <f t="shared" si="465"/>
        <v>7.4120163220870783E-2</v>
      </c>
      <c r="Y185" s="50">
        <f t="shared" si="465"/>
        <v>6.7473915566716558E-2</v>
      </c>
      <c r="Z185" s="50">
        <f t="shared" si="465"/>
        <v>6.3367752078738349E-2</v>
      </c>
      <c r="AA185" s="50">
        <f t="shared" si="465"/>
        <v>7.2434187997940436E-2</v>
      </c>
      <c r="AB185" s="48">
        <f t="shared" si="465"/>
        <v>6.9356566727866165E-2</v>
      </c>
    </row>
    <row r="186" spans="1:28" s="39" customFormat="1" outlineLevel="1" x14ac:dyDescent="0.25">
      <c r="B186" s="244" t="s">
        <v>4</v>
      </c>
      <c r="C186" s="245"/>
      <c r="D186" s="47">
        <f t="shared" ref="D186:AB186" si="466">D26/D16</f>
        <v>0.19689215595049786</v>
      </c>
      <c r="E186" s="47">
        <f t="shared" si="466"/>
        <v>0.17307538252022742</v>
      </c>
      <c r="F186" s="47">
        <f t="shared" si="466"/>
        <v>0.19516991218022131</v>
      </c>
      <c r="G186" s="47">
        <f t="shared" si="466"/>
        <v>0.21491105196806271</v>
      </c>
      <c r="H186" s="49">
        <f t="shared" si="466"/>
        <v>0.1957177505993179</v>
      </c>
      <c r="I186" s="47">
        <f t="shared" si="466"/>
        <v>0.19756144359748121</v>
      </c>
      <c r="J186" s="47">
        <f t="shared" si="466"/>
        <v>0.17669059312429156</v>
      </c>
      <c r="K186" s="47">
        <f t="shared" si="466"/>
        <v>0.18443875298065895</v>
      </c>
      <c r="L186" s="47">
        <f t="shared" si="466"/>
        <v>0.17943948195075715</v>
      </c>
      <c r="M186" s="49">
        <f t="shared" si="466"/>
        <v>0.18469448377831474</v>
      </c>
      <c r="N186" s="47">
        <f t="shared" si="466"/>
        <v>0.18375948762698191</v>
      </c>
      <c r="O186" s="47">
        <f t="shared" si="466"/>
        <v>0.12807122252064063</v>
      </c>
      <c r="P186" s="47">
        <f t="shared" si="466"/>
        <v>0.16452466602221769</v>
      </c>
      <c r="Q186" s="47">
        <f t="shared" si="466"/>
        <v>0.15176128116250107</v>
      </c>
      <c r="R186" s="49">
        <f t="shared" si="466"/>
        <v>0.15710098727924784</v>
      </c>
      <c r="S186" s="47">
        <f t="shared" si="466"/>
        <v>0.15313522396610751</v>
      </c>
      <c r="T186" s="47">
        <f t="shared" si="466"/>
        <v>0.13601547756862614</v>
      </c>
      <c r="U186" s="47">
        <f t="shared" si="466"/>
        <v>0.16366556757654546</v>
      </c>
      <c r="V186" s="47">
        <f t="shared" si="466"/>
        <v>0.15691862156542788</v>
      </c>
      <c r="W186" s="49">
        <f t="shared" si="466"/>
        <v>0.15270089150919655</v>
      </c>
      <c r="X186" s="47">
        <f t="shared" si="466"/>
        <v>0.15991418084671788</v>
      </c>
      <c r="Y186" s="47">
        <f t="shared" si="466"/>
        <v>0.14774984298691743</v>
      </c>
      <c r="Z186" s="47">
        <f t="shared" si="466"/>
        <v>0.16723001917522445</v>
      </c>
      <c r="AA186" s="47">
        <f t="shared" si="466"/>
        <v>0.16682238491842458</v>
      </c>
      <c r="AB186" s="49">
        <f t="shared" si="466"/>
        <v>0.16063685299605218</v>
      </c>
    </row>
    <row r="187" spans="1:28" s="39" customFormat="1" outlineLevel="1" x14ac:dyDescent="0.25">
      <c r="B187" s="244" t="s">
        <v>176</v>
      </c>
      <c r="C187" s="245"/>
      <c r="D187" s="47">
        <f t="shared" ref="D187:AB187" si="467">+D28/D16</f>
        <v>0.19918116683725695</v>
      </c>
      <c r="E187" s="47">
        <f t="shared" si="467"/>
        <v>0.17585916846911789</v>
      </c>
      <c r="F187" s="47">
        <f t="shared" si="467"/>
        <v>0.1984726995036272</v>
      </c>
      <c r="G187" s="47">
        <f t="shared" si="467"/>
        <v>0.19379464911051963</v>
      </c>
      <c r="H187" s="49">
        <f t="shared" si="467"/>
        <v>0.19210073231719046</v>
      </c>
      <c r="I187" s="47">
        <f t="shared" si="467"/>
        <v>0.20000348863576897</v>
      </c>
      <c r="J187" s="47">
        <f t="shared" si="467"/>
        <v>0.1792973177181714</v>
      </c>
      <c r="K187" s="47">
        <f t="shared" si="467"/>
        <v>0.20814271836085857</v>
      </c>
      <c r="L187" s="47">
        <f t="shared" si="467"/>
        <v>0.19976133232718521</v>
      </c>
      <c r="M187" s="49">
        <f t="shared" si="467"/>
        <v>0.19710363742757972</v>
      </c>
      <c r="N187" s="47">
        <f t="shared" si="467"/>
        <v>0.19222220392841266</v>
      </c>
      <c r="O187" s="47">
        <f t="shared" si="467"/>
        <v>0.16199144533969964</v>
      </c>
      <c r="P187" s="47">
        <f t="shared" si="467"/>
        <v>0.18539530608687388</v>
      </c>
      <c r="Q187" s="47">
        <f t="shared" si="467"/>
        <v>0.18134731465103551</v>
      </c>
      <c r="R187" s="49">
        <f t="shared" si="467"/>
        <v>0.18032965943821577</v>
      </c>
      <c r="S187" s="47">
        <f t="shared" si="467"/>
        <v>0.17394123056975308</v>
      </c>
      <c r="T187" s="47">
        <f t="shared" si="467"/>
        <v>0.15843892227913536</v>
      </c>
      <c r="U187" s="47">
        <f t="shared" si="467"/>
        <v>0.18151920655212211</v>
      </c>
      <c r="V187" s="47">
        <f t="shared" si="467"/>
        <v>0.17778852661738523</v>
      </c>
      <c r="W187" s="49">
        <f t="shared" si="467"/>
        <v>0.1731550104443266</v>
      </c>
      <c r="X187" s="47">
        <f t="shared" si="467"/>
        <v>0.17882161242447575</v>
      </c>
      <c r="Y187" s="47">
        <f t="shared" si="467"/>
        <v>0.16486418701900374</v>
      </c>
      <c r="Z187" s="47">
        <f t="shared" si="467"/>
        <v>0.18649520802434078</v>
      </c>
      <c r="AA187" s="47">
        <f t="shared" si="467"/>
        <v>0.18659790243626018</v>
      </c>
      <c r="AB187" s="49">
        <f t="shared" si="467"/>
        <v>0.17942936166045498</v>
      </c>
    </row>
    <row r="188" spans="1:28" s="39" customFormat="1" outlineLevel="1" x14ac:dyDescent="0.25">
      <c r="B188" s="244" t="s">
        <v>2</v>
      </c>
      <c r="C188" s="245"/>
      <c r="D188" s="47">
        <f t="shared" ref="D188:S188" si="468">D33/D32</f>
        <v>0.34479801829268281</v>
      </c>
      <c r="E188" s="47">
        <f t="shared" si="468"/>
        <v>0.33170618317061845</v>
      </c>
      <c r="F188" s="47">
        <f t="shared" si="468"/>
        <v>0.29709334823923994</v>
      </c>
      <c r="G188" s="47">
        <f t="shared" si="468"/>
        <v>0.34027320605661632</v>
      </c>
      <c r="H188" s="49">
        <f t="shared" si="468"/>
        <v>0.32860953651217067</v>
      </c>
      <c r="I188" s="47">
        <f t="shared" si="468"/>
        <v>0.3366581339924089</v>
      </c>
      <c r="J188" s="47">
        <f t="shared" si="468"/>
        <v>0.33414932680538584</v>
      </c>
      <c r="K188" s="47">
        <f t="shared" si="468"/>
        <v>0.34312048650703131</v>
      </c>
      <c r="L188" s="47">
        <f t="shared" si="468"/>
        <v>0.31472477860739728</v>
      </c>
      <c r="M188" s="49">
        <f t="shared" si="468"/>
        <v>0.33181239143022589</v>
      </c>
      <c r="N188" s="47">
        <f t="shared" si="468"/>
        <v>0.2514388369539905</v>
      </c>
      <c r="O188" s="47">
        <f t="shared" si="468"/>
        <v>0.19102501226091217</v>
      </c>
      <c r="P188" s="47">
        <f t="shared" si="468"/>
        <v>0.17023763147643162</v>
      </c>
      <c r="Q188" s="47">
        <f t="shared" si="468"/>
        <v>0.18833503246230618</v>
      </c>
      <c r="R188" s="49">
        <f t="shared" si="468"/>
        <v>0.21831613366435113</v>
      </c>
      <c r="S188" s="47">
        <f t="shared" si="468"/>
        <v>0.2124287933713099</v>
      </c>
      <c r="T188" s="47">
        <f t="shared" ref="T188" si="469">T33/T32</f>
        <v>0.1965853658536586</v>
      </c>
      <c r="U188" s="54">
        <v>0.2</v>
      </c>
      <c r="V188" s="54">
        <v>0.2</v>
      </c>
      <c r="W188" s="241">
        <f>W33/W32</f>
        <v>0.20240074545196873</v>
      </c>
      <c r="X188" s="54">
        <f>AVERAGE(V188,U188,T188,S188)</f>
        <v>0.20225353980624214</v>
      </c>
      <c r="Y188" s="54">
        <f>AVERAGE(X188,V188,U188,T188)</f>
        <v>0.19970972641497517</v>
      </c>
      <c r="Z188" s="54">
        <f>AVERAGE(Y188,X188,V188,U188)</f>
        <v>0.20049081655530432</v>
      </c>
      <c r="AA188" s="54">
        <f>AVERAGE(Z188,Y188,X188,V188)</f>
        <v>0.20061352069413041</v>
      </c>
      <c r="AB188" s="49">
        <f>AB33/AB32</f>
        <v>0.20079917986489457</v>
      </c>
    </row>
    <row r="189" spans="1:28" ht="18" x14ac:dyDescent="0.4">
      <c r="A189" s="207"/>
      <c r="B189" s="242" t="s">
        <v>175</v>
      </c>
      <c r="C189" s="243"/>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07"/>
      <c r="B190" s="244" t="s">
        <v>11</v>
      </c>
      <c r="C190" s="245"/>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0.02</v>
      </c>
      <c r="V190" s="55">
        <v>0.01</v>
      </c>
      <c r="W190" s="24"/>
      <c r="X190" s="55">
        <v>8.0000000000000002E-3</v>
      </c>
      <c r="Y190" s="55">
        <v>6.0000000000000001E-3</v>
      </c>
      <c r="Z190" s="55">
        <v>2E-3</v>
      </c>
      <c r="AA190" s="55">
        <v>2E-3</v>
      </c>
      <c r="AB190" s="24"/>
    </row>
    <row r="191" spans="1:28" outlineLevel="1" x14ac:dyDescent="0.25">
      <c r="A191" s="207"/>
      <c r="B191" s="244" t="s">
        <v>12</v>
      </c>
      <c r="C191" s="245"/>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0.02</v>
      </c>
      <c r="V191" s="55">
        <v>0.01</v>
      </c>
      <c r="W191" s="24"/>
      <c r="X191" s="55">
        <v>8.0000000000000002E-3</v>
      </c>
      <c r="Y191" s="55">
        <v>6.0000000000000001E-3</v>
      </c>
      <c r="Z191" s="55">
        <v>2E-3</v>
      </c>
      <c r="AA191" s="55">
        <v>2E-3</v>
      </c>
      <c r="AB191" s="24"/>
    </row>
    <row r="192" spans="1:28" outlineLevel="1" x14ac:dyDescent="0.25">
      <c r="A192" s="207"/>
      <c r="B192" s="244" t="s">
        <v>5</v>
      </c>
      <c r="C192" s="245"/>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26">
        <v>70.489999999999995</v>
      </c>
      <c r="U192" s="58">
        <v>75</v>
      </c>
      <c r="V192" s="58">
        <f>+U192</f>
        <v>75</v>
      </c>
      <c r="W192" s="57"/>
      <c r="X192" s="58">
        <f>+V192</f>
        <v>75</v>
      </c>
      <c r="Y192" s="58">
        <f>+X192</f>
        <v>75</v>
      </c>
      <c r="Z192" s="58">
        <f>+Y192</f>
        <v>75</v>
      </c>
      <c r="AA192" s="58">
        <f>+Z192</f>
        <v>75</v>
      </c>
      <c r="AB192" s="57"/>
    </row>
    <row r="193" spans="1:28" outlineLevel="1" x14ac:dyDescent="0.25">
      <c r="A193" s="207"/>
      <c r="B193" s="244" t="s">
        <v>6</v>
      </c>
      <c r="C193" s="245"/>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0">
        <f>70.49*37.357294</f>
        <v>2633.3156540599998</v>
      </c>
      <c r="U193" s="53">
        <v>1500</v>
      </c>
      <c r="V193" s="53">
        <v>1000</v>
      </c>
      <c r="W193" s="31">
        <f>+SUM(S193:V193)</f>
        <v>9133.31565778</v>
      </c>
      <c r="X193" s="53">
        <v>500</v>
      </c>
      <c r="Y193" s="53">
        <v>500</v>
      </c>
      <c r="Z193" s="53">
        <v>500</v>
      </c>
      <c r="AA193" s="53">
        <v>500</v>
      </c>
      <c r="AB193" s="31">
        <f>+SUM(X193:AA193)</f>
        <v>2000</v>
      </c>
    </row>
    <row r="194" spans="1:28" outlineLevel="1" x14ac:dyDescent="0.25">
      <c r="A194" s="207"/>
      <c r="B194" s="266" t="s">
        <v>16</v>
      </c>
      <c r="C194" s="267"/>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v>
      </c>
      <c r="V194" s="60">
        <f>IF((V193)&gt;0,(V193/V192),0)</f>
        <v>13.333333333333334</v>
      </c>
      <c r="W194" s="95">
        <f>+SUM(S194:V194)</f>
        <v>142.65896133333334</v>
      </c>
      <c r="X194" s="60">
        <f>IF((X193)&gt;0,(X193/X192),0)</f>
        <v>6.666666666666667</v>
      </c>
      <c r="Y194" s="60">
        <f>IF((Y193)&gt;0,(Y193/Y192),0)</f>
        <v>6.666666666666667</v>
      </c>
      <c r="Z194" s="60">
        <f>IF((Z193)&gt;0,(Z193/Z192),0)</f>
        <v>6.666666666666667</v>
      </c>
      <c r="AA194" s="60">
        <f>IF((AA193)&gt;0,(AA193/AA192),0)</f>
        <v>6.666666666666667</v>
      </c>
      <c r="AB194" s="95">
        <f>+SUM(X194:AA194)</f>
        <v>26.666666666666668</v>
      </c>
    </row>
    <row r="195" spans="1:28" ht="18" x14ac:dyDescent="0.4">
      <c r="A195" s="207"/>
      <c r="B195" s="242" t="s">
        <v>19</v>
      </c>
      <c r="C195" s="243"/>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07"/>
      <c r="B196" s="244" t="s">
        <v>154</v>
      </c>
      <c r="C196" s="245"/>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-53.301984900378969</v>
      </c>
      <c r="V196" s="30">
        <f>-V23</f>
        <v>-55.396118748952972</v>
      </c>
      <c r="W196" s="31"/>
      <c r="X196" s="30">
        <f>-X23</f>
        <v>-53.664021701123275</v>
      </c>
      <c r="Y196" s="30">
        <f>-Y23</f>
        <v>-46.930628403980727</v>
      </c>
      <c r="Z196" s="30">
        <f>-Z23</f>
        <v>-52.891281197920364</v>
      </c>
      <c r="AA196" s="30">
        <f>-AA23</f>
        <v>-52.668246021084954</v>
      </c>
      <c r="AB196" s="31"/>
    </row>
    <row r="197" spans="1:28" outlineLevel="1" x14ac:dyDescent="0.25">
      <c r="A197" s="207"/>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07"/>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07"/>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07"/>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07"/>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07"/>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07"/>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07"/>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07"/>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07"/>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07"/>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25">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2"/>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0">SUM(T196:T207)</f>
        <v>-141.4</v>
      </c>
      <c r="U208" s="106">
        <f t="shared" si="470"/>
        <v>-120.46992480902182</v>
      </c>
      <c r="V208" s="106">
        <f t="shared" si="470"/>
        <v>-140.28002457471348</v>
      </c>
      <c r="W208" s="107">
        <f t="shared" si="470"/>
        <v>0</v>
      </c>
      <c r="X208" s="106">
        <f t="shared" si="470"/>
        <v>-134.70253255896677</v>
      </c>
      <c r="Y208" s="106">
        <f t="shared" si="470"/>
        <v>-115.20321755204245</v>
      </c>
      <c r="Z208" s="106">
        <f t="shared" si="470"/>
        <v>-138.2320176329975</v>
      </c>
      <c r="AA208" s="106">
        <f t="shared" si="470"/>
        <v>-142.55218158777066</v>
      </c>
      <c r="AB208" s="38"/>
    </row>
    <row r="209" spans="1:28" ht="17.25" outlineLevel="1" x14ac:dyDescent="0.4">
      <c r="A209" s="207"/>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2"/>
      <c r="B210" s="68" t="s">
        <v>158</v>
      </c>
      <c r="C210" s="69"/>
      <c r="D210" s="106">
        <f t="shared" ref="D210:F210" si="471">-D208+D209</f>
        <v>12.3</v>
      </c>
      <c r="E210" s="106">
        <f t="shared" si="471"/>
        <v>13.9</v>
      </c>
      <c r="F210" s="106">
        <f t="shared" si="471"/>
        <v>17.3</v>
      </c>
      <c r="G210" s="106">
        <f>-G208+G209</f>
        <v>-120.60000000000001</v>
      </c>
      <c r="H210" s="107"/>
      <c r="I210" s="106">
        <f t="shared" ref="I210:S210" si="472">-I208+I209</f>
        <v>14</v>
      </c>
      <c r="J210" s="106">
        <f t="shared" si="472"/>
        <v>13.8</v>
      </c>
      <c r="K210" s="106">
        <f t="shared" si="472"/>
        <v>134.19999999999999</v>
      </c>
      <c r="L210" s="106">
        <f t="shared" si="472"/>
        <v>115.8</v>
      </c>
      <c r="M210" s="107"/>
      <c r="N210" s="106">
        <f t="shared" si="472"/>
        <v>51.4</v>
      </c>
      <c r="O210" s="106">
        <f t="shared" si="472"/>
        <v>204.6</v>
      </c>
      <c r="P210" s="106">
        <f t="shared" si="472"/>
        <v>131.69999999999999</v>
      </c>
      <c r="Q210" s="106">
        <f t="shared" si="472"/>
        <v>186.5</v>
      </c>
      <c r="R210" s="107"/>
      <c r="S210" s="106">
        <f t="shared" si="472"/>
        <v>138</v>
      </c>
      <c r="T210" s="106">
        <f t="shared" ref="T210:V210" si="473">-T208+T209</f>
        <v>141.4</v>
      </c>
      <c r="U210" s="106">
        <f t="shared" si="473"/>
        <v>120.46992480902182</v>
      </c>
      <c r="V210" s="106">
        <f t="shared" si="473"/>
        <v>140.28002457471348</v>
      </c>
      <c r="W210" s="38"/>
      <c r="X210" s="106">
        <f t="shared" ref="X210:AA210" si="474">-X208+X209</f>
        <v>134.70253255896677</v>
      </c>
      <c r="Y210" s="106">
        <f t="shared" si="474"/>
        <v>115.20321755204245</v>
      </c>
      <c r="Z210" s="106">
        <f t="shared" si="474"/>
        <v>138.2320176329975</v>
      </c>
      <c r="AA210" s="106">
        <f t="shared" si="474"/>
        <v>142.55218158777066</v>
      </c>
      <c r="AB210" s="38"/>
    </row>
    <row r="211" spans="1:28" outlineLevel="1" x14ac:dyDescent="0.25">
      <c r="A211" s="207"/>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0">
        <f>-0.02*T40</f>
        <v>-25.014000000000003</v>
      </c>
      <c r="U211" s="53">
        <v>0</v>
      </c>
      <c r="V211" s="53">
        <v>0</v>
      </c>
      <c r="W211" s="31"/>
      <c r="X211" s="53">
        <v>0</v>
      </c>
      <c r="Y211" s="53">
        <v>0</v>
      </c>
      <c r="Z211" s="53">
        <v>0</v>
      </c>
      <c r="AA211" s="53">
        <v>0</v>
      </c>
      <c r="AB211" s="31"/>
    </row>
    <row r="212" spans="1:28" outlineLevel="1" x14ac:dyDescent="0.25">
      <c r="A212" s="207"/>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24.093984961804367</v>
      </c>
      <c r="V212" s="30">
        <f t="shared" ref="V212" si="475">+V210*V213</f>
        <v>28.056004914942697</v>
      </c>
      <c r="W212" s="31"/>
      <c r="X212" s="30">
        <f>+X210*X213</f>
        <v>26.940506511793355</v>
      </c>
      <c r="Y212" s="30">
        <f>+Y210*Y213</f>
        <v>23.04064351040849</v>
      </c>
      <c r="Z212" s="30">
        <f t="shared" ref="Z212" si="476">+Z210*Z213</f>
        <v>27.646403526599499</v>
      </c>
      <c r="AA212" s="30">
        <f t="shared" ref="AA212" si="477">+AA210*AA213</f>
        <v>28.510436317554134</v>
      </c>
      <c r="AB212" s="31"/>
    </row>
    <row r="213" spans="1:28" outlineLevel="1" x14ac:dyDescent="0.25">
      <c r="A213" s="207"/>
      <c r="B213" s="71" t="s">
        <v>173</v>
      </c>
      <c r="C213" s="92"/>
      <c r="D213" s="196">
        <f t="shared" ref="D213:F213" si="478">D212/D210</f>
        <v>0.16260162601626016</v>
      </c>
      <c r="E213" s="196">
        <f t="shared" si="478"/>
        <v>0.21582733812949639</v>
      </c>
      <c r="F213" s="196">
        <f t="shared" si="478"/>
        <v>2.6903468208092156</v>
      </c>
      <c r="G213" s="196">
        <f>G212/G210</f>
        <v>-0.49290102117705942</v>
      </c>
      <c r="H213" s="95"/>
      <c r="I213" s="196">
        <f t="shared" ref="I213" si="479">I212/I210</f>
        <v>0.17857142857142858</v>
      </c>
      <c r="J213" s="196">
        <f t="shared" ref="J213" si="480">J212/J210</f>
        <v>0.14492753623188406</v>
      </c>
      <c r="K213" s="196">
        <f t="shared" ref="K213" si="481">K212/K210</f>
        <v>0.17235469448584617</v>
      </c>
      <c r="L213" s="196">
        <f>L212/L210</f>
        <v>0.91658031088082448</v>
      </c>
      <c r="M213" s="95"/>
      <c r="N213" s="196">
        <f t="shared" ref="N213" si="482">N212/N210</f>
        <v>-8.9122568093385137</v>
      </c>
      <c r="O213" s="196">
        <f t="shared" ref="O213" si="483">O212/O210</f>
        <v>0.37391006842619767</v>
      </c>
      <c r="P213" s="196">
        <f t="shared" ref="P213" si="484">P212/P210</f>
        <v>0.91746393318147534</v>
      </c>
      <c r="Q213" s="196">
        <f>Q212/Q210</f>
        <v>0.55311528150134015</v>
      </c>
      <c r="R213" s="95"/>
      <c r="S213" s="196">
        <f t="shared" ref="S213:T213" si="485">S212/S210</f>
        <v>-0.30036231884056991</v>
      </c>
      <c r="T213" s="196">
        <f t="shared" si="485"/>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0"/>
      <c r="O214" s="200"/>
      <c r="P214" s="200"/>
      <c r="Q214" s="200"/>
      <c r="R214" s="200"/>
      <c r="S214" s="200"/>
      <c r="U214" s="3"/>
      <c r="V214" s="3"/>
      <c r="W214" s="79"/>
      <c r="Z214" s="3"/>
      <c r="AA214" s="3"/>
      <c r="AB214" s="79"/>
    </row>
  </sheetData>
  <dataConsolidate/>
  <mergeCells count="68">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166:C166"/>
    <mergeCell ref="B168:C168"/>
    <mergeCell ref="B170:C170"/>
    <mergeCell ref="B151:C151"/>
    <mergeCell ref="B163:C163"/>
    <mergeCell ref="B164:C164"/>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H20" sqref="H20"/>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t="s">
        <v>185</v>
      </c>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77"/>
      <c r="I7" s="277"/>
      <c r="J7" s="277"/>
      <c r="K7" s="277"/>
      <c r="L7" s="277"/>
      <c r="M7" s="277"/>
      <c r="N7" s="277"/>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2019-07-19T21:21:42Z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